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Bilan démo et financier NSA 2025\A diffuser\"/>
    </mc:Choice>
  </mc:AlternateContent>
  <xr:revisionPtr revIDLastSave="0" documentId="13_ncr:1_{A425ECC2-F0A3-402E-8CD4-8F233E776BA0}" xr6:coauthVersionLast="47" xr6:coauthVersionMax="47" xr10:uidLastSave="{00000000-0000-0000-0000-000000000000}"/>
  <bookViews>
    <workbookView xWindow="-120" yWindow="-120" windowWidth="25440" windowHeight="15270" tabRatio="546" xr2:uid="{00000000-000D-0000-FFFF-FFFF00000000}"/>
  </bookViews>
  <sheets>
    <sheet name="Bilan NSA" sheetId="15" r:id="rId1"/>
    <sheet name="Glossaire et introduction ok" sheetId="14" r:id="rId2"/>
    <sheet name="Introduction KO" sheetId="13" state="hidden" r:id="rId3"/>
    <sheet name="COMPTES NSA (Chiffres Utiles)ok" sheetId="5" r:id="rId4"/>
    <sheet name="NSA1 ok" sheetId="1" r:id="rId5"/>
    <sheet name="Effectifs ok" sheetId="2" r:id="rId6"/>
    <sheet name="%charges ok" sheetId="6" r:id="rId7"/>
    <sheet name="%produits ok" sheetId="7" r:id="rId8"/>
    <sheet name="%produitsRetraite" sheetId="11" state="hidden" r:id="rId9"/>
    <sheet name="%produitsRCO" sheetId="12" state="hidden" r:id="rId10"/>
    <sheet name="Résultat net ok" sheetId="9" r:id="rId11"/>
    <sheet name="Charges techniques" sheetId="10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3">'COMPTES NSA (Chiffres Utiles)ok'!$A$1:$L$58,'COMPTES NSA (Chiffres Utiles)ok'!$N$1:$Y$78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7" l="1"/>
  <c r="C28" i="9" l="1"/>
  <c r="B28" i="9"/>
  <c r="C27" i="9"/>
  <c r="B27" i="9"/>
  <c r="G26" i="2" l="1"/>
  <c r="G27" i="2"/>
  <c r="G28" i="2"/>
  <c r="I28" i="2"/>
  <c r="I27" i="2"/>
  <c r="I26" i="2"/>
  <c r="I10" i="2" l="1"/>
  <c r="I11" i="2" l="1"/>
  <c r="H11" i="2"/>
  <c r="I8" i="2" l="1"/>
  <c r="I7" i="2" l="1"/>
  <c r="H7" i="2" l="1"/>
  <c r="G7" i="2"/>
  <c r="F7" i="2"/>
  <c r="H8" i="2"/>
  <c r="G8" i="2"/>
  <c r="F8" i="2"/>
  <c r="H10" i="2"/>
  <c r="G10" i="2"/>
  <c r="F10" i="2"/>
  <c r="I6" i="2" l="1"/>
  <c r="I5" i="2"/>
  <c r="D49" i="1"/>
  <c r="C49" i="1"/>
  <c r="D48" i="1"/>
  <c r="C48" i="1"/>
  <c r="D47" i="1"/>
  <c r="C47" i="1"/>
  <c r="D46" i="1"/>
  <c r="C46" i="1"/>
  <c r="D45" i="1"/>
  <c r="C45" i="1"/>
  <c r="D42" i="1"/>
  <c r="C42" i="1"/>
  <c r="D40" i="1"/>
  <c r="C40" i="1"/>
  <c r="D33" i="1"/>
  <c r="C33" i="1"/>
  <c r="D31" i="1"/>
  <c r="C31" i="1"/>
  <c r="D30" i="1"/>
  <c r="C30" i="1"/>
  <c r="D28" i="1"/>
  <c r="C28" i="1"/>
  <c r="D17" i="1"/>
  <c r="C17" i="1"/>
  <c r="D16" i="1"/>
  <c r="C16" i="1"/>
  <c r="D15" i="1"/>
  <c r="C15" i="1"/>
  <c r="D14" i="1"/>
  <c r="C14" i="1"/>
  <c r="D13" i="1"/>
  <c r="C13" i="1"/>
  <c r="D12" i="1"/>
  <c r="C12" i="1"/>
  <c r="D9" i="1"/>
  <c r="C9" i="1"/>
  <c r="D8" i="1"/>
  <c r="C8" i="1"/>
  <c r="D7" i="1"/>
  <c r="C7" i="1"/>
  <c r="D6" i="1"/>
  <c r="C6" i="1"/>
  <c r="D5" i="1"/>
  <c r="C5" i="1"/>
  <c r="D4" i="1"/>
  <c r="J8" i="1" s="1"/>
  <c r="C4" i="1"/>
  <c r="I16" i="1" l="1"/>
  <c r="P69" i="5"/>
  <c r="Q48" i="5"/>
  <c r="P13" i="5"/>
  <c r="D44" i="5"/>
  <c r="B30" i="5"/>
  <c r="D7" i="5"/>
  <c r="C7" i="5"/>
  <c r="B7" i="5"/>
  <c r="D21" i="5" l="1"/>
  <c r="C44" i="5"/>
  <c r="R6" i="5"/>
  <c r="O13" i="5"/>
  <c r="P48" i="5"/>
  <c r="O69" i="5"/>
  <c r="C21" i="5"/>
  <c r="E37" i="5"/>
  <c r="B44" i="5"/>
  <c r="Q6" i="5"/>
  <c r="O48" i="5"/>
  <c r="B21" i="5"/>
  <c r="D37" i="5"/>
  <c r="P6" i="5"/>
  <c r="E7" i="5"/>
  <c r="C37" i="5"/>
  <c r="E51" i="5"/>
  <c r="O6" i="5"/>
  <c r="R55" i="5"/>
  <c r="E21" i="5"/>
  <c r="E30" i="5"/>
  <c r="B37" i="5"/>
  <c r="D51" i="5"/>
  <c r="Q55" i="5"/>
  <c r="D30" i="5"/>
  <c r="C51" i="5"/>
  <c r="R13" i="5"/>
  <c r="P55" i="5"/>
  <c r="R69" i="5"/>
  <c r="C30" i="5"/>
  <c r="E44" i="5"/>
  <c r="B51" i="5"/>
  <c r="Q13" i="5"/>
  <c r="R48" i="5"/>
  <c r="O55" i="5"/>
  <c r="Q69" i="5"/>
  <c r="B25" i="2" l="1"/>
  <c r="E28" i="2" l="1"/>
  <c r="E27" i="2"/>
  <c r="E26" i="2"/>
  <c r="E25" i="2"/>
  <c r="H6" i="2"/>
  <c r="G6" i="2"/>
  <c r="F6" i="2"/>
  <c r="H5" i="2"/>
  <c r="G5" i="2"/>
  <c r="F5" i="2"/>
  <c r="E32" i="14"/>
  <c r="E31" i="14"/>
  <c r="E30" i="14"/>
  <c r="E29" i="14"/>
  <c r="E28" i="14"/>
  <c r="E27" i="14"/>
  <c r="E26" i="14"/>
  <c r="E25" i="14"/>
  <c r="E23" i="14"/>
  <c r="E22" i="14"/>
  <c r="E21" i="14"/>
  <c r="E20" i="14"/>
  <c r="E19" i="14"/>
  <c r="G25" i="2" l="1"/>
  <c r="D3" i="1" l="1"/>
  <c r="Q76" i="5" l="1"/>
  <c r="R76" i="5"/>
  <c r="P76" i="5"/>
  <c r="R26" i="5"/>
  <c r="D5" i="5"/>
  <c r="I25" i="2" l="1"/>
  <c r="D27" i="9" l="1"/>
  <c r="J28" i="2"/>
  <c r="J27" i="2"/>
  <c r="J26" i="2"/>
  <c r="H22" i="2"/>
  <c r="H21" i="2"/>
  <c r="H18" i="2"/>
  <c r="H19" i="2" l="1"/>
  <c r="H16" i="2"/>
  <c r="H17" i="2"/>
  <c r="C4" i="7" l="1"/>
  <c r="D26" i="14" s="1"/>
  <c r="J25" i="2" l="1"/>
  <c r="H28" i="2" l="1"/>
  <c r="H27" i="2"/>
  <c r="H26" i="2"/>
  <c r="J16" i="1" l="1"/>
  <c r="Q33" i="5" l="1"/>
  <c r="Q78" i="5" s="1"/>
  <c r="R33" i="5"/>
  <c r="R78" i="5" s="1"/>
  <c r="G22" i="2"/>
  <c r="F12" i="1" l="1"/>
  <c r="G21" i="2" l="1"/>
  <c r="G19" i="2" l="1"/>
  <c r="G18" i="2" l="1"/>
  <c r="G17" i="2" l="1"/>
  <c r="G16" i="2"/>
  <c r="F28" i="2"/>
  <c r="F26" i="2"/>
  <c r="F27" i="2"/>
  <c r="H25" i="2"/>
  <c r="C10" i="11" l="1"/>
  <c r="D11" i="1" l="1"/>
  <c r="D26" i="2"/>
  <c r="D27" i="2"/>
  <c r="D28" i="2"/>
  <c r="F25" i="2"/>
  <c r="F22" i="2"/>
  <c r="K16" i="1" l="1"/>
  <c r="D25" i="2"/>
  <c r="B43" i="7" l="1"/>
  <c r="B44" i="7"/>
  <c r="B16" i="9" l="1"/>
  <c r="B10" i="9"/>
  <c r="F21" i="2" l="1"/>
  <c r="F18" i="2" l="1"/>
  <c r="F19" i="2"/>
  <c r="F17" i="2"/>
  <c r="F16" i="2"/>
  <c r="D19" i="1"/>
  <c r="C3" i="1" l="1"/>
  <c r="F3" i="5"/>
  <c r="G3" i="5" s="1"/>
  <c r="H3" i="5" s="1"/>
  <c r="I3" i="5" s="1"/>
  <c r="C6" i="9" l="1"/>
  <c r="C9" i="9"/>
  <c r="C7" i="9"/>
  <c r="C10" i="9"/>
  <c r="C43" i="7"/>
  <c r="C11" i="9" l="1"/>
  <c r="D17" i="2"/>
  <c r="D18" i="2" l="1"/>
  <c r="E21" i="2" l="1"/>
  <c r="E16" i="2" l="1"/>
  <c r="C4" i="2" l="1"/>
  <c r="D4" i="2" s="1"/>
  <c r="E4" i="2" s="1"/>
  <c r="F4" i="2" s="1"/>
  <c r="G4" i="2" s="1"/>
  <c r="H4" i="2" s="1"/>
  <c r="I4" i="2" s="1"/>
  <c r="C7" i="12" l="1"/>
  <c r="B7" i="12"/>
  <c r="E8" i="12"/>
  <c r="E3" i="12"/>
  <c r="E7" i="12" l="1"/>
  <c r="E4" i="12"/>
  <c r="E8" i="11" l="1"/>
  <c r="E3" i="11"/>
  <c r="C7" i="11" l="1"/>
  <c r="B7" i="11"/>
  <c r="E7" i="11" l="1"/>
  <c r="C9" i="12" l="1"/>
  <c r="B9" i="12"/>
  <c r="Y38" i="5"/>
  <c r="X38" i="5"/>
  <c r="W38" i="5"/>
  <c r="Y37" i="5"/>
  <c r="X37" i="5"/>
  <c r="W37" i="5"/>
  <c r="Y36" i="5"/>
  <c r="X36" i="5"/>
  <c r="W36" i="5"/>
  <c r="E9" i="12" l="1"/>
  <c r="P33" i="5"/>
  <c r="P78" i="5" s="1"/>
  <c r="W35" i="5"/>
  <c r="W34" i="5"/>
  <c r="O33" i="5"/>
  <c r="O78" i="5" s="1"/>
  <c r="B2" i="11"/>
  <c r="B9" i="11"/>
  <c r="B2" i="12"/>
  <c r="X35" i="5"/>
  <c r="B44" i="12" l="1"/>
  <c r="B5" i="12"/>
  <c r="B10" i="12"/>
  <c r="B45" i="12"/>
  <c r="B42" i="12"/>
  <c r="B43" i="12"/>
  <c r="W33" i="5"/>
  <c r="B39" i="11"/>
  <c r="B41" i="11"/>
  <c r="B5" i="11"/>
  <c r="B40" i="11"/>
  <c r="B10" i="11"/>
  <c r="B38" i="11"/>
  <c r="B13" i="9"/>
  <c r="X34" i="5"/>
  <c r="X33" i="5"/>
  <c r="F3" i="12" l="1"/>
  <c r="F7" i="12"/>
  <c r="F8" i="12"/>
  <c r="B6" i="12"/>
  <c r="F4" i="12"/>
  <c r="F9" i="12"/>
  <c r="F8" i="11"/>
  <c r="F3" i="11"/>
  <c r="F7" i="11"/>
  <c r="C11" i="10" l="1"/>
  <c r="D6" i="10" s="1"/>
  <c r="B11" i="10"/>
  <c r="D3" i="10" l="1"/>
  <c r="D7" i="10"/>
  <c r="D2" i="10"/>
  <c r="D5" i="10"/>
  <c r="D9" i="10"/>
  <c r="D4" i="10"/>
  <c r="D10" i="10"/>
  <c r="D8" i="10"/>
  <c r="D11" i="10" l="1"/>
  <c r="C8" i="7"/>
  <c r="D31" i="14" s="1"/>
  <c r="B5" i="7"/>
  <c r="C5" i="7"/>
  <c r="D28" i="14" s="1"/>
  <c r="A22" i="2" l="1"/>
  <c r="C29" i="9" l="1"/>
  <c r="B29" i="9"/>
  <c r="D29" i="9" l="1"/>
  <c r="D28" i="9"/>
  <c r="B45" i="7" l="1"/>
  <c r="B46" i="7"/>
  <c r="C2" i="9" l="1"/>
  <c r="B2" i="9"/>
  <c r="B17" i="2" l="1"/>
  <c r="C17" i="2"/>
  <c r="E17" i="2"/>
  <c r="B18" i="2"/>
  <c r="C18" i="2"/>
  <c r="E18" i="2"/>
  <c r="B19" i="2"/>
  <c r="C19" i="2"/>
  <c r="D19" i="2"/>
  <c r="E19" i="2"/>
  <c r="B21" i="2"/>
  <c r="C21" i="2"/>
  <c r="D21" i="2"/>
  <c r="B22" i="2"/>
  <c r="C22" i="2"/>
  <c r="D22" i="2"/>
  <c r="E22" i="2"/>
  <c r="C16" i="2"/>
  <c r="D16" i="2"/>
  <c r="B16" i="2"/>
  <c r="C3" i="5" l="1"/>
  <c r="D3" i="5" s="1"/>
  <c r="N13" i="5"/>
  <c r="N20" i="5" s="1"/>
  <c r="A14" i="5"/>
  <c r="A21" i="5" s="1"/>
  <c r="A30" i="5" s="1"/>
  <c r="A37" i="5" s="1"/>
  <c r="A44" i="5" s="1"/>
  <c r="A51" i="5" s="1"/>
  <c r="N27" i="5" l="1"/>
  <c r="N41" i="5" s="1"/>
  <c r="N48" i="5" s="1"/>
  <c r="N55" i="5" s="1"/>
  <c r="N62" i="5" s="1"/>
  <c r="N69" i="5" s="1"/>
  <c r="N34" i="5"/>
  <c r="B2" i="6"/>
  <c r="B61" i="5"/>
  <c r="B65" i="5" s="1"/>
  <c r="E3" i="5"/>
  <c r="B9" i="9"/>
  <c r="B11" i="9" s="1"/>
  <c r="B12" i="9"/>
  <c r="B15" i="9"/>
  <c r="B6" i="9"/>
  <c r="B1" i="12" l="1"/>
  <c r="B40" i="12" s="1"/>
  <c r="B1" i="11"/>
  <c r="B36" i="11" s="1"/>
  <c r="B2" i="7"/>
  <c r="B41" i="7" s="1"/>
  <c r="C2" i="6"/>
  <c r="C61" i="5"/>
  <c r="C65" i="5" s="1"/>
  <c r="B7" i="9"/>
  <c r="B8" i="9" s="1"/>
  <c r="B17" i="9"/>
  <c r="B14" i="9"/>
  <c r="C1" i="12" l="1"/>
  <c r="C40" i="12" s="1"/>
  <c r="C1" i="11"/>
  <c r="C36" i="11" s="1"/>
  <c r="C2" i="7"/>
  <c r="C41" i="7" s="1"/>
  <c r="B4" i="7"/>
  <c r="B8" i="7" l="1"/>
  <c r="B45" i="6" l="1"/>
  <c r="B43" i="6"/>
  <c r="B46" i="6"/>
  <c r="B44" i="6"/>
  <c r="C41" i="6"/>
  <c r="B41" i="6"/>
  <c r="W73" i="5" l="1"/>
  <c r="X73" i="5"/>
  <c r="X72" i="5"/>
  <c r="W71" i="5"/>
  <c r="W70" i="5"/>
  <c r="X66" i="5"/>
  <c r="W66" i="5"/>
  <c r="X65" i="5"/>
  <c r="W65" i="5"/>
  <c r="X64" i="5"/>
  <c r="W64" i="5"/>
  <c r="X63" i="5"/>
  <c r="W63" i="5"/>
  <c r="X59" i="5"/>
  <c r="W59" i="5"/>
  <c r="X58" i="5"/>
  <c r="W58" i="5"/>
  <c r="X57" i="5"/>
  <c r="W57" i="5"/>
  <c r="X56" i="5"/>
  <c r="W56" i="5"/>
  <c r="X52" i="5"/>
  <c r="W52" i="5"/>
  <c r="X51" i="5"/>
  <c r="W51" i="5"/>
  <c r="X50" i="5"/>
  <c r="W50" i="5"/>
  <c r="X49" i="5"/>
  <c r="W49" i="5"/>
  <c r="X45" i="5"/>
  <c r="W45" i="5"/>
  <c r="X44" i="5"/>
  <c r="W44" i="5"/>
  <c r="X43" i="5"/>
  <c r="W43" i="5"/>
  <c r="X42" i="5"/>
  <c r="W42" i="5"/>
  <c r="X31" i="5"/>
  <c r="W31" i="5"/>
  <c r="X30" i="5"/>
  <c r="W30" i="5"/>
  <c r="Y29" i="5"/>
  <c r="X29" i="5"/>
  <c r="W29" i="5"/>
  <c r="Y28" i="5"/>
  <c r="X28" i="5"/>
  <c r="W28" i="5"/>
  <c r="Y24" i="5"/>
  <c r="X24" i="5"/>
  <c r="W24" i="5"/>
  <c r="Y23" i="5"/>
  <c r="X23" i="5"/>
  <c r="W23" i="5"/>
  <c r="Y22" i="5"/>
  <c r="X22" i="5"/>
  <c r="W22" i="5"/>
  <c r="Y21" i="5"/>
  <c r="X21" i="5"/>
  <c r="W21" i="5"/>
  <c r="X17" i="5"/>
  <c r="W17" i="5"/>
  <c r="Y16" i="5"/>
  <c r="X16" i="5"/>
  <c r="W16" i="5"/>
  <c r="Y15" i="5"/>
  <c r="X15" i="5"/>
  <c r="W15" i="5"/>
  <c r="X14" i="5"/>
  <c r="W14" i="5"/>
  <c r="X10" i="5"/>
  <c r="W10" i="5"/>
  <c r="X9" i="5"/>
  <c r="W9" i="5"/>
  <c r="X8" i="5"/>
  <c r="W8" i="5"/>
  <c r="X7" i="5"/>
  <c r="W7" i="5"/>
  <c r="R3" i="5"/>
  <c r="V3" i="5" s="1"/>
  <c r="Y3" i="5" s="1"/>
  <c r="Q3" i="5"/>
  <c r="U3" i="5" s="1"/>
  <c r="X3" i="5" s="1"/>
  <c r="P3" i="5"/>
  <c r="T3" i="5" s="1"/>
  <c r="W3" i="5" s="1"/>
  <c r="O3" i="5"/>
  <c r="S3" i="5" s="1"/>
  <c r="K55" i="5"/>
  <c r="J55" i="5"/>
  <c r="K54" i="5"/>
  <c r="J54" i="5"/>
  <c r="K53" i="5"/>
  <c r="J53" i="5"/>
  <c r="K52" i="5"/>
  <c r="J52" i="5"/>
  <c r="K48" i="5"/>
  <c r="J48" i="5"/>
  <c r="K47" i="5"/>
  <c r="J47" i="5"/>
  <c r="K46" i="5"/>
  <c r="J46" i="5"/>
  <c r="K45" i="5"/>
  <c r="J45" i="5"/>
  <c r="K41" i="5"/>
  <c r="J41" i="5"/>
  <c r="K40" i="5"/>
  <c r="J40" i="5"/>
  <c r="K39" i="5"/>
  <c r="J39" i="5"/>
  <c r="K38" i="5"/>
  <c r="J38" i="5"/>
  <c r="K34" i="5"/>
  <c r="J34" i="5"/>
  <c r="K33" i="5"/>
  <c r="J33" i="5"/>
  <c r="K32" i="5"/>
  <c r="J32" i="5"/>
  <c r="K31" i="5"/>
  <c r="J31" i="5"/>
  <c r="K25" i="5"/>
  <c r="J25" i="5"/>
  <c r="K24" i="5"/>
  <c r="J24" i="5"/>
  <c r="K23" i="5"/>
  <c r="J23" i="5"/>
  <c r="K22" i="5"/>
  <c r="J22" i="5"/>
  <c r="K18" i="5"/>
  <c r="J18" i="5"/>
  <c r="K17" i="5"/>
  <c r="J17" i="5"/>
  <c r="K16" i="5"/>
  <c r="J16" i="5"/>
  <c r="K15" i="5"/>
  <c r="J15" i="5"/>
  <c r="K11" i="5"/>
  <c r="J11" i="5"/>
  <c r="K10" i="5"/>
  <c r="J10" i="5"/>
  <c r="K9" i="5"/>
  <c r="J9" i="5"/>
  <c r="K8" i="5"/>
  <c r="J8" i="5"/>
  <c r="L3" i="5"/>
  <c r="K3" i="5"/>
  <c r="J3" i="5"/>
  <c r="X70" i="5" l="1"/>
  <c r="X71" i="5"/>
  <c r="W72" i="5"/>
  <c r="E4" i="7" l="1"/>
  <c r="C4" i="11"/>
  <c r="C19" i="1"/>
  <c r="B4" i="11" s="1"/>
  <c r="B6" i="11" l="1"/>
  <c r="E4" i="11"/>
  <c r="F4" i="11" s="1"/>
  <c r="F19" i="1"/>
  <c r="E5" i="7"/>
  <c r="E8" i="7"/>
  <c r="F15" i="1" l="1"/>
  <c r="F16" i="1"/>
  <c r="F17" i="1"/>
  <c r="F13" i="1" l="1"/>
  <c r="C11" i="1" l="1"/>
  <c r="F11" i="1" s="1"/>
  <c r="B6" i="7" l="1"/>
  <c r="G17" i="1"/>
  <c r="G15" i="1"/>
  <c r="G13" i="1"/>
  <c r="G12" i="1"/>
  <c r="G16" i="1"/>
  <c r="F14" i="1"/>
  <c r="G14" i="1" s="1"/>
  <c r="E14" i="1"/>
  <c r="M16" i="1" l="1"/>
  <c r="E12" i="1"/>
  <c r="C6" i="7"/>
  <c r="G11" i="1"/>
  <c r="E15" i="1"/>
  <c r="E16" i="1"/>
  <c r="E17" i="1"/>
  <c r="E13" i="1"/>
  <c r="L16" i="1"/>
  <c r="D27" i="14" l="1"/>
  <c r="E6" i="7"/>
  <c r="F9" i="1" l="1"/>
  <c r="F6" i="1" l="1"/>
  <c r="F8" i="1" l="1"/>
  <c r="I8" i="1"/>
  <c r="E8" i="1"/>
  <c r="F4" i="1"/>
  <c r="F7" i="1"/>
  <c r="L8" i="1" l="1"/>
  <c r="E7" i="1"/>
  <c r="B3" i="6"/>
  <c r="G9" i="1"/>
  <c r="G8" i="1"/>
  <c r="G7" i="1"/>
  <c r="G6" i="1"/>
  <c r="F5" i="1"/>
  <c r="G5" i="1" s="1"/>
  <c r="E5" i="1"/>
  <c r="G4" i="1"/>
  <c r="E4" i="1"/>
  <c r="F3" i="1"/>
  <c r="G3" i="1" s="1"/>
  <c r="C3" i="6"/>
  <c r="E9" i="1"/>
  <c r="E6" i="1"/>
  <c r="K8" i="1" l="1"/>
  <c r="M8" i="1"/>
  <c r="E3" i="6"/>
  <c r="Y71" i="5" l="1"/>
  <c r="Y57" i="5" l="1"/>
  <c r="Y50" i="5"/>
  <c r="L38" i="5"/>
  <c r="C44" i="6" l="1"/>
  <c r="D22" i="14" s="1"/>
  <c r="L9" i="5"/>
  <c r="C12" i="9"/>
  <c r="L33" i="5"/>
  <c r="L45" i="5"/>
  <c r="L55" i="5"/>
  <c r="C38" i="11"/>
  <c r="C42" i="12"/>
  <c r="Y8" i="5"/>
  <c r="Y45" i="5"/>
  <c r="Y64" i="5"/>
  <c r="C15" i="9"/>
  <c r="L10" i="5"/>
  <c r="L34" i="5"/>
  <c r="L46" i="5"/>
  <c r="C9" i="11"/>
  <c r="Y17" i="5"/>
  <c r="Y42" i="5"/>
  <c r="Y51" i="5"/>
  <c r="Y56" i="5"/>
  <c r="Y65" i="5"/>
  <c r="C45" i="6"/>
  <c r="D19" i="14" s="1"/>
  <c r="L11" i="5"/>
  <c r="L17" i="5"/>
  <c r="L23" i="5"/>
  <c r="L31" i="5"/>
  <c r="L41" i="5"/>
  <c r="L47" i="5"/>
  <c r="L53" i="5"/>
  <c r="C5" i="11"/>
  <c r="C40" i="11"/>
  <c r="C44" i="12"/>
  <c r="C45" i="7"/>
  <c r="Y10" i="5"/>
  <c r="Y34" i="5"/>
  <c r="Y43" i="5"/>
  <c r="Y52" i="5"/>
  <c r="Y66" i="5"/>
  <c r="Y72" i="5"/>
  <c r="L15" i="5"/>
  <c r="L25" i="5"/>
  <c r="L39" i="5"/>
  <c r="Y14" i="5"/>
  <c r="C2" i="12"/>
  <c r="Y30" i="5"/>
  <c r="Y59" i="5"/>
  <c r="L16" i="5"/>
  <c r="L22" i="5"/>
  <c r="L40" i="5"/>
  <c r="L52" i="5"/>
  <c r="C45" i="12"/>
  <c r="C41" i="11"/>
  <c r="C5" i="12"/>
  <c r="C10" i="12"/>
  <c r="C46" i="7"/>
  <c r="C16" i="9"/>
  <c r="Y9" i="5"/>
  <c r="C2" i="11"/>
  <c r="E2" i="11" s="1"/>
  <c r="F2" i="11" s="1"/>
  <c r="Y31" i="5"/>
  <c r="Y70" i="5"/>
  <c r="L8" i="5"/>
  <c r="C43" i="6"/>
  <c r="D23" i="14" s="1"/>
  <c r="L18" i="5"/>
  <c r="L24" i="5"/>
  <c r="L32" i="5"/>
  <c r="L48" i="5"/>
  <c r="L54" i="5"/>
  <c r="C46" i="6"/>
  <c r="D21" i="14" s="1"/>
  <c r="C13" i="9"/>
  <c r="C43" i="12"/>
  <c r="C44" i="7"/>
  <c r="C39" i="11"/>
  <c r="Y7" i="5"/>
  <c r="Y35" i="5"/>
  <c r="Y44" i="5"/>
  <c r="Y49" i="5"/>
  <c r="Y58" i="5"/>
  <c r="Y63" i="5"/>
  <c r="Y73" i="5"/>
  <c r="C6" i="11" l="1"/>
  <c r="C8" i="9"/>
  <c r="C17" i="9"/>
  <c r="E39" i="11"/>
  <c r="E43" i="7"/>
  <c r="D2" i="11"/>
  <c r="E10" i="11"/>
  <c r="F10" i="11" s="1"/>
  <c r="D8" i="11"/>
  <c r="D3" i="11"/>
  <c r="D7" i="11"/>
  <c r="D4" i="11"/>
  <c r="E43" i="12"/>
  <c r="E41" i="11"/>
  <c r="E44" i="12"/>
  <c r="E42" i="12"/>
  <c r="E46" i="6"/>
  <c r="D3" i="12"/>
  <c r="D9" i="12"/>
  <c r="C6" i="12"/>
  <c r="D7" i="12"/>
  <c r="E10" i="12"/>
  <c r="F10" i="12" s="1"/>
  <c r="D4" i="12"/>
  <c r="D8" i="12"/>
  <c r="E2" i="12"/>
  <c r="F2" i="12" s="1"/>
  <c r="D2" i="12"/>
  <c r="E5" i="11"/>
  <c r="F5" i="11" s="1"/>
  <c r="D5" i="11"/>
  <c r="E44" i="7"/>
  <c r="D5" i="12"/>
  <c r="E5" i="12"/>
  <c r="F5" i="12" s="1"/>
  <c r="Y33" i="5"/>
  <c r="C14" i="9"/>
  <c r="E43" i="6"/>
  <c r="E46" i="7"/>
  <c r="E45" i="12"/>
  <c r="E45" i="7"/>
  <c r="E40" i="11"/>
  <c r="E45" i="6"/>
  <c r="E9" i="11"/>
  <c r="F9" i="11" s="1"/>
  <c r="D9" i="11"/>
  <c r="E38" i="11"/>
  <c r="E44" i="6"/>
  <c r="N50" i="7" l="1"/>
  <c r="D6" i="12"/>
  <c r="D10" i="12" s="1"/>
  <c r="E6" i="12"/>
  <c r="F6" i="12" s="1"/>
  <c r="M46" i="6"/>
  <c r="E6" i="11"/>
  <c r="F6" i="11" s="1"/>
  <c r="D6" i="11"/>
  <c r="D10" i="11" s="1"/>
  <c r="N30" i="11"/>
  <c r="L51" i="12"/>
  <c r="L30" i="11"/>
  <c r="K30" i="11"/>
  <c r="M30" i="11"/>
  <c r="N51" i="12"/>
  <c r="J46" i="6"/>
  <c r="M51" i="12"/>
  <c r="K46" i="6"/>
  <c r="M50" i="7"/>
  <c r="K50" i="7"/>
  <c r="L50" i="7"/>
  <c r="L46" i="6"/>
  <c r="K51" i="12"/>
  <c r="O19" i="5" l="1"/>
  <c r="O5" i="5" l="1"/>
  <c r="P19" i="5"/>
  <c r="W20" i="5"/>
  <c r="R47" i="5"/>
  <c r="V48" i="5" s="1"/>
  <c r="Y48" i="5"/>
  <c r="D13" i="5"/>
  <c r="H14" i="5" s="1"/>
  <c r="K14" i="5"/>
  <c r="E20" i="5"/>
  <c r="L37" i="5"/>
  <c r="E36" i="5"/>
  <c r="P26" i="5"/>
  <c r="T27" i="5" s="1"/>
  <c r="W27" i="5"/>
  <c r="Y41" i="5"/>
  <c r="R40" i="5"/>
  <c r="X48" i="5"/>
  <c r="Q47" i="5"/>
  <c r="U48" i="5" s="1"/>
  <c r="R54" i="5"/>
  <c r="V55" i="5" s="1"/>
  <c r="Y55" i="5"/>
  <c r="O61" i="5"/>
  <c r="O68" i="5"/>
  <c r="S69" i="5" s="1"/>
  <c r="E13" i="5"/>
  <c r="I14" i="5" s="1"/>
  <c r="L14" i="5"/>
  <c r="B50" i="5"/>
  <c r="F51" i="5" s="1"/>
  <c r="Q26" i="5"/>
  <c r="U27" i="5" s="1"/>
  <c r="X27" i="5"/>
  <c r="J14" i="5"/>
  <c r="C13" i="5"/>
  <c r="G14" i="5" s="1"/>
  <c r="K37" i="5"/>
  <c r="D36" i="5"/>
  <c r="H37" i="5" s="1"/>
  <c r="R5" i="5"/>
  <c r="Y6" i="5"/>
  <c r="C37" i="11"/>
  <c r="C4" i="9"/>
  <c r="C41" i="12"/>
  <c r="C42" i="7"/>
  <c r="B42" i="7"/>
  <c r="B4" i="9"/>
  <c r="B41" i="12"/>
  <c r="B37" i="11"/>
  <c r="Q5" i="5"/>
  <c r="X6" i="5"/>
  <c r="Y13" i="5"/>
  <c r="R12" i="5"/>
  <c r="V13" i="5" s="1"/>
  <c r="Q12" i="5"/>
  <c r="U13" i="5" s="1"/>
  <c r="X13" i="5"/>
  <c r="C9" i="7"/>
  <c r="R19" i="5"/>
  <c r="Y20" i="5"/>
  <c r="O26" i="5"/>
  <c r="S27" i="5" s="1"/>
  <c r="Q40" i="5"/>
  <c r="U41" i="5" s="1"/>
  <c r="X41" i="5"/>
  <c r="P47" i="5"/>
  <c r="T48" i="5" s="1"/>
  <c r="W48" i="5"/>
  <c r="Q54" i="5"/>
  <c r="X55" i="5"/>
  <c r="R61" i="5"/>
  <c r="V62" i="5" s="1"/>
  <c r="Y62" i="5"/>
  <c r="B20" i="5"/>
  <c r="F21" i="5" s="1"/>
  <c r="B36" i="5"/>
  <c r="L51" i="5"/>
  <c r="E50" i="5"/>
  <c r="O12" i="5"/>
  <c r="O40" i="5"/>
  <c r="S41" i="5" s="1"/>
  <c r="O54" i="5"/>
  <c r="P61" i="5"/>
  <c r="T62" i="5" s="1"/>
  <c r="W62" i="5"/>
  <c r="P68" i="5"/>
  <c r="T69" i="5" s="1"/>
  <c r="W69" i="5"/>
  <c r="B13" i="5"/>
  <c r="F14" i="5" s="1"/>
  <c r="C36" i="5"/>
  <c r="G37" i="5" s="1"/>
  <c r="J37" i="5"/>
  <c r="P5" i="5"/>
  <c r="T6" i="5" s="1"/>
  <c r="W6" i="5"/>
  <c r="P12" i="5"/>
  <c r="T13" i="5" s="1"/>
  <c r="W13" i="5"/>
  <c r="Q19" i="5"/>
  <c r="X20" i="5"/>
  <c r="Y27" i="5"/>
  <c r="V27" i="5"/>
  <c r="P40" i="5"/>
  <c r="T41" i="5" s="1"/>
  <c r="W41" i="5"/>
  <c r="O47" i="5"/>
  <c r="P54" i="5"/>
  <c r="W55" i="5"/>
  <c r="Q61" i="5"/>
  <c r="U62" i="5" s="1"/>
  <c r="X62" i="5"/>
  <c r="Y69" i="5"/>
  <c r="R68" i="5"/>
  <c r="V69" i="5" s="1"/>
  <c r="Q68" i="5"/>
  <c r="X69" i="5"/>
  <c r="S6" i="5" l="1"/>
  <c r="S65" i="5"/>
  <c r="S63" i="5"/>
  <c r="S66" i="5"/>
  <c r="S64" i="5"/>
  <c r="D30" i="14"/>
  <c r="K3" i="7"/>
  <c r="O75" i="5"/>
  <c r="S54" i="5" s="1"/>
  <c r="T59" i="5"/>
  <c r="T57" i="5"/>
  <c r="T56" i="5"/>
  <c r="W54" i="5"/>
  <c r="T55" i="5"/>
  <c r="S49" i="5"/>
  <c r="S52" i="5"/>
  <c r="S50" i="5"/>
  <c r="B9" i="7"/>
  <c r="X19" i="5"/>
  <c r="L30" i="5"/>
  <c r="E29" i="5"/>
  <c r="H7" i="5"/>
  <c r="B42" i="6"/>
  <c r="B3" i="9"/>
  <c r="K7" i="5"/>
  <c r="S56" i="5"/>
  <c r="S59" i="5"/>
  <c r="S57" i="5"/>
  <c r="S17" i="5"/>
  <c r="S14" i="5"/>
  <c r="S15" i="5"/>
  <c r="F41" i="5"/>
  <c r="F38" i="5"/>
  <c r="F39" i="5"/>
  <c r="T52" i="5"/>
  <c r="T50" i="5"/>
  <c r="T49" i="5"/>
  <c r="W47" i="5"/>
  <c r="B19" i="9"/>
  <c r="C19" i="9"/>
  <c r="V16" i="5"/>
  <c r="V10" i="5"/>
  <c r="V37" i="5"/>
  <c r="V51" i="5"/>
  <c r="V44" i="5"/>
  <c r="V23" i="5"/>
  <c r="Y5" i="5"/>
  <c r="V8" i="5"/>
  <c r="V65" i="5"/>
  <c r="V58" i="5"/>
  <c r="V30" i="5"/>
  <c r="V72" i="5"/>
  <c r="V7" i="5"/>
  <c r="V9" i="5"/>
  <c r="R75" i="5"/>
  <c r="D20" i="5"/>
  <c r="H21" i="5" s="1"/>
  <c r="K21" i="5"/>
  <c r="C3" i="9"/>
  <c r="E5" i="5"/>
  <c r="I7" i="5" s="1"/>
  <c r="L7" i="5"/>
  <c r="C42" i="6"/>
  <c r="D20" i="14" s="1"/>
  <c r="C19" i="14" s="1"/>
  <c r="I16" i="5"/>
  <c r="I18" i="5"/>
  <c r="L13" i="5"/>
  <c r="I15" i="5"/>
  <c r="V35" i="5"/>
  <c r="Y40" i="5"/>
  <c r="V45" i="5"/>
  <c r="V34" i="5"/>
  <c r="V36" i="5"/>
  <c r="V38" i="5"/>
  <c r="V42" i="5"/>
  <c r="V43" i="5"/>
  <c r="T31" i="5"/>
  <c r="T28" i="5"/>
  <c r="W26" i="5"/>
  <c r="T29" i="5"/>
  <c r="W19" i="5"/>
  <c r="U73" i="5"/>
  <c r="U70" i="5"/>
  <c r="X68" i="5"/>
  <c r="U71" i="5"/>
  <c r="D18" i="1"/>
  <c r="V31" i="5"/>
  <c r="C3" i="7"/>
  <c r="D25" i="14" s="1"/>
  <c r="Y26" i="5"/>
  <c r="V29" i="5"/>
  <c r="V28" i="5"/>
  <c r="C20" i="5"/>
  <c r="J21" i="5"/>
  <c r="I51" i="5"/>
  <c r="I53" i="5"/>
  <c r="I52" i="5"/>
  <c r="C6" i="6"/>
  <c r="I55" i="5"/>
  <c r="U59" i="5"/>
  <c r="U57" i="5"/>
  <c r="U56" i="5"/>
  <c r="X54" i="5"/>
  <c r="S28" i="5"/>
  <c r="S29" i="5"/>
  <c r="S31" i="5"/>
  <c r="V14" i="5"/>
  <c r="V15" i="5"/>
  <c r="D20" i="1"/>
  <c r="C10" i="7"/>
  <c r="D32" i="14" s="1"/>
  <c r="V17" i="5"/>
  <c r="Y12" i="5"/>
  <c r="U72" i="5"/>
  <c r="U51" i="5"/>
  <c r="X5" i="5"/>
  <c r="U44" i="5"/>
  <c r="U37" i="5"/>
  <c r="U23" i="5"/>
  <c r="U7" i="5"/>
  <c r="U9" i="5"/>
  <c r="U65" i="5"/>
  <c r="U58" i="5"/>
  <c r="Q75" i="5"/>
  <c r="U16" i="5"/>
  <c r="U10" i="5"/>
  <c r="U30" i="5"/>
  <c r="U8" i="5"/>
  <c r="B47" i="7"/>
  <c r="C42" i="11"/>
  <c r="E37" i="11"/>
  <c r="J30" i="11" s="1"/>
  <c r="D50" i="5"/>
  <c r="H51" i="5" s="1"/>
  <c r="K51" i="5"/>
  <c r="K36" i="5"/>
  <c r="H39" i="5"/>
  <c r="B8" i="6"/>
  <c r="H41" i="5"/>
  <c r="H38" i="5"/>
  <c r="F55" i="5"/>
  <c r="F52" i="5"/>
  <c r="F53" i="5"/>
  <c r="U50" i="5"/>
  <c r="X47" i="5"/>
  <c r="U52" i="5"/>
  <c r="U49" i="5"/>
  <c r="K30" i="5"/>
  <c r="D29" i="5"/>
  <c r="H30" i="5" s="1"/>
  <c r="P75" i="5"/>
  <c r="T51" i="5"/>
  <c r="T16" i="5"/>
  <c r="T23" i="5"/>
  <c r="T8" i="5"/>
  <c r="T37" i="5"/>
  <c r="T44" i="5"/>
  <c r="T9" i="5"/>
  <c r="T7" i="5"/>
  <c r="T72" i="5"/>
  <c r="T65" i="5"/>
  <c r="T30" i="5"/>
  <c r="W5" i="5"/>
  <c r="T10" i="5"/>
  <c r="T58" i="5"/>
  <c r="G38" i="5"/>
  <c r="G39" i="5"/>
  <c r="J36" i="5"/>
  <c r="G41" i="5"/>
  <c r="T66" i="5"/>
  <c r="W61" i="5"/>
  <c r="T63" i="5"/>
  <c r="T64" i="5"/>
  <c r="S36" i="5"/>
  <c r="S35" i="5"/>
  <c r="S42" i="5"/>
  <c r="S43" i="5"/>
  <c r="S34" i="5"/>
  <c r="S38" i="5"/>
  <c r="S45" i="5"/>
  <c r="F25" i="5"/>
  <c r="F23" i="5"/>
  <c r="F22" i="5"/>
  <c r="V63" i="5"/>
  <c r="V66" i="5"/>
  <c r="V64" i="5"/>
  <c r="Y61" i="5"/>
  <c r="B42" i="11"/>
  <c r="C47" i="7"/>
  <c r="D42" i="7" s="1"/>
  <c r="E42" i="7"/>
  <c r="J50" i="7" s="1"/>
  <c r="B43" i="5"/>
  <c r="G15" i="5"/>
  <c r="G16" i="5"/>
  <c r="G18" i="5"/>
  <c r="J13" i="5"/>
  <c r="S71" i="5"/>
  <c r="S73" i="5"/>
  <c r="S70" i="5"/>
  <c r="J44" i="5"/>
  <c r="C43" i="5"/>
  <c r="G44" i="5" s="1"/>
  <c r="L21" i="5"/>
  <c r="H15" i="5"/>
  <c r="H18" i="5"/>
  <c r="K13" i="5"/>
  <c r="H16" i="5"/>
  <c r="V49" i="5"/>
  <c r="V52" i="5"/>
  <c r="Y47" i="5"/>
  <c r="V50" i="5"/>
  <c r="S30" i="5"/>
  <c r="S10" i="5"/>
  <c r="S8" i="5"/>
  <c r="S51" i="5"/>
  <c r="S72" i="5"/>
  <c r="S44" i="5"/>
  <c r="S9" i="5"/>
  <c r="S7" i="5"/>
  <c r="S23" i="5"/>
  <c r="S16" i="5"/>
  <c r="S37" i="5"/>
  <c r="S58" i="5"/>
  <c r="U69" i="5"/>
  <c r="V71" i="5"/>
  <c r="V70" i="5"/>
  <c r="V73" i="5"/>
  <c r="Y68" i="5"/>
  <c r="U66" i="5"/>
  <c r="U64" i="5"/>
  <c r="U63" i="5"/>
  <c r="X61" i="5"/>
  <c r="S48" i="5"/>
  <c r="T36" i="5"/>
  <c r="T42" i="5"/>
  <c r="W40" i="5"/>
  <c r="T38" i="5"/>
  <c r="T35" i="5"/>
  <c r="T34" i="5"/>
  <c r="T43" i="5"/>
  <c r="T45" i="5"/>
  <c r="T17" i="5"/>
  <c r="T14" i="5"/>
  <c r="T15" i="5"/>
  <c r="W12" i="5"/>
  <c r="C50" i="5"/>
  <c r="J51" i="5"/>
  <c r="B29" i="5"/>
  <c r="F30" i="5" s="1"/>
  <c r="B27" i="5"/>
  <c r="F15" i="5"/>
  <c r="F18" i="5"/>
  <c r="F16" i="5"/>
  <c r="T73" i="5"/>
  <c r="T71" i="5"/>
  <c r="W68" i="5"/>
  <c r="T70" i="5"/>
  <c r="S55" i="5"/>
  <c r="S13" i="5"/>
  <c r="F37" i="5"/>
  <c r="C5" i="5"/>
  <c r="G7" i="5" s="1"/>
  <c r="J7" i="5"/>
  <c r="U55" i="5"/>
  <c r="U38" i="5"/>
  <c r="U45" i="5"/>
  <c r="U34" i="5"/>
  <c r="X40" i="5"/>
  <c r="U35" i="5"/>
  <c r="U42" i="5"/>
  <c r="U43" i="5"/>
  <c r="U36" i="5"/>
  <c r="Y19" i="5"/>
  <c r="C20" i="1"/>
  <c r="B10" i="7"/>
  <c r="U14" i="5"/>
  <c r="U15" i="5"/>
  <c r="X12" i="5"/>
  <c r="U17" i="5"/>
  <c r="U6" i="5"/>
  <c r="B46" i="12"/>
  <c r="E41" i="12"/>
  <c r="J51" i="12" s="1"/>
  <c r="C46" i="12"/>
  <c r="V6" i="5"/>
  <c r="E43" i="5"/>
  <c r="L44" i="5"/>
  <c r="J30" i="5"/>
  <c r="C29" i="5"/>
  <c r="G30" i="5" s="1"/>
  <c r="B3" i="7"/>
  <c r="U31" i="5"/>
  <c r="C18" i="1"/>
  <c r="X26" i="5"/>
  <c r="U29" i="5"/>
  <c r="U28" i="5"/>
  <c r="S62" i="5"/>
  <c r="Y54" i="5"/>
  <c r="V59" i="5"/>
  <c r="V56" i="5"/>
  <c r="V57" i="5"/>
  <c r="V41" i="5"/>
  <c r="I37" i="5"/>
  <c r="C8" i="6"/>
  <c r="L36" i="5"/>
  <c r="I38" i="5"/>
  <c r="I39" i="5"/>
  <c r="I41" i="5"/>
  <c r="I21" i="5"/>
  <c r="I23" i="5"/>
  <c r="E27" i="5"/>
  <c r="I25" i="5"/>
  <c r="I22" i="5"/>
  <c r="B5" i="5"/>
  <c r="D43" i="5"/>
  <c r="H44" i="5" s="1"/>
  <c r="K44" i="5"/>
  <c r="U54" i="5" l="1"/>
  <c r="B67" i="5"/>
  <c r="V5" i="5"/>
  <c r="C67" i="5"/>
  <c r="E9" i="7"/>
  <c r="J3" i="7"/>
  <c r="L3" i="7" s="1"/>
  <c r="B18" i="9"/>
  <c r="B20" i="9" s="1"/>
  <c r="C18" i="9"/>
  <c r="C20" i="9" s="1"/>
  <c r="L20" i="5"/>
  <c r="D27" i="5"/>
  <c r="D57" i="5" s="1"/>
  <c r="F8" i="5"/>
  <c r="F9" i="5"/>
  <c r="F10" i="5"/>
  <c r="F11" i="5"/>
  <c r="B5" i="9"/>
  <c r="V19" i="5"/>
  <c r="V68" i="5"/>
  <c r="V47" i="5"/>
  <c r="V12" i="5"/>
  <c r="V61" i="5"/>
  <c r="V54" i="5"/>
  <c r="V40" i="5"/>
  <c r="F37" i="11"/>
  <c r="J32" i="11" s="1"/>
  <c r="F41" i="12"/>
  <c r="J53" i="12" s="1"/>
  <c r="U47" i="5"/>
  <c r="U40" i="5"/>
  <c r="U61" i="5"/>
  <c r="F42" i="7"/>
  <c r="J52" i="7" s="1"/>
  <c r="U68" i="5"/>
  <c r="C4" i="6"/>
  <c r="G52" i="5"/>
  <c r="G53" i="5"/>
  <c r="G55" i="5"/>
  <c r="J50" i="5"/>
  <c r="U19" i="5"/>
  <c r="T33" i="5"/>
  <c r="U33" i="5"/>
  <c r="W75" i="5"/>
  <c r="B22" i="9"/>
  <c r="T47" i="5"/>
  <c r="E8" i="6"/>
  <c r="I44" i="5"/>
  <c r="I48" i="5"/>
  <c r="I46" i="5"/>
  <c r="C5" i="6"/>
  <c r="I45" i="5"/>
  <c r="L43" i="5"/>
  <c r="U12" i="5"/>
  <c r="F34" i="5"/>
  <c r="F32" i="5"/>
  <c r="F31" i="5"/>
  <c r="T12" i="5"/>
  <c r="S68" i="5"/>
  <c r="F39" i="11"/>
  <c r="L32" i="11" s="1"/>
  <c r="F40" i="11"/>
  <c r="M32" i="11" s="1"/>
  <c r="F38" i="11"/>
  <c r="K32" i="11" s="1"/>
  <c r="F41" i="11"/>
  <c r="N32" i="11" s="1"/>
  <c r="T5" i="5"/>
  <c r="K50" i="5"/>
  <c r="H53" i="5"/>
  <c r="B6" i="6"/>
  <c r="E6" i="6" s="1"/>
  <c r="H55" i="5"/>
  <c r="H52" i="5"/>
  <c r="V26" i="5"/>
  <c r="E3" i="7"/>
  <c r="T19" i="5"/>
  <c r="S61" i="5"/>
  <c r="E1" i="5"/>
  <c r="C7" i="6"/>
  <c r="L5" i="5"/>
  <c r="I8" i="5"/>
  <c r="I10" i="5"/>
  <c r="I9" i="5"/>
  <c r="I11" i="5"/>
  <c r="E57" i="5"/>
  <c r="K20" i="5"/>
  <c r="H25" i="5"/>
  <c r="H23" i="5"/>
  <c r="H22" i="5"/>
  <c r="S12" i="5"/>
  <c r="D1" i="5"/>
  <c r="H10" i="5"/>
  <c r="H8" i="5"/>
  <c r="K5" i="5"/>
  <c r="H9" i="5"/>
  <c r="H11" i="5"/>
  <c r="B7" i="6"/>
  <c r="D44" i="12"/>
  <c r="D46" i="12"/>
  <c r="D45" i="12"/>
  <c r="D43" i="12"/>
  <c r="D42" i="12"/>
  <c r="E46" i="12"/>
  <c r="F46" i="12" s="1"/>
  <c r="S33" i="5"/>
  <c r="S19" i="5"/>
  <c r="F48" i="5"/>
  <c r="F45" i="5"/>
  <c r="F46" i="5"/>
  <c r="D40" i="11"/>
  <c r="D38" i="11"/>
  <c r="D39" i="11"/>
  <c r="E42" i="11"/>
  <c r="F42" i="11" s="1"/>
  <c r="D42" i="11"/>
  <c r="D41" i="11"/>
  <c r="G25" i="5"/>
  <c r="J20" i="5"/>
  <c r="G22" i="5"/>
  <c r="G23" i="5"/>
  <c r="B47" i="6"/>
  <c r="B5" i="6"/>
  <c r="K43" i="5"/>
  <c r="H45" i="5"/>
  <c r="H46" i="5"/>
  <c r="H48" i="5"/>
  <c r="U26" i="5"/>
  <c r="G31" i="5"/>
  <c r="J29" i="5"/>
  <c r="G34" i="5"/>
  <c r="G32" i="5"/>
  <c r="G9" i="5"/>
  <c r="G10" i="5"/>
  <c r="G8" i="5"/>
  <c r="J5" i="5"/>
  <c r="G11" i="5"/>
  <c r="T68" i="5"/>
  <c r="G51" i="5"/>
  <c r="T40" i="5"/>
  <c r="C27" i="5"/>
  <c r="C57" i="5" s="1"/>
  <c r="K29" i="5"/>
  <c r="H32" i="5"/>
  <c r="H34" i="5"/>
  <c r="B9" i="6"/>
  <c r="H31" i="5"/>
  <c r="D37" i="11"/>
  <c r="F46" i="7"/>
  <c r="N52" i="7" s="1"/>
  <c r="F43" i="7"/>
  <c r="K52" i="7" s="1"/>
  <c r="F44" i="7"/>
  <c r="L52" i="7" s="1"/>
  <c r="F45" i="7"/>
  <c r="M52" i="7" s="1"/>
  <c r="U5" i="5"/>
  <c r="E10" i="7"/>
  <c r="S26" i="5"/>
  <c r="L50" i="5"/>
  <c r="G21" i="5"/>
  <c r="C5" i="9"/>
  <c r="I30" i="5"/>
  <c r="I31" i="5"/>
  <c r="I34" i="5"/>
  <c r="C9" i="6"/>
  <c r="I32" i="5"/>
  <c r="L29" i="5"/>
  <c r="S47" i="5"/>
  <c r="G54" i="5"/>
  <c r="H24" i="5"/>
  <c r="H47" i="5"/>
  <c r="H33" i="5"/>
  <c r="F17" i="5"/>
  <c r="B57" i="5"/>
  <c r="F29" i="5" s="1"/>
  <c r="G47" i="5"/>
  <c r="F24" i="5"/>
  <c r="F47" i="5"/>
  <c r="F33" i="5"/>
  <c r="F54" i="5"/>
  <c r="G40" i="5"/>
  <c r="H54" i="5"/>
  <c r="H40" i="5"/>
  <c r="G24" i="5"/>
  <c r="H17" i="5"/>
  <c r="G33" i="5"/>
  <c r="F40" i="5"/>
  <c r="G17" i="5"/>
  <c r="I24" i="5"/>
  <c r="I54" i="5"/>
  <c r="I40" i="5"/>
  <c r="I33" i="5"/>
  <c r="I17" i="5"/>
  <c r="I47" i="5"/>
  <c r="F7" i="5"/>
  <c r="D41" i="12"/>
  <c r="F45" i="12"/>
  <c r="N53" i="12" s="1"/>
  <c r="F44" i="12"/>
  <c r="M53" i="12" s="1"/>
  <c r="F43" i="12"/>
  <c r="L53" i="12" s="1"/>
  <c r="F42" i="12"/>
  <c r="K53" i="12" s="1"/>
  <c r="S5" i="5"/>
  <c r="G45" i="5"/>
  <c r="G46" i="5"/>
  <c r="G48" i="5"/>
  <c r="J43" i="5"/>
  <c r="F44" i="5"/>
  <c r="J36" i="7"/>
  <c r="D44" i="7"/>
  <c r="D45" i="7"/>
  <c r="E47" i="7"/>
  <c r="D46" i="7"/>
  <c r="D43" i="7"/>
  <c r="D47" i="7"/>
  <c r="S40" i="5"/>
  <c r="T61" i="5"/>
  <c r="B12" i="7"/>
  <c r="C10" i="1"/>
  <c r="X75" i="5"/>
  <c r="F20" i="1"/>
  <c r="F18" i="1"/>
  <c r="T26" i="5"/>
  <c r="C47" i="6"/>
  <c r="E42" i="6"/>
  <c r="I46" i="6" s="1"/>
  <c r="S78" i="5"/>
  <c r="D19" i="9"/>
  <c r="C12" i="7"/>
  <c r="V33" i="5"/>
  <c r="Y75" i="5"/>
  <c r="D10" i="1"/>
  <c r="E20" i="1" s="1"/>
  <c r="T54" i="5"/>
  <c r="I29" i="5" l="1"/>
  <c r="C63" i="5"/>
  <c r="H5" i="5"/>
  <c r="B63" i="5"/>
  <c r="B4" i="6"/>
  <c r="B10" i="6" s="1"/>
  <c r="F3" i="6" s="1"/>
  <c r="I14" i="6" s="1"/>
  <c r="L27" i="5"/>
  <c r="F47" i="7"/>
  <c r="O52" i="7" s="1"/>
  <c r="O50" i="7"/>
  <c r="H27" i="5"/>
  <c r="F5" i="5"/>
  <c r="V75" i="5"/>
  <c r="E12" i="7"/>
  <c r="E58" i="5"/>
  <c r="C21" i="9" s="1"/>
  <c r="F27" i="5"/>
  <c r="D58" i="5"/>
  <c r="K27" i="5"/>
  <c r="U75" i="5"/>
  <c r="H43" i="5"/>
  <c r="G50" i="5"/>
  <c r="G29" i="5"/>
  <c r="G43" i="5"/>
  <c r="B11" i="7"/>
  <c r="F24" i="1"/>
  <c r="B12" i="10"/>
  <c r="T75" i="5"/>
  <c r="F42" i="6"/>
  <c r="I48" i="6" s="1"/>
  <c r="C11" i="6"/>
  <c r="L57" i="5"/>
  <c r="D18" i="9"/>
  <c r="D2" i="1"/>
  <c r="I50" i="5"/>
  <c r="I36" i="5"/>
  <c r="I13" i="5"/>
  <c r="I20" i="5"/>
  <c r="E18" i="1"/>
  <c r="E24" i="1"/>
  <c r="E19" i="1"/>
  <c r="F10" i="1"/>
  <c r="G10" i="1" s="1"/>
  <c r="C11" i="7"/>
  <c r="D6" i="7" s="1"/>
  <c r="E11" i="1"/>
  <c r="D42" i="6"/>
  <c r="E47" i="6"/>
  <c r="D44" i="6"/>
  <c r="D46" i="6"/>
  <c r="D43" i="6"/>
  <c r="D47" i="6"/>
  <c r="D45" i="6"/>
  <c r="J27" i="5"/>
  <c r="G27" i="5"/>
  <c r="F46" i="6"/>
  <c r="M48" i="6" s="1"/>
  <c r="F44" i="6"/>
  <c r="K48" i="6" s="1"/>
  <c r="F43" i="6"/>
  <c r="J48" i="6" s="1"/>
  <c r="F45" i="6"/>
  <c r="L48" i="6" s="1"/>
  <c r="F43" i="5"/>
  <c r="E5" i="6"/>
  <c r="I27" i="5"/>
  <c r="G5" i="5"/>
  <c r="J57" i="5"/>
  <c r="G13" i="5"/>
  <c r="G36" i="5"/>
  <c r="G20" i="5"/>
  <c r="C2" i="1"/>
  <c r="C21" i="1" s="1"/>
  <c r="B11" i="6"/>
  <c r="K57" i="5"/>
  <c r="H13" i="5"/>
  <c r="H36" i="5"/>
  <c r="H20" i="5"/>
  <c r="E7" i="6"/>
  <c r="S75" i="5"/>
  <c r="I43" i="5"/>
  <c r="F20" i="5"/>
  <c r="F13" i="5"/>
  <c r="F36" i="5"/>
  <c r="F50" i="5"/>
  <c r="E9" i="6"/>
  <c r="H29" i="5"/>
  <c r="B58" i="5"/>
  <c r="I5" i="5"/>
  <c r="H50" i="5"/>
  <c r="C58" i="5"/>
  <c r="C10" i="6"/>
  <c r="D7" i="6" s="1"/>
  <c r="C12" i="10"/>
  <c r="E4" i="6" l="1"/>
  <c r="F6" i="6"/>
  <c r="I17" i="6" s="1"/>
  <c r="F9" i="6"/>
  <c r="I20" i="6" s="1"/>
  <c r="F12" i="7"/>
  <c r="D4" i="6"/>
  <c r="L58" i="5"/>
  <c r="B21" i="9"/>
  <c r="F57" i="5"/>
  <c r="F8" i="6"/>
  <c r="I19" i="6" s="1"/>
  <c r="F7" i="6"/>
  <c r="I18" i="6" s="1"/>
  <c r="F4" i="6"/>
  <c r="I15" i="6" s="1"/>
  <c r="K58" i="5"/>
  <c r="C22" i="1"/>
  <c r="F5" i="6"/>
  <c r="I16" i="6" s="1"/>
  <c r="G57" i="5"/>
  <c r="D5" i="6"/>
  <c r="I57" i="5"/>
  <c r="D8" i="7"/>
  <c r="D4" i="7"/>
  <c r="J35" i="7"/>
  <c r="K35" i="7" s="1"/>
  <c r="D5" i="7"/>
  <c r="C7" i="7"/>
  <c r="E11" i="7"/>
  <c r="F11" i="7" s="1"/>
  <c r="D10" i="7"/>
  <c r="D3" i="7"/>
  <c r="F2" i="1"/>
  <c r="G2" i="1" s="1"/>
  <c r="E3" i="1"/>
  <c r="J58" i="5"/>
  <c r="F47" i="6"/>
  <c r="N46" i="6"/>
  <c r="N48" i="6"/>
  <c r="D3" i="6"/>
  <c r="E10" i="6"/>
  <c r="F10" i="6" s="1"/>
  <c r="D8" i="6"/>
  <c r="D6" i="6"/>
  <c r="H57" i="5"/>
  <c r="D9" i="6"/>
  <c r="D21" i="1"/>
  <c r="B7" i="7"/>
  <c r="F4" i="7"/>
  <c r="I17" i="7" s="1"/>
  <c r="F8" i="7"/>
  <c r="I21" i="7" s="1"/>
  <c r="F5" i="7"/>
  <c r="I18" i="7" s="1"/>
  <c r="F6" i="7"/>
  <c r="I19" i="7" s="1"/>
  <c r="F9" i="7"/>
  <c r="I22" i="7" s="1"/>
  <c r="F10" i="7"/>
  <c r="I23" i="7" s="1"/>
  <c r="F3" i="7"/>
  <c r="I16" i="7" s="1"/>
  <c r="D7" i="7" l="1"/>
  <c r="D29" i="14"/>
  <c r="C25" i="14" s="1"/>
  <c r="I21" i="6"/>
  <c r="D10" i="6"/>
  <c r="E7" i="7"/>
  <c r="F7" i="7" s="1"/>
  <c r="I20" i="7" s="1"/>
  <c r="I24" i="7" s="1"/>
  <c r="F21" i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GUERINVA</author>
  </authors>
  <commentList>
    <comment ref="N6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GUERINVA:</t>
        </r>
        <r>
          <rPr>
            <sz val="8"/>
            <color indexed="81"/>
            <rFont val="Tahoma"/>
            <family val="2"/>
          </rPr>
          <t xml:space="preserve">
Divers produits techniques + reprises sur provisions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D3" authorId="0" shapeId="0" xr:uid="{8C087661-6DB3-40CD-B7A1-12147DB0E726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13 784,7 pour la note</t>
        </r>
      </text>
    </comment>
    <comment ref="D4" authorId="0" shapeId="0" xr:uid="{AE43FEAD-749F-4C47-A44C-AD5620718E1B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6 698,6 pour la note</t>
        </r>
      </text>
    </comment>
    <comment ref="G6" authorId="0" shapeId="0" xr:uid="{4388C3A6-D61E-4456-8DEF-878ABBE402D8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+0,6 pour la note</t>
        </r>
      </text>
    </comment>
    <comment ref="G13" authorId="0" shapeId="0" xr:uid="{E294FE4A-C063-4E7C-9419-DE95B7ABFA89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+1 0 point pour la note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E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Newten Dumanoir:
TCDC_REALISATIONS_EFFECTIFS_2018_NSA</t>
        </r>
      </text>
    </comment>
    <comment ref="E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TCDC_REALISATIONS_EFFECTIFS_2018_NSA</t>
        </r>
      </text>
    </comment>
    <comment ref="E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TCDC_REALISATIONS_EFFECTIFS_2018_RCO</t>
        </r>
      </text>
    </comment>
    <comment ref="E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TCDC_REALISATIONS_EFFECTIFS_2018_NSA</t>
        </r>
      </text>
    </comment>
    <comment ref="E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Newten Dumanoir:
Maquette_Réalisations2018_FAMILLE NSA_pour note</t>
        </r>
      </text>
    </comment>
    <comment ref="E1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Maquette_Réalisations2018_FAMILLE NSA_pour note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D3" authorId="0" shapeId="0" xr:uid="{B78C9681-1586-479C-8D87-D197D7E24603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85,7% pour la synthèse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C3" authorId="0" shapeId="0" xr:uid="{5923DECF-284D-449E-8FA4-25DE1FF8AD66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5 080,3 pour la note</t>
        </r>
      </text>
    </comment>
    <comment ref="D3" authorId="0" shapeId="0" xr:uid="{99399B44-0C7C-4A69-ADEA-C95459AADBD8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31,4% pour la synthèse</t>
        </r>
      </text>
    </comment>
    <comment ref="F4" authorId="0" shapeId="0" xr:uid="{AF554B7C-C2AE-40AE-9CA2-BCAF8AB4AFB7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-3,2 points pour la synthèse</t>
        </r>
      </text>
    </comment>
    <comment ref="I17" authorId="0" shapeId="0" xr:uid="{B0AA1E6D-08BE-437D-9850-30C591405BCA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-3,2 points pour la synthèse</t>
        </r>
      </text>
    </comment>
    <comment ref="F42" authorId="0" shapeId="0" xr:uid="{0F9395BE-CC15-4356-A01E-0D61CE0579D0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-2,5 pour la synthèse</t>
        </r>
      </text>
    </comment>
    <comment ref="J52" authorId="0" shapeId="0" xr:uid="{C6D63F4C-FC16-4216-A5D3-74C1DD70A35C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-1,9 pr la note</t>
        </r>
      </text>
    </comment>
  </commentList>
</comments>
</file>

<file path=xl/sharedStrings.xml><?xml version="1.0" encoding="utf-8"?>
<sst xmlns="http://schemas.openxmlformats.org/spreadsheetml/2006/main" count="444" uniqueCount="262">
  <si>
    <t>CHARGES</t>
  </si>
  <si>
    <t>dont prestations légales</t>
  </si>
  <si>
    <t>PRODUITS</t>
  </si>
  <si>
    <t>dont ITAF</t>
  </si>
  <si>
    <t>RESULTAT NET</t>
  </si>
  <si>
    <r>
      <t>ü</t>
    </r>
    <r>
      <rPr>
        <sz val="9"/>
        <rFont val="Arial"/>
        <family val="2"/>
      </rPr>
      <t xml:space="preserve"> accident du travail et maladie professionnelle</t>
    </r>
  </si>
  <si>
    <r>
      <t>ü</t>
    </r>
    <r>
      <rPr>
        <sz val="9"/>
        <rFont val="Arial"/>
        <family val="2"/>
      </rPr>
      <t xml:space="preserve"> famille</t>
    </r>
  </si>
  <si>
    <r>
      <t>ü</t>
    </r>
    <r>
      <rPr>
        <sz val="9"/>
        <rFont val="Arial"/>
        <family val="2"/>
      </rPr>
      <t xml:space="preserve"> retraite</t>
    </r>
  </si>
  <si>
    <t>Contribution à la croissance
 (en points)</t>
  </si>
  <si>
    <t>-</t>
  </si>
  <si>
    <t>TOTAL COMPENSATION MAL-MAT-INV-DEC</t>
  </si>
  <si>
    <t>TOTAL COMPENSATION AT-MP</t>
  </si>
  <si>
    <t>TOTAL COMPENSATION FAMILLE</t>
  </si>
  <si>
    <t>TOTAL COMPENSATION RETRAITE</t>
  </si>
  <si>
    <t>dont cotisations PEC Etat</t>
  </si>
  <si>
    <r>
      <t xml:space="preserve">Régime des NSA - Toutes branches
</t>
    </r>
    <r>
      <rPr>
        <b/>
        <i/>
        <sz val="9"/>
        <rFont val="Arial"/>
        <family val="2"/>
      </rPr>
      <t>Montants en millions d'euros</t>
    </r>
  </si>
  <si>
    <r>
      <t>ü</t>
    </r>
    <r>
      <rPr>
        <sz val="9"/>
        <rFont val="Arial"/>
        <family val="2"/>
      </rPr>
      <t xml:space="preserve"> retraite complémentaire obligatoire</t>
    </r>
  </si>
  <si>
    <t>TOTAL COMPENSATION RCO</t>
  </si>
  <si>
    <t>Prestations légales</t>
  </si>
  <si>
    <t>Autres charges</t>
  </si>
  <si>
    <t>Cotisations sociales</t>
  </si>
  <si>
    <t>Compensation démographique</t>
  </si>
  <si>
    <t>ITAF</t>
  </si>
  <si>
    <t>Total CHARGES</t>
  </si>
  <si>
    <t>CSG</t>
  </si>
  <si>
    <t>%</t>
  </si>
  <si>
    <t>Total PRODUITS</t>
  </si>
  <si>
    <t>Réalisations</t>
  </si>
  <si>
    <t>Poids</t>
  </si>
  <si>
    <t>Evolutions</t>
  </si>
  <si>
    <t>PRESTATIONS SOCIALES (yc  prest extra,...)</t>
  </si>
  <si>
    <t>Prestations sociales</t>
  </si>
  <si>
    <t>Cotisations "Famille"</t>
  </si>
  <si>
    <t>Prestations sociales "AT-MP"</t>
  </si>
  <si>
    <t>Cotisations "AT"</t>
  </si>
  <si>
    <t>Prestations sociales "Famille"</t>
  </si>
  <si>
    <t>Cotisations RCO</t>
  </si>
  <si>
    <t>RCO</t>
  </si>
  <si>
    <t>Cotisations "Vieillesse-Veuvage"</t>
  </si>
  <si>
    <t>Prestations sociales "Vieillesse-Veuvage"</t>
  </si>
  <si>
    <t>COTISATIONS PRISES EN CHARGE PAR L'ETAT</t>
  </si>
  <si>
    <t>CHARGES TECHNIQUES</t>
  </si>
  <si>
    <t>CHARGES TECHNIQUES DIVERSES</t>
  </si>
  <si>
    <t>TOTAL CHARGES TECHNIQUES + DIVERSES</t>
  </si>
  <si>
    <t>CHARGES FINANCIERES</t>
  </si>
  <si>
    <t>CHARGES EXCEPTIONNELLES</t>
  </si>
  <si>
    <t>PRODUITS FINANCIERS</t>
  </si>
  <si>
    <t>DOTATIONS AUX PROVISIONS</t>
  </si>
  <si>
    <t>PRODUITS DE GESTION COURANTE</t>
  </si>
  <si>
    <t>CHARGES DE GESTION COURANTE</t>
  </si>
  <si>
    <t>PRODUITS EXEPTIONNELS</t>
  </si>
  <si>
    <t>TOTAL DES CHARGES</t>
  </si>
  <si>
    <t>SOLDE</t>
  </si>
  <si>
    <t>AUTRES PRODUITS</t>
  </si>
  <si>
    <t>TOTAL DES PRODUITS</t>
  </si>
  <si>
    <t>Evol</t>
  </si>
  <si>
    <t>Contri croiss</t>
  </si>
  <si>
    <t>Prestations extra-légales</t>
  </si>
  <si>
    <t>Dotations aux provisions</t>
  </si>
  <si>
    <t>Gestion</t>
  </si>
  <si>
    <t>Charges financières</t>
  </si>
  <si>
    <t>Contribution Sociale Généralisée</t>
  </si>
  <si>
    <t>ATEXA</t>
  </si>
  <si>
    <t>FAMILLE</t>
  </si>
  <si>
    <t>RETRAITE</t>
  </si>
  <si>
    <t>dont COMPENSATION DEMO</t>
  </si>
  <si>
    <t>TOTAL PEC PREST MAL-MAT-INV-DEC</t>
  </si>
  <si>
    <t>TOTAL PEC PREST AT-MP</t>
  </si>
  <si>
    <t>TOTAL PEC PREST FAMILLE</t>
  </si>
  <si>
    <t>TOTAL PEC PREST RETRAITE</t>
  </si>
  <si>
    <t>TOTAL PEC PREST RCO</t>
  </si>
  <si>
    <t>TOTAL PEC COT MAL-MAT-INV-DEC</t>
  </si>
  <si>
    <t>TOTAL PEC COT AT-MP</t>
  </si>
  <si>
    <t>TOTAL PEC COT FAMILLE</t>
  </si>
  <si>
    <t>TOTAL PEC COT RETRAITE</t>
  </si>
  <si>
    <t>TOTAL CONTRIB RG MAL-MAT-INV-DEC</t>
  </si>
  <si>
    <t>TOTAL CONTRIB RG AT-MP</t>
  </si>
  <si>
    <t>TOTAL CONTRIB RG FAMILLE</t>
  </si>
  <si>
    <t>TOTAL CONTRIB RG RETRAITE</t>
  </si>
  <si>
    <t>TOTAL PEC COT RCO</t>
  </si>
  <si>
    <t>TOTAL CONTRIB RG RCO</t>
  </si>
  <si>
    <t>TOTAL REPRISE PROV AT-MP</t>
  </si>
  <si>
    <t>TOTAL REPRISE PROV FAMILLE</t>
  </si>
  <si>
    <t>TOTAL REPRISE PROV RETRAITE</t>
  </si>
  <si>
    <t>TOTAL REPRISE PROV RCO</t>
  </si>
  <si>
    <t>CHARGES MALADIE</t>
  </si>
  <si>
    <t>RECETTES MALADIE</t>
  </si>
  <si>
    <t>CHARGES RETRAITE</t>
  </si>
  <si>
    <t>RECETTES RETRAITE</t>
  </si>
  <si>
    <t>RESULTAT RETRAITE</t>
  </si>
  <si>
    <t>CHARGES ATMP</t>
  </si>
  <si>
    <t>RECETTES ATMP</t>
  </si>
  <si>
    <t>RESULTAT ATMP</t>
  </si>
  <si>
    <t>CHARGES FAMILLE</t>
  </si>
  <si>
    <t>RECETTES FAMILLE</t>
  </si>
  <si>
    <t>RESULTAT FAMILLE</t>
  </si>
  <si>
    <t>CHARGES TOTALES</t>
  </si>
  <si>
    <t>RECETTES TOTALES</t>
  </si>
  <si>
    <t>RESULTAT NET TOTAL</t>
  </si>
  <si>
    <t>CHARGES RCO</t>
  </si>
  <si>
    <t>RECETTES RCO</t>
  </si>
  <si>
    <t>RESULTAT RCO</t>
  </si>
  <si>
    <r>
      <t>ü</t>
    </r>
    <r>
      <rPr>
        <sz val="9"/>
        <rFont val="Arial"/>
        <family val="2"/>
      </rPr>
      <t xml:space="preserve"> IJ AMEXA</t>
    </r>
  </si>
  <si>
    <t>Total (hors RCO et IJ AMEXA)</t>
  </si>
  <si>
    <t>"Maladie-Maternité-Invalidité" + IJ AMEXA</t>
  </si>
  <si>
    <t>Cotisations "Maladie" + IJ AMEXA</t>
  </si>
  <si>
    <t>TOTAL CHARGES</t>
  </si>
  <si>
    <t>Verif fichier TCDC sous P - PREVISIONS</t>
  </si>
  <si>
    <t>TOTAL PRODUITS</t>
  </si>
  <si>
    <t>TOTAL REPRISE PROV MAL-MAT-INV-DEC+IJ AMEXA</t>
  </si>
  <si>
    <t>Effectif en moyenne annuelle</t>
  </si>
  <si>
    <t>Bénéficiaires - maladie (hors DOM)</t>
  </si>
  <si>
    <t>Bénéficiaires de pensions vieillesse
(métropole + DOM)</t>
  </si>
  <si>
    <t>Bénéficiaires RCO (métropole + DOM)</t>
  </si>
  <si>
    <t>Bénéficiaires de pensions d'invalidité (hors DOM)</t>
  </si>
  <si>
    <t>Familles bénéficiaires de prestations familiales dans l'année (hors DOM)</t>
  </si>
  <si>
    <t>EVOLUTION DE LA POPULATION DE BENEFICIAIRES ET DE COTISANTS DU REGIME DES NON SALARIES AGRICOLES</t>
  </si>
  <si>
    <t>Structure 2016</t>
  </si>
  <si>
    <t>Prestations NSA</t>
  </si>
  <si>
    <t>Prise en charge de prestations*</t>
  </si>
  <si>
    <t xml:space="preserve">Transferts d’équilibrage des soldes venant du Régime Général (RG)
(en millions d’euros)
</t>
  </si>
  <si>
    <t>Maladie</t>
  </si>
  <si>
    <t>Famille</t>
  </si>
  <si>
    <t xml:space="preserve">TOTAL INTEGRATION RG </t>
  </si>
  <si>
    <t>Cotisants NSA au 1er janvier (hors DOM)</t>
  </si>
  <si>
    <t>Autres produits**</t>
  </si>
  <si>
    <t>Contributions Régime général</t>
  </si>
  <si>
    <t>RESULTAT MALADIE(avec IJ AMEXA)</t>
  </si>
  <si>
    <t>Cotisations prises en charge par l'Etat</t>
  </si>
  <si>
    <t>Intégration financière RG</t>
  </si>
  <si>
    <t>MALADIE (avec IJ AMEXA)</t>
  </si>
  <si>
    <t>PRODUITS (avec transferts d'équilibre)</t>
  </si>
  <si>
    <t>MALADIE</t>
  </si>
  <si>
    <t>Prise en charge régime des étudiants</t>
  </si>
  <si>
    <t>Prise en charge de cotisations des PAM</t>
  </si>
  <si>
    <t>Contribution versées à la CNSA</t>
  </si>
  <si>
    <t>Contribution AT/MP au titre des départs en retraite anticipée</t>
  </si>
  <si>
    <t>Participation au financement des fonds et organismes (FMESPP, EPRUS, ONIAM, FCATA,…)</t>
  </si>
  <si>
    <t>Compensation généralisée vieillesse (régularisation n-1)</t>
  </si>
  <si>
    <t>Prise en charge de prestations par le FSV</t>
  </si>
  <si>
    <t>TOTAL</t>
  </si>
  <si>
    <t>Charges techniques diverses (pertes sur créances irrécouvrables et transferts divers…)</t>
  </si>
  <si>
    <t>Evolution entre 2015 et 2016</t>
  </si>
  <si>
    <t>--</t>
  </si>
  <si>
    <t>++</t>
  </si>
  <si>
    <r>
      <t xml:space="preserve">Charges techniques NSA (y compris RCO et IJ Amexa)
</t>
    </r>
    <r>
      <rPr>
        <i/>
        <sz val="10"/>
        <color theme="0"/>
        <rFont val="Arial"/>
        <family val="2"/>
      </rPr>
      <t>(en millions d'euros)</t>
    </r>
  </si>
  <si>
    <t>CONTRIBUTION RG</t>
  </si>
  <si>
    <t>AUTRES TRANSFERTS ENTRE ORGANISMES (dont CDV)</t>
  </si>
  <si>
    <t>VERIF avec fichiers TCDC DSEF</t>
  </si>
  <si>
    <t>Contributions du Régime général</t>
  </si>
  <si>
    <t>Total DEPENSES</t>
  </si>
  <si>
    <t>Atexa</t>
  </si>
  <si>
    <t>MALADIE (avec IJ Amexa)</t>
  </si>
  <si>
    <t>Total RECETTES</t>
  </si>
  <si>
    <t>Contribution sociale généralisée</t>
  </si>
  <si>
    <t>2019/2018</t>
  </si>
  <si>
    <t>Dont chefs d'exploitation</t>
  </si>
  <si>
    <t>Dont collaborateurs d'exploitation</t>
  </si>
  <si>
    <t>Dont aides familiaux</t>
  </si>
  <si>
    <r>
      <t>ü</t>
    </r>
    <r>
      <rPr>
        <sz val="9"/>
        <rFont val="Arial"/>
        <family val="2"/>
      </rPr>
      <t xml:space="preserve"> maladie et invalidité</t>
    </r>
  </si>
  <si>
    <t>2020/2019</t>
  </si>
  <si>
    <t xml:space="preserve">                                                                       </t>
  </si>
  <si>
    <t>2021/2020</t>
  </si>
  <si>
    <t xml:space="preserve"> </t>
  </si>
  <si>
    <t>Evolution en 2021
(en %)</t>
  </si>
  <si>
    <t>Contribution à l'évolution en 2021
(en points)</t>
  </si>
  <si>
    <t>COMPENS DEMO</t>
  </si>
  <si>
    <t>2022/2021</t>
  </si>
  <si>
    <t>Evolution en 2022
(en %)</t>
  </si>
  <si>
    <t>Contribution à l'évolution en 2022</t>
  </si>
  <si>
    <r>
      <t xml:space="preserve">Bénéficiaires </t>
    </r>
    <r>
      <rPr>
        <sz val="10"/>
        <color rgb="FFFF0000"/>
        <rFont val="Arial"/>
        <family val="2"/>
      </rPr>
      <t>RCO</t>
    </r>
    <r>
      <rPr>
        <sz val="10"/>
        <rFont val="Arial"/>
        <family val="2"/>
      </rPr>
      <t xml:space="preserve"> (métropole + DOM)</t>
    </r>
  </si>
  <si>
    <t xml:space="preserve">                                  </t>
  </si>
  <si>
    <t>2023/2022</t>
  </si>
  <si>
    <r>
      <t>ü</t>
    </r>
    <r>
      <rPr>
        <sz val="9"/>
        <color theme="0"/>
        <rFont val="Arial"/>
        <family val="2"/>
      </rPr>
      <t xml:space="preserve"> retraite</t>
    </r>
  </si>
  <si>
    <r>
      <t>ü</t>
    </r>
    <r>
      <rPr>
        <sz val="9"/>
        <color theme="0"/>
        <rFont val="Arial"/>
        <family val="2"/>
      </rPr>
      <t xml:space="preserve"> maladie-maternité-invalidité</t>
    </r>
  </si>
  <si>
    <r>
      <t>ü</t>
    </r>
    <r>
      <rPr>
        <sz val="9"/>
        <color theme="0"/>
        <rFont val="Arial"/>
        <family val="2"/>
      </rPr>
      <t xml:space="preserve"> retraite complémentaire obligatoire</t>
    </r>
  </si>
  <si>
    <r>
      <t>ü</t>
    </r>
    <r>
      <rPr>
        <sz val="9"/>
        <color theme="0"/>
        <rFont val="Arial"/>
        <family val="2"/>
      </rPr>
      <t xml:space="preserve"> famille</t>
    </r>
  </si>
  <si>
    <r>
      <t>ü</t>
    </r>
    <r>
      <rPr>
        <sz val="9"/>
        <color theme="0"/>
        <rFont val="Arial"/>
        <family val="2"/>
      </rPr>
      <t xml:space="preserve"> accident du travail et maladie professionnelle</t>
    </r>
  </si>
  <si>
    <r>
      <t>ü</t>
    </r>
    <r>
      <rPr>
        <sz val="9"/>
        <color theme="0"/>
        <rFont val="Arial"/>
        <family val="2"/>
      </rPr>
      <t xml:space="preserve"> IJ AMEXA</t>
    </r>
  </si>
  <si>
    <t>Attention aux étiquette de données</t>
  </si>
  <si>
    <t>2024/2023</t>
  </si>
  <si>
    <t>Itaf (+0,5%)</t>
  </si>
  <si>
    <t>Contributions du Régime général (-12,7%)</t>
  </si>
  <si>
    <t>Compensation démographique (+1,9%)</t>
  </si>
  <si>
    <t>Autres produits (+2,0%)</t>
  </si>
  <si>
    <t>Prise en charge de prestations (+7,6%)</t>
  </si>
  <si>
    <t>Contribution Sociale Généralisée (+4,9%)</t>
  </si>
  <si>
    <t>Cotisations prises en charge par l'Etat (+0,8%)</t>
  </si>
  <si>
    <t>Onglet</t>
  </si>
  <si>
    <t>TABLEAUX</t>
  </si>
  <si>
    <t>Tableau 1</t>
  </si>
  <si>
    <t>Effectifs</t>
  </si>
  <si>
    <t>Tableau 2</t>
  </si>
  <si>
    <t>%charges</t>
  </si>
  <si>
    <t>Tableau 3</t>
  </si>
  <si>
    <t>Tableau 4</t>
  </si>
  <si>
    <t>Tableau 5</t>
  </si>
  <si>
    <t>%produits</t>
  </si>
  <si>
    <t>Tableau 6</t>
  </si>
  <si>
    <t>Tableau 7</t>
  </si>
  <si>
    <t>Tableau 8</t>
  </si>
  <si>
    <t>Résultat net</t>
  </si>
  <si>
    <t>Tableau 9</t>
  </si>
  <si>
    <t>GRAPHIQUES</t>
  </si>
  <si>
    <t>Grapgique 1</t>
  </si>
  <si>
    <t>Grapgique 2</t>
  </si>
  <si>
    <t>Grapgique 3</t>
  </si>
  <si>
    <t>Grapgique 4</t>
  </si>
  <si>
    <t>Grapgique 5</t>
  </si>
  <si>
    <t>Grapgique 6</t>
  </si>
  <si>
    <t>Préface</t>
  </si>
  <si>
    <t>TABLEAU 4</t>
  </si>
  <si>
    <t>TABLEAU 5</t>
  </si>
  <si>
    <t>TABLEAU 7</t>
  </si>
  <si>
    <t>GRAPHIQUE 3</t>
  </si>
  <si>
    <t>GRAPHIQUE 6</t>
  </si>
  <si>
    <t>TABLEAU 1</t>
  </si>
  <si>
    <t>TABLEAU 3</t>
  </si>
  <si>
    <t>GRAPHIQUE 2</t>
  </si>
  <si>
    <t>GRAPHIQUE 1</t>
  </si>
  <si>
    <t>TABLEAU 2</t>
  </si>
  <si>
    <t>TABLEAU 6</t>
  </si>
  <si>
    <t>GRAPHIQUE 5</t>
  </si>
  <si>
    <t>GRAPHIQUE 4</t>
  </si>
  <si>
    <t>TABLEAU 9</t>
  </si>
  <si>
    <t>Régime desN SA Index</t>
  </si>
  <si>
    <t>NSA1</t>
  </si>
  <si>
    <t>Cotisations employeurs</t>
  </si>
  <si>
    <t>Financemt pro 2024</t>
  </si>
  <si>
    <t>Cotisations employeurs (+3,7%)</t>
  </si>
  <si>
    <t>dont cotisations employeurs</t>
  </si>
  <si>
    <t>COTISATIONS EMPLOYEURS (techniques + gestion)</t>
  </si>
  <si>
    <t>Charges techniques</t>
  </si>
  <si>
    <t>Autres produits</t>
  </si>
  <si>
    <t>Prise en charge de prestations</t>
  </si>
  <si>
    <t>Evolution 2025/2024</t>
  </si>
  <si>
    <t>Financemt pro 2025</t>
  </si>
  <si>
    <t>Evolution en 2025
(en %)</t>
  </si>
  <si>
    <t>Contribution à l'évolution en 2025
(en points)</t>
  </si>
  <si>
    <t>2025/2024</t>
  </si>
  <si>
    <t>POPULATION DE BENEFICIAIRES ET DE COTISANTS DU REGIME DES NON SALARIES AGRICOLES DE 2018 A 2025</t>
  </si>
  <si>
    <t>Structure 2025</t>
  </si>
  <si>
    <t>Prestations légales (-2,2%)</t>
  </si>
  <si>
    <t>Charges techniques (+0,8%)</t>
  </si>
  <si>
    <t>Dotations aux provisions (+0,3%)</t>
  </si>
  <si>
    <t>Gestion (+3,3%)</t>
  </si>
  <si>
    <t>Prestations extra-légales (-13,9%)</t>
  </si>
  <si>
    <t>Autres charges (-2,7%)</t>
  </si>
  <si>
    <t>Charges financières (-12,1%)</t>
  </si>
  <si>
    <r>
      <rPr>
        <sz val="10"/>
        <color rgb="FFFF0000"/>
        <rFont val="Arial"/>
        <family val="2"/>
      </rPr>
      <t>Familles</t>
    </r>
    <r>
      <rPr>
        <sz val="10"/>
        <rFont val="Arial"/>
        <family val="2"/>
      </rPr>
      <t xml:space="preserve"> bénéficiaires de prestations familiales dans l'année (hors DOM)</t>
    </r>
  </si>
  <si>
    <t>Régime des non-salariés agricoles</t>
  </si>
  <si>
    <r>
      <t>Directrice de la publication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: Nadia JOUBERT</t>
    </r>
  </si>
  <si>
    <t>joubert.nadia@ccmsa.msa.fr</t>
  </si>
  <si>
    <t>Département Synthèse et Valorisation</t>
  </si>
  <si>
    <t>Responsable : David FOUCAUD</t>
  </si>
  <si>
    <t>foucaud.david@ccmsa.msa.fr</t>
  </si>
  <si>
    <t>Auteure : Newten DUMANOIR</t>
  </si>
  <si>
    <t>dumanoir.newten@ccmsa.msa.fr</t>
  </si>
  <si>
    <t>Juillet 2026</t>
  </si>
  <si>
    <t>Bilan démographique et financier en 2025</t>
  </si>
  <si>
    <t>Direction des Statistiques et de la Science des Données (DSSD)</t>
  </si>
  <si>
    <t>Service Analyse du Financement et prévisions Financement et gestion du risque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</si>
</sst>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0.0"/>
    <numFmt numFmtId="166" formatCode="#,##0.0"/>
    <numFmt numFmtId="167" formatCode="0.0%"/>
    <numFmt numFmtId="168" formatCode="#,##0.0\ &quot;€&quot;"/>
    <numFmt numFmtId="169" formatCode="\+0.0%;\-0.0%;General"/>
    <numFmt numFmtId="170" formatCode="\+0.0;\-0.0;General"/>
    <numFmt numFmtId="171" formatCode="\+0.0;\-0.0"/>
    <numFmt numFmtId="172" formatCode="\+0.0%;\-0.0%"/>
    <numFmt numFmtId="173" formatCode="0.0_ ;\-0.0\ "/>
    <numFmt numFmtId="174" formatCode="_-* #,##0.0\ _€_-;\-* #,##0.0\ _€_-;_-* &quot;-&quot;??\ _€_-;_-@_-"/>
  </numFmts>
  <fonts count="8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8"/>
      <name val="Arial"/>
      <family val="2"/>
    </font>
    <font>
      <b/>
      <i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i/>
      <sz val="8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i/>
      <sz val="8"/>
      <color indexed="10"/>
      <name val="Arial"/>
      <family val="2"/>
    </font>
    <font>
      <i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48"/>
      <name val="Arial"/>
      <family val="2"/>
    </font>
    <font>
      <sz val="10"/>
      <color indexed="23"/>
      <name val="Arial"/>
      <family val="2"/>
    </font>
    <font>
      <sz val="10"/>
      <color indexed="54"/>
      <name val="Arial"/>
      <family val="2"/>
    </font>
    <font>
      <sz val="10"/>
      <color theme="6" tint="-0.499984740745262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i/>
      <sz val="8"/>
      <color rgb="FFD60093"/>
      <name val="Arial"/>
      <family val="2"/>
    </font>
    <font>
      <i/>
      <sz val="8"/>
      <color rgb="FF00B050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i/>
      <sz val="10"/>
      <name val="Arial"/>
      <family val="2"/>
    </font>
    <font>
      <sz val="8"/>
      <color theme="4" tint="-0.249977111117893"/>
      <name val="Arial"/>
      <family val="2"/>
    </font>
    <font>
      <b/>
      <sz val="7"/>
      <color theme="4" tint="-0.249977111117893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FF00"/>
      <name val="Arial"/>
      <family val="2"/>
    </font>
    <font>
      <sz val="10"/>
      <color rgb="FFFF0000"/>
      <name val="Arial"/>
      <family val="2"/>
    </font>
    <font>
      <b/>
      <sz val="9"/>
      <color rgb="FF0070C0"/>
      <name val="Arial"/>
      <family val="2"/>
    </font>
    <font>
      <sz val="9"/>
      <color theme="0"/>
      <name val="Arial"/>
      <family val="2"/>
    </font>
    <font>
      <sz val="9"/>
      <color theme="0"/>
      <name val="Wingdings"/>
      <charset val="2"/>
    </font>
    <font>
      <b/>
      <sz val="9"/>
      <color theme="0"/>
      <name val="Arial"/>
      <family val="2"/>
    </font>
    <font>
      <b/>
      <u/>
      <sz val="10"/>
      <color rgb="FFFF0000"/>
      <name val="Arial"/>
      <family val="2"/>
    </font>
    <font>
      <b/>
      <u/>
      <sz val="10"/>
      <color rgb="FF00B050"/>
      <name val="Arial"/>
      <family val="2"/>
    </font>
    <font>
      <b/>
      <u/>
      <sz val="10"/>
      <color theme="6" tint="-0.249977111117893"/>
      <name val="Arial"/>
      <family val="2"/>
    </font>
    <font>
      <i/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sz val="9"/>
      <color theme="3"/>
      <name val="Arial"/>
      <family val="2"/>
    </font>
    <font>
      <sz val="9"/>
      <color rgb="FF002060"/>
      <name val="Arial"/>
      <family val="2"/>
    </font>
    <font>
      <b/>
      <sz val="9"/>
      <color theme="3"/>
      <name val="Arial"/>
      <family val="2"/>
    </font>
    <font>
      <u/>
      <sz val="10"/>
      <color theme="10"/>
      <name val="Arial"/>
    </font>
    <font>
      <b/>
      <sz val="12"/>
      <color rgb="FF0070C0"/>
      <name val="Arial"/>
      <family val="2"/>
    </font>
    <font>
      <sz val="10"/>
      <color rgb="FF000000"/>
      <name val="Arial"/>
      <family val="2"/>
    </font>
    <font>
      <b/>
      <sz val="18"/>
      <color theme="3"/>
      <name val="Calibri"/>
      <family val="2"/>
    </font>
    <font>
      <b/>
      <sz val="16"/>
      <color rgb="FF0070C0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81" fillId="0" borderId="0" applyNumberFormat="0" applyFill="0" applyBorder="0" applyAlignment="0" applyProtection="0"/>
  </cellStyleXfs>
  <cellXfs count="572">
    <xf numFmtId="0" fontId="0" fillId="0" borderId="0" xfId="0"/>
    <xf numFmtId="0" fontId="3" fillId="0" borderId="0" xfId="0" applyFont="1"/>
    <xf numFmtId="165" fontId="0" fillId="0" borderId="0" xfId="0" applyNumberFormat="1"/>
    <xf numFmtId="0" fontId="6" fillId="0" borderId="1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1"/>
    </xf>
    <xf numFmtId="166" fontId="3" fillId="0" borderId="7" xfId="0" applyNumberFormat="1" applyFont="1" applyBorder="1" applyAlignment="1">
      <alignment horizontal="right" indent="1"/>
    </xf>
    <xf numFmtId="167" fontId="3" fillId="0" borderId="9" xfId="0" applyNumberFormat="1" applyFont="1" applyBorder="1" applyAlignment="1">
      <alignment horizontal="right" indent="1"/>
    </xf>
    <xf numFmtId="165" fontId="3" fillId="0" borderId="10" xfId="0" applyNumberFormat="1" applyFont="1" applyBorder="1" applyAlignment="1">
      <alignment horizontal="right" indent="1"/>
    </xf>
    <xf numFmtId="166" fontId="6" fillId="0" borderId="11" xfId="0" applyNumberFormat="1" applyFont="1" applyBorder="1" applyAlignment="1">
      <alignment horizontal="right" indent="1"/>
    </xf>
    <xf numFmtId="166" fontId="6" fillId="0" borderId="12" xfId="0" applyNumberFormat="1" applyFont="1" applyBorder="1" applyAlignment="1">
      <alignment horizontal="right" indent="1"/>
    </xf>
    <xf numFmtId="166" fontId="6" fillId="0" borderId="13" xfId="0" applyNumberFormat="1" applyFont="1" applyBorder="1" applyAlignment="1">
      <alignment horizontal="right" indent="1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14" xfId="0" applyBorder="1"/>
    <xf numFmtId="167" fontId="3" fillId="0" borderId="0" xfId="0" applyNumberFormat="1" applyFont="1"/>
    <xf numFmtId="0" fontId="5" fillId="0" borderId="16" xfId="0" applyFont="1" applyBorder="1" applyAlignment="1">
      <alignment horizontal="left" indent="1"/>
    </xf>
    <xf numFmtId="165" fontId="3" fillId="0" borderId="18" xfId="0" applyNumberFormat="1" applyFont="1" applyBorder="1" applyAlignment="1">
      <alignment horizontal="right" indent="1"/>
    </xf>
    <xf numFmtId="0" fontId="5" fillId="0" borderId="19" xfId="0" applyFont="1" applyBorder="1" applyAlignment="1">
      <alignment horizontal="left" indent="1"/>
    </xf>
    <xf numFmtId="166" fontId="3" fillId="0" borderId="20" xfId="0" applyNumberFormat="1" applyFont="1" applyBorder="1" applyAlignment="1">
      <alignment horizontal="right" indent="1"/>
    </xf>
    <xf numFmtId="165" fontId="3" fillId="0" borderId="21" xfId="0" applyNumberFormat="1" applyFont="1" applyBorder="1" applyAlignment="1">
      <alignment horizontal="right" indent="1"/>
    </xf>
    <xf numFmtId="0" fontId="6" fillId="0" borderId="22" xfId="0" quotePrefix="1" applyFont="1" applyBorder="1" applyAlignment="1">
      <alignment horizontal="right" indent="1"/>
    </xf>
    <xf numFmtId="166" fontId="0" fillId="0" borderId="0" xfId="0" applyNumberFormat="1"/>
    <xf numFmtId="166" fontId="9" fillId="0" borderId="0" xfId="0" applyNumberFormat="1" applyFont="1"/>
    <xf numFmtId="0" fontId="0" fillId="0" borderId="0" xfId="0" applyBorder="1"/>
    <xf numFmtId="0" fontId="12" fillId="0" borderId="0" xfId="0" applyFont="1" applyFill="1" applyBorder="1" applyAlignment="1">
      <alignment horizontal="centerContinuous"/>
    </xf>
    <xf numFmtId="3" fontId="13" fillId="0" borderId="0" xfId="0" quotePrefix="1" applyNumberFormat="1" applyFont="1" applyFill="1" applyBorder="1" applyAlignment="1">
      <alignment horizontal="centerContinuous" vertical="center"/>
    </xf>
    <xf numFmtId="3" fontId="14" fillId="0" borderId="0" xfId="0" quotePrefix="1" applyNumberFormat="1" applyFont="1" applyFill="1" applyBorder="1" applyAlignment="1">
      <alignment horizontal="centerContinuous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13" fillId="0" borderId="0" xfId="0" quotePrefix="1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/>
    </xf>
    <xf numFmtId="3" fontId="13" fillId="0" borderId="0" xfId="0" quotePrefix="1" applyNumberFormat="1" applyFont="1" applyBorder="1" applyAlignment="1">
      <alignment horizontal="centerContinuous" vertical="center"/>
    </xf>
    <xf numFmtId="3" fontId="14" fillId="0" borderId="0" xfId="0" quotePrefix="1" applyNumberFormat="1" applyFont="1" applyBorder="1" applyAlignment="1">
      <alignment horizontal="centerContinuous" vertical="center"/>
    </xf>
    <xf numFmtId="3" fontId="9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0" fontId="16" fillId="0" borderId="0" xfId="0" applyFont="1" applyBorder="1"/>
    <xf numFmtId="0" fontId="17" fillId="0" borderId="0" xfId="0" applyFont="1" applyBorder="1"/>
    <xf numFmtId="0" fontId="9" fillId="0" borderId="0" xfId="0" applyFont="1" applyBorder="1"/>
    <xf numFmtId="3" fontId="18" fillId="0" borderId="0" xfId="0" applyNumberFormat="1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6" fillId="4" borderId="14" xfId="0" applyNumberFormat="1" applyFont="1" applyFill="1" applyBorder="1" applyAlignment="1">
      <alignment horizontal="center" vertical="center"/>
    </xf>
    <xf numFmtId="0" fontId="19" fillId="4" borderId="14" xfId="0" applyNumberFormat="1" applyFont="1" applyFill="1" applyBorder="1" applyAlignment="1">
      <alignment horizontal="center" vertical="center"/>
    </xf>
    <xf numFmtId="0" fontId="20" fillId="0" borderId="14" xfId="0" applyNumberFormat="1" applyFont="1" applyFill="1" applyBorder="1" applyAlignment="1">
      <alignment horizontal="center" vertical="center"/>
    </xf>
    <xf numFmtId="0" fontId="21" fillId="0" borderId="14" xfId="0" applyNumberFormat="1" applyFont="1" applyFill="1" applyBorder="1" applyAlignment="1">
      <alignment horizontal="center" vertical="center"/>
    </xf>
    <xf numFmtId="1" fontId="20" fillId="0" borderId="14" xfId="1" applyNumberFormat="1" applyFont="1" applyFill="1" applyBorder="1" applyAlignment="1">
      <alignment horizontal="center" vertical="center"/>
    </xf>
    <xf numFmtId="1" fontId="21" fillId="0" borderId="14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22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5" xfId="0" applyFont="1" applyFill="1" applyBorder="1"/>
    <xf numFmtId="166" fontId="23" fillId="0" borderId="14" xfId="0" applyNumberFormat="1" applyFont="1" applyFill="1" applyBorder="1" applyAlignment="1">
      <alignment horizontal="center"/>
    </xf>
    <xf numFmtId="166" fontId="18" fillId="0" borderId="14" xfId="0" applyNumberFormat="1" applyFont="1" applyFill="1" applyBorder="1" applyAlignment="1">
      <alignment horizontal="center"/>
    </xf>
    <xf numFmtId="166" fontId="24" fillId="4" borderId="14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167" fontId="20" fillId="0" borderId="14" xfId="1" applyNumberFormat="1" applyFont="1" applyFill="1" applyBorder="1" applyAlignment="1">
      <alignment horizontal="center"/>
    </xf>
    <xf numFmtId="167" fontId="21" fillId="0" borderId="14" xfId="1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5" fillId="0" borderId="6" xfId="0" applyNumberFormat="1" applyFont="1" applyBorder="1"/>
    <xf numFmtId="166" fontId="18" fillId="0" borderId="14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167" fontId="25" fillId="0" borderId="14" xfId="0" applyNumberFormat="1" applyFont="1" applyBorder="1" applyAlignment="1">
      <alignment horizontal="center"/>
    </xf>
    <xf numFmtId="3" fontId="0" fillId="0" borderId="14" xfId="0" applyNumberFormat="1" applyBorder="1"/>
    <xf numFmtId="0" fontId="8" fillId="0" borderId="14" xfId="0" applyFont="1" applyBorder="1"/>
    <xf numFmtId="0" fontId="6" fillId="5" borderId="25" xfId="0" applyFont="1" applyFill="1" applyBorder="1"/>
    <xf numFmtId="166" fontId="6" fillId="5" borderId="14" xfId="0" applyNumberFormat="1" applyFont="1" applyFill="1" applyBorder="1"/>
    <xf numFmtId="166" fontId="19" fillId="4" borderId="14" xfId="0" applyNumberFormat="1" applyFont="1" applyFill="1" applyBorder="1"/>
    <xf numFmtId="167" fontId="26" fillId="5" borderId="14" xfId="0" applyNumberFormat="1" applyFont="1" applyFill="1" applyBorder="1" applyAlignment="1">
      <alignment horizontal="center"/>
    </xf>
    <xf numFmtId="167" fontId="27" fillId="5" borderId="14" xfId="0" applyNumberFormat="1" applyFont="1" applyFill="1" applyBorder="1" applyAlignment="1">
      <alignment horizontal="center"/>
    </xf>
    <xf numFmtId="167" fontId="26" fillId="5" borderId="14" xfId="1" applyNumberFormat="1" applyFont="1" applyFill="1" applyBorder="1" applyAlignment="1">
      <alignment horizontal="center"/>
    </xf>
    <xf numFmtId="167" fontId="27" fillId="5" borderId="14" xfId="1" applyNumberFormat="1" applyFont="1" applyFill="1" applyBorder="1" applyAlignment="1">
      <alignment horizontal="center"/>
    </xf>
    <xf numFmtId="167" fontId="26" fillId="0" borderId="0" xfId="0" applyNumberFormat="1" applyFont="1" applyFill="1" applyBorder="1" applyAlignment="1">
      <alignment horizontal="center"/>
    </xf>
    <xf numFmtId="3" fontId="6" fillId="5" borderId="26" xfId="0" applyNumberFormat="1" applyFont="1" applyFill="1" applyBorder="1"/>
    <xf numFmtId="167" fontId="28" fillId="5" borderId="14" xfId="0" applyNumberFormat="1" applyFont="1" applyFill="1" applyBorder="1" applyAlignment="1">
      <alignment horizontal="center"/>
    </xf>
    <xf numFmtId="167" fontId="29" fillId="5" borderId="14" xfId="0" applyNumberFormat="1" applyFont="1" applyFill="1" applyBorder="1" applyAlignment="1">
      <alignment horizontal="center"/>
    </xf>
    <xf numFmtId="167" fontId="28" fillId="5" borderId="14" xfId="1" applyNumberFormat="1" applyFont="1" applyFill="1" applyBorder="1" applyAlignment="1">
      <alignment horizontal="center"/>
    </xf>
    <xf numFmtId="167" fontId="29" fillId="5" borderId="14" xfId="1" applyNumberFormat="1" applyFont="1" applyFill="1" applyBorder="1" applyAlignment="1">
      <alignment horizontal="center"/>
    </xf>
    <xf numFmtId="0" fontId="26" fillId="0" borderId="0" xfId="0" applyFont="1"/>
    <xf numFmtId="0" fontId="6" fillId="0" borderId="25" xfId="0" applyFont="1" applyFill="1" applyBorder="1"/>
    <xf numFmtId="166" fontId="0" fillId="0" borderId="14" xfId="0" applyNumberFormat="1" applyFill="1" applyBorder="1"/>
    <xf numFmtId="166" fontId="10" fillId="0" borderId="14" xfId="0" applyNumberFormat="1" applyFont="1" applyFill="1" applyBorder="1"/>
    <xf numFmtId="167" fontId="20" fillId="0" borderId="14" xfId="0" applyNumberFormat="1" applyFont="1" applyFill="1" applyBorder="1" applyAlignment="1">
      <alignment horizontal="center"/>
    </xf>
    <xf numFmtId="167" fontId="21" fillId="0" borderId="14" xfId="0" applyNumberFormat="1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center"/>
    </xf>
    <xf numFmtId="3" fontId="5" fillId="0" borderId="26" xfId="0" applyNumberFormat="1" applyFont="1" applyBorder="1"/>
    <xf numFmtId="166" fontId="5" fillId="0" borderId="14" xfId="0" applyNumberFormat="1" applyFont="1" applyFill="1" applyBorder="1"/>
    <xf numFmtId="167" fontId="2" fillId="0" borderId="14" xfId="0" applyNumberFormat="1" applyFont="1" applyFill="1" applyBorder="1" applyAlignment="1">
      <alignment horizontal="center"/>
    </xf>
    <xf numFmtId="167" fontId="25" fillId="0" borderId="14" xfId="0" applyNumberFormat="1" applyFont="1" applyFill="1" applyBorder="1" applyAlignment="1">
      <alignment horizontal="center"/>
    </xf>
    <xf numFmtId="167" fontId="2" fillId="0" borderId="14" xfId="1" applyNumberFormat="1" applyFont="1" applyFill="1" applyBorder="1" applyAlignment="1">
      <alignment horizontal="center"/>
    </xf>
    <xf numFmtId="167" fontId="25" fillId="0" borderId="14" xfId="1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3" fontId="6" fillId="0" borderId="26" xfId="0" applyNumberFormat="1" applyFont="1" applyBorder="1"/>
    <xf numFmtId="3" fontId="5" fillId="0" borderId="14" xfId="0" applyNumberFormat="1" applyFont="1" applyFill="1" applyBorder="1"/>
    <xf numFmtId="165" fontId="6" fillId="5" borderId="14" xfId="0" applyNumberFormat="1" applyFont="1" applyFill="1" applyBorder="1"/>
    <xf numFmtId="165" fontId="5" fillId="0" borderId="14" xfId="0" applyNumberFormat="1" applyFont="1" applyFill="1" applyBorder="1"/>
    <xf numFmtId="10" fontId="26" fillId="0" borderId="0" xfId="0" applyNumberFormat="1" applyFont="1" applyFill="1" applyBorder="1" applyAlignment="1">
      <alignment horizontal="center"/>
    </xf>
    <xf numFmtId="3" fontId="6" fillId="0" borderId="26" xfId="0" applyNumberFormat="1" applyFont="1" applyFill="1" applyBorder="1"/>
    <xf numFmtId="0" fontId="13" fillId="0" borderId="0" xfId="0" applyFont="1"/>
    <xf numFmtId="10" fontId="5" fillId="0" borderId="14" xfId="0" applyNumberFormat="1" applyFont="1" applyFill="1" applyBorder="1"/>
    <xf numFmtId="10" fontId="18" fillId="0" borderId="0" xfId="0" applyNumberFormat="1" applyFont="1" applyFill="1" applyBorder="1" applyAlignment="1">
      <alignment horizontal="center"/>
    </xf>
    <xf numFmtId="0" fontId="18" fillId="0" borderId="0" xfId="0" applyFont="1"/>
    <xf numFmtId="165" fontId="6" fillId="0" borderId="14" xfId="0" applyNumberFormat="1" applyFont="1" applyFill="1" applyBorder="1"/>
    <xf numFmtId="167" fontId="26" fillId="0" borderId="14" xfId="0" applyNumberFormat="1" applyFont="1" applyFill="1" applyBorder="1" applyAlignment="1">
      <alignment horizontal="center"/>
    </xf>
    <xf numFmtId="167" fontId="27" fillId="0" borderId="14" xfId="0" applyNumberFormat="1" applyFont="1" applyFill="1" applyBorder="1" applyAlignment="1">
      <alignment horizontal="center"/>
    </xf>
    <xf numFmtId="167" fontId="26" fillId="0" borderId="14" xfId="1" applyNumberFormat="1" applyFont="1" applyFill="1" applyBorder="1" applyAlignment="1">
      <alignment horizontal="center"/>
    </xf>
    <xf numFmtId="167" fontId="27" fillId="0" borderId="14" xfId="1" applyNumberFormat="1" applyFont="1" applyFill="1" applyBorder="1" applyAlignment="1">
      <alignment horizontal="center"/>
    </xf>
    <xf numFmtId="9" fontId="26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6" fillId="6" borderId="14" xfId="0" applyFont="1" applyFill="1" applyBorder="1"/>
    <xf numFmtId="166" fontId="6" fillId="6" borderId="14" xfId="0" applyNumberFormat="1" applyFont="1" applyFill="1" applyBorder="1"/>
    <xf numFmtId="167" fontId="26" fillId="6" borderId="14" xfId="0" applyNumberFormat="1" applyFont="1" applyFill="1" applyBorder="1" applyAlignment="1">
      <alignment horizontal="center"/>
    </xf>
    <xf numFmtId="167" fontId="27" fillId="6" borderId="14" xfId="0" applyNumberFormat="1" applyFont="1" applyFill="1" applyBorder="1" applyAlignment="1">
      <alignment horizontal="center"/>
    </xf>
    <xf numFmtId="167" fontId="26" fillId="6" borderId="14" xfId="1" applyNumberFormat="1" applyFont="1" applyFill="1" applyBorder="1" applyAlignment="1">
      <alignment horizontal="center"/>
    </xf>
    <xf numFmtId="167" fontId="27" fillId="6" borderId="14" xfId="1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6" fontId="23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3" fontId="32" fillId="0" borderId="0" xfId="0" applyNumberFormat="1" applyFont="1" applyFill="1" applyBorder="1"/>
    <xf numFmtId="0" fontId="10" fillId="0" borderId="0" xfId="0" applyFont="1" applyFill="1"/>
    <xf numFmtId="0" fontId="30" fillId="0" borderId="0" xfId="0" applyFont="1" applyFill="1"/>
    <xf numFmtId="166" fontId="2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7" fontId="0" fillId="0" borderId="0" xfId="0" applyNumberFormat="1" applyFill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 applyFill="1"/>
    <xf numFmtId="166" fontId="0" fillId="0" borderId="0" xfId="0" applyNumberFormat="1" applyFill="1"/>
    <xf numFmtId="3" fontId="6" fillId="0" borderId="28" xfId="0" applyNumberFormat="1" applyFont="1" applyBorder="1"/>
    <xf numFmtId="3" fontId="10" fillId="0" borderId="14" xfId="0" applyNumberFormat="1" applyFont="1" applyFill="1" applyBorder="1"/>
    <xf numFmtId="167" fontId="28" fillId="0" borderId="14" xfId="0" applyNumberFormat="1" applyFont="1" applyFill="1" applyBorder="1" applyAlignment="1">
      <alignment horizontal="center"/>
    </xf>
    <xf numFmtId="167" fontId="29" fillId="0" borderId="14" xfId="0" applyNumberFormat="1" applyFont="1" applyFill="1" applyBorder="1" applyAlignment="1">
      <alignment horizontal="center"/>
    </xf>
    <xf numFmtId="167" fontId="28" fillId="0" borderId="14" xfId="1" applyNumberFormat="1" applyFont="1" applyFill="1" applyBorder="1" applyAlignment="1">
      <alignment horizontal="center"/>
    </xf>
    <xf numFmtId="167" fontId="29" fillId="0" borderId="14" xfId="1" applyNumberFormat="1" applyFont="1" applyFill="1" applyBorder="1" applyAlignment="1">
      <alignment horizontal="center"/>
    </xf>
    <xf numFmtId="3" fontId="6" fillId="6" borderId="27" xfId="0" applyNumberFormat="1" applyFont="1" applyFill="1" applyBorder="1"/>
    <xf numFmtId="167" fontId="28" fillId="6" borderId="14" xfId="0" applyNumberFormat="1" applyFont="1" applyFill="1" applyBorder="1" applyAlignment="1">
      <alignment horizontal="center"/>
    </xf>
    <xf numFmtId="167" fontId="29" fillId="6" borderId="14" xfId="0" applyNumberFormat="1" applyFont="1" applyFill="1" applyBorder="1" applyAlignment="1">
      <alignment horizontal="center"/>
    </xf>
    <xf numFmtId="167" fontId="28" fillId="6" borderId="14" xfId="1" applyNumberFormat="1" applyFont="1" applyFill="1" applyBorder="1" applyAlignment="1">
      <alignment horizontal="center"/>
    </xf>
    <xf numFmtId="167" fontId="29" fillId="6" borderId="14" xfId="1" applyNumberFormat="1" applyFont="1" applyFill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center"/>
    </xf>
    <xf numFmtId="167" fontId="25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/>
    <xf numFmtId="3" fontId="31" fillId="0" borderId="0" xfId="0" applyNumberFormat="1" applyFont="1"/>
    <xf numFmtId="167" fontId="2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1" fillId="0" borderId="0" xfId="0" applyFont="1"/>
    <xf numFmtId="166" fontId="5" fillId="0" borderId="0" xfId="0" applyNumberFormat="1" applyFont="1" applyBorder="1"/>
    <xf numFmtId="167" fontId="5" fillId="0" borderId="0" xfId="0" applyNumberFormat="1" applyFont="1"/>
    <xf numFmtId="3" fontId="0" fillId="0" borderId="0" xfId="0" applyNumberFormat="1"/>
    <xf numFmtId="3" fontId="30" fillId="0" borderId="0" xfId="0" applyNumberFormat="1" applyFont="1"/>
    <xf numFmtId="167" fontId="0" fillId="0" borderId="0" xfId="0" applyNumberFormat="1"/>
    <xf numFmtId="167" fontId="9" fillId="0" borderId="0" xfId="0" applyNumberFormat="1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Fill="1"/>
    <xf numFmtId="168" fontId="0" fillId="0" borderId="0" xfId="0" applyNumberFormat="1"/>
    <xf numFmtId="166" fontId="6" fillId="0" borderId="29" xfId="0" applyNumberFormat="1" applyFont="1" applyBorder="1" applyAlignment="1">
      <alignment horizontal="right" indent="1"/>
    </xf>
    <xf numFmtId="166" fontId="9" fillId="0" borderId="0" xfId="0" applyNumberFormat="1" applyFont="1" applyFill="1"/>
    <xf numFmtId="167" fontId="9" fillId="0" borderId="0" xfId="0" applyNumberFormat="1" applyFont="1" applyFill="1"/>
    <xf numFmtId="0" fontId="6" fillId="8" borderId="14" xfId="0" applyNumberFormat="1" applyFont="1" applyFill="1" applyBorder="1" applyAlignment="1">
      <alignment horizontal="center" vertical="center"/>
    </xf>
    <xf numFmtId="166" fontId="6" fillId="9" borderId="14" xfId="0" applyNumberFormat="1" applyFont="1" applyFill="1" applyBorder="1"/>
    <xf numFmtId="165" fontId="6" fillId="9" borderId="14" xfId="0" applyNumberFormat="1" applyFont="1" applyFill="1" applyBorder="1"/>
    <xf numFmtId="166" fontId="6" fillId="10" borderId="14" xfId="0" applyNumberFormat="1" applyFont="1" applyFill="1" applyBorder="1"/>
    <xf numFmtId="0" fontId="35" fillId="0" borderId="14" xfId="0" applyFont="1" applyBorder="1"/>
    <xf numFmtId="166" fontId="36" fillId="0" borderId="0" xfId="0" applyNumberFormat="1" applyFont="1"/>
    <xf numFmtId="0" fontId="37" fillId="0" borderId="0" xfId="0" applyFont="1"/>
    <xf numFmtId="165" fontId="0" fillId="0" borderId="0" xfId="0" applyNumberFormat="1" applyFill="1"/>
    <xf numFmtId="165" fontId="38" fillId="0" borderId="0" xfId="0" applyNumberFormat="1" applyFont="1"/>
    <xf numFmtId="0" fontId="39" fillId="0" borderId="0" xfId="0" applyFont="1"/>
    <xf numFmtId="165" fontId="39" fillId="0" borderId="0" xfId="0" applyNumberFormat="1" applyFont="1"/>
    <xf numFmtId="166" fontId="6" fillId="0" borderId="14" xfId="0" applyNumberFormat="1" applyFont="1" applyFill="1" applyBorder="1" applyAlignment="1">
      <alignment horizontal="center"/>
    </xf>
    <xf numFmtId="169" fontId="3" fillId="0" borderId="7" xfId="0" applyNumberFormat="1" applyFont="1" applyBorder="1" applyAlignment="1">
      <alignment horizontal="right" indent="1"/>
    </xf>
    <xf numFmtId="169" fontId="3" fillId="0" borderId="9" xfId="0" applyNumberFormat="1" applyFont="1" applyBorder="1" applyAlignment="1">
      <alignment horizontal="right" indent="1"/>
    </xf>
    <xf numFmtId="169" fontId="3" fillId="0" borderId="17" xfId="0" applyNumberFormat="1" applyFont="1" applyBorder="1" applyAlignment="1">
      <alignment horizontal="right" indent="1"/>
    </xf>
    <xf numFmtId="169" fontId="6" fillId="0" borderId="12" xfId="0" applyNumberFormat="1" applyFont="1" applyBorder="1" applyAlignment="1">
      <alignment horizontal="right" indent="1"/>
    </xf>
    <xf numFmtId="169" fontId="6" fillId="0" borderId="23" xfId="0" applyNumberFormat="1" applyFont="1" applyBorder="1" applyAlignment="1">
      <alignment horizontal="right" indent="1"/>
    </xf>
    <xf numFmtId="167" fontId="3" fillId="0" borderId="26" xfId="0" applyNumberFormat="1" applyFont="1" applyBorder="1" applyAlignment="1">
      <alignment horizontal="right" indent="1"/>
    </xf>
    <xf numFmtId="0" fontId="40" fillId="0" borderId="0" xfId="0" applyFont="1"/>
    <xf numFmtId="165" fontId="40" fillId="0" borderId="0" xfId="0" applyNumberFormat="1" applyFont="1"/>
    <xf numFmtId="0" fontId="0" fillId="8" borderId="0" xfId="0" applyFill="1"/>
    <xf numFmtId="166" fontId="0" fillId="8" borderId="0" xfId="0" applyNumberFormat="1" applyFill="1"/>
    <xf numFmtId="167" fontId="0" fillId="8" borderId="0" xfId="0" applyNumberFormat="1" applyFill="1"/>
    <xf numFmtId="165" fontId="0" fillId="8" borderId="0" xfId="0" applyNumberFormat="1" applyFill="1"/>
    <xf numFmtId="169" fontId="9" fillId="0" borderId="0" xfId="0" applyNumberFormat="1" applyFont="1"/>
    <xf numFmtId="169" fontId="0" fillId="0" borderId="0" xfId="0" applyNumberFormat="1" applyFill="1"/>
    <xf numFmtId="169" fontId="9" fillId="0" borderId="0" xfId="0" applyNumberFormat="1" applyFont="1" applyFill="1"/>
    <xf numFmtId="170" fontId="3" fillId="0" borderId="8" xfId="0" applyNumberFormat="1" applyFont="1" applyBorder="1" applyAlignment="1">
      <alignment horizontal="right" indent="1"/>
    </xf>
    <xf numFmtId="170" fontId="9" fillId="0" borderId="0" xfId="0" applyNumberFormat="1" applyFont="1"/>
    <xf numFmtId="0" fontId="42" fillId="0" borderId="0" xfId="0" applyFont="1"/>
    <xf numFmtId="166" fontId="0" fillId="0" borderId="14" xfId="0" applyNumberFormat="1" applyBorder="1"/>
    <xf numFmtId="0" fontId="9" fillId="0" borderId="14" xfId="0" applyFont="1" applyBorder="1" applyAlignment="1">
      <alignment horizontal="right"/>
    </xf>
    <xf numFmtId="166" fontId="42" fillId="0" borderId="0" xfId="0" applyNumberFormat="1" applyFont="1" applyAlignment="1">
      <alignment horizontal="left"/>
    </xf>
    <xf numFmtId="0" fontId="3" fillId="0" borderId="25" xfId="0" applyFont="1" applyFill="1" applyBorder="1"/>
    <xf numFmtId="3" fontId="3" fillId="0" borderId="26" xfId="0" applyNumberFormat="1" applyFont="1" applyBorder="1"/>
    <xf numFmtId="0" fontId="1" fillId="0" borderId="14" xfId="0" applyFont="1" applyBorder="1" applyAlignment="1">
      <alignment vertical="center" wrapText="1"/>
    </xf>
    <xf numFmtId="0" fontId="1" fillId="0" borderId="14" xfId="0" applyFont="1" applyBorder="1"/>
    <xf numFmtId="0" fontId="0" fillId="11" borderId="28" xfId="0" applyFill="1" applyBorder="1"/>
    <xf numFmtId="0" fontId="9" fillId="3" borderId="35" xfId="0" applyFont="1" applyFill="1" applyBorder="1" applyAlignment="1">
      <alignment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3" fontId="3" fillId="11" borderId="28" xfId="0" applyNumberFormat="1" applyFont="1" applyFill="1" applyBorder="1" applyAlignment="1">
      <alignment horizontal="right"/>
    </xf>
    <xf numFmtId="3" fontId="3" fillId="0" borderId="14" xfId="0" applyNumberFormat="1" applyFont="1" applyBorder="1" applyAlignment="1">
      <alignment horizontal="right" vertical="center"/>
    </xf>
    <xf numFmtId="0" fontId="1" fillId="0" borderId="38" xfId="0" applyFont="1" applyBorder="1"/>
    <xf numFmtId="0" fontId="1" fillId="0" borderId="38" xfId="0" applyFont="1" applyBorder="1" applyAlignment="1">
      <alignment wrapText="1"/>
    </xf>
    <xf numFmtId="0" fontId="1" fillId="0" borderId="40" xfId="0" applyFont="1" applyBorder="1"/>
    <xf numFmtId="169" fontId="3" fillId="0" borderId="14" xfId="0" applyNumberFormat="1" applyFont="1" applyBorder="1" applyAlignment="1">
      <alignment horizontal="right"/>
    </xf>
    <xf numFmtId="169" fontId="3" fillId="0" borderId="39" xfId="0" applyNumberFormat="1" applyFont="1" applyBorder="1" applyAlignment="1">
      <alignment horizontal="right"/>
    </xf>
    <xf numFmtId="169" fontId="3" fillId="0" borderId="41" xfId="0" applyNumberFormat="1" applyFont="1" applyBorder="1" applyAlignment="1">
      <alignment horizontal="right"/>
    </xf>
    <xf numFmtId="169" fontId="3" fillId="0" borderId="42" xfId="0" applyNumberFormat="1" applyFont="1" applyBorder="1" applyAlignment="1">
      <alignment horizontal="right"/>
    </xf>
    <xf numFmtId="169" fontId="3" fillId="11" borderId="28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 applyAlignment="1">
      <alignment horizontal="right"/>
    </xf>
    <xf numFmtId="0" fontId="45" fillId="0" borderId="0" xfId="0" applyFont="1"/>
    <xf numFmtId="0" fontId="43" fillId="0" borderId="0" xfId="0" applyFont="1" applyAlignment="1">
      <alignment horizontal="right"/>
    </xf>
    <xf numFmtId="166" fontId="42" fillId="0" borderId="0" xfId="0" applyNumberFormat="1" applyFont="1"/>
    <xf numFmtId="165" fontId="46" fillId="0" borderId="0" xfId="0" applyNumberFormat="1" applyFont="1"/>
    <xf numFmtId="0" fontId="3" fillId="14" borderId="47" xfId="0" applyFont="1" applyFill="1" applyBorder="1" applyAlignment="1">
      <alignment vertical="center" wrapText="1"/>
    </xf>
    <xf numFmtId="169" fontId="3" fillId="14" borderId="46" xfId="0" applyNumberFormat="1" applyFont="1" applyFill="1" applyBorder="1" applyAlignment="1">
      <alignment horizontal="right" vertical="center" wrapText="1"/>
    </xf>
    <xf numFmtId="0" fontId="3" fillId="15" borderId="47" xfId="0" applyFont="1" applyFill="1" applyBorder="1" applyAlignment="1">
      <alignment vertical="center" wrapText="1"/>
    </xf>
    <xf numFmtId="0" fontId="6" fillId="13" borderId="47" xfId="0" applyFont="1" applyFill="1" applyBorder="1" applyAlignment="1">
      <alignment horizontal="right" vertical="center" wrapText="1"/>
    </xf>
    <xf numFmtId="169" fontId="6" fillId="13" borderId="46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0" fillId="16" borderId="0" xfId="0" applyFill="1"/>
    <xf numFmtId="166" fontId="0" fillId="16" borderId="0" xfId="0" applyNumberFormat="1" applyFill="1"/>
    <xf numFmtId="167" fontId="0" fillId="16" borderId="0" xfId="0" applyNumberFormat="1" applyFill="1"/>
    <xf numFmtId="169" fontId="0" fillId="16" borderId="0" xfId="0" applyNumberFormat="1" applyFill="1"/>
    <xf numFmtId="165" fontId="0" fillId="16" borderId="0" xfId="0" applyNumberFormat="1" applyFill="1"/>
    <xf numFmtId="0" fontId="0" fillId="17" borderId="0" xfId="0" applyFill="1"/>
    <xf numFmtId="166" fontId="0" fillId="17" borderId="0" xfId="0" applyNumberFormat="1" applyFill="1"/>
    <xf numFmtId="167" fontId="0" fillId="17" borderId="0" xfId="0" applyNumberFormat="1" applyFill="1"/>
    <xf numFmtId="169" fontId="0" fillId="17" borderId="0" xfId="0" applyNumberFormat="1" applyFill="1"/>
    <xf numFmtId="165" fontId="0" fillId="17" borderId="0" xfId="0" applyNumberFormat="1" applyFill="1"/>
    <xf numFmtId="0" fontId="1" fillId="8" borderId="0" xfId="0" applyFont="1" applyFill="1"/>
    <xf numFmtId="165" fontId="9" fillId="0" borderId="0" xfId="0" applyNumberFormat="1" applyFont="1" applyFill="1"/>
    <xf numFmtId="0" fontId="0" fillId="0" borderId="0" xfId="0" applyAlignment="1">
      <alignment horizontal="center"/>
    </xf>
    <xf numFmtId="171" fontId="0" fillId="0" borderId="0" xfId="0" applyNumberFormat="1" applyFill="1"/>
    <xf numFmtId="171" fontId="0" fillId="0" borderId="0" xfId="0" applyNumberFormat="1"/>
    <xf numFmtId="171" fontId="9" fillId="0" borderId="0" xfId="0" applyNumberFormat="1" applyFont="1"/>
    <xf numFmtId="0" fontId="49" fillId="0" borderId="53" xfId="0" applyFont="1" applyBorder="1" applyAlignment="1">
      <alignment horizontal="right" indent="1"/>
    </xf>
    <xf numFmtId="0" fontId="0" fillId="18" borderId="0" xfId="0" applyFill="1"/>
    <xf numFmtId="0" fontId="51" fillId="20" borderId="0" xfId="0" applyFont="1" applyFill="1" applyAlignment="1">
      <alignment vertical="center"/>
    </xf>
    <xf numFmtId="0" fontId="51" fillId="20" borderId="0" xfId="0" applyFont="1" applyFill="1" applyAlignment="1">
      <alignment horizontal="center" vertical="center" wrapText="1"/>
    </xf>
    <xf numFmtId="0" fontId="51" fillId="20" borderId="0" xfId="0" applyFont="1" applyFill="1" applyAlignment="1">
      <alignment horizontal="center" vertical="center"/>
    </xf>
    <xf numFmtId="166" fontId="9" fillId="0" borderId="14" xfId="0" applyNumberFormat="1" applyFont="1" applyBorder="1"/>
    <xf numFmtId="167" fontId="9" fillId="0" borderId="14" xfId="0" applyNumberFormat="1" applyFont="1" applyBorder="1" applyAlignment="1">
      <alignment horizontal="center"/>
    </xf>
    <xf numFmtId="0" fontId="0" fillId="0" borderId="54" xfId="0" applyBorder="1"/>
    <xf numFmtId="166" fontId="0" fillId="0" borderId="54" xfId="0" applyNumberFormat="1" applyBorder="1"/>
    <xf numFmtId="167" fontId="0" fillId="0" borderId="54" xfId="0" applyNumberFormat="1" applyBorder="1" applyAlignment="1">
      <alignment horizontal="center"/>
    </xf>
    <xf numFmtId="0" fontId="1" fillId="0" borderId="55" xfId="0" applyFont="1" applyBorder="1"/>
    <xf numFmtId="166" fontId="0" fillId="0" borderId="55" xfId="0" applyNumberFormat="1" applyBorder="1"/>
    <xf numFmtId="167" fontId="0" fillId="0" borderId="55" xfId="0" applyNumberFormat="1" applyBorder="1" applyAlignment="1">
      <alignment horizontal="center"/>
    </xf>
    <xf numFmtId="0" fontId="1" fillId="0" borderId="56" xfId="0" applyFont="1" applyBorder="1"/>
    <xf numFmtId="166" fontId="0" fillId="0" borderId="56" xfId="0" applyNumberFormat="1" applyBorder="1"/>
    <xf numFmtId="167" fontId="0" fillId="0" borderId="56" xfId="0" applyNumberFormat="1" applyBorder="1" applyAlignment="1">
      <alignment horizontal="center"/>
    </xf>
    <xf numFmtId="172" fontId="1" fillId="0" borderId="54" xfId="0" quotePrefix="1" applyNumberFormat="1" applyFont="1" applyBorder="1" applyAlignment="1">
      <alignment horizontal="center"/>
    </xf>
    <xf numFmtId="172" fontId="1" fillId="0" borderId="55" xfId="0" quotePrefix="1" applyNumberFormat="1" applyFont="1" applyBorder="1" applyAlignment="1">
      <alignment horizontal="center"/>
    </xf>
    <xf numFmtId="172" fontId="0" fillId="0" borderId="55" xfId="0" applyNumberFormat="1" applyBorder="1" applyAlignment="1">
      <alignment horizontal="center"/>
    </xf>
    <xf numFmtId="172" fontId="1" fillId="0" borderId="56" xfId="0" quotePrefix="1" applyNumberFormat="1" applyFont="1" applyBorder="1" applyAlignment="1">
      <alignment horizontal="center"/>
    </xf>
    <xf numFmtId="172" fontId="9" fillId="0" borderId="14" xfId="0" applyNumberFormat="1" applyFont="1" applyBorder="1" applyAlignment="1">
      <alignment horizontal="center"/>
    </xf>
    <xf numFmtId="165" fontId="43" fillId="0" borderId="0" xfId="0" applyNumberFormat="1" applyFont="1"/>
    <xf numFmtId="166" fontId="44" fillId="0" borderId="0" xfId="0" applyNumberFormat="1" applyFont="1"/>
    <xf numFmtId="0" fontId="48" fillId="0" borderId="0" xfId="0" applyFont="1" applyFill="1"/>
    <xf numFmtId="166" fontId="48" fillId="0" borderId="0" xfId="0" applyNumberFormat="1" applyFont="1" applyFill="1"/>
    <xf numFmtId="167" fontId="48" fillId="0" borderId="0" xfId="0" applyNumberFormat="1" applyFont="1" applyFill="1"/>
    <xf numFmtId="173" fontId="0" fillId="0" borderId="0" xfId="0" applyNumberFormat="1" applyFill="1"/>
    <xf numFmtId="3" fontId="3" fillId="18" borderId="39" xfId="0" applyNumberFormat="1" applyFont="1" applyFill="1" applyBorder="1" applyAlignment="1">
      <alignment horizontal="right"/>
    </xf>
    <xf numFmtId="3" fontId="3" fillId="18" borderId="14" xfId="0" applyNumberFormat="1" applyFont="1" applyFill="1" applyBorder="1" applyAlignment="1">
      <alignment horizontal="right" vertical="center"/>
    </xf>
    <xf numFmtId="9" fontId="3" fillId="0" borderId="0" xfId="1" applyFont="1"/>
    <xf numFmtId="9" fontId="0" fillId="0" borderId="0" xfId="1" applyFont="1"/>
    <xf numFmtId="3" fontId="3" fillId="18" borderId="42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166" fontId="3" fillId="0" borderId="14" xfId="0" applyNumberFormat="1" applyFont="1" applyFill="1" applyBorder="1"/>
    <xf numFmtId="165" fontId="3" fillId="0" borderId="14" xfId="0" applyNumberFormat="1" applyFont="1" applyFill="1" applyBorder="1"/>
    <xf numFmtId="166" fontId="14" fillId="0" borderId="0" xfId="0" quotePrefix="1" applyNumberFormat="1" applyFont="1" applyBorder="1" applyAlignment="1">
      <alignment horizontal="centerContinuous" vertical="center"/>
    </xf>
    <xf numFmtId="2" fontId="0" fillId="0" borderId="0" xfId="0" applyNumberFormat="1"/>
    <xf numFmtId="3" fontId="3" fillId="18" borderId="14" xfId="0" applyNumberFormat="1" applyFont="1" applyFill="1" applyBorder="1" applyAlignment="1">
      <alignment horizontal="right"/>
    </xf>
    <xf numFmtId="167" fontId="3" fillId="18" borderId="14" xfId="1" applyNumberFormat="1" applyFont="1" applyFill="1" applyBorder="1" applyAlignment="1">
      <alignment horizontal="right"/>
    </xf>
    <xf numFmtId="166" fontId="3" fillId="18" borderId="7" xfId="0" applyNumberFormat="1" applyFont="1" applyFill="1" applyBorder="1" applyAlignment="1">
      <alignment horizontal="right" indent="1"/>
    </xf>
    <xf numFmtId="174" fontId="6" fillId="13" borderId="46" xfId="2" applyNumberFormat="1" applyFont="1" applyFill="1" applyBorder="1" applyAlignment="1">
      <alignment horizontal="right" vertical="center" wrapText="1"/>
    </xf>
    <xf numFmtId="167" fontId="3" fillId="0" borderId="7" xfId="0" applyNumberFormat="1" applyFont="1" applyBorder="1" applyAlignment="1">
      <alignment horizontal="right" indent="1"/>
    </xf>
    <xf numFmtId="3" fontId="27" fillId="0" borderId="0" xfId="0" applyNumberFormat="1" applyFont="1" applyBorder="1" applyAlignment="1">
      <alignment horizontal="right"/>
    </xf>
    <xf numFmtId="0" fontId="0" fillId="0" borderId="14" xfId="0" applyFill="1" applyBorder="1"/>
    <xf numFmtId="166" fontId="31" fillId="0" borderId="14" xfId="0" applyNumberFormat="1" applyFont="1" applyFill="1" applyBorder="1"/>
    <xf numFmtId="166" fontId="6" fillId="8" borderId="14" xfId="0" applyNumberFormat="1" applyFont="1" applyFill="1" applyBorder="1" applyAlignment="1">
      <alignment horizontal="center"/>
    </xf>
    <xf numFmtId="9" fontId="26" fillId="0" borderId="14" xfId="1" applyFont="1" applyFill="1" applyBorder="1" applyAlignment="1">
      <alignment horizontal="center"/>
    </xf>
    <xf numFmtId="9" fontId="27" fillId="0" borderId="14" xfId="1" applyFont="1" applyFill="1" applyBorder="1" applyAlignment="1">
      <alignment horizontal="center"/>
    </xf>
    <xf numFmtId="166" fontId="57" fillId="9" borderId="14" xfId="0" applyNumberFormat="1" applyFont="1" applyFill="1" applyBorder="1"/>
    <xf numFmtId="166" fontId="6" fillId="0" borderId="12" xfId="0" applyNumberFormat="1" applyFont="1" applyFill="1" applyBorder="1" applyAlignment="1">
      <alignment horizontal="right" indent="1"/>
    </xf>
    <xf numFmtId="0" fontId="59" fillId="0" borderId="0" xfId="0" applyFont="1"/>
    <xf numFmtId="0" fontId="58" fillId="0" borderId="0" xfId="0" applyFont="1" applyFill="1"/>
    <xf numFmtId="0" fontId="58" fillId="0" borderId="0" xfId="0" applyFont="1"/>
    <xf numFmtId="0" fontId="59" fillId="0" borderId="0" xfId="0" applyFont="1" applyFill="1"/>
    <xf numFmtId="166" fontId="30" fillId="0" borderId="14" xfId="0" applyNumberFormat="1" applyFont="1" applyFill="1" applyBorder="1"/>
    <xf numFmtId="165" fontId="31" fillId="0" borderId="14" xfId="0" applyNumberFormat="1" applyFont="1" applyFill="1" applyBorder="1"/>
    <xf numFmtId="10" fontId="31" fillId="0" borderId="14" xfId="0" applyNumberFormat="1" applyFont="1" applyFill="1" applyBorder="1"/>
    <xf numFmtId="165" fontId="19" fillId="0" borderId="14" xfId="0" applyNumberFormat="1" applyFont="1" applyFill="1" applyBorder="1"/>
    <xf numFmtId="3" fontId="31" fillId="0" borderId="14" xfId="0" applyNumberFormat="1" applyFont="1" applyFill="1" applyBorder="1"/>
    <xf numFmtId="3" fontId="30" fillId="0" borderId="14" xfId="0" applyNumberFormat="1" applyFont="1" applyFill="1" applyBorder="1"/>
    <xf numFmtId="3" fontId="60" fillId="20" borderId="0" xfId="0" applyNumberFormat="1" applyFont="1" applyFill="1"/>
    <xf numFmtId="166" fontId="60" fillId="20" borderId="0" xfId="0" applyNumberFormat="1" applyFont="1" applyFill="1"/>
    <xf numFmtId="3" fontId="3" fillId="0" borderId="0" xfId="0" applyNumberFormat="1" applyFont="1"/>
    <xf numFmtId="3" fontId="60" fillId="0" borderId="0" xfId="0" applyNumberFormat="1" applyFont="1"/>
    <xf numFmtId="3" fontId="1" fillId="0" borderId="0" xfId="0" applyNumberFormat="1" applyFont="1"/>
    <xf numFmtId="3" fontId="9" fillId="18" borderId="14" xfId="0" applyNumberFormat="1" applyFont="1" applyFill="1" applyBorder="1" applyAlignment="1">
      <alignment horizontal="right"/>
    </xf>
    <xf numFmtId="167" fontId="9" fillId="18" borderId="14" xfId="1" applyNumberFormat="1" applyFont="1" applyFill="1" applyBorder="1" applyAlignment="1">
      <alignment horizontal="right"/>
    </xf>
    <xf numFmtId="169" fontId="62" fillId="11" borderId="28" xfId="0" applyNumberFormat="1" applyFont="1" applyFill="1" applyBorder="1" applyAlignment="1">
      <alignment horizontal="right"/>
    </xf>
    <xf numFmtId="166" fontId="55" fillId="0" borderId="9" xfId="0" applyNumberFormat="1" applyFont="1" applyBorder="1" applyAlignment="1">
      <alignment horizontal="right" indent="1"/>
    </xf>
    <xf numFmtId="166" fontId="55" fillId="0" borderId="17" xfId="0" applyNumberFormat="1" applyFont="1" applyBorder="1" applyAlignment="1">
      <alignment horizontal="right" indent="1"/>
    </xf>
    <xf numFmtId="174" fontId="3" fillId="14" borderId="46" xfId="2" applyNumberFormat="1" applyFont="1" applyFill="1" applyBorder="1" applyAlignment="1">
      <alignment horizontal="right" vertical="center" wrapText="1"/>
    </xf>
    <xf numFmtId="174" fontId="3" fillId="15" borderId="46" xfId="2" applyNumberFormat="1" applyFont="1" applyFill="1" applyBorder="1" applyAlignment="1">
      <alignment horizontal="right" vertical="center" wrapText="1"/>
    </xf>
    <xf numFmtId="0" fontId="66" fillId="0" borderId="0" xfId="0" applyFont="1"/>
    <xf numFmtId="0" fontId="67" fillId="0" borderId="0" xfId="0" applyFont="1"/>
    <xf numFmtId="0" fontId="68" fillId="0" borderId="0" xfId="0" applyFont="1"/>
    <xf numFmtId="4" fontId="0" fillId="0" borderId="14" xfId="0" applyNumberFormat="1" applyFill="1" applyBorder="1"/>
    <xf numFmtId="3" fontId="9" fillId="21" borderId="14" xfId="0" applyNumberFormat="1" applyFont="1" applyFill="1" applyBorder="1"/>
    <xf numFmtId="3" fontId="36" fillId="11" borderId="28" xfId="0" applyNumberFormat="1" applyFont="1" applyFill="1" applyBorder="1" applyAlignment="1">
      <alignment horizontal="right"/>
    </xf>
    <xf numFmtId="169" fontId="6" fillId="0" borderId="39" xfId="0" applyNumberFormat="1" applyFont="1" applyBorder="1" applyAlignment="1">
      <alignment horizontal="right"/>
    </xf>
    <xf numFmtId="169" fontId="6" fillId="0" borderId="42" xfId="0" applyNumberFormat="1" applyFont="1" applyBorder="1" applyAlignment="1">
      <alignment horizontal="right"/>
    </xf>
    <xf numFmtId="169" fontId="6" fillId="11" borderId="28" xfId="0" applyNumberFormat="1" applyFont="1" applyFill="1" applyBorder="1" applyAlignment="1">
      <alignment horizontal="right"/>
    </xf>
    <xf numFmtId="169" fontId="6" fillId="0" borderId="14" xfId="0" applyNumberFormat="1" applyFont="1" applyBorder="1" applyAlignment="1">
      <alignment horizontal="right"/>
    </xf>
    <xf numFmtId="166" fontId="55" fillId="0" borderId="14" xfId="0" applyNumberFormat="1" applyFont="1" applyFill="1" applyBorder="1"/>
    <xf numFmtId="166" fontId="55" fillId="4" borderId="14" xfId="0" applyNumberFormat="1" applyFont="1" applyFill="1" applyBorder="1"/>
    <xf numFmtId="0" fontId="69" fillId="0" borderId="0" xfId="0" applyFont="1" applyFill="1" applyBorder="1" applyAlignment="1">
      <alignment horizontal="center"/>
    </xf>
    <xf numFmtId="1" fontId="69" fillId="0" borderId="0" xfId="0" applyNumberFormat="1" applyFont="1" applyFill="1" applyBorder="1" applyAlignment="1">
      <alignment horizontal="center"/>
    </xf>
    <xf numFmtId="166" fontId="69" fillId="0" borderId="0" xfId="0" applyNumberFormat="1" applyFont="1" applyFill="1" applyBorder="1" applyAlignment="1">
      <alignment horizontal="left" indent="1"/>
    </xf>
    <xf numFmtId="166" fontId="69" fillId="0" borderId="0" xfId="0" applyNumberFormat="1" applyFont="1" applyFill="1" applyAlignment="1">
      <alignment horizontal="left" indent="1"/>
    </xf>
    <xf numFmtId="0" fontId="70" fillId="0" borderId="0" xfId="0" applyFont="1" applyFill="1" applyBorder="1"/>
    <xf numFmtId="166" fontId="70" fillId="0" borderId="0" xfId="0" applyNumberFormat="1" applyFont="1" applyFill="1" applyBorder="1"/>
    <xf numFmtId="167" fontId="70" fillId="0" borderId="0" xfId="0" applyNumberFormat="1" applyFont="1" applyFill="1"/>
    <xf numFmtId="167" fontId="71" fillId="0" borderId="0" xfId="1" applyNumberFormat="1" applyFont="1" applyFill="1"/>
    <xf numFmtId="0" fontId="6" fillId="19" borderId="6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/>
    </xf>
    <xf numFmtId="0" fontId="63" fillId="22" borderId="1" xfId="0" applyFont="1" applyFill="1" applyBorder="1" applyAlignment="1">
      <alignment horizontal="left" indent="1"/>
    </xf>
    <xf numFmtId="166" fontId="55" fillId="0" borderId="24" xfId="0" applyNumberFormat="1" applyFont="1" applyBorder="1" applyAlignment="1">
      <alignment horizontal="right" indent="1"/>
    </xf>
    <xf numFmtId="0" fontId="63" fillId="22" borderId="4" xfId="0" applyFont="1" applyFill="1" applyBorder="1" applyAlignment="1">
      <alignment horizontal="left" indent="1"/>
    </xf>
    <xf numFmtId="166" fontId="55" fillId="0" borderId="63" xfId="0" applyNumberFormat="1" applyFont="1" applyBorder="1" applyAlignment="1">
      <alignment horizontal="right" indent="1"/>
    </xf>
    <xf numFmtId="0" fontId="3" fillId="23" borderId="4" xfId="0" applyFont="1" applyFill="1" applyBorder="1" applyAlignment="1">
      <alignment horizontal="left" indent="1"/>
    </xf>
    <xf numFmtId="166" fontId="3" fillId="0" borderId="64" xfId="0" applyNumberFormat="1" applyFont="1" applyBorder="1" applyAlignment="1">
      <alignment horizontal="right" indent="1"/>
    </xf>
    <xf numFmtId="174" fontId="51" fillId="22" borderId="0" xfId="2" applyNumberFormat="1" applyFont="1" applyFill="1"/>
    <xf numFmtId="174" fontId="51" fillId="23" borderId="0" xfId="2" applyNumberFormat="1" applyFont="1" applyFill="1"/>
    <xf numFmtId="0" fontId="6" fillId="19" borderId="24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wrapText="1"/>
    </xf>
    <xf numFmtId="0" fontId="6" fillId="22" borderId="2" xfId="0" applyFont="1" applyFill="1" applyBorder="1"/>
    <xf numFmtId="0" fontId="64" fillId="22" borderId="16" xfId="0" applyFont="1" applyFill="1" applyBorder="1" applyAlignment="1">
      <alignment horizontal="left" indent="2"/>
    </xf>
    <xf numFmtId="0" fontId="64" fillId="22" borderId="5" xfId="0" applyFont="1" applyFill="1" applyBorder="1" applyAlignment="1">
      <alignment horizontal="left" indent="2"/>
    </xf>
    <xf numFmtId="0" fontId="64" fillId="22" borderId="49" xfId="0" applyFont="1" applyFill="1" applyBorder="1" applyAlignment="1">
      <alignment horizontal="left" indent="2"/>
    </xf>
    <xf numFmtId="0" fontId="64" fillId="22" borderId="48" xfId="0" applyFont="1" applyFill="1" applyBorder="1" applyAlignment="1">
      <alignment horizontal="left" indent="2"/>
    </xf>
    <xf numFmtId="169" fontId="6" fillId="22" borderId="11" xfId="0" applyNumberFormat="1" applyFont="1" applyFill="1" applyBorder="1" applyAlignment="1">
      <alignment horizontal="right" indent="1"/>
    </xf>
    <xf numFmtId="170" fontId="3" fillId="22" borderId="33" xfId="0" applyNumberFormat="1" applyFont="1" applyFill="1" applyBorder="1" applyAlignment="1">
      <alignment horizontal="right" indent="1"/>
    </xf>
    <xf numFmtId="169" fontId="65" fillId="22" borderId="7" xfId="0" applyNumberFormat="1" applyFont="1" applyFill="1" applyBorder="1" applyAlignment="1">
      <alignment horizontal="right" indent="1"/>
    </xf>
    <xf numFmtId="170" fontId="65" fillId="22" borderId="33" xfId="0" applyNumberFormat="1" applyFont="1" applyFill="1" applyBorder="1" applyAlignment="1">
      <alignment horizontal="right" indent="1"/>
    </xf>
    <xf numFmtId="169" fontId="65" fillId="22" borderId="17" xfId="0" applyNumberFormat="1" applyFont="1" applyFill="1" applyBorder="1" applyAlignment="1">
      <alignment horizontal="right" indent="1"/>
    </xf>
    <xf numFmtId="169" fontId="65" fillId="22" borderId="9" xfId="0" applyNumberFormat="1" applyFont="1" applyFill="1" applyBorder="1" applyAlignment="1">
      <alignment horizontal="right" indent="1"/>
    </xf>
    <xf numFmtId="169" fontId="65" fillId="22" borderId="50" xfId="0" applyNumberFormat="1" applyFont="1" applyFill="1" applyBorder="1" applyAlignment="1">
      <alignment horizontal="right" indent="1"/>
    </xf>
    <xf numFmtId="166" fontId="72" fillId="0" borderId="7" xfId="0" applyNumberFormat="1" applyFont="1" applyFill="1" applyBorder="1" applyAlignment="1">
      <alignment horizontal="right" indent="1"/>
    </xf>
    <xf numFmtId="167" fontId="55" fillId="0" borderId="7" xfId="0" applyNumberFormat="1" applyFont="1" applyFill="1" applyBorder="1" applyAlignment="1">
      <alignment horizontal="right" indent="1"/>
    </xf>
    <xf numFmtId="167" fontId="55" fillId="0" borderId="9" xfId="0" applyNumberFormat="1" applyFont="1" applyFill="1" applyBorder="1" applyAlignment="1">
      <alignment horizontal="right" indent="1"/>
    </xf>
    <xf numFmtId="167" fontId="55" fillId="0" borderId="51" xfId="0" applyNumberFormat="1" applyFont="1" applyFill="1" applyBorder="1" applyAlignment="1">
      <alignment horizontal="right" indent="1"/>
    </xf>
    <xf numFmtId="0" fontId="6" fillId="23" borderId="3" xfId="0" applyFont="1" applyFill="1" applyBorder="1"/>
    <xf numFmtId="0" fontId="4" fillId="23" borderId="5" xfId="0" applyFont="1" applyFill="1" applyBorder="1" applyAlignment="1">
      <alignment horizontal="left" indent="2"/>
    </xf>
    <xf numFmtId="169" fontId="57" fillId="23" borderId="9" xfId="0" applyNumberFormat="1" applyFont="1" applyFill="1" applyBorder="1" applyAlignment="1">
      <alignment horizontal="right" indent="1"/>
    </xf>
    <xf numFmtId="0" fontId="8" fillId="0" borderId="65" xfId="0" applyFont="1" applyBorder="1"/>
    <xf numFmtId="0" fontId="8" fillId="0" borderId="66" xfId="0" applyFont="1" applyBorder="1"/>
    <xf numFmtId="0" fontId="38" fillId="0" borderId="66" xfId="0" applyFont="1" applyBorder="1"/>
    <xf numFmtId="0" fontId="39" fillId="0" borderId="66" xfId="0" applyFont="1" applyBorder="1"/>
    <xf numFmtId="0" fontId="41" fillId="0" borderId="66" xfId="0" applyFont="1" applyBorder="1"/>
    <xf numFmtId="0" fontId="41" fillId="0" borderId="67" xfId="0" applyFont="1" applyBorder="1"/>
    <xf numFmtId="0" fontId="6" fillId="26" borderId="57" xfId="0" applyFont="1" applyFill="1" applyBorder="1" applyAlignment="1">
      <alignment horizontal="center" vertical="center"/>
    </xf>
    <xf numFmtId="165" fontId="8" fillId="0" borderId="65" xfId="0" applyNumberFormat="1" applyFont="1" applyFill="1" applyBorder="1"/>
    <xf numFmtId="165" fontId="8" fillId="0" borderId="66" xfId="0" applyNumberFormat="1" applyFont="1" applyFill="1" applyBorder="1"/>
    <xf numFmtId="165" fontId="38" fillId="0" borderId="66" xfId="0" applyNumberFormat="1" applyFont="1" applyFill="1" applyBorder="1"/>
    <xf numFmtId="165" fontId="39" fillId="0" borderId="66" xfId="0" applyNumberFormat="1" applyFont="1" applyFill="1" applyBorder="1"/>
    <xf numFmtId="165" fontId="41" fillId="0" borderId="66" xfId="0" applyNumberFormat="1" applyFont="1" applyFill="1" applyBorder="1"/>
    <xf numFmtId="165" fontId="41" fillId="0" borderId="67" xfId="0" applyNumberFormat="1" applyFont="1" applyFill="1" applyBorder="1"/>
    <xf numFmtId="0" fontId="51" fillId="25" borderId="0" xfId="0" applyFont="1" applyFill="1"/>
    <xf numFmtId="169" fontId="57" fillId="23" borderId="39" xfId="0" applyNumberFormat="1" applyFont="1" applyFill="1" applyBorder="1" applyAlignment="1">
      <alignment horizontal="right"/>
    </xf>
    <xf numFmtId="169" fontId="57" fillId="23" borderId="42" xfId="0" applyNumberFormat="1" applyFont="1" applyFill="1" applyBorder="1" applyAlignment="1">
      <alignment horizontal="right"/>
    </xf>
    <xf numFmtId="169" fontId="57" fillId="23" borderId="14" xfId="0" applyNumberFormat="1" applyFont="1" applyFill="1" applyBorder="1" applyAlignment="1">
      <alignment horizontal="right"/>
    </xf>
    <xf numFmtId="3" fontId="6" fillId="23" borderId="39" xfId="0" applyNumberFormat="1" applyFont="1" applyFill="1" applyBorder="1" applyAlignment="1">
      <alignment horizontal="right"/>
    </xf>
    <xf numFmtId="3" fontId="6" fillId="23" borderId="42" xfId="0" applyNumberFormat="1" applyFont="1" applyFill="1" applyBorder="1" applyAlignment="1">
      <alignment horizontal="right"/>
    </xf>
    <xf numFmtId="3" fontId="6" fillId="23" borderId="14" xfId="0" applyNumberFormat="1" applyFont="1" applyFill="1" applyBorder="1" applyAlignment="1">
      <alignment horizontal="right" vertical="center"/>
    </xf>
    <xf numFmtId="3" fontId="6" fillId="23" borderId="14" xfId="0" applyNumberFormat="1" applyFont="1" applyFill="1" applyBorder="1" applyAlignment="1">
      <alignment horizontal="right"/>
    </xf>
    <xf numFmtId="3" fontId="9" fillId="23" borderId="14" xfId="0" applyNumberFormat="1" applyFont="1" applyFill="1" applyBorder="1" applyAlignment="1">
      <alignment horizontal="right"/>
    </xf>
    <xf numFmtId="167" fontId="9" fillId="23" borderId="14" xfId="1" applyNumberFormat="1" applyFont="1" applyFill="1" applyBorder="1" applyAlignment="1">
      <alignment horizontal="right"/>
    </xf>
    <xf numFmtId="3" fontId="9" fillId="23" borderId="14" xfId="0" applyNumberFormat="1" applyFont="1" applyFill="1" applyBorder="1"/>
    <xf numFmtId="167" fontId="3" fillId="23" borderId="14" xfId="1" applyNumberFormat="1" applyFont="1" applyFill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0" fillId="0" borderId="66" xfId="0" applyFill="1" applyBorder="1"/>
    <xf numFmtId="0" fontId="0" fillId="0" borderId="66" xfId="0" applyBorder="1"/>
    <xf numFmtId="0" fontId="9" fillId="0" borderId="67" xfId="0" applyFont="1" applyBorder="1"/>
    <xf numFmtId="166" fontId="0" fillId="0" borderId="66" xfId="0" applyNumberFormat="1" applyFill="1" applyBorder="1"/>
    <xf numFmtId="166" fontId="0" fillId="0" borderId="66" xfId="0" applyNumberFormat="1" applyBorder="1"/>
    <xf numFmtId="166" fontId="9" fillId="0" borderId="67" xfId="0" applyNumberFormat="1" applyFont="1" applyBorder="1"/>
    <xf numFmtId="0" fontId="0" fillId="23" borderId="65" xfId="0" applyFill="1" applyBorder="1"/>
    <xf numFmtId="166" fontId="0" fillId="23" borderId="65" xfId="0" applyNumberFormat="1" applyFill="1" applyBorder="1"/>
    <xf numFmtId="0" fontId="1" fillId="23" borderId="66" xfId="0" applyFont="1" applyFill="1" applyBorder="1"/>
    <xf numFmtId="166" fontId="0" fillId="23" borderId="66" xfId="0" applyNumberFormat="1" applyFill="1" applyBorder="1"/>
    <xf numFmtId="165" fontId="0" fillId="23" borderId="65" xfId="0" applyNumberFormat="1" applyFill="1" applyBorder="1"/>
    <xf numFmtId="165" fontId="0" fillId="23" borderId="66" xfId="0" applyNumberFormat="1" applyFill="1" applyBorder="1"/>
    <xf numFmtId="165" fontId="0" fillId="0" borderId="66" xfId="0" applyNumberFormat="1" applyFill="1" applyBorder="1"/>
    <xf numFmtId="165" fontId="0" fillId="0" borderId="66" xfId="0" applyNumberFormat="1" applyBorder="1"/>
    <xf numFmtId="165" fontId="9" fillId="0" borderId="67" xfId="0" applyNumberFormat="1" applyFont="1" applyBorder="1"/>
    <xf numFmtId="167" fontId="0" fillId="23" borderId="65" xfId="0" applyNumberFormat="1" applyFill="1" applyBorder="1"/>
    <xf numFmtId="167" fontId="0" fillId="23" borderId="66" xfId="0" applyNumberFormat="1" applyFill="1" applyBorder="1"/>
    <xf numFmtId="167" fontId="0" fillId="0" borderId="66" xfId="0" applyNumberFormat="1" applyFill="1" applyBorder="1"/>
    <xf numFmtId="167" fontId="0" fillId="0" borderId="66" xfId="0" applyNumberFormat="1" applyBorder="1"/>
    <xf numFmtId="167" fontId="9" fillId="0" borderId="67" xfId="0" applyNumberFormat="1" applyFont="1" applyBorder="1"/>
    <xf numFmtId="169" fontId="0" fillId="23" borderId="65" xfId="0" applyNumberFormat="1" applyFill="1" applyBorder="1"/>
    <xf numFmtId="169" fontId="0" fillId="23" borderId="66" xfId="0" applyNumberFormat="1" applyFill="1" applyBorder="1"/>
    <xf numFmtId="169" fontId="0" fillId="0" borderId="66" xfId="0" applyNumberFormat="1" applyFill="1" applyBorder="1"/>
    <xf numFmtId="169" fontId="0" fillId="0" borderId="66" xfId="0" applyNumberFormat="1" applyBorder="1"/>
    <xf numFmtId="169" fontId="9" fillId="0" borderId="67" xfId="0" applyNumberFormat="1" applyFont="1" applyBorder="1"/>
    <xf numFmtId="0" fontId="9" fillId="0" borderId="23" xfId="0" applyFont="1" applyBorder="1"/>
    <xf numFmtId="0" fontId="1" fillId="23" borderId="65" xfId="0" applyFont="1" applyFill="1" applyBorder="1"/>
    <xf numFmtId="0" fontId="1" fillId="0" borderId="66" xfId="0" applyFont="1" applyFill="1" applyBorder="1"/>
    <xf numFmtId="0" fontId="0" fillId="23" borderId="66" xfId="0" applyFill="1" applyBorder="1"/>
    <xf numFmtId="0" fontId="9" fillId="0" borderId="62" xfId="0" applyFont="1" applyBorder="1" applyAlignment="1">
      <alignment horizontal="center" vertical="center"/>
    </xf>
    <xf numFmtId="0" fontId="1" fillId="23" borderId="57" xfId="0" applyFont="1" applyFill="1" applyBorder="1"/>
    <xf numFmtId="0" fontId="1" fillId="0" borderId="59" xfId="0" applyFont="1" applyFill="1" applyBorder="1"/>
    <xf numFmtId="0" fontId="0" fillId="0" borderId="59" xfId="0" applyBorder="1"/>
    <xf numFmtId="0" fontId="0" fillId="23" borderId="59" xfId="0" applyFill="1" applyBorder="1"/>
    <xf numFmtId="0" fontId="9" fillId="0" borderId="61" xfId="0" applyFont="1" applyBorder="1"/>
    <xf numFmtId="171" fontId="9" fillId="0" borderId="67" xfId="0" applyNumberFormat="1" applyFont="1" applyBorder="1"/>
    <xf numFmtId="0" fontId="58" fillId="23" borderId="0" xfId="0" applyFont="1" applyFill="1"/>
    <xf numFmtId="171" fontId="0" fillId="23" borderId="0" xfId="0" applyNumberFormat="1" applyFill="1"/>
    <xf numFmtId="0" fontId="49" fillId="0" borderId="5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9" fillId="0" borderId="23" xfId="0" applyFont="1" applyFill="1" applyBorder="1"/>
    <xf numFmtId="0" fontId="9" fillId="0" borderId="23" xfId="0" applyFont="1" applyFill="1" applyBorder="1" applyAlignment="1">
      <alignment horizontal="center" vertical="center"/>
    </xf>
    <xf numFmtId="0" fontId="0" fillId="0" borderId="65" xfId="0" applyFill="1" applyBorder="1"/>
    <xf numFmtId="0" fontId="9" fillId="0" borderId="67" xfId="0" applyFont="1" applyFill="1" applyBorder="1"/>
    <xf numFmtId="166" fontId="0" fillId="0" borderId="65" xfId="0" applyNumberFormat="1" applyFill="1" applyBorder="1"/>
    <xf numFmtId="166" fontId="9" fillId="0" borderId="67" xfId="0" applyNumberFormat="1" applyFont="1" applyFill="1" applyBorder="1"/>
    <xf numFmtId="167" fontId="0" fillId="0" borderId="65" xfId="0" applyNumberFormat="1" applyFill="1" applyBorder="1"/>
    <xf numFmtId="166" fontId="9" fillId="0" borderId="61" xfId="0" applyNumberFormat="1" applyFont="1" applyFill="1" applyBorder="1"/>
    <xf numFmtId="167" fontId="9" fillId="0" borderId="67" xfId="0" applyNumberFormat="1" applyFont="1" applyFill="1" applyBorder="1"/>
    <xf numFmtId="169" fontId="0" fillId="0" borderId="65" xfId="0" applyNumberFormat="1" applyFill="1" applyBorder="1"/>
    <xf numFmtId="169" fontId="9" fillId="0" borderId="67" xfId="0" applyNumberFormat="1" applyFont="1" applyFill="1" applyBorder="1"/>
    <xf numFmtId="165" fontId="0" fillId="0" borderId="65" xfId="0" applyNumberFormat="1" applyFill="1" applyBorder="1"/>
    <xf numFmtId="0" fontId="9" fillId="0" borderId="62" xfId="0" applyFont="1" applyBorder="1"/>
    <xf numFmtId="171" fontId="0" fillId="23" borderId="65" xfId="0" applyNumberFormat="1" applyFill="1" applyBorder="1"/>
    <xf numFmtId="171" fontId="0" fillId="0" borderId="66" xfId="0" applyNumberFormat="1" applyFill="1" applyBorder="1"/>
    <xf numFmtId="171" fontId="0" fillId="23" borderId="66" xfId="0" applyNumberFormat="1" applyFill="1" applyBorder="1"/>
    <xf numFmtId="171" fontId="9" fillId="0" borderId="67" xfId="0" applyNumberFormat="1" applyFont="1" applyFill="1" applyBorder="1"/>
    <xf numFmtId="0" fontId="6" fillId="23" borderId="14" xfId="0" applyFont="1" applyFill="1" applyBorder="1" applyAlignment="1">
      <alignment wrapText="1"/>
    </xf>
    <xf numFmtId="0" fontId="6" fillId="23" borderId="14" xfId="0" applyFont="1" applyFill="1" applyBorder="1" applyAlignment="1">
      <alignment horizontal="center" vertical="center"/>
    </xf>
    <xf numFmtId="0" fontId="9" fillId="23" borderId="14" xfId="0" applyFont="1" applyFill="1" applyBorder="1" applyAlignment="1">
      <alignment horizontal="right"/>
    </xf>
    <xf numFmtId="4" fontId="9" fillId="23" borderId="14" xfId="0" applyNumberFormat="1" applyFont="1" applyFill="1" applyBorder="1" applyAlignment="1">
      <alignment horizontal="right"/>
    </xf>
    <xf numFmtId="166" fontId="9" fillId="23" borderId="14" xfId="0" applyNumberFormat="1" applyFont="1" applyFill="1" applyBorder="1" applyAlignment="1">
      <alignment horizontal="right"/>
    </xf>
    <xf numFmtId="166" fontId="26" fillId="0" borderId="0" xfId="0" applyNumberFormat="1" applyFont="1"/>
    <xf numFmtId="171" fontId="0" fillId="0" borderId="66" xfId="0" applyNumberFormat="1" applyBorder="1"/>
    <xf numFmtId="166" fontId="58" fillId="0" borderId="57" xfId="0" applyNumberFormat="1" applyFont="1" applyFill="1" applyBorder="1"/>
    <xf numFmtId="166" fontId="58" fillId="0" borderId="59" xfId="0" applyNumberFormat="1" applyFont="1" applyFill="1" applyBorder="1"/>
    <xf numFmtId="166" fontId="65" fillId="22" borderId="7" xfId="0" applyNumberFormat="1" applyFont="1" applyFill="1" applyBorder="1" applyAlignment="1">
      <alignment horizontal="right" indent="1"/>
    </xf>
    <xf numFmtId="166" fontId="65" fillId="22" borderId="17" xfId="0" applyNumberFormat="1" applyFont="1" applyFill="1" applyBorder="1" applyAlignment="1">
      <alignment horizontal="right" indent="1"/>
    </xf>
    <xf numFmtId="166" fontId="65" fillId="22" borderId="9" xfId="0" applyNumberFormat="1" applyFont="1" applyFill="1" applyBorder="1" applyAlignment="1">
      <alignment horizontal="right" indent="1"/>
    </xf>
    <xf numFmtId="166" fontId="65" fillId="22" borderId="50" xfId="0" applyNumberFormat="1" applyFont="1" applyFill="1" applyBorder="1" applyAlignment="1">
      <alignment horizontal="right" indent="1"/>
    </xf>
    <xf numFmtId="170" fontId="65" fillId="22" borderId="34" xfId="0" applyNumberFormat="1" applyFont="1" applyFill="1" applyBorder="1" applyAlignment="1">
      <alignment horizontal="right" indent="1"/>
    </xf>
    <xf numFmtId="170" fontId="65" fillId="22" borderId="52" xfId="0" applyNumberFormat="1" applyFont="1" applyFill="1" applyBorder="1" applyAlignment="1">
      <alignment horizontal="right" indent="1"/>
    </xf>
    <xf numFmtId="170" fontId="65" fillId="22" borderId="10" xfId="0" applyNumberFormat="1" applyFont="1" applyFill="1" applyBorder="1" applyAlignment="1">
      <alignment horizontal="right" indent="1"/>
    </xf>
    <xf numFmtId="170" fontId="57" fillId="23" borderId="10" xfId="0" applyNumberFormat="1" applyFont="1" applyFill="1" applyBorder="1" applyAlignment="1">
      <alignment horizontal="right" indent="1"/>
    </xf>
    <xf numFmtId="10" fontId="3" fillId="0" borderId="9" xfId="0" applyNumberFormat="1" applyFont="1" applyFill="1" applyBorder="1" applyAlignment="1">
      <alignment horizontal="right" indent="1"/>
    </xf>
    <xf numFmtId="0" fontId="51" fillId="27" borderId="68" xfId="0" applyFont="1" applyFill="1" applyBorder="1" applyAlignment="1">
      <alignment horizontal="center" vertical="center"/>
    </xf>
    <xf numFmtId="0" fontId="51" fillId="27" borderId="69" xfId="0" applyFont="1" applyFill="1" applyBorder="1" applyAlignment="1">
      <alignment horizontal="center" vertical="center"/>
    </xf>
    <xf numFmtId="0" fontId="51" fillId="27" borderId="70" xfId="0" applyFont="1" applyFill="1" applyBorder="1" applyAlignment="1">
      <alignment horizontal="center" vertical="center"/>
    </xf>
    <xf numFmtId="166" fontId="58" fillId="0" borderId="71" xfId="0" applyNumberFormat="1" applyFont="1" applyBorder="1" applyAlignment="1">
      <alignment horizontal="center" vertical="center"/>
    </xf>
    <xf numFmtId="166" fontId="58" fillId="0" borderId="72" xfId="0" applyNumberFormat="1" applyFont="1" applyBorder="1" applyAlignment="1">
      <alignment horizontal="center" vertical="center"/>
    </xf>
    <xf numFmtId="167" fontId="58" fillId="0" borderId="73" xfId="1" applyNumberFormat="1" applyFont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166" fontId="77" fillId="0" borderId="14" xfId="0" applyNumberFormat="1" applyFont="1" applyFill="1" applyBorder="1"/>
    <xf numFmtId="166" fontId="77" fillId="8" borderId="14" xfId="0" applyNumberFormat="1" applyFont="1" applyFill="1" applyBorder="1"/>
    <xf numFmtId="166" fontId="77" fillId="4" borderId="14" xfId="0" applyNumberFormat="1" applyFont="1" applyFill="1" applyBorder="1"/>
    <xf numFmtId="166" fontId="78" fillId="0" borderId="14" xfId="0" applyNumberFormat="1" applyFont="1" applyFill="1" applyBorder="1"/>
    <xf numFmtId="166" fontId="78" fillId="4" borderId="14" xfId="0" applyNumberFormat="1" applyFont="1" applyFill="1" applyBorder="1"/>
    <xf numFmtId="166" fontId="78" fillId="8" borderId="14" xfId="0" applyNumberFormat="1" applyFont="1" applyFill="1" applyBorder="1"/>
    <xf numFmtId="165" fontId="78" fillId="0" borderId="14" xfId="0" applyNumberFormat="1" applyFont="1" applyFill="1" applyBorder="1"/>
    <xf numFmtId="165" fontId="78" fillId="8" borderId="14" xfId="0" applyNumberFormat="1" applyFont="1" applyFill="1" applyBorder="1"/>
    <xf numFmtId="166" fontId="79" fillId="0" borderId="17" xfId="0" applyNumberFormat="1" applyFont="1" applyFill="1" applyBorder="1" applyAlignment="1">
      <alignment horizontal="right" indent="1"/>
    </xf>
    <xf numFmtId="166" fontId="79" fillId="0" borderId="9" xfId="0" applyNumberFormat="1" applyFont="1" applyFill="1" applyBorder="1" applyAlignment="1">
      <alignment horizontal="right" indent="1"/>
    </xf>
    <xf numFmtId="166" fontId="79" fillId="0" borderId="50" xfId="0" applyNumberFormat="1" applyFont="1" applyFill="1" applyBorder="1" applyAlignment="1">
      <alignment horizontal="right" indent="1"/>
    </xf>
    <xf numFmtId="166" fontId="78" fillId="0" borderId="9" xfId="0" applyNumberFormat="1" applyFont="1" applyFill="1" applyBorder="1" applyAlignment="1">
      <alignment horizontal="right" indent="1"/>
    </xf>
    <xf numFmtId="166" fontId="80" fillId="23" borderId="9" xfId="0" applyNumberFormat="1" applyFont="1" applyFill="1" applyBorder="1" applyAlignment="1">
      <alignment horizontal="right" indent="1"/>
    </xf>
    <xf numFmtId="0" fontId="6" fillId="26" borderId="23" xfId="0" applyFont="1" applyFill="1" applyBorder="1" applyAlignment="1">
      <alignment horizontal="center" vertical="center"/>
    </xf>
    <xf numFmtId="0" fontId="0" fillId="0" borderId="74" xfId="0" applyBorder="1"/>
    <xf numFmtId="0" fontId="0" fillId="0" borderId="75" xfId="0" applyBorder="1"/>
    <xf numFmtId="17" fontId="82" fillId="0" borderId="76" xfId="0" quotePrefix="1" applyNumberFormat="1" applyFont="1" applyBorder="1" applyAlignment="1">
      <alignment horizontal="right"/>
    </xf>
    <xf numFmtId="0" fontId="0" fillId="28" borderId="0" xfId="0" applyFill="1"/>
    <xf numFmtId="0" fontId="0" fillId="0" borderId="77" xfId="0" applyBorder="1"/>
    <xf numFmtId="0" fontId="0" fillId="0" borderId="78" xfId="0" applyBorder="1"/>
    <xf numFmtId="0" fontId="83" fillId="0" borderId="77" xfId="0" applyFont="1" applyBorder="1"/>
    <xf numFmtId="0" fontId="83" fillId="0" borderId="0" xfId="0" applyFont="1"/>
    <xf numFmtId="0" fontId="83" fillId="0" borderId="78" xfId="0" applyFont="1" applyBorder="1"/>
    <xf numFmtId="0" fontId="84" fillId="0" borderId="77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4" fillId="0" borderId="78" xfId="0" applyFont="1" applyBorder="1" applyAlignment="1">
      <alignment horizontal="center"/>
    </xf>
    <xf numFmtId="0" fontId="1" fillId="0" borderId="78" xfId="0" applyFont="1" applyBorder="1"/>
    <xf numFmtId="0" fontId="83" fillId="0" borderId="77" xfId="0" applyFont="1" applyBorder="1" applyAlignment="1">
      <alignment vertical="center"/>
    </xf>
    <xf numFmtId="0" fontId="81" fillId="0" borderId="77" xfId="3" applyBorder="1" applyAlignment="1" applyProtection="1">
      <alignment vertical="center"/>
    </xf>
    <xf numFmtId="0" fontId="88" fillId="0" borderId="77" xfId="0" applyFont="1" applyBorder="1" applyAlignment="1">
      <alignment vertical="center"/>
    </xf>
    <xf numFmtId="0" fontId="1" fillId="0" borderId="77" xfId="3" applyFont="1" applyBorder="1" applyAlignment="1" applyProtection="1">
      <alignment vertical="center"/>
    </xf>
    <xf numFmtId="0" fontId="1" fillId="0" borderId="77" xfId="0" applyFont="1" applyBorder="1" applyAlignment="1">
      <alignment vertical="center"/>
    </xf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84" fillId="0" borderId="77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4" fillId="0" borderId="78" xfId="0" applyFont="1" applyBorder="1" applyAlignment="1">
      <alignment horizontal="center"/>
    </xf>
    <xf numFmtId="0" fontId="85" fillId="0" borderId="77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78" xfId="0" applyFont="1" applyBorder="1" applyAlignment="1">
      <alignment horizontal="center"/>
    </xf>
    <xf numFmtId="0" fontId="65" fillId="22" borderId="62" xfId="0" applyFont="1" applyFill="1" applyBorder="1" applyAlignment="1">
      <alignment horizontal="center"/>
    </xf>
    <xf numFmtId="0" fontId="65" fillId="22" borderId="22" xfId="0" applyFont="1" applyFill="1" applyBorder="1" applyAlignment="1">
      <alignment horizontal="center"/>
    </xf>
    <xf numFmtId="0" fontId="6" fillId="23" borderId="62" xfId="0" applyFont="1" applyFill="1" applyBorder="1" applyAlignment="1">
      <alignment horizontal="center"/>
    </xf>
    <xf numFmtId="0" fontId="6" fillId="23" borderId="22" xfId="0" applyFont="1" applyFill="1" applyBorder="1" applyAlignment="1">
      <alignment horizontal="center"/>
    </xf>
    <xf numFmtId="0" fontId="9" fillId="24" borderId="27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174" fontId="76" fillId="23" borderId="0" xfId="0" applyNumberFormat="1" applyFont="1" applyFill="1" applyAlignment="1">
      <alignment horizontal="center" vertical="center"/>
    </xf>
    <xf numFmtId="174" fontId="76" fillId="22" borderId="0" xfId="0" applyNumberFormat="1" applyFont="1" applyFill="1" applyAlignment="1">
      <alignment horizontal="center" vertical="center"/>
    </xf>
    <xf numFmtId="0" fontId="76" fillId="22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15" xfId="0" applyNumberFormat="1" applyFont="1" applyFill="1" applyBorder="1" applyAlignment="1">
      <alignment horizontal="center"/>
    </xf>
    <xf numFmtId="3" fontId="9" fillId="2" borderId="32" xfId="0" applyNumberFormat="1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0" fillId="4" borderId="30" xfId="0" applyFill="1" applyBorder="1" applyAlignment="1"/>
    <xf numFmtId="0" fontId="0" fillId="0" borderId="31" xfId="0" applyBorder="1" applyAlignment="1"/>
    <xf numFmtId="0" fontId="10" fillId="4" borderId="30" xfId="0" applyFont="1" applyFill="1" applyBorder="1" applyAlignment="1"/>
    <xf numFmtId="0" fontId="51" fillId="25" borderId="65" xfId="0" applyFont="1" applyFill="1" applyBorder="1" applyAlignment="1">
      <alignment horizontal="center" vertical="center"/>
    </xf>
    <xf numFmtId="0" fontId="51" fillId="25" borderId="66" xfId="0" applyFont="1" applyFill="1" applyBorder="1" applyAlignment="1">
      <alignment horizontal="center" vertical="center"/>
    </xf>
    <xf numFmtId="0" fontId="51" fillId="23" borderId="58" xfId="0" applyFont="1" applyFill="1" applyBorder="1" applyAlignment="1">
      <alignment horizontal="center" vertical="center"/>
    </xf>
    <xf numFmtId="0" fontId="51" fillId="23" borderId="60" xfId="0" applyFont="1" applyFill="1" applyBorder="1" applyAlignment="1">
      <alignment horizontal="center" vertical="center"/>
    </xf>
    <xf numFmtId="0" fontId="51" fillId="25" borderId="0" xfId="0" applyFont="1" applyFill="1" applyAlignment="1">
      <alignment horizontal="left" vertical="center"/>
    </xf>
    <xf numFmtId="0" fontId="51" fillId="25" borderId="0" xfId="0" applyFont="1" applyFill="1" applyAlignment="1">
      <alignment horizontal="left"/>
    </xf>
    <xf numFmtId="172" fontId="47" fillId="0" borderId="53" xfId="0" applyNumberFormat="1" applyFont="1" applyBorder="1" applyAlignment="1">
      <alignment horizontal="right" vertical="center" indent="1"/>
    </xf>
    <xf numFmtId="171" fontId="47" fillId="0" borderId="53" xfId="0" applyNumberFormat="1" applyFont="1" applyBorder="1" applyAlignment="1">
      <alignment horizontal="right" vertical="center" indent="1"/>
    </xf>
    <xf numFmtId="171" fontId="49" fillId="0" borderId="53" xfId="0" applyNumberFormat="1" applyFont="1" applyBorder="1" applyAlignment="1">
      <alignment horizontal="right" vertical="center" indent="1"/>
    </xf>
    <xf numFmtId="0" fontId="73" fillId="19" borderId="53" xfId="0" applyFont="1" applyFill="1" applyBorder="1" applyAlignment="1">
      <alignment horizontal="center" vertical="center" wrapText="1"/>
    </xf>
    <xf numFmtId="172" fontId="49" fillId="0" borderId="53" xfId="0" applyNumberFormat="1" applyFont="1" applyBorder="1" applyAlignment="1">
      <alignment horizontal="right" vertical="center" indent="1"/>
    </xf>
    <xf numFmtId="0" fontId="50" fillId="19" borderId="53" xfId="0" applyFont="1" applyFill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6" fillId="12" borderId="44" xfId="0" applyFont="1" applyFill="1" applyBorder="1" applyAlignment="1">
      <alignment horizontal="center" vertical="center" wrapText="1"/>
    </xf>
    <xf numFmtId="0" fontId="6" fillId="12" borderId="45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3" borderId="45" xfId="0" applyFont="1" applyFill="1" applyBorder="1" applyAlignment="1">
      <alignment horizontal="center" vertical="center" wrapText="1"/>
    </xf>
    <xf numFmtId="0" fontId="6" fillId="13" borderId="47" xfId="0" applyFont="1" applyFill="1" applyBorder="1" applyAlignment="1">
      <alignment horizontal="center" vertical="center" wrapText="1"/>
    </xf>
  </cellXfs>
  <cellStyles count="4">
    <cellStyle name="Lien hypertexte" xfId="3" builtinId="8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  <color rgb="FFD600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158880221289585E-2"/>
          <c:y val="9.3286116843982012E-2"/>
          <c:w val="0.95065420270243306"/>
          <c:h val="0.906713832829452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'Glossaire et introduction ok'!$E$19</c:f>
              <c:strCache>
                <c:ptCount val="1"/>
                <c:pt idx="0">
                  <c:v>RETRAITE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FA-45C9-AA17-5E6F753CFC2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FA-45C9-AA17-5E6F753CFC2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FA-45C9-AA17-5E6F753CFC2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FA-45C9-AA17-5E6F753CFC2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FA-45C9-AA17-5E6F753CFC2F}"/>
              </c:ext>
            </c:extLst>
          </c:dPt>
          <c:cat>
            <c:numRef>
              <c:f>'[1]Glossaire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 ok'!$D$19</c:f>
              <c:numCache>
                <c:formatCode>_-* #\ ##0.0\ _€_-;\-* #\ ##0.0\ _€_-;_-* "-"??\ _€_-;_-@_-</c:formatCode>
                <c:ptCount val="1"/>
                <c:pt idx="0">
                  <c:v>7182.5108837500011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FA-45C9-AA17-5E6F753CFC2F}"/>
            </c:ext>
          </c:extLst>
        </c:ser>
        <c:ser>
          <c:idx val="1"/>
          <c:order val="1"/>
          <c:tx>
            <c:strRef>
              <c:f>'Glossaire et introduction ok'!$E$20</c:f>
              <c:strCache>
                <c:ptCount val="1"/>
                <c:pt idx="0">
                  <c:v>MALADIE (avec IJ Amexa)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'[1]Glossaire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 ok'!$D$20</c:f>
              <c:numCache>
                <c:formatCode>_-* #\ ##0.0\ _€_-;\-* #\ ##0.0\ _€_-;_-* "-"??\ _€_-;_-@_-</c:formatCode>
                <c:ptCount val="1"/>
                <c:pt idx="0">
                  <c:v>6435.3547742700002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FA-45C9-AA17-5E6F753CFC2F}"/>
            </c:ext>
          </c:extLst>
        </c:ser>
        <c:ser>
          <c:idx val="2"/>
          <c:order val="2"/>
          <c:tx>
            <c:strRef>
              <c:f>'Glossaire et introduction ok'!$E$21</c:f>
              <c:strCache>
                <c:ptCount val="1"/>
                <c:pt idx="0">
                  <c:v>RCO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'[1]Glossaire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 ok'!$D$21</c:f>
              <c:numCache>
                <c:formatCode>_-* #\ ##0.0\ _€_-;\-* #\ ##0.0\ _€_-;_-* "-"??\ _€_-;_-@_-</c:formatCode>
                <c:ptCount val="1"/>
                <c:pt idx="0">
                  <c:v>1353.16003187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FA-45C9-AA17-5E6F753CFC2F}"/>
            </c:ext>
          </c:extLst>
        </c:ser>
        <c:ser>
          <c:idx val="3"/>
          <c:order val="3"/>
          <c:tx>
            <c:strRef>
              <c:f>'Glossaire et introduction ok'!$E$22</c:f>
              <c:strCache>
                <c:ptCount val="1"/>
                <c:pt idx="0">
                  <c:v>FAMILLE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BFA-45C9-AA17-5E6F753CFC2F}"/>
              </c:ext>
            </c:extLst>
          </c:dPt>
          <c:cat>
            <c:numRef>
              <c:f>'[1]Glossaire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 ok'!$D$22</c:f>
              <c:numCache>
                <c:formatCode>_-* #\ ##0.0\ _€_-;\-* #\ ##0.0\ _€_-;_-* "-"??\ _€_-;_-@_-</c:formatCode>
                <c:ptCount val="1"/>
                <c:pt idx="0">
                  <c:v>556.93909781000002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BFA-45C9-AA17-5E6F753CFC2F}"/>
            </c:ext>
          </c:extLst>
        </c:ser>
        <c:ser>
          <c:idx val="4"/>
          <c:order val="4"/>
          <c:tx>
            <c:strRef>
              <c:f>'Glossaire et introduction ok'!$E$23</c:f>
              <c:strCache>
                <c:ptCount val="1"/>
                <c:pt idx="0">
                  <c:v>Atexa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FA-45C9-AA17-5E6F753CFC2F}"/>
              </c:ext>
            </c:extLst>
          </c:dPt>
          <c:cat>
            <c:numRef>
              <c:f>'[1]Glossaire et introduction'!$F$22</c:f>
              <c:numCache>
                <c:formatCode>General</c:formatCode>
                <c:ptCount val="1"/>
              </c:numCache>
            </c:numRef>
          </c:cat>
          <c:val>
            <c:numRef>
              <c:f>'Glossaire et introduction ok'!$D$23</c:f>
              <c:numCache>
                <c:formatCode>_-* #\ ##0.0\ _€_-;\-* #\ ##0.0\ _€_-;_-* "-"??\ _€_-;_-@_-</c:formatCode>
                <c:ptCount val="1"/>
                <c:pt idx="0">
                  <c:v>544.46531756000002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FA-45C9-AA17-5E6F753C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"/>
        <c:axId val="673189304"/>
        <c:axId val="673194552"/>
      </c:barChart>
      <c:valAx>
        <c:axId val="673194552"/>
        <c:scaling>
          <c:orientation val="minMax"/>
        </c:scaling>
        <c:delete val="1"/>
        <c:axPos val="t"/>
        <c:numFmt formatCode="_-* #\ ##0.0\ _€_-;\-* #\ ##0.0\ _€_-;_-* &quot;-&quot;??\ _€_-;_-@_-" sourceLinked="1"/>
        <c:majorTickMark val="out"/>
        <c:minorTickMark val="none"/>
        <c:tickLblPos val="nextTo"/>
        <c:crossAx val="673189304"/>
        <c:crosses val="autoZero"/>
        <c:crossBetween val="between"/>
      </c:valAx>
      <c:catAx>
        <c:axId val="673189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6731945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 ok'!$B$41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0000"/>
                    <a:lumOff val="40000"/>
                    <a:shade val="30000"/>
                    <a:satMod val="115000"/>
                  </a:schemeClr>
                </a:gs>
                <a:gs pos="50000">
                  <a:schemeClr val="accent5">
                    <a:lumMod val="60000"/>
                    <a:lumOff val="40000"/>
                    <a:shade val="67500"/>
                    <a:satMod val="115000"/>
                  </a:schemeClr>
                </a:gs>
                <a:gs pos="100000">
                  <a:schemeClr val="accent5">
                    <a:lumMod val="60000"/>
                    <a:lumOff val="40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cat>
            <c:strRef>
              <c:f>'%produits ok'!$A$42:$A$47</c:f>
              <c:strCache>
                <c:ptCount val="6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  <c:pt idx="5">
                  <c:v>Total RECETTES</c:v>
                </c:pt>
              </c:strCache>
            </c:strRef>
          </c:cat>
          <c:val>
            <c:numRef>
              <c:f>'%produitsRetraite'!$B$37:$B$42</c:f>
              <c:numCache>
                <c:formatCode>#\ ##0.0</c:formatCode>
                <c:ptCount val="6"/>
                <c:pt idx="0">
                  <c:v>6739.8950729299995</c:v>
                </c:pt>
                <c:pt idx="1">
                  <c:v>482.64738179000005</c:v>
                </c:pt>
                <c:pt idx="2">
                  <c:v>577.7141087</c:v>
                </c:pt>
                <c:pt idx="3">
                  <c:v>7356.0507035499995</c:v>
                </c:pt>
                <c:pt idx="4">
                  <c:v>1325.17474096</c:v>
                </c:pt>
                <c:pt idx="5">
                  <c:v>16481.482007930001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5-43CE-B812-43BC1AAEF52F}"/>
            </c:ext>
          </c:extLst>
        </c:ser>
        <c:ser>
          <c:idx val="1"/>
          <c:order val="1"/>
          <c:tx>
            <c:strRef>
              <c:f>'%charges ok'!$C$41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  <a:shade val="30000"/>
                    <a:satMod val="115000"/>
                  </a:schemeClr>
                </a:gs>
                <a:gs pos="50000">
                  <a:schemeClr val="accent5">
                    <a:lumMod val="75000"/>
                    <a:shade val="67500"/>
                    <a:satMod val="115000"/>
                  </a:schemeClr>
                </a:gs>
                <a:gs pos="100000">
                  <a:schemeClr val="accent5">
                    <a:lumMod val="75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888888888888888E-2"/>
                  <c:y val="-2.31481481481481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5-43CE-B812-43BC1AAEF52F}"/>
                </c:ext>
              </c:extLst>
            </c:dLbl>
            <c:dLbl>
              <c:idx val="1"/>
              <c:layout>
                <c:manualLayout>
                  <c:x val="5.5555555555555558E-3"/>
                  <c:y val="-9.2592592592591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5-43CE-B812-43BC1AAEF52F}"/>
                </c:ext>
              </c:extLst>
            </c:dLbl>
            <c:dLbl>
              <c:idx val="2"/>
              <c:layout>
                <c:manualLayout>
                  <c:x val="-5.0925337632079971E-17"/>
                  <c:y val="-3.2407407407407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5-43CE-B812-43BC1AAEF52F}"/>
                </c:ext>
              </c:extLst>
            </c:dLbl>
            <c:dLbl>
              <c:idx val="3"/>
              <c:layout>
                <c:manualLayout>
                  <c:x val="3.4793618067418375E-2"/>
                  <c:y val="-4.590916780776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5-43CE-B812-43BC1AAEF52F}"/>
                </c:ext>
              </c:extLst>
            </c:dLbl>
            <c:dLbl>
              <c:idx val="4"/>
              <c:layout>
                <c:manualLayout>
                  <c:x val="-1.0185067526415994E-16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5-43CE-B812-43BC1AAEF52F}"/>
                </c:ext>
              </c:extLst>
            </c:dLbl>
            <c:dLbl>
              <c:idx val="5"/>
              <c:layout>
                <c:manualLayout>
                  <c:x val="6.0858211255452273E-2"/>
                  <c:y val="1.93328872853724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5-43CE-B812-43BC1AAEF52F}"/>
                </c:ext>
              </c:extLst>
            </c:dLbl>
            <c:numFmt formatCode="#,##0.0\ &quot;M&quot;&quot;€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'%produits ok'!$A$42:$A$47</c:f>
              <c:strCache>
                <c:ptCount val="6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  <c:pt idx="5">
                  <c:v>Total RECETTES</c:v>
                </c:pt>
              </c:strCache>
            </c:strRef>
          </c:cat>
          <c:val>
            <c:numRef>
              <c:f>'%produits ok'!$C$42:$C$47</c:f>
              <c:numCache>
                <c:formatCode>#\ ##0.0</c:formatCode>
                <c:ptCount val="6"/>
                <c:pt idx="0">
                  <c:v>6438.289253840001</c:v>
                </c:pt>
                <c:pt idx="1">
                  <c:v>521.10133897000003</c:v>
                </c:pt>
                <c:pt idx="2">
                  <c:v>556.93909781000002</c:v>
                </c:pt>
                <c:pt idx="3">
                  <c:v>7286.3928688199994</c:v>
                </c:pt>
                <c:pt idx="4">
                  <c:v>1334.33521802</c:v>
                </c:pt>
                <c:pt idx="5">
                  <c:v>16137.057777460001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35-43CE-B812-43BC1AAEF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487848"/>
        <c:axId val="436491768"/>
      </c:barChart>
      <c:catAx>
        <c:axId val="436487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36491768"/>
        <c:crosses val="autoZero"/>
        <c:auto val="1"/>
        <c:lblAlgn val="ctr"/>
        <c:lblOffset val="100"/>
        <c:noMultiLvlLbl val="0"/>
      </c:catAx>
      <c:valAx>
        <c:axId val="436491768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436487848"/>
        <c:crosses val="autoZero"/>
        <c:crossBetween val="between"/>
        <c:majorUnit val="2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legend>
      <c:legendPos val="r"/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Principales contributions à l'évolution des recettes en 2025</a:t>
            </a:r>
          </a:p>
          <a:p>
            <a:pPr>
              <a:defRPr sz="1100"/>
            </a:pPr>
            <a:r>
              <a:rPr lang="fr-FR" sz="1100"/>
              <a:t>(Total : - 2,1 points)</a:t>
            </a:r>
          </a:p>
        </c:rich>
      </c:tx>
      <c:layout>
        <c:manualLayout>
          <c:xMode val="edge"/>
          <c:yMode val="edge"/>
          <c:x val="0.31493775352301634"/>
          <c:y val="4.3029256057697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001135116162713"/>
          <c:y val="0.20085703485936643"/>
          <c:w val="0.83053747799597344"/>
          <c:h val="0.4733249607348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'%produits ok'!$H$16</c:f>
              <c:strCache>
                <c:ptCount val="1"/>
                <c:pt idx="0">
                  <c:v>Itaf (+0,5%)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shade val="45000"/>
                    <a:shade val="51000"/>
                    <a:satMod val="130000"/>
                  </a:schemeClr>
                </a:gs>
                <a:gs pos="80000">
                  <a:schemeClr val="accent5">
                    <a:shade val="45000"/>
                    <a:shade val="93000"/>
                    <a:satMod val="130000"/>
                  </a:schemeClr>
                </a:gs>
                <a:gs pos="100000">
                  <a:schemeClr val="accent5">
                    <a:shade val="4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B3-40D6-AB5D-6EFC81D69F3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B3-40D6-AB5D-6EFC81D69F3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DB3-40D6-AB5D-6EFC81D69F3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DB3-40D6-AB5D-6EFC81D69F3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DB3-40D6-AB5D-6EFC81D69F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B3-40D6-AB5D-6EFC81D69F3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DB3-40D6-AB5D-6EFC81D69F31}"/>
              </c:ext>
            </c:extLst>
          </c:dPt>
          <c:dLbls>
            <c:dLbl>
              <c:idx val="0"/>
              <c:layout>
                <c:manualLayout>
                  <c:x val="-2.6773761713520749E-3"/>
                  <c:y val="-1.61598784573550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B3-40D6-AB5D-6EFC81D69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'%produits ok'!$I$16</c:f>
              <c:numCache>
                <c:formatCode>\+0.0;\-0.0</c:formatCode>
                <c:ptCount val="1"/>
                <c:pt idx="0">
                  <c:v>2.065245752513186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C-0DB3-40D6-AB5D-6EFC81D69F31}"/>
            </c:ext>
          </c:extLst>
        </c:ser>
        <c:ser>
          <c:idx val="1"/>
          <c:order val="1"/>
          <c:tx>
            <c:strRef>
              <c:f>'%produits ok'!$H$17</c:f>
              <c:strCache>
                <c:ptCount val="1"/>
                <c:pt idx="0">
                  <c:v>Contributions du Régime général (-12,7%)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1000"/>
                    <a:shade val="51000"/>
                    <a:satMod val="130000"/>
                  </a:schemeClr>
                </a:gs>
                <a:gs pos="80000">
                  <a:schemeClr val="accent5">
                    <a:shade val="61000"/>
                    <a:shade val="93000"/>
                    <a:satMod val="130000"/>
                  </a:schemeClr>
                </a:gs>
                <a:gs pos="100000">
                  <a:schemeClr val="accent5">
                    <a:shade val="61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DB3-40D6-AB5D-6EFC81D69F3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DB3-40D6-AB5D-6EFC81D69F3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DB3-40D6-AB5D-6EFC81D69F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DB3-40D6-AB5D-6EFC81D69F3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0DB3-40D6-AB5D-6EFC81D69F31}"/>
              </c:ext>
            </c:extLst>
          </c:dPt>
          <c:dLbls>
            <c:dLbl>
              <c:idx val="0"/>
              <c:layout>
                <c:manualLayout>
                  <c:x val="2.6773761713520749E-3"/>
                  <c:y val="0.129279027658840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B3-40D6-AB5D-6EFC81D69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'%produits ok'!$I$17</c:f>
              <c:numCache>
                <c:formatCode>\+0.0;\-0.0</c:formatCode>
                <c:ptCount val="1"/>
                <c:pt idx="0">
                  <c:v>-2.5939377057494033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DB3-40D6-AB5D-6EFC81D69F31}"/>
            </c:ext>
          </c:extLst>
        </c:ser>
        <c:ser>
          <c:idx val="2"/>
          <c:order val="2"/>
          <c:tx>
            <c:strRef>
              <c:f>'%produits ok'!$H$20</c:f>
              <c:strCache>
                <c:ptCount val="1"/>
                <c:pt idx="0">
                  <c:v>Autres produits (+2,0%)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0DB3-40D6-AB5D-6EFC81D69F3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0DB3-40D6-AB5D-6EFC81D69F3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0DB3-40D6-AB5D-6EFC81D69F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0DB3-40D6-AB5D-6EFC81D69F3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0DB3-40D6-AB5D-6EFC81D69F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'%produits ok'!$I$20</c:f>
              <c:numCache>
                <c:formatCode>\+0.0;\-0.0</c:formatCode>
                <c:ptCount val="1"/>
                <c:pt idx="0">
                  <c:v>0.42906255308822089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23-0DB3-40D6-AB5D-6EFC81D69F31}"/>
            </c:ext>
          </c:extLst>
        </c:ser>
        <c:ser>
          <c:idx val="4"/>
          <c:order val="3"/>
          <c:tx>
            <c:strRef>
              <c:f>'%produits ok'!$H$18</c:f>
              <c:strCache>
                <c:ptCount val="1"/>
                <c:pt idx="0">
                  <c:v>Compensation démographique (+1,9%)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tint val="93000"/>
                    <a:shade val="51000"/>
                    <a:satMod val="130000"/>
                  </a:schemeClr>
                </a:gs>
                <a:gs pos="80000">
                  <a:schemeClr val="accent5">
                    <a:tint val="93000"/>
                    <a:shade val="93000"/>
                    <a:satMod val="130000"/>
                  </a:schemeClr>
                </a:gs>
                <a:gs pos="100000">
                  <a:schemeClr val="accent5">
                    <a:tint val="9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DB3-40D6-AB5D-6EFC81D69F3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DB3-40D6-AB5D-6EFC81D69F3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DB3-40D6-AB5D-6EFC81D69F3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DB3-40D6-AB5D-6EFC81D69F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DB3-40D6-AB5D-6EFC81D69F3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DB3-40D6-AB5D-6EFC81D69F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'%produits ok'!$I$18</c:f>
              <c:numCache>
                <c:formatCode>\+0.0;\-0.0</c:formatCode>
                <c:ptCount val="1"/>
                <c:pt idx="0">
                  <c:v>-2.6624850834938343E-3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0-0DB3-40D6-AB5D-6EFC81D69F31}"/>
            </c:ext>
          </c:extLst>
        </c:ser>
        <c:ser>
          <c:idx val="3"/>
          <c:order val="4"/>
          <c:tx>
            <c:strRef>
              <c:f>'%produits ok'!$H$19</c:f>
              <c:strCache>
                <c:ptCount val="1"/>
                <c:pt idx="0">
                  <c:v>Cotisations employeurs (+3,7%)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shade val="92000"/>
                    <a:shade val="51000"/>
                    <a:satMod val="130000"/>
                  </a:schemeClr>
                </a:gs>
                <a:gs pos="80000">
                  <a:schemeClr val="accent5">
                    <a:shade val="92000"/>
                    <a:shade val="93000"/>
                    <a:satMod val="130000"/>
                  </a:schemeClr>
                </a:gs>
                <a:gs pos="100000">
                  <a:schemeClr val="accent5">
                    <a:shade val="9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0DB3-40D6-AB5D-6EFC81D69F3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DB3-40D6-AB5D-6EFC81D69F3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0DB3-40D6-AB5D-6EFC81D69F3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0DB3-40D6-AB5D-6EFC81D69F3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0DB3-40D6-AB5D-6EFC81D69F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'%produits ok'!$I$19</c:f>
              <c:numCache>
                <c:formatCode>\+0.0;\-0.0</c:formatCode>
                <c:ptCount val="1"/>
                <c:pt idx="0">
                  <c:v>-1.7779973723176461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B-0DB3-40D6-AB5D-6EFC81D69F31}"/>
            </c:ext>
          </c:extLst>
        </c:ser>
        <c:ser>
          <c:idx val="6"/>
          <c:order val="5"/>
          <c:tx>
            <c:strRef>
              <c:f>'%produits ok'!$H$21</c:f>
              <c:strCache>
                <c:ptCount val="1"/>
                <c:pt idx="0">
                  <c:v>Prise en charge de prestations (+7,6%)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tint val="62000"/>
                    <a:shade val="51000"/>
                    <a:satMod val="130000"/>
                  </a:schemeClr>
                </a:gs>
                <a:gs pos="80000">
                  <a:schemeClr val="accent5">
                    <a:tint val="62000"/>
                    <a:shade val="93000"/>
                    <a:satMod val="130000"/>
                  </a:schemeClr>
                </a:gs>
                <a:gs pos="100000">
                  <a:schemeClr val="accent5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'%produits ok'!$I$21</c:f>
              <c:numCache>
                <c:formatCode>\+0.0;\-0.0</c:formatCode>
                <c:ptCount val="1"/>
                <c:pt idx="0">
                  <c:v>1.4681799238901794E-3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C-0DB3-40D6-AB5D-6EFC81D69F31}"/>
            </c:ext>
          </c:extLst>
        </c:ser>
        <c:ser>
          <c:idx val="5"/>
          <c:order val="6"/>
          <c:tx>
            <c:strRef>
              <c:f>'%produits ok'!$H$22</c:f>
              <c:strCache>
                <c:ptCount val="1"/>
                <c:pt idx="0">
                  <c:v>Contribution Sociale Généralisée (+4,9%)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'%produits ok'!$I$22</c:f>
              <c:numCache>
                <c:formatCode>\+0.0;\-0.0</c:formatCode>
                <c:ptCount val="1"/>
                <c:pt idx="0">
                  <c:v>-0.19138668467327791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0DB3-40D6-AB5D-6EFC81D69F31}"/>
            </c:ext>
          </c:extLst>
        </c:ser>
        <c:ser>
          <c:idx val="7"/>
          <c:order val="7"/>
          <c:tx>
            <c:strRef>
              <c:f>'%produits ok'!$H$23</c:f>
              <c:strCache>
                <c:ptCount val="1"/>
                <c:pt idx="0">
                  <c:v>Cotisations prises en charge par l'Etat (+0,8%)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tint val="46000"/>
                    <a:shade val="51000"/>
                    <a:satMod val="130000"/>
                  </a:schemeClr>
                </a:gs>
                <a:gs pos="80000">
                  <a:schemeClr val="accent5">
                    <a:tint val="46000"/>
                    <a:shade val="93000"/>
                    <a:satMod val="130000"/>
                  </a:schemeClr>
                </a:gs>
                <a:gs pos="100000">
                  <a:schemeClr val="accent5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'%produits ok'!$I$23</c:f>
              <c:numCache>
                <c:formatCode>0.0_ ;\-0.0\ </c:formatCode>
                <c:ptCount val="1"/>
                <c:pt idx="0">
                  <c:v>-1.955716481351082E-2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E-0DB3-40D6-AB5D-6EFC81D69F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489808"/>
        <c:axId val="436485888"/>
        <c:extLst/>
      </c:barChart>
      <c:catAx>
        <c:axId val="436489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high"/>
        <c:crossAx val="436485888"/>
        <c:crossesAt val="0"/>
        <c:auto val="1"/>
        <c:lblAlgn val="ctr"/>
        <c:lblOffset val="100"/>
        <c:noMultiLvlLbl val="0"/>
      </c:catAx>
      <c:valAx>
        <c:axId val="436485888"/>
        <c:scaling>
          <c:orientation val="minMax"/>
          <c:max val="2"/>
          <c:min val="-4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Contribution à l'évolution (en points)</a:t>
                </a:r>
              </a:p>
            </c:rich>
          </c:tx>
          <c:layout>
            <c:manualLayout>
              <c:xMode val="edge"/>
              <c:yMode val="edge"/>
              <c:x val="0.10323622089643519"/>
              <c:y val="1.91730681681315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crossAx val="4364898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705440893188634E-2"/>
          <c:y val="0.75509702431497439"/>
          <c:w val="0.97856436644061084"/>
          <c:h val="0.22301251804451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Contributions à l'évolution des recettes selon la branche en 2025</a:t>
            </a:r>
          </a:p>
          <a:p>
            <a:pPr>
              <a:defRPr sz="1100"/>
            </a:pPr>
            <a:r>
              <a:rPr lang="fr-FR" sz="1100"/>
              <a:t>(Total : - 2,1 points)</a:t>
            </a:r>
          </a:p>
        </c:rich>
      </c:tx>
      <c:layout>
        <c:manualLayout>
          <c:xMode val="edge"/>
          <c:yMode val="edge"/>
          <c:x val="0.14274547006925339"/>
          <c:y val="4.8479635372065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 ok'!$A$42</c:f>
              <c:strCache>
                <c:ptCount val="1"/>
                <c:pt idx="0">
                  <c:v>MALADIE (avec IJ Amexa)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3000"/>
                    <a:shade val="51000"/>
                    <a:satMod val="130000"/>
                  </a:schemeClr>
                </a:gs>
                <a:gs pos="80000">
                  <a:schemeClr val="accent5">
                    <a:shade val="53000"/>
                    <a:shade val="93000"/>
                    <a:satMod val="130000"/>
                  </a:schemeClr>
                </a:gs>
                <a:gs pos="100000">
                  <a:schemeClr val="accent5">
                    <a:shade val="5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4E-4F8B-891F-422D02F4D5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44E-4F8B-891F-422D02F4D5C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44E-4F8B-891F-422D02F4D5C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4E-4F8B-891F-422D02F4D5C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4E-4F8B-891F-422D02F4D5C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4E-4F8B-891F-422D02F4D5C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44E-4F8B-891F-422D02F4D5C4}"/>
              </c:ext>
            </c:extLst>
          </c:dPt>
          <c:dLbls>
            <c:dLbl>
              <c:idx val="0"/>
              <c:layout>
                <c:manualLayout>
                  <c:x val="0"/>
                  <c:y val="0.118506199497729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E-4F8B-891F-422D02F4D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'%produits ok'!$F$42</c:f>
              <c:numCache>
                <c:formatCode>\+0.0;\-0.0</c:formatCode>
                <c:ptCount val="1"/>
                <c:pt idx="0">
                  <c:v>-1.8299678326553592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4E-4F8B-891F-422D02F4D5C4}"/>
            </c:ext>
          </c:extLst>
        </c:ser>
        <c:ser>
          <c:idx val="1"/>
          <c:order val="1"/>
          <c:tx>
            <c:strRef>
              <c:f>'%charges ok'!$A$43</c:f>
              <c:strCache>
                <c:ptCount val="1"/>
                <c:pt idx="0">
                  <c:v>Atexa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44E-4F8B-891F-422D02F4D5C4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44E-4F8B-891F-422D02F4D5C4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44E-4F8B-891F-422D02F4D5C4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44E-4F8B-891F-422D02F4D5C4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44E-4F8B-891F-422D02F4D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'%produits ok'!$F$43</c:f>
              <c:numCache>
                <c:formatCode>\+0.0;\-0.0</c:formatCode>
                <c:ptCount val="1"/>
                <c:pt idx="0">
                  <c:v>0.23331613723509806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44E-4F8B-891F-422D02F4D5C4}"/>
            </c:ext>
          </c:extLst>
        </c:ser>
        <c:ser>
          <c:idx val="4"/>
          <c:order val="2"/>
          <c:tx>
            <c:strRef>
              <c:f>'%charges ok'!$A$44</c:f>
              <c:strCache>
                <c:ptCount val="1"/>
                <c:pt idx="0">
                  <c:v>FAMILLE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4000"/>
                    <a:shade val="51000"/>
                    <a:satMod val="130000"/>
                  </a:schemeClr>
                </a:gs>
                <a:gs pos="80000">
                  <a:schemeClr val="accent5">
                    <a:tint val="54000"/>
                    <a:shade val="93000"/>
                    <a:satMod val="130000"/>
                  </a:schemeClr>
                </a:gs>
                <a:gs pos="100000">
                  <a:schemeClr val="accent5">
                    <a:tint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344E-4F8B-891F-422D02F4D5C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44E-4F8B-891F-422D02F4D5C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44E-4F8B-891F-422D02F4D5C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344E-4F8B-891F-422D02F4D5C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344E-4F8B-891F-422D02F4D5C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344E-4F8B-891F-422D02F4D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'%produits ok'!$F$44</c:f>
              <c:numCache>
                <c:formatCode>\+0.0;\-0.0</c:formatCode>
                <c:ptCount val="1"/>
                <c:pt idx="0">
                  <c:v>-0.12605062384562377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344E-4F8B-891F-422D02F4D5C4}"/>
            </c:ext>
          </c:extLst>
        </c:ser>
        <c:ser>
          <c:idx val="3"/>
          <c:order val="3"/>
          <c:tx>
            <c:strRef>
              <c:f>'%charges ok'!$A$45</c:f>
              <c:strCache>
                <c:ptCount val="1"/>
                <c:pt idx="0">
                  <c:v>RETRAITE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344E-4F8B-891F-422D02F4D5C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344E-4F8B-891F-422D02F4D5C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344E-4F8B-891F-422D02F4D5C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344E-4F8B-891F-422D02F4D5C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344E-4F8B-891F-422D02F4D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'%produits ok'!$F$45</c:f>
              <c:numCache>
                <c:formatCode>\+0.0;\-0.0</c:formatCode>
                <c:ptCount val="1"/>
                <c:pt idx="0">
                  <c:v>-0.42264302868203313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44E-4F8B-891F-422D02F4D5C4}"/>
            </c:ext>
          </c:extLst>
        </c:ser>
        <c:ser>
          <c:idx val="2"/>
          <c:order val="4"/>
          <c:tx>
            <c:strRef>
              <c:f>'%charges ok'!$A$46</c:f>
              <c:strCache>
                <c:ptCount val="1"/>
                <c:pt idx="0">
                  <c:v>RCO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344E-4F8B-891F-422D02F4D5C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344E-4F8B-891F-422D02F4D5C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44E-4F8B-891F-422D02F4D5C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344E-4F8B-891F-422D02F4D5C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344E-4F8B-891F-422D02F4D5C4}"/>
              </c:ext>
            </c:extLst>
          </c:dPt>
          <c:dLbls>
            <c:numFmt formatCode="\+0.0;\-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'%produits ok'!$F$46</c:f>
              <c:numCache>
                <c:formatCode>\+0.0;\-0.0</c:formatCode>
                <c:ptCount val="1"/>
                <c:pt idx="0">
                  <c:v>5.5580420835896219E-2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344E-4F8B-891F-422D02F4D5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489024"/>
        <c:axId val="436486672"/>
        <c:extLst/>
      </c:barChart>
      <c:catAx>
        <c:axId val="436489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high"/>
        <c:crossAx val="436486672"/>
        <c:crosses val="autoZero"/>
        <c:auto val="1"/>
        <c:lblAlgn val="ctr"/>
        <c:lblOffset val="100"/>
        <c:noMultiLvlLbl val="0"/>
      </c:catAx>
      <c:valAx>
        <c:axId val="436486672"/>
        <c:scaling>
          <c:orientation val="minMax"/>
          <c:max val="1"/>
          <c:min val="-3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Contribution à l'évolution (en points)</a:t>
                </a:r>
              </a:p>
            </c:rich>
          </c:tx>
          <c:layout>
            <c:manualLayout>
              <c:xMode val="edge"/>
              <c:yMode val="edge"/>
              <c:x val="5.9831079707722695E-2"/>
              <c:y val="2.171844611088937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crossAx val="436489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726841644435078"/>
          <c:y val="9.881110402825799E-2"/>
          <c:w val="0.48413617186740548"/>
          <c:h val="0.835198549730374"/>
        </c:manualLayout>
      </c:layout>
      <c:pieChart>
        <c:varyColors val="1"/>
        <c:ser>
          <c:idx val="0"/>
          <c:order val="0"/>
          <c:explosion val="14"/>
          <c:dPt>
            <c:idx val="0"/>
            <c:bubble3D val="0"/>
            <c:explosion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CA-4697-8FEA-19FB6321349D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CA-4697-8FEA-19FB6321349D}"/>
              </c:ext>
            </c:extLst>
          </c:dPt>
          <c:dPt>
            <c:idx val="2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CA-4697-8FEA-19FB6321349D}"/>
              </c:ext>
            </c:extLst>
          </c:dPt>
          <c:dPt>
            <c:idx val="3"/>
            <c:bubble3D val="0"/>
            <c:explosion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CA-4697-8FEA-19FB6321349D}"/>
              </c:ext>
            </c:extLst>
          </c:dPt>
          <c:dPt>
            <c:idx val="4"/>
            <c:bubble3D val="0"/>
            <c:explosion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CA-4697-8FEA-19FB6321349D}"/>
              </c:ext>
            </c:extLst>
          </c:dPt>
          <c:dPt>
            <c:idx val="5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CA-4697-8FEA-19FB6321349D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CA-4697-8FEA-19FB6321349D}"/>
              </c:ext>
            </c:extLst>
          </c:dPt>
          <c:dPt>
            <c:idx val="7"/>
            <c:bubble3D val="0"/>
            <c:explosion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1CA-4697-8FEA-19FB6321349D}"/>
              </c:ext>
            </c:extLst>
          </c:dPt>
          <c:dLbls>
            <c:dLbl>
              <c:idx val="0"/>
              <c:layout>
                <c:manualLayout>
                  <c:x val="-4.2649086885171932E-2"/>
                  <c:y val="0.1926997801834669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76490E-8851-4D28-8C56-85D3E48A852C}" type="CATEGORYNAME">
                      <a:rPr lang="en-US" sz="100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endParaRPr lang="en-US" sz="1000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(</a:t>
                    </a:r>
                    <a:fld id="{EDF55D2F-DF57-4247-BFD1-C2DEDC894796}" type="VALUE">
                      <a:rPr lang="en-US" sz="100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 sz="1000">
                        <a:solidFill>
                          <a:schemeClr val="bg1"/>
                        </a:solidFill>
                      </a:rPr>
                      <a:t>)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 b="1">
                        <a:solidFill>
                          <a:schemeClr val="bg1"/>
                        </a:solidFill>
                      </a:rPr>
                      <a:t>2,6 Mds €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(-9,3% par rapport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489265764856318"/>
                      <c:h val="0.241183454070598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1CA-4697-8FEA-19FB632134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CA-4697-8FEA-19FB6321349D}"/>
                </c:ext>
              </c:extLst>
            </c:dLbl>
            <c:dLbl>
              <c:idx val="2"/>
              <c:layout>
                <c:manualLayout>
                  <c:x val="-0.20515945765479515"/>
                  <c:y val="-0.278241372843001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02E5B2-653E-4010-864D-AF69EFA68F38}" type="CATEGORYNAME">
                      <a:rPr lang="en-US" sz="100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endParaRPr lang="en-US" sz="1000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(</a:t>
                    </a:r>
                    <a:fld id="{EB4F1145-EF17-4D0B-945D-F34EF22C9A29}" type="VALUE">
                      <a:rPr lang="en-US" sz="100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 sz="1000">
                        <a:solidFill>
                          <a:schemeClr val="bg1"/>
                        </a:solidFill>
                      </a:rPr>
                      <a:t>)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 b="1">
                        <a:solidFill>
                          <a:schemeClr val="bg1"/>
                        </a:solidFill>
                      </a:rPr>
                      <a:t>2,6 Mds</a:t>
                    </a:r>
                    <a:r>
                      <a:rPr lang="en-US" sz="1000" b="1" baseline="0">
                        <a:solidFill>
                          <a:schemeClr val="bg1"/>
                        </a:solidFill>
                      </a:rPr>
                      <a:t> €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000" b="0" baseline="0">
                        <a:solidFill>
                          <a:schemeClr val="bg1"/>
                        </a:solidFill>
                      </a:rPr>
                      <a:t>(-1,0% par rapport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16039661708955"/>
                      <c:h val="0.230643680338410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1CA-4697-8FEA-19FB6321349D}"/>
                </c:ext>
              </c:extLst>
            </c:dLbl>
            <c:dLbl>
              <c:idx val="3"/>
              <c:layout>
                <c:manualLayout>
                  <c:x val="2.4617877876494994E-2"/>
                  <c:y val="6.31613893208685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2DAB23-A7FE-4650-8DE6-CF61093D539A}" type="CATEGORYNAME">
                      <a:rPr lang="en-US" sz="1000"/>
                      <a:pPr>
                        <a:defRPr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endParaRPr lang="en-US" sz="1000" baseline="0"/>
                  </a:p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/>
                      <a:t>(17,5%)</a:t>
                    </a:r>
                  </a:p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 b="1"/>
                      <a:t>1,3 Md €</a:t>
                    </a:r>
                  </a:p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/>
                      <a:t>(+3,2% par rapport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52345679012341"/>
                      <c:h val="0.205215232649244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1CA-4697-8FEA-19FB6321349D}"/>
                </c:ext>
              </c:extLst>
            </c:dLbl>
            <c:dLbl>
              <c:idx val="4"/>
              <c:layout>
                <c:manualLayout>
                  <c:x val="-2.1714468492115804E-2"/>
                  <c:y val="0.220298532956292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4F81BD">
                            <a:lumMod val="75000"/>
                          </a:srgb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B60E68-954B-4F11-945D-0B3014511F71}" type="CATEGORYNAME">
                      <a:rPr lang="en-US" sz="1000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rgbClr val="4F81BD">
                              <a:lumMod val="75000"/>
                            </a:srgbClr>
                          </a:solidFill>
                        </a:defRPr>
                      </a:pPr>
                      <a:t>[NOM DE CATÉGORIE]</a:t>
                    </a:fld>
                    <a:endParaRPr lang="en-US" sz="1000" baseline="0"/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r>
                      <a:rPr lang="en-US" sz="1000"/>
                      <a:t>(8,6%)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r>
                      <a:rPr lang="en-US" sz="1000" b="1"/>
                      <a:t>0,7 Md €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r>
                      <a:rPr lang="en-US" sz="1000" b="0" i="0" u="none" strike="noStrike" kern="1200" baseline="0">
                        <a:solidFill>
                          <a:srgbClr val="4F81BD">
                            <a:lumMod val="75000"/>
                          </a:srgbClr>
                        </a:solidFill>
                      </a:rPr>
                      <a:t>(-8,6% par rapport à 2021)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rgbClr val="4F81B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19350636725963"/>
                      <c:h val="0.188655231904617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1CA-4697-8FEA-19FB6321349D}"/>
                </c:ext>
              </c:extLst>
            </c:dLbl>
            <c:dLbl>
              <c:idx val="5"/>
              <c:layout>
                <c:manualLayout>
                  <c:x val="-4.0732675066445886E-2"/>
                  <c:y val="9.17022328849552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rgbClr val="4F81BD">
                            <a:lumMod val="75000"/>
                          </a:srgb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4AC974C-E85E-4F04-A3E4-CF0904FD43F9}" type="CATEGORYNAME">
                      <a:rPr lang="en-US" sz="1000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rgbClr val="4F81BD">
                              <a:lumMod val="75000"/>
                            </a:srgbClr>
                          </a:solidFill>
                        </a:defRPr>
                      </a:pPr>
                      <a:t>[NOM DE CATÉGORIE]</a:t>
                    </a:fld>
                    <a:endParaRPr lang="en-US" sz="1000" baseline="0"/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r>
                      <a:rPr lang="en-US" sz="1000"/>
                      <a:t>(</a:t>
                    </a:r>
                    <a:fld id="{2AE1832F-D3F9-4ABC-AC4B-9426EC9C75B7}" type="VALUE">
                      <a:rPr lang="en-US" sz="1000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rgbClr val="4F81BD">
                              <a:lumMod val="75000"/>
                            </a:srgbClr>
                          </a:solidFill>
                        </a:defRPr>
                      </a:pPr>
                      <a:t>[VALEUR]</a:t>
                    </a:fld>
                    <a:r>
                      <a:rPr lang="en-US" sz="1000"/>
                      <a:t>)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r>
                      <a:rPr lang="en-US" sz="1000" b="1"/>
                      <a:t>0,03 Md €</a:t>
                    </a:r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rgbClr val="4F81BD">
                            <a:lumMod val="75000"/>
                          </a:srgbClr>
                        </a:solidFill>
                      </a:defRPr>
                    </a:pPr>
                    <a:r>
                      <a:rPr lang="en-US" sz="1000" b="0" i="0" u="none" strike="noStrike" kern="1200" baseline="0">
                        <a:solidFill>
                          <a:srgbClr val="4F81BD">
                            <a:lumMod val="75000"/>
                          </a:srgbClr>
                        </a:solidFill>
                      </a:rPr>
                      <a:t>(-28,4% par rapport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rgbClr val="4F81B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885432098765428"/>
                      <c:h val="0.214167723835549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1CA-4697-8FEA-19FB6321349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CA-4697-8FEA-19FB6321349D}"/>
                </c:ext>
              </c:extLst>
            </c:dLbl>
            <c:dLbl>
              <c:idx val="7"/>
              <c:layout>
                <c:manualLayout>
                  <c:x val="-7.009098619929599E-3"/>
                  <c:y val="-0.1626980051286803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490CD9-ED0C-4070-87D1-9B5E1F0448DC}" type="CATEGORYNAME">
                      <a:rPr lang="en-US" sz="1000"/>
                      <a:pPr>
                        <a:defRPr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endParaRPr lang="en-US" sz="1000" baseline="0"/>
                  </a:p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/>
                      <a:t>(0,2%)</a:t>
                    </a:r>
                  </a:p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 b="1"/>
                      <a:t>0,01 Md €</a:t>
                    </a:r>
                  </a:p>
                  <a:p>
                    <a:pPr>
                      <a:defRPr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 b="0"/>
                      <a:t>(-67,4% par</a:t>
                    </a:r>
                    <a:r>
                      <a:rPr lang="en-US" sz="1000" b="0" baseline="0"/>
                      <a:t> rapport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524563660158051"/>
                      <c:h val="0.240389864548806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1CA-4697-8FEA-19FB63213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'%produitsRetraite'!$A$2:$A$9</c:f>
              <c:strCache>
                <c:ptCount val="8"/>
                <c:pt idx="0">
                  <c:v>ITAF</c:v>
                </c:pt>
                <c:pt idx="1">
                  <c:v>Contributions Régime général</c:v>
                </c:pt>
                <c:pt idx="2">
                  <c:v>Compensation démographique</c:v>
                </c:pt>
                <c:pt idx="3">
                  <c:v>Cotisations sociales</c:v>
                </c:pt>
                <c:pt idx="4">
                  <c:v>Autres produits**</c:v>
                </c:pt>
                <c:pt idx="5">
                  <c:v>Prise en charge de prestations*</c:v>
                </c:pt>
                <c:pt idx="6">
                  <c:v>Contribution Sociale Généralisée</c:v>
                </c:pt>
                <c:pt idx="7">
                  <c:v>Cotisations prises en charge par l'Etat</c:v>
                </c:pt>
              </c:strCache>
            </c:strRef>
          </c:cat>
          <c:val>
            <c:numRef>
              <c:f>'%produitsRetraite'!$D$2:$D$9</c:f>
              <c:numCache>
                <c:formatCode>0.0%</c:formatCode>
                <c:ptCount val="8"/>
                <c:pt idx="0">
                  <c:v>0.35581595268275218</c:v>
                </c:pt>
                <c:pt idx="1">
                  <c:v>0</c:v>
                </c:pt>
                <c:pt idx="2">
                  <c:v>0.36436748660108331</c:v>
                </c:pt>
                <c:pt idx="3">
                  <c:v>0.18856470554716415</c:v>
                </c:pt>
                <c:pt idx="4">
                  <c:v>8.5009173047830719E-2</c:v>
                </c:pt>
                <c:pt idx="5">
                  <c:v>4.6051289594317545E-3</c:v>
                </c:pt>
                <c:pt idx="6">
                  <c:v>0</c:v>
                </c:pt>
                <c:pt idx="7">
                  <c:v>1.6375531617378069E-3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CA-4697-8FEA-19FB632134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 ok'!$B$41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'%charges ok'!$A$42:$A$46</c:f>
              <c:strCache>
                <c:ptCount val="5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</c:strCache>
            </c:strRef>
          </c:cat>
          <c:val>
            <c:numRef>
              <c:f>'%produitsRetraite'!$B$37:$B$41</c:f>
              <c:numCache>
                <c:formatCode>#\ ##0.0</c:formatCode>
                <c:ptCount val="5"/>
                <c:pt idx="0">
                  <c:v>6739.8950729299995</c:v>
                </c:pt>
                <c:pt idx="1">
                  <c:v>482.64738179000005</c:v>
                </c:pt>
                <c:pt idx="2">
                  <c:v>577.7141087</c:v>
                </c:pt>
                <c:pt idx="3">
                  <c:v>7356.0507035499995</c:v>
                </c:pt>
                <c:pt idx="4">
                  <c:v>1325.17474096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3-4BCE-92A7-9FD1350727EE}"/>
            </c:ext>
          </c:extLst>
        </c:ser>
        <c:ser>
          <c:idx val="1"/>
          <c:order val="1"/>
          <c:tx>
            <c:strRef>
              <c:f>'%charges ok'!$C$41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F3-4BCE-92A7-9FD1350727EE}"/>
                </c:ext>
              </c:extLst>
            </c:dLbl>
            <c:dLbl>
              <c:idx val="3"/>
              <c:layout>
                <c:manualLayout>
                  <c:x val="1.9444444444444445E-2"/>
                  <c:y val="-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F3-4BCE-92A7-9FD1350727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'%charges ok'!$A$42:$A$46</c:f>
              <c:strCache>
                <c:ptCount val="5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</c:strCache>
            </c:strRef>
          </c:cat>
          <c:val>
            <c:numRef>
              <c:f>'%produitsRetraite'!$C$37:$C$41</c:f>
              <c:numCache>
                <c:formatCode>#\ ##0.0</c:formatCode>
                <c:ptCount val="5"/>
                <c:pt idx="0">
                  <c:v>6438.2892538400001</c:v>
                </c:pt>
                <c:pt idx="1">
                  <c:v>521.10133897000003</c:v>
                </c:pt>
                <c:pt idx="2">
                  <c:v>556.93909781000002</c:v>
                </c:pt>
                <c:pt idx="3">
                  <c:v>7286.3928688199994</c:v>
                </c:pt>
                <c:pt idx="4">
                  <c:v>1334.33521802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3-4BCE-92A7-9FD13507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490200"/>
        <c:axId val="436490592"/>
      </c:barChart>
      <c:catAx>
        <c:axId val="436490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36490592"/>
        <c:crosses val="autoZero"/>
        <c:auto val="1"/>
        <c:lblAlgn val="ctr"/>
        <c:lblOffset val="100"/>
        <c:noMultiLvlLbl val="0"/>
      </c:catAx>
      <c:valAx>
        <c:axId val="436490592"/>
        <c:scaling>
          <c:orientation val="minMax"/>
          <c:max val="9000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36490200"/>
        <c:crosses val="autoZero"/>
        <c:crossBetween val="between"/>
        <c:majorUnit val="10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683701957637457"/>
          <c:y val="5.6235016666996152E-2"/>
          <c:w val="0.48194158851162722"/>
          <c:h val="0.86474064799680617"/>
        </c:manualLayout>
      </c:layout>
      <c:pieChart>
        <c:varyColors val="1"/>
        <c:ser>
          <c:idx val="0"/>
          <c:order val="0"/>
          <c:explosion val="14"/>
          <c:dPt>
            <c:idx val="0"/>
            <c:bubble3D val="0"/>
            <c:explosion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55-4154-97FC-3DDB4B3DEC83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55-4154-97FC-3DDB4B3DEC83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55-4154-97FC-3DDB4B3DEC83}"/>
              </c:ext>
            </c:extLst>
          </c:dPt>
          <c:dPt>
            <c:idx val="3"/>
            <c:bubble3D val="0"/>
            <c:explosion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55-4154-97FC-3DDB4B3DEC83}"/>
              </c:ext>
            </c:extLst>
          </c:dPt>
          <c:dPt>
            <c:idx val="4"/>
            <c:bubble3D val="0"/>
            <c:explosion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55-4154-97FC-3DDB4B3DEC83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255-4154-97FC-3DDB4B3DEC83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55-4154-97FC-3DDB4B3DEC83}"/>
              </c:ext>
            </c:extLst>
          </c:dPt>
          <c:dPt>
            <c:idx val="7"/>
            <c:bubble3D val="0"/>
            <c:explosion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55-4154-97FC-3DDB4B3DEC83}"/>
              </c:ext>
            </c:extLst>
          </c:dPt>
          <c:dLbls>
            <c:dLbl>
              <c:idx val="0"/>
              <c:layout>
                <c:manualLayout>
                  <c:x val="-0.17772589732015989"/>
                  <c:y val="0.185777672057691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6DDDB52-61E5-436F-BB75-C983CFCB8EAA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(</a:t>
                    </a:r>
                    <a:fld id="{DD6D15DD-49BA-49F3-AA6C-3DD608A40C47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)</a:t>
                    </a:r>
                  </a:p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666,0</a:t>
                    </a:r>
                    <a:r>
                      <a:rPr lang="en-US" b="1" baseline="0">
                        <a:solidFill>
                          <a:schemeClr val="bg1"/>
                        </a:solidFill>
                      </a:rPr>
                      <a:t> </a:t>
                    </a:r>
                    <a:r>
                      <a:rPr lang="en-US" b="1">
                        <a:solidFill>
                          <a:schemeClr val="bg1"/>
                        </a:solidFill>
                      </a:rPr>
                      <a:t>M€</a:t>
                    </a:r>
                  </a:p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(+112,5 % par rapport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294063560526271"/>
                      <c:h val="0.225547013538227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255-4154-97FC-3DDB4B3DEC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5-4154-97FC-3DDB4B3DEC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5-4154-97FC-3DDB4B3DEC83}"/>
                </c:ext>
              </c:extLst>
            </c:dLbl>
            <c:dLbl>
              <c:idx val="3"/>
              <c:layout>
                <c:manualLayout>
                  <c:x val="0.12864240395147458"/>
                  <c:y val="-0.202683703731922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98DC48-01B4-4065-8A8D-1FB756FAC1F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(</a:t>
                    </a:r>
                    <a:fld id="{1E57013C-FC11-4C47-8737-C88CE48AFF05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200">
                          <a:solidFill>
                            <a:schemeClr val="bg1"/>
                          </a:solidFill>
                        </a:defRPr>
                      </a:pPr>
                      <a:t>[VALEUR]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)</a:t>
                    </a:r>
                  </a:p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470,0 M€</a:t>
                    </a:r>
                  </a:p>
                  <a:p>
                    <a:pPr>
                      <a:defRPr sz="1200">
                        <a:solidFill>
                          <a:schemeClr val="bg1"/>
                        </a:solidFill>
                      </a:defRPr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(+3,3 % par rapport à 2021)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06377785579349"/>
                      <c:h val="0.275250138513183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255-4154-97FC-3DDB4B3DEC83}"/>
                </c:ext>
              </c:extLst>
            </c:dLbl>
            <c:dLbl>
              <c:idx val="4"/>
              <c:layout>
                <c:manualLayout>
                  <c:x val="-5.3197098394196791E-2"/>
                  <c:y val="0.26131990661570104"/>
                </c:manualLayout>
              </c:layout>
              <c:tx>
                <c:rich>
                  <a:bodyPr/>
                  <a:lstStyle/>
                  <a:p>
                    <a:fld id="{B0FC4307-6F42-4DDB-8288-E9659F85AB80}" type="CATEGORYNAME">
                      <a:rPr lang="en-US"/>
                      <a:pPr/>
                      <a:t>[NOM DE CATÉGORIE]</a:t>
                    </a:fld>
                    <a:endParaRPr lang="en-US" baseline="0"/>
                  </a:p>
                  <a:p>
                    <a:r>
                      <a:rPr lang="en-US"/>
                      <a:t>(</a:t>
                    </a:r>
                    <a:fld id="{F7658547-ABE1-4200-9FDE-60047C4EA247}" type="VALUE">
                      <a:rPr lang="en-US"/>
                      <a:pPr/>
                      <a:t>[VALEUR]</a:t>
                    </a:fld>
                    <a:r>
                      <a:rPr lang="en-US"/>
                      <a:t>)</a:t>
                    </a:r>
                  </a:p>
                  <a:p>
                    <a:r>
                      <a:rPr lang="en-US" b="1"/>
                      <a:t>109,0 M€</a:t>
                    </a:r>
                  </a:p>
                  <a:p>
                    <a:r>
                      <a:rPr lang="en-US" sz="1000"/>
                      <a:t>(-17,1% par rapport à 2021)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288886641978743"/>
                      <c:h val="0.225547127928212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255-4154-97FC-3DDB4B3DEC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55-4154-97FC-3DDB4B3DEC8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55-4154-97FC-3DDB4B3DEC83}"/>
                </c:ext>
              </c:extLst>
            </c:dLbl>
            <c:dLbl>
              <c:idx val="7"/>
              <c:layout>
                <c:manualLayout>
                  <c:x val="-1.1553571727100967E-3"/>
                  <c:y val="-2.73325752283238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Cotisations</a:t>
                    </a:r>
                    <a:r>
                      <a:rPr lang="en-US" baseline="0"/>
                      <a:t> prises en charge par l'Eat</a:t>
                    </a:r>
                  </a:p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/>
                      <a:t>(0,2%)</a:t>
                    </a:r>
                  </a:p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b="1"/>
                      <a:t>1,7M€</a:t>
                    </a:r>
                  </a:p>
                  <a:p>
                    <a:pPr>
                      <a:defRPr sz="1200">
                        <a:solidFill>
                          <a:schemeClr val="accent1">
                            <a:lumMod val="75000"/>
                          </a:schemeClr>
                        </a:solidFill>
                      </a:defRPr>
                    </a:pPr>
                    <a:r>
                      <a:rPr lang="en-US" sz="1000"/>
                      <a:t>(-75,6% par rapport</a:t>
                    </a:r>
                    <a:r>
                      <a:rPr lang="en-US" sz="1000" baseline="0"/>
                      <a:t> à 2021)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094703049759"/>
                      <c:h val="0.2946592147273923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F-6255-4154-97FC-3DDB4B3DE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'%produitsRCO'!$A$2:$A$9</c:f>
              <c:strCache>
                <c:ptCount val="8"/>
                <c:pt idx="0">
                  <c:v>ITAF</c:v>
                </c:pt>
                <c:pt idx="1">
                  <c:v>Contributions Régime général</c:v>
                </c:pt>
                <c:pt idx="2">
                  <c:v>Compensation démographique</c:v>
                </c:pt>
                <c:pt idx="3">
                  <c:v>Cotisations sociales</c:v>
                </c:pt>
                <c:pt idx="4">
                  <c:v>Autres produits**</c:v>
                </c:pt>
                <c:pt idx="5">
                  <c:v>Prise en charge de prestations*</c:v>
                </c:pt>
                <c:pt idx="6">
                  <c:v>Contribution Sociale Généralisée</c:v>
                </c:pt>
                <c:pt idx="7">
                  <c:v>Cotisations prises en charge par l'Etat</c:v>
                </c:pt>
              </c:strCache>
            </c:strRef>
          </c:cat>
          <c:val>
            <c:numRef>
              <c:f>'%produitsRCO'!$D$2:$D$9</c:f>
              <c:numCache>
                <c:formatCode>0.0%</c:formatCode>
                <c:ptCount val="8"/>
                <c:pt idx="0">
                  <c:v>0.47256412610893755</c:v>
                </c:pt>
                <c:pt idx="1">
                  <c:v>0</c:v>
                </c:pt>
                <c:pt idx="2">
                  <c:v>0</c:v>
                </c:pt>
                <c:pt idx="3">
                  <c:v>0.39284068502503028</c:v>
                </c:pt>
                <c:pt idx="4">
                  <c:v>0.13459518886603217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255-4154-97FC-3DDB4B3DE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 ok'!$B$41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'%charges ok'!$A$42:$A$46</c:f>
              <c:strCache>
                <c:ptCount val="5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</c:strCache>
            </c:strRef>
          </c:cat>
          <c:val>
            <c:numRef>
              <c:f>'%produitsRCO'!$B$41:$B$45</c:f>
              <c:numCache>
                <c:formatCode>#\ ##0.0</c:formatCode>
                <c:ptCount val="5"/>
                <c:pt idx="0">
                  <c:v>6739.8950729299995</c:v>
                </c:pt>
                <c:pt idx="1">
                  <c:v>482.64738179000005</c:v>
                </c:pt>
                <c:pt idx="2">
                  <c:v>577.7141087</c:v>
                </c:pt>
                <c:pt idx="3">
                  <c:v>7356.0507035499995</c:v>
                </c:pt>
                <c:pt idx="4">
                  <c:v>1325.17474096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B-4CF7-A5E1-28021C3ED2B1}"/>
            </c:ext>
          </c:extLst>
        </c:ser>
        <c:ser>
          <c:idx val="1"/>
          <c:order val="1"/>
          <c:tx>
            <c:strRef>
              <c:f>'%charges ok'!$C$41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B-4CF7-A5E1-28021C3ED2B1}"/>
                </c:ext>
              </c:extLst>
            </c:dLbl>
            <c:dLbl>
              <c:idx val="3"/>
              <c:layout>
                <c:manualLayout>
                  <c:x val="1.9444444444444445E-2"/>
                  <c:y val="-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B-4CF7-A5E1-28021C3ED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'%charges ok'!$A$42:$A$46</c:f>
              <c:strCache>
                <c:ptCount val="5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</c:strCache>
            </c:strRef>
          </c:cat>
          <c:val>
            <c:numRef>
              <c:f>'%produitsRCO'!$C$41:$C$45</c:f>
              <c:numCache>
                <c:formatCode>#\ ##0.0</c:formatCode>
                <c:ptCount val="5"/>
                <c:pt idx="0">
                  <c:v>6438.2892538400001</c:v>
                </c:pt>
                <c:pt idx="1">
                  <c:v>521.10133897000003</c:v>
                </c:pt>
                <c:pt idx="2">
                  <c:v>556.93909781000002</c:v>
                </c:pt>
                <c:pt idx="3">
                  <c:v>7286.3928688199994</c:v>
                </c:pt>
                <c:pt idx="4">
                  <c:v>1334.33521802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B-4CF7-A5E1-28021C3ED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40680"/>
        <c:axId val="436181128"/>
      </c:barChart>
      <c:catAx>
        <c:axId val="118340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436181128"/>
        <c:crosses val="autoZero"/>
        <c:auto val="1"/>
        <c:lblAlgn val="ctr"/>
        <c:lblOffset val="100"/>
        <c:noMultiLvlLbl val="0"/>
      </c:catAx>
      <c:valAx>
        <c:axId val="43618112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118340680"/>
        <c:crosses val="autoZero"/>
        <c:crossBetween val="between"/>
        <c:majorUnit val="20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915960634655567E-2"/>
          <c:y val="8.727272727272728E-2"/>
          <c:w val="0.87704709985374252"/>
          <c:h val="0.885887473156764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'Glossaire et introduction ok'!$E$25</c:f>
              <c:strCache>
                <c:ptCount val="1"/>
                <c:pt idx="0">
                  <c:v>ITAF</c:v>
                </c:pt>
              </c:strCache>
            </c:strRef>
          </c:tx>
          <c:spPr>
            <a:solidFill>
              <a:schemeClr val="accent5">
                <a:shade val="45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DD-4FDC-8A13-13146C9CD0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DD-4FDC-8A13-13146C9CD0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DD-4FDC-8A13-13146C9CD0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DD-4FDC-8A13-13146C9CD0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EDD-4FDC-8A13-13146C9CD075}"/>
              </c:ext>
            </c:extLst>
          </c:dPt>
          <c:val>
            <c:numRef>
              <c:f>'Glossaire et introduction ok'!$D$25</c:f>
              <c:numCache>
                <c:formatCode>_-* #\ ##0.0\ _€_-;\-* #\ ##0.0\ _€_-;_-* "-"??\ _€_-;_-@_-</c:formatCode>
                <c:ptCount val="1"/>
                <c:pt idx="0">
                  <c:v>5080.1464611199999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DD-4FDC-8A13-13146C9CD075}"/>
            </c:ext>
          </c:extLst>
        </c:ser>
        <c:ser>
          <c:idx val="1"/>
          <c:order val="1"/>
          <c:tx>
            <c:strRef>
              <c:f>'Glossaire et introduction ok'!$E$26</c:f>
              <c:strCache>
                <c:ptCount val="1"/>
                <c:pt idx="0">
                  <c:v>Contributions du Régime général</c:v>
                </c:pt>
              </c:strCache>
            </c:strRef>
          </c:tx>
          <c:spPr>
            <a:solidFill>
              <a:schemeClr val="accent5">
                <a:shade val="61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val>
            <c:numRef>
              <c:f>'Glossaire et introduction ok'!$D$26</c:f>
              <c:numCache>
                <c:formatCode>_-* #\ ##0.0\ _€_-;\-* #\ ##0.0\ _€_-;_-* "-"??\ _€_-;_-@_-</c:formatCode>
                <c:ptCount val="1"/>
                <c:pt idx="0">
                  <c:v>3405.5434276199999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DD-4FDC-8A13-13146C9CD075}"/>
            </c:ext>
          </c:extLst>
        </c:ser>
        <c:ser>
          <c:idx val="2"/>
          <c:order val="2"/>
          <c:tx>
            <c:strRef>
              <c:f>'Glossaire et introduction ok'!$E$27</c:f>
              <c:strCache>
                <c:ptCount val="1"/>
                <c:pt idx="0">
                  <c:v>Cotisations employeurs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val>
            <c:numRef>
              <c:f>'Glossaire et introduction ok'!$D$27</c:f>
              <c:numCache>
                <c:formatCode>_-* #\ ##0.0\ _€_-;\-* #\ ##0.0\ _€_-;_-* "-"??\ _€_-;_-@_-</c:formatCode>
                <c:ptCount val="1"/>
                <c:pt idx="0">
                  <c:v>2769.3954443299999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DD-4FDC-8A13-13146C9CD075}"/>
            </c:ext>
          </c:extLst>
        </c:ser>
        <c:ser>
          <c:idx val="3"/>
          <c:order val="3"/>
          <c:tx>
            <c:strRef>
              <c:f>'Glossaire et introduction ok'!$E$28</c:f>
              <c:strCache>
                <c:ptCount val="1"/>
                <c:pt idx="0">
                  <c:v>Compensation démographique</c:v>
                </c:pt>
              </c:strCache>
            </c:strRef>
          </c:tx>
          <c:spPr>
            <a:solidFill>
              <a:schemeClr val="accent5">
                <a:shade val="92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EDD-4FDC-8A13-13146C9CD075}"/>
              </c:ext>
            </c:extLst>
          </c:dPt>
          <c:val>
            <c:numRef>
              <c:f>'Glossaire et introduction ok'!$D$28</c:f>
              <c:numCache>
                <c:formatCode>_-* #\ ##0.0\ _€_-;\-* #\ ##0.0\ _€_-;_-* "-"??\ _€_-;_-@_-</c:formatCode>
                <c:ptCount val="1"/>
                <c:pt idx="0">
                  <c:v>2654.9246560000001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EDD-4FDC-8A13-13146C9CD075}"/>
            </c:ext>
          </c:extLst>
        </c:ser>
        <c:ser>
          <c:idx val="4"/>
          <c:order val="4"/>
          <c:tx>
            <c:strRef>
              <c:f>'Glossaire et introduction ok'!$E$29</c:f>
              <c:strCache>
                <c:ptCount val="1"/>
                <c:pt idx="0">
                  <c:v>Autres produits</c:v>
                </c:pt>
              </c:strCache>
            </c:strRef>
          </c:tx>
          <c:spPr>
            <a:solidFill>
              <a:schemeClr val="accent5">
                <a:tint val="93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>
                <a:outerShdw blurRad="76200" dist="12700" dir="2700000" sy="-23000" kx="-8004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EDD-4FDC-8A13-13146C9CD075}"/>
              </c:ext>
            </c:extLst>
          </c:dPt>
          <c:val>
            <c:numRef>
              <c:f>'Glossaire et introduction ok'!$D$29</c:f>
              <c:numCache>
                <c:formatCode>_-* #\ ##0.0\ _€_-;\-* #\ ##0.0\ _€_-;_-* "-"??\ _€_-;_-@_-</c:formatCode>
                <c:ptCount val="1"/>
                <c:pt idx="0">
                  <c:v>1636.5806494699991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DD-4FDC-8A13-13146C9CD075}"/>
            </c:ext>
          </c:extLst>
        </c:ser>
        <c:ser>
          <c:idx val="5"/>
          <c:order val="5"/>
          <c:tx>
            <c:strRef>
              <c:f>'Glossaire et introduction ok'!$E$30</c:f>
              <c:strCache>
                <c:ptCount val="1"/>
                <c:pt idx="0">
                  <c:v>Contribution sociale généralisée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'Glossaire et introduction ok'!$D$30</c:f>
              <c:numCache>
                <c:formatCode>_-* #\ ##0.0\ _€_-;\-* #\ ##0.0\ _€_-;_-* "-"??\ _€_-;_-@_-</c:formatCode>
                <c:ptCount val="1"/>
                <c:pt idx="0">
                  <c:v>502.01916304999997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EDD-4FDC-8A13-13146C9CD075}"/>
            </c:ext>
          </c:extLst>
        </c:ser>
        <c:ser>
          <c:idx val="6"/>
          <c:order val="6"/>
          <c:tx>
            <c:strRef>
              <c:f>'Glossaire et introduction ok'!$E$31</c:f>
              <c:strCache>
                <c:ptCount val="1"/>
                <c:pt idx="0">
                  <c:v>Prise en charge de prestations</c:v>
                </c:pt>
              </c:strCache>
            </c:strRef>
          </c:tx>
          <c:spPr>
            <a:solidFill>
              <a:schemeClr val="accent5">
                <a:tint val="62000"/>
              </a:schemeClr>
            </a:solidFill>
            <a:ln>
              <a:noFill/>
            </a:ln>
            <a:effectLst/>
          </c:spPr>
          <c:invertIfNegative val="0"/>
          <c:val>
            <c:numRef>
              <c:f>'Glossaire et introduction ok'!$D$31</c:f>
              <c:numCache>
                <c:formatCode>_-* #\ ##0.0\ _€_-;\-* #\ ##0.0\ _€_-;_-* "-"??\ _€_-;_-@_-</c:formatCode>
                <c:ptCount val="1"/>
                <c:pt idx="0">
                  <c:v>60.930440740000002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EDD-4FDC-8A13-13146C9CD075}"/>
            </c:ext>
          </c:extLst>
        </c:ser>
        <c:ser>
          <c:idx val="7"/>
          <c:order val="7"/>
          <c:tx>
            <c:strRef>
              <c:f>'Glossaire et introduction ok'!$E$32</c:f>
              <c:strCache>
                <c:ptCount val="1"/>
                <c:pt idx="0">
                  <c:v>Cotisations prises en charge par l'Etat</c:v>
                </c:pt>
              </c:strCache>
            </c:strRef>
          </c:tx>
          <c:spPr>
            <a:solidFill>
              <a:schemeClr val="accent5">
                <a:tint val="46000"/>
              </a:schemeClr>
            </a:solidFill>
            <a:ln>
              <a:noFill/>
            </a:ln>
            <a:effectLst/>
          </c:spPr>
          <c:invertIfNegative val="0"/>
          <c:val>
            <c:numRef>
              <c:f>'Glossaire et introduction ok'!$D$32</c:f>
              <c:numCache>
                <c:formatCode>_-* #\ ##0.0\ _€_-;\-* #\ ##0.0\ _€_-;_-* "-"??\ _€_-;_-@_-</c:formatCode>
                <c:ptCount val="1"/>
                <c:pt idx="0">
                  <c:v>27.517535129999999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EDD-4FDC-8A13-13146C9CD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10"/>
        <c:axId val="673189304"/>
        <c:axId val="673194552"/>
      </c:barChart>
      <c:valAx>
        <c:axId val="673194552"/>
        <c:scaling>
          <c:orientation val="minMax"/>
        </c:scaling>
        <c:delete val="1"/>
        <c:axPos val="t"/>
        <c:numFmt formatCode="_-* #\ ##0.0\ _€_-;\-* #\ ##0.0\ _€_-;_-* &quot;-&quot;??\ _€_-;_-@_-" sourceLinked="1"/>
        <c:majorTickMark val="out"/>
        <c:minorTickMark val="none"/>
        <c:tickLblPos val="nextTo"/>
        <c:crossAx val="673189304"/>
        <c:crosses val="autoZero"/>
        <c:crossBetween val="between"/>
      </c:valAx>
      <c:catAx>
        <c:axId val="673189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6731945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D17-4C0D-A80C-B751EB858CCC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17-4C0D-A80C-B751EB858CCC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17-4C0D-A80C-B751EB858CCC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17-4C0D-A80C-B751EB858CCC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17-4C0D-A80C-B751EB858CCC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D17-4C0D-A80C-B751EB858CCC}"/>
              </c:ext>
            </c:extLst>
          </c:dPt>
          <c:dLbls>
            <c:dLbl>
              <c:idx val="0"/>
              <c:layout>
                <c:manualLayout>
                  <c:x val="6.1111111111111165E-2"/>
                  <c:y val="3.744890057119003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Maladie</a:t>
                    </a:r>
                  </a:p>
                  <a:p>
                    <a:pPr>
                      <a:defRPr sz="1100" b="1">
                        <a:solidFill>
                          <a:schemeClr val="bg1"/>
                        </a:solidFill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38,9</a:t>
                    </a:r>
                    <a:r>
                      <a:rPr lang="en-US" sz="1100" b="1" baseline="0">
                        <a:solidFill>
                          <a:schemeClr val="bg1"/>
                        </a:solidFill>
                      </a:rPr>
                      <a:t> </a:t>
                    </a:r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D17-4C0D-A80C-B751EB858CCC}"/>
                </c:ext>
              </c:extLst>
            </c:dLbl>
            <c:dLbl>
              <c:idx val="1"/>
              <c:layout>
                <c:manualLayout>
                  <c:x val="-3.6111111111111163E-2"/>
                  <c:y val="4.287482368029694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Retraite</a:t>
                    </a:r>
                  </a:p>
                  <a:p>
                    <a:pPr>
                      <a:defRPr sz="1100" b="1">
                        <a:solidFill>
                          <a:schemeClr val="bg1"/>
                        </a:solidFill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48,6</a:t>
                    </a:r>
                    <a:r>
                      <a:rPr lang="en-US" sz="1100" b="1" baseline="0">
                        <a:solidFill>
                          <a:schemeClr val="bg1"/>
                        </a:solidFill>
                      </a:rPr>
                      <a:t> </a:t>
                    </a:r>
                    <a:r>
                      <a:rPr lang="en-US" sz="1100" b="1">
                        <a:solidFill>
                          <a:schemeClr val="bg1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D17-4C0D-A80C-B751EB858CCC}"/>
                </c:ext>
              </c:extLst>
            </c:dLbl>
            <c:dLbl>
              <c:idx val="2"/>
              <c:layout>
                <c:manualLayout>
                  <c:x val="0.22222200349956245"/>
                  <c:y val="-0.1851821049225798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RCO </a:t>
                    </a:r>
                  </a:p>
                  <a:p>
                    <a:pPr>
                      <a:defRPr sz="1100" b="1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8,5 %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D17-4C0D-A80C-B751EB858CCC}"/>
                </c:ext>
              </c:extLst>
            </c:dLbl>
            <c:dLbl>
              <c:idx val="3"/>
              <c:layout>
                <c:manualLayout>
                  <c:x val="0.22904133858267706"/>
                  <c:y val="-5.555269820669137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Famille</a:t>
                    </a:r>
                  </a:p>
                  <a:p>
                    <a:pPr>
                      <a:defRPr sz="1100" b="1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 2,4</a:t>
                    </a:r>
                    <a:r>
                      <a:rPr lang="en-US" sz="1100" b="1" baseline="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 </a:t>
                    </a: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D17-4C0D-A80C-B751EB858CCC}"/>
                </c:ext>
              </c:extLst>
            </c:dLbl>
            <c:dLbl>
              <c:idx val="4"/>
              <c:layout>
                <c:manualLayout>
                  <c:x val="0.23055555555555546"/>
                  <c:y val="8.83486189338635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Atexa</a:t>
                    </a:r>
                  </a:p>
                  <a:p>
                    <a:pPr>
                      <a:defRPr sz="1100" b="1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1,0 %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D17-4C0D-A80C-B751EB858CCC}"/>
                </c:ext>
              </c:extLst>
            </c:dLbl>
            <c:dLbl>
              <c:idx val="5"/>
              <c:layout>
                <c:manualLayout>
                  <c:x val="0.10277755905511811"/>
                  <c:y val="0.1805878527169191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IJ Amexa</a:t>
                    </a:r>
                  </a:p>
                  <a:p>
                    <a:pPr>
                      <a:defRPr sz="1100" b="1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0,6 %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D17-4C0D-A80C-B751EB858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'NSA1 ok'!$B$4:$B$9</c:f>
              <c:strCache>
                <c:ptCount val="6"/>
                <c:pt idx="0">
                  <c:v>ü retraite</c:v>
                </c:pt>
                <c:pt idx="1">
                  <c:v>ü maladie-maternité-invalidité</c:v>
                </c:pt>
                <c:pt idx="2">
                  <c:v>ü retraite complémentaire obligatoire</c:v>
                </c:pt>
                <c:pt idx="3">
                  <c:v>ü famille</c:v>
                </c:pt>
                <c:pt idx="4">
                  <c:v>ü accident du travail et maladie professionnelle</c:v>
                </c:pt>
                <c:pt idx="5">
                  <c:v>ü IJ AMEXA</c:v>
                </c:pt>
              </c:strCache>
            </c:strRef>
          </c:cat>
          <c:val>
            <c:numRef>
              <c:f>'NSA1 ok'!$E$4:$E$9</c:f>
              <c:numCache>
                <c:formatCode>0.0%</c:formatCode>
                <c:ptCount val="6"/>
                <c:pt idx="0">
                  <c:v>0.4859401112835493</c:v>
                </c:pt>
                <c:pt idx="1">
                  <c:v>0.38944527261486872</c:v>
                </c:pt>
                <c:pt idx="2">
                  <c:v>8.5405799689779516E-2</c:v>
                </c:pt>
                <c:pt idx="3">
                  <c:v>2.3877898944973937E-2</c:v>
                </c:pt>
                <c:pt idx="4">
                  <c:v>9.6322085984056564E-3</c:v>
                </c:pt>
                <c:pt idx="5">
                  <c:v>5.6987088684228417E-3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17-4C0D-A80C-B751EB858C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7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C5-4E9C-ADBF-0D6D3F364A33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C5-4E9C-ADBF-0D6D3F364A33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C5-4E9C-ADBF-0D6D3F364A33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C5-4E9C-ADBF-0D6D3F364A33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C5-4E9C-ADBF-0D6D3F364A33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0C5-4E9C-ADBF-0D6D3F364A33}"/>
              </c:ext>
            </c:extLst>
          </c:dPt>
          <c:dLbls>
            <c:dLbl>
              <c:idx val="0"/>
              <c:layout>
                <c:manualLayout>
                  <c:x val="6.4378377977370865E-2"/>
                  <c:y val="2.592083138510927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Retraite</a:t>
                    </a:r>
                  </a:p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49,6 %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0C5-4E9C-ADBF-0D6D3F364A33}"/>
                </c:ext>
              </c:extLst>
            </c:dLbl>
            <c:dLbl>
              <c:idx val="1"/>
              <c:layout>
                <c:manualLayout>
                  <c:x val="1.7072204944764868E-3"/>
                  <c:y val="9.8789589086033507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RCO</a:t>
                    </a:r>
                  </a:p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 </a:t>
                    </a:r>
                    <a:r>
                      <a:rPr lang="en-US" sz="1100" b="1">
                        <a:solidFill>
                          <a:schemeClr val="bg1"/>
                        </a:solidFill>
                      </a:rPr>
                      <a:t>18,9 %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0C5-4E9C-ADBF-0D6D3F364A33}"/>
                </c:ext>
              </c:extLst>
            </c:dLbl>
            <c:dLbl>
              <c:idx val="2"/>
              <c:layout>
                <c:manualLayout>
                  <c:x val="8.2931799273012021E-4"/>
                  <c:y val="-4.00989485541942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Maladie </a:t>
                    </a:r>
                  </a:p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16,8 %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0C5-4E9C-ADBF-0D6D3F364A33}"/>
                </c:ext>
              </c:extLst>
            </c:dLbl>
            <c:dLbl>
              <c:idx val="3"/>
              <c:layout>
                <c:manualLayout>
                  <c:x val="0.1178434172884327"/>
                  <c:y val="-7.50026283435510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Famille</a:t>
                    </a:r>
                  </a:p>
                  <a:p>
                    <a:pPr>
                      <a:defRPr sz="1100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3,5 %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0C5-4E9C-ADBF-0D6D3F364A33}"/>
                </c:ext>
              </c:extLst>
            </c:dLbl>
            <c:dLbl>
              <c:idx val="4"/>
              <c:layout>
                <c:manualLayout>
                  <c:x val="0.14125189644202996"/>
                  <c:y val="2.757105288733014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Atexa</a:t>
                    </a:r>
                  </a:p>
                  <a:p>
                    <a:pPr>
                      <a:defRPr sz="1100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7,9 %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0C5-4E9C-ADBF-0D6D3F364A33}"/>
                </c:ext>
              </c:extLst>
            </c:dLbl>
            <c:dLbl>
              <c:idx val="5"/>
              <c:layout>
                <c:manualLayout>
                  <c:x val="0.12472355325387185"/>
                  <c:y val="0.1660466425304643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IJ</a:t>
                    </a:r>
                    <a:r>
                      <a:rPr lang="en-US" sz="1100" baseline="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 Amexa</a:t>
                    </a:r>
                    <a:endParaRPr lang="en-US" sz="1100">
                      <a:solidFill>
                        <a:schemeClr val="accent5">
                          <a:lumMod val="75000"/>
                        </a:schemeClr>
                      </a:solidFill>
                    </a:endParaRPr>
                  </a:p>
                  <a:p>
                    <a:pPr>
                      <a:defRPr sz="1100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3,3 %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0C5-4E9C-ADBF-0D6D3F364A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'NSA1 ok'!$B$12:$B$17</c:f>
              <c:strCache>
                <c:ptCount val="6"/>
                <c:pt idx="0">
                  <c:v>ü retraite</c:v>
                </c:pt>
                <c:pt idx="1">
                  <c:v>ü retraite complémentaire obligatoire</c:v>
                </c:pt>
                <c:pt idx="2">
                  <c:v>ü maladie et invalidité</c:v>
                </c:pt>
                <c:pt idx="3">
                  <c:v>ü famille</c:v>
                </c:pt>
                <c:pt idx="4">
                  <c:v>ü accident du travail et maladie professionnelle</c:v>
                </c:pt>
                <c:pt idx="5">
                  <c:v>ü IJ AMEXA</c:v>
                </c:pt>
              </c:strCache>
            </c:strRef>
          </c:cat>
          <c:val>
            <c:numRef>
              <c:f>'NSA1 ok'!$E$12:$E$17</c:f>
              <c:numCache>
                <c:formatCode>0.00%</c:formatCode>
                <c:ptCount val="6"/>
                <c:pt idx="0">
                  <c:v>0.49612146529055962</c:v>
                </c:pt>
                <c:pt idx="1">
                  <c:v>0.18927638599723887</c:v>
                </c:pt>
                <c:pt idx="2">
                  <c:v>0.16797156005741209</c:v>
                </c:pt>
                <c:pt idx="3">
                  <c:v>3.5250629533557974E-2</c:v>
                </c:pt>
                <c:pt idx="4">
                  <c:v>7.8577317672538755E-2</c:v>
                </c:pt>
                <c:pt idx="5">
                  <c:v>3.2802641448692701E-2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C5-4E9C-ADBF-0D6D3F364A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7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63472537938004"/>
          <c:y val="8.8890799732937634E-2"/>
          <c:w val="0.53150533778906051"/>
          <c:h val="0.8521343284324948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93-4D92-BCEE-FC3E6593564C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3-4D92-BCEE-FC3E6593564C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93-4D92-BCEE-FC3E6593564C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93-4D92-BCEE-FC3E6593564C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93-4D92-BCEE-FC3E6593564C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93-4D92-BCEE-FC3E6593564C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93-4D92-BCEE-FC3E6593564C}"/>
              </c:ext>
            </c:extLst>
          </c:dPt>
          <c:dLbls>
            <c:dLbl>
              <c:idx val="0"/>
              <c:layout>
                <c:manualLayout>
                  <c:x val="0.19135703575233626"/>
                  <c:y val="-0.35153934176400131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solidFill>
                          <a:schemeClr val="bg1"/>
                        </a:solidFill>
                      </a:rPr>
                      <a:t>Prestations légales, RCO et IJ Amexa
85,7%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65679974031376"/>
                      <c:h val="0.3085922069449753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7093-4D92-BCEE-FC3E6593564C}"/>
                </c:ext>
              </c:extLst>
            </c:dLbl>
            <c:dLbl>
              <c:idx val="1"/>
              <c:layout>
                <c:manualLayout>
                  <c:x val="0.20762257528459832"/>
                  <c:y val="-0.2332721366585546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Charges techniques
2,4%</a:t>
                    </a:r>
                    <a:endParaRPr lang="en-US" b="1">
                      <a:solidFill>
                        <a:schemeClr val="accent5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63313609467455"/>
                      <c:h val="0.1458094534427673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7093-4D92-BCEE-FC3E6593564C}"/>
                </c:ext>
              </c:extLst>
            </c:dLbl>
            <c:dLbl>
              <c:idx val="2"/>
              <c:layout>
                <c:manualLayout>
                  <c:x val="0.23173663203342185"/>
                  <c:y val="-0.1421087832375999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868617-1C4C-4283-8587-E1022AD78CA0}" type="CATEGORYNAME"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pPr>
                        <a:defRPr sz="1100" b="1">
                          <a:solidFill>
                            <a:schemeClr val="accent5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endParaRPr lang="en-US" sz="1100" b="1" baseline="0">
                      <a:solidFill>
                        <a:schemeClr val="accent5">
                          <a:lumMod val="75000"/>
                        </a:schemeClr>
                      </a:solidFill>
                    </a:endParaRPr>
                  </a:p>
                  <a:p>
                    <a:pPr>
                      <a:defRPr sz="1100" b="1">
                        <a:solidFill>
                          <a:schemeClr val="accent5">
                            <a:lumMod val="75000"/>
                          </a:schemeClr>
                        </a:solidFill>
                      </a:defRPr>
                    </a:pPr>
                    <a:r>
                      <a:rPr lang="en-US" sz="1100" b="1" baseline="0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7,5%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968193324946807"/>
                      <c:h val="0.10962019212263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093-4D92-BCEE-FC3E6593564C}"/>
                </c:ext>
              </c:extLst>
            </c:dLbl>
            <c:dLbl>
              <c:idx val="3"/>
              <c:layout>
                <c:manualLayout>
                  <c:x val="0.20846883784497353"/>
                  <c:y val="-9.473678301519616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013B88E-1C97-454E-A106-BC19805912F6}" type="CATEGORYNAME">
                      <a:rPr lang="en-US"/>
                      <a:pPr>
                        <a:defRPr sz="1100" b="1">
                          <a:solidFill>
                            <a:schemeClr val="accent5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baseline="0"/>
                      <a:t>
3,4%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093-4D92-BCEE-FC3E6593564C}"/>
                </c:ext>
              </c:extLst>
            </c:dLbl>
            <c:dLbl>
              <c:idx val="4"/>
              <c:layout>
                <c:manualLayout>
                  <c:x val="0.20776002112162001"/>
                  <c:y val="4.58517956964872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94611637281546"/>
                      <c:h val="0.196869090791475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093-4D92-BCEE-FC3E6593564C}"/>
                </c:ext>
              </c:extLst>
            </c:dLbl>
            <c:dLbl>
              <c:idx val="5"/>
              <c:layout>
                <c:manualLayout>
                  <c:x val="0.25325024460699808"/>
                  <c:y val="0.1718798784477928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Autres charges
0,1%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093-4D92-BCEE-FC3E6593564C}"/>
                </c:ext>
              </c:extLst>
            </c:dLbl>
            <c:dLbl>
              <c:idx val="6"/>
              <c:layout>
                <c:manualLayout>
                  <c:x val="0.10774355868238371"/>
                  <c:y val="0.2610554982913403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t>Charges financières
0,1%</a:t>
                    </a:r>
                    <a:endParaRPr lang="en-US" b="1">
                      <a:solidFill>
                        <a:schemeClr val="accent5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093-4D92-BCEE-FC3E659356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accent5">
                      <a:lumMod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'%charges ok'!$A$3:$A$9</c:f>
              <c:strCache>
                <c:ptCount val="7"/>
                <c:pt idx="0">
                  <c:v>Prestations légales</c:v>
                </c:pt>
                <c:pt idx="1">
                  <c:v>Charges techniques</c:v>
                </c:pt>
                <c:pt idx="2">
                  <c:v>Dotations aux provisions</c:v>
                </c:pt>
                <c:pt idx="3">
                  <c:v>Gestion</c:v>
                </c:pt>
                <c:pt idx="4">
                  <c:v>Prestations extra-légales</c:v>
                </c:pt>
                <c:pt idx="5">
                  <c:v>Autres charges</c:v>
                </c:pt>
                <c:pt idx="6">
                  <c:v>Charges financières</c:v>
                </c:pt>
              </c:strCache>
            </c:strRef>
          </c:cat>
          <c:val>
            <c:numRef>
              <c:f>'%charges ok'!$C$3:$C$9</c:f>
              <c:numCache>
                <c:formatCode>#\ ##0.0</c:formatCode>
                <c:ptCount val="7"/>
                <c:pt idx="0">
                  <c:v>13784.601988580001</c:v>
                </c:pt>
                <c:pt idx="1">
                  <c:v>388.32743001</c:v>
                </c:pt>
                <c:pt idx="2">
                  <c:v>1197.8511687300002</c:v>
                </c:pt>
                <c:pt idx="3">
                  <c:v>546.02628623999999</c:v>
                </c:pt>
                <c:pt idx="4">
                  <c:v>135.48830251999971</c:v>
                </c:pt>
                <c:pt idx="5">
                  <c:v>8.9814002999999989</c:v>
                </c:pt>
                <c:pt idx="6">
                  <c:v>11.15352888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3-4D92-BCEE-FC3E659356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5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91930095303029E-2"/>
          <c:y val="2.6559521643874623E-2"/>
          <c:w val="0.90721995728591276"/>
          <c:h val="0.7826978675230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'%charges ok'!$B$41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0000"/>
                    <a:lumOff val="40000"/>
                    <a:shade val="30000"/>
                    <a:satMod val="115000"/>
                  </a:schemeClr>
                </a:gs>
                <a:gs pos="50000">
                  <a:schemeClr val="accent5">
                    <a:lumMod val="60000"/>
                    <a:lumOff val="40000"/>
                    <a:shade val="67500"/>
                    <a:satMod val="115000"/>
                  </a:schemeClr>
                </a:gs>
                <a:gs pos="100000">
                  <a:schemeClr val="accent5">
                    <a:lumMod val="60000"/>
                    <a:lumOff val="40000"/>
                    <a:shade val="100000"/>
                    <a:satMod val="115000"/>
                  </a:schemeClr>
                </a:gs>
              </a:gsLst>
              <a:lin ang="18900000" scaled="1"/>
              <a:tileRect/>
            </a:gradFill>
          </c:spPr>
          <c:invertIfNegative val="0"/>
          <c:cat>
            <c:strRef>
              <c:f>'%charges ok'!$A$42:$A$47</c:f>
              <c:strCache>
                <c:ptCount val="6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  <c:pt idx="5">
                  <c:v>Total DEPENSES</c:v>
                </c:pt>
              </c:strCache>
            </c:strRef>
          </c:cat>
          <c:val>
            <c:numRef>
              <c:f>'%charges ok'!$B$42:$B$47</c:f>
              <c:numCache>
                <c:formatCode>#\ ##0.0</c:formatCode>
                <c:ptCount val="6"/>
                <c:pt idx="0">
                  <c:v>6741.1142172599994</c:v>
                </c:pt>
                <c:pt idx="1">
                  <c:v>533.48982902000012</c:v>
                </c:pt>
                <c:pt idx="2">
                  <c:v>577.71216615999992</c:v>
                </c:pt>
                <c:pt idx="3">
                  <c:v>7242.5508439799987</c:v>
                </c:pt>
                <c:pt idx="4">
                  <c:v>1287.7412099799999</c:v>
                </c:pt>
                <c:pt idx="5">
                  <c:v>16382.608266399997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E-4309-A993-485F9A7820A4}"/>
            </c:ext>
          </c:extLst>
        </c:ser>
        <c:ser>
          <c:idx val="1"/>
          <c:order val="1"/>
          <c:tx>
            <c:strRef>
              <c:f>'%charges ok'!$C$41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75000"/>
                    <a:shade val="30000"/>
                    <a:satMod val="115000"/>
                  </a:schemeClr>
                </a:gs>
                <a:gs pos="50000">
                  <a:schemeClr val="accent5">
                    <a:lumMod val="75000"/>
                    <a:shade val="67500"/>
                    <a:satMod val="115000"/>
                  </a:schemeClr>
                </a:gs>
                <a:gs pos="100000">
                  <a:schemeClr val="accent5">
                    <a:lumMod val="75000"/>
                    <a:shade val="100000"/>
                    <a:satMod val="115000"/>
                  </a:schemeClr>
                </a:gs>
              </a:gsLst>
              <a:lin ang="2700000" scaled="1"/>
              <a:tileRect/>
            </a:gradFill>
            <a:ln>
              <a:noFill/>
            </a:ln>
          </c:spPr>
          <c:invertIfNegative val="0"/>
          <c:dPt>
            <c:idx val="5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75000"/>
                      <a:shade val="30000"/>
                      <a:satMod val="115000"/>
                    </a:schemeClr>
                  </a:gs>
                  <a:gs pos="50000">
                    <a:schemeClr val="accent5">
                      <a:lumMod val="75000"/>
                      <a:shade val="67500"/>
                      <a:satMod val="115000"/>
                    </a:schemeClr>
                  </a:gs>
                  <a:gs pos="100000">
                    <a:schemeClr val="accent5">
                      <a:lumMod val="75000"/>
                      <a:shade val="100000"/>
                      <a:satMod val="115000"/>
                    </a:schemeClr>
                  </a:gs>
                </a:gsLst>
                <a:lin ang="18900000" scaled="1"/>
                <a:tileRect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C9E-4309-A993-485F9A7820A4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-2.31481481481481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9E-4309-A993-485F9A7820A4}"/>
                </c:ext>
              </c:extLst>
            </c:dLbl>
            <c:dLbl>
              <c:idx val="1"/>
              <c:layout>
                <c:manualLayout>
                  <c:x val="5.5555555555555558E-3"/>
                  <c:y val="-9.2592592592591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9E-4309-A993-485F9A7820A4}"/>
                </c:ext>
              </c:extLst>
            </c:dLbl>
            <c:dLbl>
              <c:idx val="2"/>
              <c:layout>
                <c:manualLayout>
                  <c:x val="-5.0925337632079971E-17"/>
                  <c:y val="-3.2407407407407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9E-4309-A993-485F9A7820A4}"/>
                </c:ext>
              </c:extLst>
            </c:dLbl>
            <c:dLbl>
              <c:idx val="3"/>
              <c:layout>
                <c:manualLayout>
                  <c:x val="1.0724762727942854E-2"/>
                  <c:y val="-1.56381414064896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9E-4309-A993-485F9A7820A4}"/>
                </c:ext>
              </c:extLst>
            </c:dLbl>
            <c:dLbl>
              <c:idx val="4"/>
              <c:layout>
                <c:manualLayout>
                  <c:x val="-1.0185067526415994E-16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9E-4309-A993-485F9A7820A4}"/>
                </c:ext>
              </c:extLst>
            </c:dLbl>
            <c:dLbl>
              <c:idx val="5"/>
              <c:layout>
                <c:manualLayout>
                  <c:x val="2.071786250569594E-2"/>
                  <c:y val="-1.0294683139699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9E-4309-A993-485F9A7820A4}"/>
                </c:ext>
              </c:extLst>
            </c:dLbl>
            <c:numFmt formatCode="#,##0.0\ &quot;M&quot;&quot;€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'%charges ok'!$A$42:$A$47</c:f>
              <c:strCache>
                <c:ptCount val="6"/>
                <c:pt idx="0">
                  <c:v>MALADIE (avec IJ Amexa)</c:v>
                </c:pt>
                <c:pt idx="1">
                  <c:v>Atexa</c:v>
                </c:pt>
                <c:pt idx="2">
                  <c:v>FAMILLE</c:v>
                </c:pt>
                <c:pt idx="3">
                  <c:v>RETRAITE</c:v>
                </c:pt>
                <c:pt idx="4">
                  <c:v>RCO</c:v>
                </c:pt>
                <c:pt idx="5">
                  <c:v>Total DEPENSES</c:v>
                </c:pt>
              </c:strCache>
            </c:strRef>
          </c:cat>
          <c:val>
            <c:numRef>
              <c:f>'%charges ok'!$C$42:$C$47</c:f>
              <c:numCache>
                <c:formatCode>#\ ##0.0</c:formatCode>
                <c:ptCount val="6"/>
                <c:pt idx="0">
                  <c:v>6435.3547742700002</c:v>
                </c:pt>
                <c:pt idx="1">
                  <c:v>544.46531756000002</c:v>
                </c:pt>
                <c:pt idx="2">
                  <c:v>556.93909781000002</c:v>
                </c:pt>
                <c:pt idx="3">
                  <c:v>7182.5108837500011</c:v>
                </c:pt>
                <c:pt idx="4">
                  <c:v>1353.16003187</c:v>
                </c:pt>
                <c:pt idx="5">
                  <c:v>16072.430105260002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9E-4309-A993-485F9A78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97600"/>
        <c:axId val="156499560"/>
      </c:barChart>
      <c:catAx>
        <c:axId val="1564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</a:defRPr>
            </a:pPr>
            <a:endParaRPr lang="fr-FR"/>
          </a:p>
        </c:txPr>
        <c:crossAx val="156499560"/>
        <c:crosses val="autoZero"/>
        <c:auto val="1"/>
        <c:lblAlgn val="ctr"/>
        <c:lblOffset val="100"/>
        <c:noMultiLvlLbl val="0"/>
      </c:catAx>
      <c:valAx>
        <c:axId val="156499560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156497600"/>
        <c:crosses val="autoZero"/>
        <c:crossBetween val="between"/>
        <c:majorUnit val="2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7.2362814461233882E-2"/>
          <c:y val="3.0300125907304323E-2"/>
          <c:w val="7.9784810171396256E-2"/>
          <c:h val="0.17679602670266437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Principales contributions à l'évolution des dépenses en 2025</a:t>
            </a:r>
          </a:p>
          <a:p>
            <a:pPr>
              <a:defRPr sz="1100"/>
            </a:pPr>
            <a:r>
              <a:rPr lang="fr-FR" sz="1100"/>
              <a:t>(Total : - 1,9 point)</a:t>
            </a:r>
          </a:p>
        </c:rich>
      </c:tx>
      <c:layout>
        <c:manualLayout>
          <c:xMode val="edge"/>
          <c:yMode val="edge"/>
          <c:x val="0.17869407685295879"/>
          <c:y val="5.9052337000921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012294274733983"/>
          <c:y val="0.18812292503172204"/>
          <c:w val="0.8500581537752715"/>
          <c:h val="0.537665236325908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'%charges ok'!$H$14</c:f>
              <c:strCache>
                <c:ptCount val="1"/>
                <c:pt idx="0">
                  <c:v>Prestations légales (-2,2%)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47000"/>
                    <a:shade val="51000"/>
                    <a:satMod val="130000"/>
                  </a:schemeClr>
                </a:gs>
                <a:gs pos="80000">
                  <a:schemeClr val="accent5">
                    <a:shade val="47000"/>
                    <a:shade val="93000"/>
                    <a:satMod val="130000"/>
                  </a:schemeClr>
                </a:gs>
                <a:gs pos="100000">
                  <a:schemeClr val="accent5">
                    <a:shade val="4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81-42E3-A243-FFE26BDEE6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F81-42E3-A243-FFE26BDEE6C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F81-42E3-A243-FFE26BDEE6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F81-42E3-A243-FFE26BDEE6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F81-42E3-A243-FFE26BDEE6C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F81-42E3-A243-FFE26BDEE6C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F81-42E3-A243-FFE26BDEE6C8}"/>
              </c:ext>
            </c:extLst>
          </c:dPt>
          <c:dLbls>
            <c:dLbl>
              <c:idx val="0"/>
              <c:layout>
                <c:manualLayout>
                  <c:x val="0"/>
                  <c:y val="0.140052279963744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1-42E3-A243-FFE26BDEE6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ok'!$I$14</c:f>
              <c:numCache>
                <c:formatCode>\+0.0;\-0.0</c:formatCode>
                <c:ptCount val="1"/>
                <c:pt idx="0">
                  <c:v>-1.8519494237205896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81-42E3-A243-FFE26BDEE6C8}"/>
            </c:ext>
          </c:extLst>
        </c:ser>
        <c:ser>
          <c:idx val="1"/>
          <c:order val="1"/>
          <c:tx>
            <c:strRef>
              <c:f>'%charges ok'!$H$15</c:f>
              <c:strCache>
                <c:ptCount val="1"/>
                <c:pt idx="0">
                  <c:v>Charges techniques (+0,8%)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5000"/>
                    <a:shade val="51000"/>
                    <a:satMod val="130000"/>
                  </a:schemeClr>
                </a:gs>
                <a:gs pos="80000">
                  <a:schemeClr val="accent5">
                    <a:shade val="65000"/>
                    <a:shade val="93000"/>
                    <a:satMod val="130000"/>
                  </a:schemeClr>
                </a:gs>
                <a:gs pos="100000">
                  <a:schemeClr val="accent5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F81-42E3-A243-FFE26BDEE6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F81-42E3-A243-FFE26BDEE6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F81-42E3-A243-FFE26BDEE6C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F81-42E3-A243-FFE26BDEE6C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0F81-42E3-A243-FFE26BDEE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ok'!$I$15</c:f>
              <c:numCache>
                <c:formatCode>\+0.0;\-0.0</c:formatCode>
                <c:ptCount val="1"/>
                <c:pt idx="0">
                  <c:v>1.7878145240199969E-2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F81-42E3-A243-FFE26BDEE6C8}"/>
            </c:ext>
          </c:extLst>
        </c:ser>
        <c:ser>
          <c:idx val="4"/>
          <c:order val="2"/>
          <c:tx>
            <c:strRef>
              <c:f>'%charges ok'!$H$16</c:f>
              <c:strCache>
                <c:ptCount val="1"/>
                <c:pt idx="0">
                  <c:v>Dotations aux provisions (+0,3%)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83000"/>
                    <a:shade val="51000"/>
                    <a:satMod val="130000"/>
                  </a:schemeClr>
                </a:gs>
                <a:gs pos="80000">
                  <a:schemeClr val="accent5">
                    <a:tint val="83000"/>
                    <a:shade val="93000"/>
                    <a:satMod val="130000"/>
                  </a:schemeClr>
                </a:gs>
                <a:gs pos="100000">
                  <a:schemeClr val="accent5">
                    <a:tint val="8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3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83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8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F81-42E3-A243-FFE26BDEE6C8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3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83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8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0F81-42E3-A243-FFE26BDEE6C8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3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83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8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0F81-42E3-A243-FFE26BDEE6C8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3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83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8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0F81-42E3-A243-FFE26BDEE6C8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3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83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8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0F81-42E3-A243-FFE26BDEE6C8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83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83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8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0F81-42E3-A243-FFE26BDEE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ok'!$I$16</c:f>
              <c:numCache>
                <c:formatCode>\+0.0;\-0.0</c:formatCode>
                <c:ptCount val="1"/>
                <c:pt idx="0">
                  <c:v>-2.0408181991734508E-2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F81-42E3-A243-FFE26BDEE6C8}"/>
            </c:ext>
          </c:extLst>
        </c:ser>
        <c:ser>
          <c:idx val="3"/>
          <c:order val="3"/>
          <c:tx>
            <c:strRef>
              <c:f>'%charges ok'!$H$18</c:f>
              <c:strCache>
                <c:ptCount val="1"/>
                <c:pt idx="0">
                  <c:v>Prestations extra-légales (-13,9%)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0F81-42E3-A243-FFE26BDEE6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0F81-42E3-A243-FFE26BDEE6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0F81-42E3-A243-FFE26BDEE6C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0F81-42E3-A243-FFE26BDEE6C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0F81-42E3-A243-FFE26BDEE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'%charges ok'!$I$18</c:f>
              <c:numCache>
                <c:formatCode>\+0.0;\-0.0</c:formatCode>
                <c:ptCount val="1"/>
                <c:pt idx="0">
                  <c:v>-0.13306104214619086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2F-0F81-42E3-A243-FFE26BDEE6C8}"/>
            </c:ext>
          </c:extLst>
        </c:ser>
        <c:ser>
          <c:idx val="2"/>
          <c:order val="4"/>
          <c:tx>
            <c:strRef>
              <c:f>'%charges ok'!$H$20</c:f>
              <c:strCache>
                <c:ptCount val="1"/>
                <c:pt idx="0">
                  <c:v>Charges financières (-12,1%)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shade val="82000"/>
                    <a:shade val="51000"/>
                    <a:satMod val="130000"/>
                  </a:schemeClr>
                </a:gs>
                <a:gs pos="80000">
                  <a:schemeClr val="accent5">
                    <a:shade val="82000"/>
                    <a:shade val="93000"/>
                    <a:satMod val="130000"/>
                  </a:schemeClr>
                </a:gs>
                <a:gs pos="100000">
                  <a:schemeClr val="accent5">
                    <a:shade val="8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82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82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8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0F81-42E3-A243-FFE26BDEE6C8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82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82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8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0F81-42E3-A243-FFE26BDEE6C8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82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82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8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0F81-42E3-A243-FFE26BDEE6C8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82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82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8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0F81-42E3-A243-FFE26BDEE6C8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82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82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8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0F81-42E3-A243-FFE26BDEE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'%charges ok'!$I$20</c:f>
              <c:numCache>
                <c:formatCode>\+0.0;\-0.0</c:formatCode>
                <c:ptCount val="1"/>
                <c:pt idx="0">
                  <c:v>-9.3729383321049433E-3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A-0F81-42E3-A243-FFE26BDEE6C8}"/>
            </c:ext>
          </c:extLst>
        </c:ser>
        <c:ser>
          <c:idx val="6"/>
          <c:order val="5"/>
          <c:tx>
            <c:strRef>
              <c:f>'%charges ok'!$H$17</c:f>
              <c:strCache>
                <c:ptCount val="1"/>
                <c:pt idx="0">
                  <c:v>Gestion (+3,3%)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tint val="48000"/>
                    <a:shade val="51000"/>
                    <a:satMod val="130000"/>
                  </a:schemeClr>
                </a:gs>
                <a:gs pos="80000">
                  <a:schemeClr val="accent5">
                    <a:tint val="48000"/>
                    <a:shade val="93000"/>
                    <a:satMod val="130000"/>
                  </a:schemeClr>
                </a:gs>
                <a:gs pos="100000">
                  <a:schemeClr val="accent5">
                    <a:tint val="4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'%charges ok'!$I$17</c:f>
              <c:numCache>
                <c:formatCode>\+0.0;\-0.0</c:formatCode>
                <c:ptCount val="1"/>
                <c:pt idx="0">
                  <c:v>0.10511577015070825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B-0F81-42E3-A243-FFE26BDEE6C8}"/>
            </c:ext>
          </c:extLst>
        </c:ser>
        <c:ser>
          <c:idx val="5"/>
          <c:order val="6"/>
          <c:tx>
            <c:strRef>
              <c:f>'%charges ok'!$H$19</c:f>
              <c:strCache>
                <c:ptCount val="1"/>
                <c:pt idx="0">
                  <c:v>Autres charges (-2,7%)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5">
                    <a:tint val="65000"/>
                    <a:shade val="51000"/>
                    <a:satMod val="130000"/>
                  </a:schemeClr>
                </a:gs>
                <a:gs pos="80000">
                  <a:schemeClr val="accent5">
                    <a:tint val="65000"/>
                    <a:shade val="93000"/>
                    <a:satMod val="130000"/>
                  </a:schemeClr>
                </a:gs>
                <a:gs pos="100000">
                  <a:schemeClr val="accent5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'%charges ok'!$I$19</c:f>
              <c:numCache>
                <c:formatCode>\+0.0;\-0.0</c:formatCode>
                <c:ptCount val="1"/>
                <c:pt idx="0">
                  <c:v>-1.5404112452446226E-3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3C-0F81-42E3-A243-FFE26BDEE6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493336"/>
        <c:axId val="436490984"/>
        <c:extLst/>
      </c:barChart>
      <c:catAx>
        <c:axId val="436493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high"/>
        <c:crossAx val="436490984"/>
        <c:crosses val="autoZero"/>
        <c:auto val="1"/>
        <c:lblAlgn val="ctr"/>
        <c:lblOffset val="100"/>
        <c:noMultiLvlLbl val="0"/>
      </c:catAx>
      <c:valAx>
        <c:axId val="436490984"/>
        <c:scaling>
          <c:orientation val="minMax"/>
          <c:max val="2"/>
          <c:min val="-2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Contribution à l'évolution (en points)</a:t>
                </a:r>
              </a:p>
            </c:rich>
          </c:tx>
          <c:layout>
            <c:manualLayout>
              <c:xMode val="edge"/>
              <c:yMode val="edge"/>
              <c:x val="3.0120056982406E-2"/>
              <c:y val="0.18523752411743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crossAx val="4364933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571079138667877E-2"/>
          <c:y val="0.77999269958804818"/>
          <c:w val="0.96649232982002908"/>
          <c:h val="0.22000730041195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fr-FR" sz="11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Contributions à l'évolution des dépenses selon la branche en 2025</a:t>
            </a:r>
          </a:p>
          <a:p>
            <a:pPr>
              <a:defRPr lang="fr-FR" sz="1100">
                <a:solidFill>
                  <a:srgbClr val="1F497D"/>
                </a:solidFill>
              </a:defRPr>
            </a:pPr>
            <a:r>
              <a:rPr lang="fr-FR" sz="11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(Total : - 1,9 point)</a:t>
            </a:r>
          </a:p>
        </c:rich>
      </c:tx>
      <c:layout>
        <c:manualLayout>
          <c:xMode val="edge"/>
          <c:yMode val="edge"/>
          <c:x val="0.14531457891964972"/>
          <c:y val="3.6134738610304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'%charges ok'!$A$42</c:f>
              <c:strCache>
                <c:ptCount val="1"/>
                <c:pt idx="0">
                  <c:v>MALADIE (avec IJ Amexa)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3000"/>
                    <a:shade val="51000"/>
                    <a:satMod val="130000"/>
                  </a:schemeClr>
                </a:gs>
                <a:gs pos="80000">
                  <a:schemeClr val="accent5">
                    <a:shade val="53000"/>
                    <a:shade val="93000"/>
                    <a:satMod val="130000"/>
                  </a:schemeClr>
                </a:gs>
                <a:gs pos="100000">
                  <a:schemeClr val="accent5">
                    <a:shade val="5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08-4DB5-B786-139D868C93C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E08-4DB5-B786-139D868C93CC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08-4DB5-B786-139D868C93CC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08-4DB5-B786-139D868C93CC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08-4DB5-B786-139D868C93CC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E08-4DB5-B786-139D868C93CC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3000"/>
                      <a:shade val="51000"/>
                      <a:satMod val="130000"/>
                    </a:schemeClr>
                  </a:gs>
                  <a:gs pos="80000">
                    <a:schemeClr val="accent5">
                      <a:shade val="53000"/>
                      <a:shade val="93000"/>
                      <a:satMod val="130000"/>
                    </a:schemeClr>
                  </a:gs>
                  <a:gs pos="100000">
                    <a:schemeClr val="accent5">
                      <a:shade val="5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E08-4DB5-B786-139D868C93CC}"/>
              </c:ext>
            </c:extLst>
          </c:dPt>
          <c:dLbls>
            <c:dLbl>
              <c:idx val="0"/>
              <c:layout>
                <c:manualLayout>
                  <c:x val="0"/>
                  <c:y val="-5.3866261524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8-4DB5-B786-139D868C9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ok'!$F$42</c:f>
              <c:numCache>
                <c:formatCode>\+0.0;\-0.0</c:formatCode>
                <c:ptCount val="1"/>
                <c:pt idx="0">
                  <c:v>-1.8663660756455862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08-4DB5-B786-139D868C93CC}"/>
            </c:ext>
          </c:extLst>
        </c:ser>
        <c:ser>
          <c:idx val="1"/>
          <c:order val="1"/>
          <c:tx>
            <c:strRef>
              <c:f>'%charges ok'!$A$43</c:f>
              <c:strCache>
                <c:ptCount val="1"/>
                <c:pt idx="0">
                  <c:v>Atexa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E08-4DB5-B786-139D868C93C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E08-4DB5-B786-139D868C93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E08-4DB5-B786-139D868C93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E08-4DB5-B786-139D868C93C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E08-4DB5-B786-139D868C93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ok'!$F$43</c:f>
              <c:numCache>
                <c:formatCode>\+0.0;\-0.0</c:formatCode>
                <c:ptCount val="1"/>
                <c:pt idx="0">
                  <c:v>6.6994756643910663E-2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E08-4DB5-B786-139D868C93CC}"/>
            </c:ext>
          </c:extLst>
        </c:ser>
        <c:ser>
          <c:idx val="4"/>
          <c:order val="2"/>
          <c:tx>
            <c:strRef>
              <c:f>'%charges ok'!$A$44</c:f>
              <c:strCache>
                <c:ptCount val="1"/>
                <c:pt idx="0">
                  <c:v>FAMILLE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4000"/>
                    <a:shade val="51000"/>
                    <a:satMod val="130000"/>
                  </a:schemeClr>
                </a:gs>
                <a:gs pos="80000">
                  <a:schemeClr val="accent5">
                    <a:tint val="54000"/>
                    <a:shade val="93000"/>
                    <a:satMod val="130000"/>
                  </a:schemeClr>
                </a:gs>
                <a:gs pos="100000">
                  <a:schemeClr val="accent5">
                    <a:tint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E08-4DB5-B786-139D868C93C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E08-4DB5-B786-139D868C93C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E08-4DB5-B786-139D868C93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E08-4DB5-B786-139D868C93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E08-4DB5-B786-139D868C93C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E08-4DB5-B786-139D868C93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ok'!$F$44</c:f>
              <c:numCache>
                <c:formatCode>\+0.0;\-0.0</c:formatCode>
                <c:ptCount val="1"/>
                <c:pt idx="0">
                  <c:v>-0.12679951819762766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E08-4DB5-B786-139D868C93CC}"/>
            </c:ext>
          </c:extLst>
        </c:ser>
        <c:ser>
          <c:idx val="3"/>
          <c:order val="3"/>
          <c:tx>
            <c:strRef>
              <c:f>'%charges ok'!$A$45</c:f>
              <c:strCache>
                <c:ptCount val="1"/>
                <c:pt idx="0">
                  <c:v>RETRAITE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DE08-4DB5-B786-139D868C93CC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DE08-4DB5-B786-139D868C93CC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DE08-4DB5-B786-139D868C93CC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DE08-4DB5-B786-139D868C93CC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5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5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DE08-4DB5-B786-139D868C93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</c:strRef>
          </c:cat>
          <c:val>
            <c:numRef>
              <c:f>'%charges ok'!$F$45</c:f>
              <c:numCache>
                <c:formatCode>\+0.0;\-0.0</c:formatCode>
                <c:ptCount val="1"/>
                <c:pt idx="0">
                  <c:v>-0.36648596642048309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DE08-4DB5-B786-139D868C93CC}"/>
            </c:ext>
          </c:extLst>
        </c:ser>
        <c:ser>
          <c:idx val="2"/>
          <c:order val="4"/>
          <c:tx>
            <c:strRef>
              <c:f>'%charges ok'!$A$46</c:f>
              <c:strCache>
                <c:ptCount val="1"/>
                <c:pt idx="0">
                  <c:v>RCO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DE08-4DB5-B786-139D868C93CC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DE08-4DB5-B786-139D868C93CC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DE08-4DB5-B786-139D868C93CC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DE08-4DB5-B786-139D868C93CC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DE08-4DB5-B786-139D868C93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'%charges ok'!$I$13</c:f>
              <c:strCache>
                <c:ptCount val="1"/>
                <c:pt idx="0">
                  <c:v>Contri croiss</c:v>
                </c:pt>
              </c:strCache>
              <c:extLst xmlns:c15="http://schemas.microsoft.com/office/drawing/2012/chart"/>
            </c:strRef>
          </c:cat>
          <c:val>
            <c:numRef>
              <c:f>'%charges ok'!$F$46</c:f>
              <c:numCache>
                <c:formatCode>\+0.0;\-0.0</c:formatCode>
                <c:ptCount val="1"/>
                <c:pt idx="0">
                  <c:v>0.39931872157482556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DE08-4DB5-B786-139D868C93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492160"/>
        <c:axId val="436491376"/>
        <c:extLst/>
      </c:barChart>
      <c:catAx>
        <c:axId val="436492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high"/>
        <c:crossAx val="436491376"/>
        <c:crosses val="autoZero"/>
        <c:auto val="1"/>
        <c:lblAlgn val="ctr"/>
        <c:lblOffset val="100"/>
        <c:noMultiLvlLbl val="0"/>
      </c:catAx>
      <c:valAx>
        <c:axId val="436491376"/>
        <c:scaling>
          <c:orientation val="minMax"/>
          <c:max val="2"/>
          <c:min val="-3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Contribution à l'évolution (en points)</a:t>
                </a:r>
              </a:p>
            </c:rich>
          </c:tx>
          <c:layout>
            <c:manualLayout>
              <c:xMode val="edge"/>
              <c:yMode val="edge"/>
              <c:x val="3.3078860828721975E-2"/>
              <c:y val="0.20526577790919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crossAx val="4364921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54522961699847E-2"/>
          <c:y val="0.16480169568528216"/>
          <c:w val="0.82829095407660025"/>
          <c:h val="0.799978841525171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8-446D-8D48-9BA362ED4EF5}"/>
              </c:ext>
            </c:extLst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8-446D-8D48-9BA362ED4EF5}"/>
              </c:ext>
            </c:extLst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8-446D-8D48-9BA362ED4EF5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8-446D-8D48-9BA362ED4EF5}"/>
              </c:ext>
            </c:extLst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88-446D-8D48-9BA362ED4EF5}"/>
              </c:ext>
            </c:extLst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588-446D-8D48-9BA362ED4EF5}"/>
              </c:ext>
            </c:extLst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88-446D-8D48-9BA362ED4EF5}"/>
              </c:ext>
            </c:extLst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588-446D-8D48-9BA362ED4EF5}"/>
              </c:ext>
            </c:extLst>
          </c:dPt>
          <c:dLbls>
            <c:dLbl>
              <c:idx val="0"/>
              <c:layout>
                <c:manualLayout>
                  <c:x val="9.0392363374960298E-4"/>
                  <c:y val="4.263855191880162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chemeClr val="bg1"/>
                        </a:solidFill>
                      </a:rPr>
                      <a:t>Impôts et taxes affectés
31,4%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588-446D-8D48-9BA362ED4EF5}"/>
                </c:ext>
              </c:extLst>
            </c:dLbl>
            <c:dLbl>
              <c:idx val="1"/>
              <c:layout>
                <c:manualLayout>
                  <c:x val="0.19291288429710618"/>
                  <c:y val="-8.045091450757961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64741A-D652-413C-85B9-85790DEFE5F1}" type="CATEGORYNAME">
                      <a:rPr lang="en-US" b="1"/>
                      <a:pPr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b="1" baseline="0"/>
                      <a:t>
21,1 %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69206078539542"/>
                      <c:h val="0.187582647089780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588-446D-8D48-9BA362ED4EF5}"/>
                </c:ext>
              </c:extLst>
            </c:dLbl>
            <c:dLbl>
              <c:idx val="2"/>
              <c:layout>
                <c:manualLayout>
                  <c:x val="3.6892522192687699E-3"/>
                  <c:y val="5.0855843172622423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BCDA41C-423C-4AB4-ABFC-268F88809534}" type="CATEGORYNAME">
                      <a:rPr lang="en-US" b="1"/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b="1" baseline="0"/>
                      <a:t>
16,5 %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588-446D-8D48-9BA362ED4EF5}"/>
                </c:ext>
              </c:extLst>
            </c:dLbl>
            <c:dLbl>
              <c:idx val="3"/>
              <c:layout>
                <c:manualLayout>
                  <c:x val="-0.21243433544935988"/>
                  <c:y val="8.128475681855984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1A22DD-1E50-4968-9F27-BCAFA5C15D9F}" type="CATEGORYNAME">
                      <a:rPr lang="en-US" b="1"/>
                      <a:pPr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b="1" baseline="0"/>
                      <a:t>
17,2 %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763730566312721"/>
                      <c:h val="0.17825048825701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588-446D-8D48-9BA362ED4EF5}"/>
                </c:ext>
              </c:extLst>
            </c:dLbl>
            <c:dLbl>
              <c:idx val="4"/>
              <c:layout>
                <c:manualLayout>
                  <c:x val="-0.20082710600665363"/>
                  <c:y val="0.1284244279018178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Autres produits
10,1 %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07356380367104"/>
                      <c:h val="0.1716608528837280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9588-446D-8D48-9BA362ED4EF5}"/>
                </c:ext>
              </c:extLst>
            </c:dLbl>
            <c:dLbl>
              <c:idx val="5"/>
              <c:layout>
                <c:manualLayout>
                  <c:x val="-0.21768544059381112"/>
                  <c:y val="1.518729600360749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524ED59-1E6F-4660-B5EB-437389D5C810}" type="CATEGORYNAME">
                      <a:rPr lang="en-US" b="1"/>
                      <a:pPr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b="1" baseline="0"/>
                      <a:t>
0,4 %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21664409783174"/>
                      <c:h val="0.1604410088782008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588-446D-8D48-9BA362ED4EF5}"/>
                </c:ext>
              </c:extLst>
            </c:dLbl>
            <c:dLbl>
              <c:idx val="6"/>
              <c:layout>
                <c:manualLayout>
                  <c:x val="-0.22309978768577496"/>
                  <c:y val="-0.1453261083859648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B486B6-7F99-42BD-ADFE-E3D414DB7B17}" type="CATEGORYNAME">
                      <a:rPr lang="en-US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b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3,1 %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215490579601117"/>
                      <c:h val="0.201153466195570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588-446D-8D48-9BA362ED4EF5}"/>
                </c:ext>
              </c:extLst>
            </c:dLbl>
            <c:dLbl>
              <c:idx val="7"/>
              <c:layout>
                <c:manualLayout>
                  <c:x val="-4.6396509353528667E-3"/>
                  <c:y val="-0.261952605784267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accent5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80B045B-1C0F-4F14-ACC1-C5D4C84B9EC9}" type="CATEGORYNAME">
                      <a:rPr lang="en-US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>
                        <a:defRPr sz="1100"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b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0,2 %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55847000016717"/>
                      <c:h val="0.155114462379178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9588-446D-8D48-9BA362ED4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'%produits ok'!$A$3:$A$10</c:f>
              <c:strCache>
                <c:ptCount val="8"/>
                <c:pt idx="0">
                  <c:v>ITAF</c:v>
                </c:pt>
                <c:pt idx="1">
                  <c:v>Contributions du Régime général</c:v>
                </c:pt>
                <c:pt idx="2">
                  <c:v>Compensation démographique</c:v>
                </c:pt>
                <c:pt idx="3">
                  <c:v>Cotisations employeurs</c:v>
                </c:pt>
                <c:pt idx="4">
                  <c:v>Autres produits</c:v>
                </c:pt>
                <c:pt idx="5">
                  <c:v>Prise en charge de prestations</c:v>
                </c:pt>
                <c:pt idx="6">
                  <c:v>Contribution sociale généralisée</c:v>
                </c:pt>
                <c:pt idx="7">
                  <c:v>Cotisations prises en charge par l'Etat</c:v>
                </c:pt>
              </c:strCache>
            </c:strRef>
          </c:cat>
          <c:val>
            <c:numRef>
              <c:f>'%produits ok'!$D$3:$D$10</c:f>
              <c:numCache>
                <c:formatCode>0.0%</c:formatCode>
                <c:ptCount val="8"/>
                <c:pt idx="0">
                  <c:v>0.31481243552439109</c:v>
                </c:pt>
                <c:pt idx="1">
                  <c:v>0.2110386834195272</c:v>
                </c:pt>
                <c:pt idx="2">
                  <c:v>0.16452346472405641</c:v>
                </c:pt>
                <c:pt idx="3">
                  <c:v>0.17161712392194878</c:v>
                </c:pt>
                <c:pt idx="4">
                  <c:v>0.1014175367058517</c:v>
                </c:pt>
                <c:pt idx="5">
                  <c:v>3.7758085507450267E-3</c:v>
                </c:pt>
                <c:pt idx="6">
                  <c:v>3.1109708471838828E-2</c:v>
                </c:pt>
                <c:pt idx="7">
                  <c:v>1.7052386816409667E-3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88-446D-8D48-9BA362ED4E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19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4">
  <dgm:title val=""/>
  <dgm:desc val=""/>
  <dgm:catLst>
    <dgm:cat type="accent5" pri="11400"/>
  </dgm:catLst>
  <dgm:styleLbl name="node0">
    <dgm:fillClrLst meth="cycle">
      <a:schemeClr val="accent5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5">
        <a:shade val="50000"/>
      </a:schemeClr>
      <a:schemeClr val="accent5">
        <a:tint val="55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5">
        <a:shade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5">
        <a:shade val="80000"/>
        <a:alpha val="50000"/>
      </a:schemeClr>
      <a:schemeClr val="accent5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5">
        <a:shade val="90000"/>
      </a:schemeClr>
      <a:schemeClr val="accent5">
        <a:tint val="50000"/>
      </a:schemeClr>
    </dgm:fillClrLst>
    <dgm:linClrLst meth="cycle">
      <a:schemeClr val="accent5">
        <a:shade val="90000"/>
      </a:schemeClr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5">
        <a:shade val="50000"/>
      </a:schemeClr>
      <a:schemeClr val="accent5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55000"/>
      </a:schemeClr>
    </dgm:fillClrLst>
    <dgm:linClrLst meth="repeat">
      <a:schemeClr val="accent5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55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37EB8B8-DF73-49DD-98EB-2C2BF74AD643}" type="doc">
      <dgm:prSet loTypeId="urn:microsoft.com/office/officeart/2005/8/layout/default" loCatId="list" qsTypeId="urn:microsoft.com/office/officeart/2005/8/quickstyle/simple5" qsCatId="simple" csTypeId="urn:microsoft.com/office/officeart/2005/8/colors/accent5_4" csCatId="accent5" phldr="1"/>
      <dgm:spPr/>
      <dgm:t>
        <a:bodyPr/>
        <a:lstStyle/>
        <a:p>
          <a:endParaRPr lang="fr-FR"/>
        </a:p>
      </dgm:t>
    </dgm:pt>
    <dgm:pt modelId="{B1676B82-DFAC-4C8B-8833-D2BF214CECCE}">
      <dgm:prSet phldrT="[Texte]" custT="1"/>
      <dgm:spPr/>
      <dgm:t>
        <a:bodyPr/>
        <a:lstStyle/>
        <a:p>
          <a:endParaRPr lang="fr-FR" sz="1200" b="1"/>
        </a:p>
        <a:p>
          <a:endParaRPr lang="fr-FR" sz="1200" b="1"/>
        </a:p>
        <a:p>
          <a:endParaRPr lang="fr-FR" sz="1200" b="1"/>
        </a:p>
        <a:p>
          <a:endParaRPr lang="fr-FR" sz="1200" b="1"/>
        </a:p>
        <a:p>
          <a:endParaRPr lang="fr-FR" sz="1200" b="1"/>
        </a:p>
        <a:p>
          <a:r>
            <a:rPr lang="fr-FR" sz="1200" b="1"/>
            <a:t>personnes protégées en maladie</a:t>
          </a:r>
        </a:p>
        <a:p>
          <a:r>
            <a:rPr lang="fr-FR" sz="1400" b="1"/>
            <a:t>- 3,3 % </a:t>
          </a:r>
        </a:p>
      </dgm:t>
    </dgm:pt>
    <dgm:pt modelId="{F739082E-FFC3-426B-AA12-5EEEF55707D7}" type="parTrans" cxnId="{C80260CE-0275-400F-9302-6028FDE13FCE}">
      <dgm:prSet/>
      <dgm:spPr/>
      <dgm:t>
        <a:bodyPr/>
        <a:lstStyle/>
        <a:p>
          <a:endParaRPr lang="fr-FR"/>
        </a:p>
      </dgm:t>
    </dgm:pt>
    <dgm:pt modelId="{33C3787C-1F83-494D-A7B9-BEDCA579C071}" type="sibTrans" cxnId="{C80260CE-0275-400F-9302-6028FDE13FCE}">
      <dgm:prSet/>
      <dgm:spPr/>
      <dgm:t>
        <a:bodyPr/>
        <a:lstStyle/>
        <a:p>
          <a:endParaRPr lang="fr-FR"/>
        </a:p>
      </dgm:t>
    </dgm:pt>
    <dgm:pt modelId="{02EACEA4-8F2B-41BE-9BAE-AA6511BF142A}">
      <dgm:prSet phldrT="[Texte]" custT="1"/>
      <dgm:spPr/>
      <dgm:t>
        <a:bodyPr/>
        <a:lstStyle/>
        <a:p>
          <a:r>
            <a:rPr lang="fr-FR" sz="1400" b="1"/>
            <a:t> </a:t>
          </a:r>
        </a:p>
        <a:p>
          <a:endParaRPr lang="fr-FR" sz="1400" b="1"/>
        </a:p>
        <a:p>
          <a:endParaRPr lang="fr-FR" sz="1400" b="1"/>
        </a:p>
        <a:p>
          <a:endParaRPr lang="fr-FR" sz="1050" b="1"/>
        </a:p>
        <a:p>
          <a:r>
            <a:rPr lang="fr-FR" sz="1100" b="1"/>
            <a:t>Familles bénéficiaires de prestations familiales</a:t>
          </a:r>
        </a:p>
        <a:p>
          <a:r>
            <a:rPr lang="fr-FR" sz="1200" b="1"/>
            <a:t>- 1,3 %</a:t>
          </a:r>
        </a:p>
      </dgm:t>
    </dgm:pt>
    <dgm:pt modelId="{7DE99C79-DCC8-4AFF-B96D-C91A0C90D20D}" type="parTrans" cxnId="{FC25F253-9A9D-4385-A7EC-5A93588390CE}">
      <dgm:prSet/>
      <dgm:spPr/>
      <dgm:t>
        <a:bodyPr/>
        <a:lstStyle/>
        <a:p>
          <a:endParaRPr lang="fr-FR"/>
        </a:p>
      </dgm:t>
    </dgm:pt>
    <dgm:pt modelId="{5075B8E1-DEB6-4A80-A11E-176CB0C07C36}" type="sibTrans" cxnId="{FC25F253-9A9D-4385-A7EC-5A93588390CE}">
      <dgm:prSet/>
      <dgm:spPr/>
      <dgm:t>
        <a:bodyPr/>
        <a:lstStyle/>
        <a:p>
          <a:endParaRPr lang="fr-FR"/>
        </a:p>
      </dgm:t>
    </dgm:pt>
    <dgm:pt modelId="{73FB1F7C-368A-4973-9A92-E972087CE40F}">
      <dgm:prSet phldrT="[Texte]" custT="1"/>
      <dgm:spPr/>
      <dgm:t>
        <a:bodyPr/>
        <a:lstStyle/>
        <a:p>
          <a:endParaRPr lang="fr-FR" sz="1500" b="1"/>
        </a:p>
        <a:p>
          <a:r>
            <a:rPr lang="fr-FR" sz="1500" b="1"/>
            <a:t> </a:t>
          </a:r>
        </a:p>
        <a:p>
          <a:endParaRPr lang="fr-FR" sz="1500" b="1"/>
        </a:p>
        <a:p>
          <a:endParaRPr lang="fr-FR" sz="1200" b="1"/>
        </a:p>
        <a:p>
          <a:r>
            <a:rPr lang="fr-FR" sz="1200"/>
            <a:t>Cotisants NSA</a:t>
          </a:r>
        </a:p>
        <a:p>
          <a:r>
            <a:rPr lang="fr-FR" sz="1400" b="1"/>
            <a:t>- 1,5 %</a:t>
          </a:r>
          <a:endParaRPr lang="fr-FR" sz="1400"/>
        </a:p>
      </dgm:t>
    </dgm:pt>
    <dgm:pt modelId="{2E234158-0A08-45F6-8F9C-B3E11288CD2C}" type="parTrans" cxnId="{803DD50A-AA44-4864-AC81-FDEA857C6C1A}">
      <dgm:prSet/>
      <dgm:spPr/>
      <dgm:t>
        <a:bodyPr/>
        <a:lstStyle/>
        <a:p>
          <a:endParaRPr lang="fr-FR"/>
        </a:p>
      </dgm:t>
    </dgm:pt>
    <dgm:pt modelId="{561904CF-DC9A-4E23-B517-E50E1C5F02BD}" type="sibTrans" cxnId="{803DD50A-AA44-4864-AC81-FDEA857C6C1A}">
      <dgm:prSet/>
      <dgm:spPr/>
      <dgm:t>
        <a:bodyPr/>
        <a:lstStyle/>
        <a:p>
          <a:endParaRPr lang="fr-FR"/>
        </a:p>
      </dgm:t>
    </dgm:pt>
    <dgm:pt modelId="{EA52A100-C5DC-48DC-B9D6-1F4AD3F56D19}">
      <dgm:prSet phldrT="[Texte]" custT="1"/>
      <dgm:spPr/>
      <dgm:t>
        <a:bodyPr/>
        <a:lstStyle/>
        <a:p>
          <a:r>
            <a:rPr lang="fr-FR" sz="1200" b="1"/>
            <a:t> </a:t>
          </a:r>
        </a:p>
        <a:p>
          <a:endParaRPr lang="fr-FR" sz="1200" b="1"/>
        </a:p>
        <a:p>
          <a:endParaRPr lang="fr-FR" sz="1100" b="1"/>
        </a:p>
        <a:p>
          <a:endParaRPr lang="fr-FR" sz="1100" b="1"/>
        </a:p>
        <a:p>
          <a:endParaRPr lang="fr-FR" sz="1100" b="1"/>
        </a:p>
        <a:p>
          <a:endParaRPr lang="fr-FR" sz="1100" b="1"/>
        </a:p>
        <a:p>
          <a:endParaRPr lang="fr-FR" sz="1200" b="1"/>
        </a:p>
        <a:p>
          <a:r>
            <a:rPr lang="fr-FR" sz="1200" b="1"/>
            <a:t>Bénéficiaires d'un avantage retraite</a:t>
          </a:r>
        </a:p>
        <a:p>
          <a:r>
            <a:rPr lang="fr-FR" sz="1400" b="1"/>
            <a:t>- 3,2 %</a:t>
          </a:r>
        </a:p>
      </dgm:t>
    </dgm:pt>
    <dgm:pt modelId="{4BD3A487-F60C-4BF7-9289-53D0EDC6D1DA}" type="sibTrans" cxnId="{15454F51-BBCC-4E57-89EC-9F1FB82DE868}">
      <dgm:prSet/>
      <dgm:spPr/>
      <dgm:t>
        <a:bodyPr/>
        <a:lstStyle/>
        <a:p>
          <a:endParaRPr lang="fr-FR"/>
        </a:p>
      </dgm:t>
    </dgm:pt>
    <dgm:pt modelId="{29D2ACDE-2FFB-4995-B128-B7EE581C5762}" type="parTrans" cxnId="{15454F51-BBCC-4E57-89EC-9F1FB82DE868}">
      <dgm:prSet/>
      <dgm:spPr/>
      <dgm:t>
        <a:bodyPr/>
        <a:lstStyle/>
        <a:p>
          <a:endParaRPr lang="fr-FR"/>
        </a:p>
      </dgm:t>
    </dgm:pt>
    <dgm:pt modelId="{3ADB7B76-FA4C-4975-90D1-EA90BAB20826}" type="pres">
      <dgm:prSet presAssocID="{A37EB8B8-DF73-49DD-98EB-2C2BF74AD643}" presName="diagram" presStyleCnt="0">
        <dgm:presLayoutVars>
          <dgm:dir/>
          <dgm:resizeHandles val="exact"/>
        </dgm:presLayoutVars>
      </dgm:prSet>
      <dgm:spPr/>
    </dgm:pt>
    <dgm:pt modelId="{E48A8279-724B-4CC1-8F9E-EF04DEC6A3C1}" type="pres">
      <dgm:prSet presAssocID="{B1676B82-DFAC-4C8B-8833-D2BF214CECCE}" presName="node" presStyleLbl="node1" presStyleIdx="0" presStyleCnt="4" custScaleX="127635" custScaleY="223910" custLinFactNeighborX="1103" custLinFactNeighborY="5516">
        <dgm:presLayoutVars>
          <dgm:bulletEnabled val="1"/>
        </dgm:presLayoutVars>
      </dgm:prSet>
      <dgm:spPr>
        <a:prstGeom prst="downArrow">
          <a:avLst/>
        </a:prstGeom>
      </dgm:spPr>
    </dgm:pt>
    <dgm:pt modelId="{76DC997C-A9F0-4950-8271-7CBD409AA366}" type="pres">
      <dgm:prSet presAssocID="{33C3787C-1F83-494D-A7B9-BEDCA579C071}" presName="sibTrans" presStyleCnt="0"/>
      <dgm:spPr/>
    </dgm:pt>
    <dgm:pt modelId="{EA8EF760-9B75-40E0-9FE6-5C6401B45BA7}" type="pres">
      <dgm:prSet presAssocID="{02EACEA4-8F2B-41BE-9BAE-AA6511BF142A}" presName="node" presStyleLbl="node1" presStyleIdx="1" presStyleCnt="4" custScaleX="112457" custScaleY="211899" custLinFactNeighborX="1688" custLinFactNeighborY="2813">
        <dgm:presLayoutVars>
          <dgm:bulletEnabled val="1"/>
        </dgm:presLayoutVars>
      </dgm:prSet>
      <dgm:spPr>
        <a:prstGeom prst="downArrow">
          <a:avLst/>
        </a:prstGeom>
      </dgm:spPr>
    </dgm:pt>
    <dgm:pt modelId="{4187E366-3377-4EE4-8DAC-2596E0C96205}" type="pres">
      <dgm:prSet presAssocID="{5075B8E1-DEB6-4A80-A11E-176CB0C07C36}" presName="sibTrans" presStyleCnt="0"/>
      <dgm:spPr/>
    </dgm:pt>
    <dgm:pt modelId="{13A46BE8-AD90-47D8-979D-E96039FC3DA2}" type="pres">
      <dgm:prSet presAssocID="{73FB1F7C-368A-4973-9A92-E972087CE40F}" presName="node" presStyleLbl="node1" presStyleIdx="2" presStyleCnt="4" custScaleX="111412" custScaleY="216574">
        <dgm:presLayoutVars>
          <dgm:bulletEnabled val="1"/>
        </dgm:presLayoutVars>
      </dgm:prSet>
      <dgm:spPr>
        <a:prstGeom prst="downArrow">
          <a:avLst/>
        </a:prstGeom>
      </dgm:spPr>
    </dgm:pt>
    <dgm:pt modelId="{E70C0419-383A-458F-8338-A12C1B8C1E42}" type="pres">
      <dgm:prSet presAssocID="{561904CF-DC9A-4E23-B517-E50E1C5F02BD}" presName="sibTrans" presStyleCnt="0"/>
      <dgm:spPr/>
    </dgm:pt>
    <dgm:pt modelId="{A5328A2B-A67F-4E84-BFE5-0CC941A78D61}" type="pres">
      <dgm:prSet presAssocID="{EA52A100-C5DC-48DC-B9D6-1F4AD3F56D19}" presName="node" presStyleLbl="node1" presStyleIdx="3" presStyleCnt="4" custScaleX="134340" custScaleY="240463" custLinFactNeighborX="-4242" custLinFactNeighborY="211">
        <dgm:presLayoutVars>
          <dgm:bulletEnabled val="1"/>
        </dgm:presLayoutVars>
      </dgm:prSet>
      <dgm:spPr>
        <a:prstGeom prst="downArrow">
          <a:avLst/>
        </a:prstGeom>
      </dgm:spPr>
    </dgm:pt>
  </dgm:ptLst>
  <dgm:cxnLst>
    <dgm:cxn modelId="{803DD50A-AA44-4864-AC81-FDEA857C6C1A}" srcId="{A37EB8B8-DF73-49DD-98EB-2C2BF74AD643}" destId="{73FB1F7C-368A-4973-9A92-E972087CE40F}" srcOrd="2" destOrd="0" parTransId="{2E234158-0A08-45F6-8F9C-B3E11288CD2C}" sibTransId="{561904CF-DC9A-4E23-B517-E50E1C5F02BD}"/>
    <dgm:cxn modelId="{8BB6AE26-4269-48BA-A4CA-43078CED4ADC}" type="presOf" srcId="{73FB1F7C-368A-4973-9A92-E972087CE40F}" destId="{13A46BE8-AD90-47D8-979D-E96039FC3DA2}" srcOrd="0" destOrd="0" presId="urn:microsoft.com/office/officeart/2005/8/layout/default"/>
    <dgm:cxn modelId="{15454F51-BBCC-4E57-89EC-9F1FB82DE868}" srcId="{A37EB8B8-DF73-49DD-98EB-2C2BF74AD643}" destId="{EA52A100-C5DC-48DC-B9D6-1F4AD3F56D19}" srcOrd="3" destOrd="0" parTransId="{29D2ACDE-2FFB-4995-B128-B7EE581C5762}" sibTransId="{4BD3A487-F60C-4BF7-9289-53D0EDC6D1DA}"/>
    <dgm:cxn modelId="{FC25F253-9A9D-4385-A7EC-5A93588390CE}" srcId="{A37EB8B8-DF73-49DD-98EB-2C2BF74AD643}" destId="{02EACEA4-8F2B-41BE-9BAE-AA6511BF142A}" srcOrd="1" destOrd="0" parTransId="{7DE99C79-DCC8-4AFF-B96D-C91A0C90D20D}" sibTransId="{5075B8E1-DEB6-4A80-A11E-176CB0C07C36}"/>
    <dgm:cxn modelId="{6040B157-1C07-48EA-845F-C1ADC4EB0EBB}" type="presOf" srcId="{B1676B82-DFAC-4C8B-8833-D2BF214CECCE}" destId="{E48A8279-724B-4CC1-8F9E-EF04DEC6A3C1}" srcOrd="0" destOrd="0" presId="urn:microsoft.com/office/officeart/2005/8/layout/default"/>
    <dgm:cxn modelId="{09969A8D-DD4E-482B-B987-A68120AE19B5}" type="presOf" srcId="{02EACEA4-8F2B-41BE-9BAE-AA6511BF142A}" destId="{EA8EF760-9B75-40E0-9FE6-5C6401B45BA7}" srcOrd="0" destOrd="0" presId="urn:microsoft.com/office/officeart/2005/8/layout/default"/>
    <dgm:cxn modelId="{886B17A1-3F8B-4011-971F-4A87524CAD1C}" type="presOf" srcId="{A37EB8B8-DF73-49DD-98EB-2C2BF74AD643}" destId="{3ADB7B76-FA4C-4975-90D1-EA90BAB20826}" srcOrd="0" destOrd="0" presId="urn:microsoft.com/office/officeart/2005/8/layout/default"/>
    <dgm:cxn modelId="{C80260CE-0275-400F-9302-6028FDE13FCE}" srcId="{A37EB8B8-DF73-49DD-98EB-2C2BF74AD643}" destId="{B1676B82-DFAC-4C8B-8833-D2BF214CECCE}" srcOrd="0" destOrd="0" parTransId="{F739082E-FFC3-426B-AA12-5EEEF55707D7}" sibTransId="{33C3787C-1F83-494D-A7B9-BEDCA579C071}"/>
    <dgm:cxn modelId="{1437DAFF-ED5D-4AB9-A0EE-ED68E162C479}" type="presOf" srcId="{EA52A100-C5DC-48DC-B9D6-1F4AD3F56D19}" destId="{A5328A2B-A67F-4E84-BFE5-0CC941A78D61}" srcOrd="0" destOrd="0" presId="urn:microsoft.com/office/officeart/2005/8/layout/default"/>
    <dgm:cxn modelId="{51FF9435-F58A-4F75-8E01-E74A40284C69}" type="presParOf" srcId="{3ADB7B76-FA4C-4975-90D1-EA90BAB20826}" destId="{E48A8279-724B-4CC1-8F9E-EF04DEC6A3C1}" srcOrd="0" destOrd="0" presId="urn:microsoft.com/office/officeart/2005/8/layout/default"/>
    <dgm:cxn modelId="{390C1AE2-4F4E-47FA-870E-EE179EFF2B78}" type="presParOf" srcId="{3ADB7B76-FA4C-4975-90D1-EA90BAB20826}" destId="{76DC997C-A9F0-4950-8271-7CBD409AA366}" srcOrd="1" destOrd="0" presId="urn:microsoft.com/office/officeart/2005/8/layout/default"/>
    <dgm:cxn modelId="{50313267-C3ED-4EA9-9301-EF44DD13E7D8}" type="presParOf" srcId="{3ADB7B76-FA4C-4975-90D1-EA90BAB20826}" destId="{EA8EF760-9B75-40E0-9FE6-5C6401B45BA7}" srcOrd="2" destOrd="0" presId="urn:microsoft.com/office/officeart/2005/8/layout/default"/>
    <dgm:cxn modelId="{6D7EEF8D-3A9C-49DA-BD83-B20289C1AE00}" type="presParOf" srcId="{3ADB7B76-FA4C-4975-90D1-EA90BAB20826}" destId="{4187E366-3377-4EE4-8DAC-2596E0C96205}" srcOrd="3" destOrd="0" presId="urn:microsoft.com/office/officeart/2005/8/layout/default"/>
    <dgm:cxn modelId="{DE63FC8D-FCE9-4357-A9E4-3B98AF6DC6AD}" type="presParOf" srcId="{3ADB7B76-FA4C-4975-90D1-EA90BAB20826}" destId="{13A46BE8-AD90-47D8-979D-E96039FC3DA2}" srcOrd="4" destOrd="0" presId="urn:microsoft.com/office/officeart/2005/8/layout/default"/>
    <dgm:cxn modelId="{2A02F008-0E32-4F63-AB84-2A4681A823F2}" type="presParOf" srcId="{3ADB7B76-FA4C-4975-90D1-EA90BAB20826}" destId="{E70C0419-383A-458F-8338-A12C1B8C1E42}" srcOrd="5" destOrd="0" presId="urn:microsoft.com/office/officeart/2005/8/layout/default"/>
    <dgm:cxn modelId="{415711A4-C5DB-4791-8FF3-C17C80A850BC}" type="presParOf" srcId="{3ADB7B76-FA4C-4975-90D1-EA90BAB20826}" destId="{A5328A2B-A67F-4E84-BFE5-0CC941A78D61}" srcOrd="6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FE4FF31-F08C-4148-A9A8-02B402BBD402}" type="doc">
      <dgm:prSet loTypeId="urn:microsoft.com/office/officeart/2005/8/layout/pList2" loCatId="list" qsTypeId="urn:microsoft.com/office/officeart/2005/8/quickstyle/simple5" qsCatId="simple" csTypeId="urn:microsoft.com/office/officeart/2005/8/colors/accent0_3" csCatId="mainScheme" phldr="1"/>
      <dgm:spPr/>
    </dgm:pt>
    <dgm:pt modelId="{F5A7F8D8-BDBD-44F4-945C-8296B8E8AB69}">
      <dgm:prSet phldrT="[Texte]" custT="1"/>
      <dgm:spPr/>
      <dgm:t>
        <a:bodyPr/>
        <a:lstStyle/>
        <a:p>
          <a:pPr algn="ctr"/>
          <a:r>
            <a:rPr lang="fr-FR" sz="1800"/>
            <a:t>Dépenses</a:t>
          </a:r>
        </a:p>
        <a:p>
          <a:pPr algn="ctr"/>
          <a:r>
            <a:rPr lang="fr-FR" sz="1400" b="1">
              <a:solidFill>
                <a:schemeClr val="bg2">
                  <a:lumMod val="90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a:rPr>
            <a:t>16,6 milliards d'€</a:t>
          </a:r>
        </a:p>
        <a:p>
          <a:pPr algn="ctr"/>
          <a:r>
            <a:rPr lang="fr-FR" sz="1400" b="1">
              <a:solidFill>
                <a:schemeClr val="bg2">
                  <a:lumMod val="90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a:rPr>
            <a:t>( - 0,1 %)</a:t>
          </a:r>
        </a:p>
        <a:p>
          <a:pPr algn="ctr"/>
          <a:endParaRPr lang="fr-FR" sz="1400" b="1">
            <a:solidFill>
              <a:schemeClr val="bg2">
                <a:lumMod val="90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</a:endParaRPr>
        </a:p>
        <a:p>
          <a:pPr algn="l"/>
          <a:r>
            <a:rPr lang="fr-FR" sz="1100"/>
            <a:t>    Prestations légales :+ 0,5 %</a:t>
          </a:r>
        </a:p>
        <a:p>
          <a:pPr algn="l"/>
          <a:r>
            <a:rPr lang="fr-FR" sz="1100"/>
            <a:t>    Charges technique : - 28,4 % </a:t>
          </a:r>
        </a:p>
        <a:p>
          <a:pPr algn="l"/>
          <a:r>
            <a:rPr lang="fr-FR" sz="1100"/>
            <a:t>    Baisse des effectifs</a:t>
          </a:r>
        </a:p>
        <a:p>
          <a:pPr algn="ctr"/>
          <a:endParaRPr lang="fr-FR" sz="1100"/>
        </a:p>
      </dgm:t>
    </dgm:pt>
    <dgm:pt modelId="{9AAE20DD-59CB-44D6-8C84-E0FB00605DEF}" type="parTrans" cxnId="{645E3889-C7CC-4412-9E14-D15BEC05EA2D}">
      <dgm:prSet/>
      <dgm:spPr/>
      <dgm:t>
        <a:bodyPr/>
        <a:lstStyle/>
        <a:p>
          <a:endParaRPr lang="fr-FR"/>
        </a:p>
      </dgm:t>
    </dgm:pt>
    <dgm:pt modelId="{32A67FE5-C7AE-41D6-B26A-623F27B0FAA2}" type="sibTrans" cxnId="{645E3889-C7CC-4412-9E14-D15BEC05EA2D}">
      <dgm:prSet/>
      <dgm:spPr/>
      <dgm:t>
        <a:bodyPr/>
        <a:lstStyle/>
        <a:p>
          <a:endParaRPr lang="fr-FR"/>
        </a:p>
      </dgm:t>
    </dgm:pt>
    <dgm:pt modelId="{65CC316C-E526-497E-89FF-8486DF921CF8}">
      <dgm:prSet phldrT="[Texte]" custT="1"/>
      <dgm:spPr/>
      <dgm:t>
        <a:bodyPr/>
        <a:lstStyle/>
        <a:p>
          <a:pPr algn="ctr"/>
          <a:r>
            <a:rPr lang="fr-FR" sz="1800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Recette</a:t>
          </a:r>
          <a:r>
            <a:rPr lang="fr-FR" sz="1800" kern="1200"/>
            <a:t>s</a:t>
          </a:r>
        </a:p>
        <a:p>
          <a:pPr algn="ctr"/>
          <a:r>
            <a:rPr lang="fr-FR" sz="1400" b="1" kern="1200">
              <a:solidFill>
                <a:srgbClr val="FFFFCC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Calibri" panose="020F0502020204030204"/>
              <a:ea typeface="+mn-ea"/>
              <a:cs typeface="+mn-cs"/>
            </a:rPr>
            <a:t>16,8 milliards d'€</a:t>
          </a:r>
        </a:p>
        <a:p>
          <a:pPr algn="ctr"/>
          <a:r>
            <a:rPr lang="fr-FR" sz="1400" b="1" kern="1200">
              <a:solidFill>
                <a:srgbClr val="FFFFCC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Calibri" panose="020F0502020204030204"/>
              <a:ea typeface="+mn-ea"/>
              <a:cs typeface="+mn-cs"/>
            </a:rPr>
            <a:t>( - 0,3 </a:t>
          </a:r>
          <a:r>
            <a:rPr lang="fr-FR" sz="1100" b="1" kern="1200">
              <a:solidFill>
                <a:srgbClr val="FFFFCC"/>
              </a:solidFill>
            </a:rPr>
            <a:t>%)</a:t>
          </a:r>
        </a:p>
        <a:p>
          <a:pPr algn="ctr"/>
          <a:endParaRPr lang="fr-FR" sz="1100" b="1" kern="1200">
            <a:solidFill>
              <a:srgbClr val="FFFFCC"/>
            </a:solidFill>
          </a:endParaRPr>
        </a:p>
        <a:p>
          <a:pPr algn="l"/>
          <a:r>
            <a:rPr lang="fr-FR" sz="1100" kern="1200"/>
            <a:t>    Contribution du RG: + 5,2 %</a:t>
          </a:r>
        </a:p>
        <a:p>
          <a:pPr algn="l"/>
          <a:r>
            <a:rPr lang="fr-FR" sz="1100" kern="1200"/>
            <a:t>    Itaf : + 3,1 % </a:t>
          </a:r>
        </a:p>
        <a:p>
          <a:pPr algn="l"/>
          <a:r>
            <a:rPr lang="fr-FR" sz="1100" kern="1200"/>
            <a:t>    CSG : 508,8 millions émis (+ 16,0%)</a:t>
          </a:r>
        </a:p>
        <a:p>
          <a:pPr algn="l"/>
          <a:r>
            <a:rPr lang="fr-FR" sz="1100" kern="1200"/>
            <a:t>    Part compensation démographique sur les recettes : 15,5 % ( - 1,5 %)</a:t>
          </a:r>
          <a:endParaRPr lang="fr-FR" sz="1000" kern="1200"/>
        </a:p>
      </dgm:t>
    </dgm:pt>
    <dgm:pt modelId="{CC894C06-DDD6-4CFF-BB12-CCACF8088C1C}" type="parTrans" cxnId="{720717E8-C7D1-4F0C-BF65-8EBDAB6B63F9}">
      <dgm:prSet/>
      <dgm:spPr/>
      <dgm:t>
        <a:bodyPr/>
        <a:lstStyle/>
        <a:p>
          <a:endParaRPr lang="fr-FR"/>
        </a:p>
      </dgm:t>
    </dgm:pt>
    <dgm:pt modelId="{B5FB48F6-CA72-4338-AEFF-A581E783A64F}" type="sibTrans" cxnId="{720717E8-C7D1-4F0C-BF65-8EBDAB6B63F9}">
      <dgm:prSet/>
      <dgm:spPr/>
      <dgm:t>
        <a:bodyPr/>
        <a:lstStyle/>
        <a:p>
          <a:endParaRPr lang="fr-FR"/>
        </a:p>
      </dgm:t>
    </dgm:pt>
    <dgm:pt modelId="{F6541CBB-3AC3-460C-958D-E8FB68482388}" type="pres">
      <dgm:prSet presAssocID="{5FE4FF31-F08C-4148-A9A8-02B402BBD402}" presName="Name0" presStyleCnt="0">
        <dgm:presLayoutVars>
          <dgm:dir/>
          <dgm:resizeHandles val="exact"/>
        </dgm:presLayoutVars>
      </dgm:prSet>
      <dgm:spPr/>
    </dgm:pt>
    <dgm:pt modelId="{97F07EBE-A76D-4BB2-9A1B-4BDFBD346494}" type="pres">
      <dgm:prSet presAssocID="{5FE4FF31-F08C-4148-A9A8-02B402BBD402}" presName="bkgdShp" presStyleLbl="alignAccFollowNode1" presStyleIdx="0" presStyleCnt="1" custScaleX="90028" custScaleY="51631" custLinFactNeighborX="-2110" custLinFactNeighborY="22255"/>
      <dgm:spPr/>
    </dgm:pt>
    <dgm:pt modelId="{FD2610D7-029E-44FC-AD4A-CC4329B73A2E}" type="pres">
      <dgm:prSet presAssocID="{5FE4FF31-F08C-4148-A9A8-02B402BBD402}" presName="linComp" presStyleCnt="0"/>
      <dgm:spPr/>
    </dgm:pt>
    <dgm:pt modelId="{E38DEDF9-78F3-4B97-A05A-32AF57CA5A8C}" type="pres">
      <dgm:prSet presAssocID="{F5A7F8D8-BDBD-44F4-945C-8296B8E8AB69}" presName="compNode" presStyleCnt="0"/>
      <dgm:spPr/>
    </dgm:pt>
    <dgm:pt modelId="{910C8197-DBB9-4599-BB92-5FC4479C6B6F}" type="pres">
      <dgm:prSet presAssocID="{F5A7F8D8-BDBD-44F4-945C-8296B8E8AB69}" presName="node" presStyleLbl="node1" presStyleIdx="0" presStyleCnt="2" custScaleX="2000000" custLinFactNeighborX="-54680" custLinFactNeighborY="0">
        <dgm:presLayoutVars>
          <dgm:bulletEnabled val="1"/>
        </dgm:presLayoutVars>
      </dgm:prSet>
      <dgm:spPr/>
    </dgm:pt>
    <dgm:pt modelId="{A2D4BD29-CD4B-47EF-B929-16C042E81A5D}" type="pres">
      <dgm:prSet presAssocID="{F5A7F8D8-BDBD-44F4-945C-8296B8E8AB69}" presName="invisiNode" presStyleLbl="node1" presStyleIdx="0" presStyleCnt="2"/>
      <dgm:spPr/>
    </dgm:pt>
    <dgm:pt modelId="{E0A38812-A001-4B9E-80DD-8FF37328E011}" type="pres">
      <dgm:prSet presAssocID="{F5A7F8D8-BDBD-44F4-945C-8296B8E8AB69}" presName="imagNode" presStyleLbl="fgImgPlace1" presStyleIdx="0" presStyleCnt="2" custLinFactX="-700000" custLinFactY="-18967" custLinFactNeighborX="-794493" custLinFactNeighborY="-100000"/>
      <dgm:spPr>
        <a:noFill/>
      </dgm:spPr>
    </dgm:pt>
    <dgm:pt modelId="{4838017D-19E2-463B-A2CB-B926CC3C79CD}" type="pres">
      <dgm:prSet presAssocID="{32A67FE5-C7AE-41D6-B26A-623F27B0FAA2}" presName="sibTrans" presStyleLbl="sibTrans2D1" presStyleIdx="0" presStyleCnt="0"/>
      <dgm:spPr/>
    </dgm:pt>
    <dgm:pt modelId="{D3B5CDC4-638E-4248-8487-4D617F019788}" type="pres">
      <dgm:prSet presAssocID="{65CC316C-E526-497E-89FF-8486DF921CF8}" presName="compNode" presStyleCnt="0"/>
      <dgm:spPr/>
    </dgm:pt>
    <dgm:pt modelId="{844DF67C-501F-4D93-8B50-24FD5B5499DB}" type="pres">
      <dgm:prSet presAssocID="{65CC316C-E526-497E-89FF-8486DF921CF8}" presName="node" presStyleLbl="node1" presStyleIdx="1" presStyleCnt="2" custScaleX="2000000" custLinFactX="-10110" custLinFactNeighborX="-100000" custLinFactNeighborY="-427">
        <dgm:presLayoutVars>
          <dgm:bulletEnabled val="1"/>
        </dgm:presLayoutVars>
      </dgm:prSet>
      <dgm:spPr/>
    </dgm:pt>
    <dgm:pt modelId="{5B4EB20D-73AB-4A74-B25B-7CE7BCCF68D3}" type="pres">
      <dgm:prSet presAssocID="{65CC316C-E526-497E-89FF-8486DF921CF8}" presName="invisiNode" presStyleLbl="node1" presStyleIdx="1" presStyleCnt="2"/>
      <dgm:spPr/>
    </dgm:pt>
    <dgm:pt modelId="{3EE9086A-1591-4B78-946E-01DC8F944F9F}" type="pres">
      <dgm:prSet presAssocID="{65CC316C-E526-497E-89FF-8486DF921CF8}" presName="imagNode" presStyleLbl="fgImgPlace1" presStyleIdx="1" presStyleCnt="2"/>
      <dgm:spPr>
        <a:noFill/>
      </dgm:spPr>
    </dgm:pt>
  </dgm:ptLst>
  <dgm:cxnLst>
    <dgm:cxn modelId="{8B0D1B13-2F4E-42A1-9627-FFE2D9235B6A}" type="presOf" srcId="{5FE4FF31-F08C-4148-A9A8-02B402BBD402}" destId="{F6541CBB-3AC3-460C-958D-E8FB68482388}" srcOrd="0" destOrd="0" presId="urn:microsoft.com/office/officeart/2005/8/layout/pList2"/>
    <dgm:cxn modelId="{2C92CA20-D638-405A-825D-EEFE5CF73C8B}" type="presOf" srcId="{F5A7F8D8-BDBD-44F4-945C-8296B8E8AB69}" destId="{910C8197-DBB9-4599-BB92-5FC4479C6B6F}" srcOrd="0" destOrd="0" presId="urn:microsoft.com/office/officeart/2005/8/layout/pList2"/>
    <dgm:cxn modelId="{91543131-BAE6-4600-9A7D-D2F3FD5E2EE3}" type="presOf" srcId="{32A67FE5-C7AE-41D6-B26A-623F27B0FAA2}" destId="{4838017D-19E2-463B-A2CB-B926CC3C79CD}" srcOrd="0" destOrd="0" presId="urn:microsoft.com/office/officeart/2005/8/layout/pList2"/>
    <dgm:cxn modelId="{0FE4FD41-4825-48AF-98FE-3353B5871F16}" type="presOf" srcId="{65CC316C-E526-497E-89FF-8486DF921CF8}" destId="{844DF67C-501F-4D93-8B50-24FD5B5499DB}" srcOrd="0" destOrd="0" presId="urn:microsoft.com/office/officeart/2005/8/layout/pList2"/>
    <dgm:cxn modelId="{645E3889-C7CC-4412-9E14-D15BEC05EA2D}" srcId="{5FE4FF31-F08C-4148-A9A8-02B402BBD402}" destId="{F5A7F8D8-BDBD-44F4-945C-8296B8E8AB69}" srcOrd="0" destOrd="0" parTransId="{9AAE20DD-59CB-44D6-8C84-E0FB00605DEF}" sibTransId="{32A67FE5-C7AE-41D6-B26A-623F27B0FAA2}"/>
    <dgm:cxn modelId="{720717E8-C7D1-4F0C-BF65-8EBDAB6B63F9}" srcId="{5FE4FF31-F08C-4148-A9A8-02B402BBD402}" destId="{65CC316C-E526-497E-89FF-8486DF921CF8}" srcOrd="1" destOrd="0" parTransId="{CC894C06-DDD6-4CFF-BB12-CCACF8088C1C}" sibTransId="{B5FB48F6-CA72-4338-AEFF-A581E783A64F}"/>
    <dgm:cxn modelId="{AF328DA7-B6F7-498E-8F55-87F35832AC87}" type="presParOf" srcId="{F6541CBB-3AC3-460C-958D-E8FB68482388}" destId="{97F07EBE-A76D-4BB2-9A1B-4BDFBD346494}" srcOrd="0" destOrd="0" presId="urn:microsoft.com/office/officeart/2005/8/layout/pList2"/>
    <dgm:cxn modelId="{9F8EAEB5-682C-4A0D-B50C-0E98246E035E}" type="presParOf" srcId="{F6541CBB-3AC3-460C-958D-E8FB68482388}" destId="{FD2610D7-029E-44FC-AD4A-CC4329B73A2E}" srcOrd="1" destOrd="0" presId="urn:microsoft.com/office/officeart/2005/8/layout/pList2"/>
    <dgm:cxn modelId="{C1EE61E2-1AC9-45BD-9D67-C731642BAFC4}" type="presParOf" srcId="{FD2610D7-029E-44FC-AD4A-CC4329B73A2E}" destId="{E38DEDF9-78F3-4B97-A05A-32AF57CA5A8C}" srcOrd="0" destOrd="0" presId="urn:microsoft.com/office/officeart/2005/8/layout/pList2"/>
    <dgm:cxn modelId="{BDF77258-A309-40D1-B87D-FDD330F1CE1F}" type="presParOf" srcId="{E38DEDF9-78F3-4B97-A05A-32AF57CA5A8C}" destId="{910C8197-DBB9-4599-BB92-5FC4479C6B6F}" srcOrd="0" destOrd="0" presId="urn:microsoft.com/office/officeart/2005/8/layout/pList2"/>
    <dgm:cxn modelId="{77D8B684-1C8B-4069-83F9-889C008A3930}" type="presParOf" srcId="{E38DEDF9-78F3-4B97-A05A-32AF57CA5A8C}" destId="{A2D4BD29-CD4B-47EF-B929-16C042E81A5D}" srcOrd="1" destOrd="0" presId="urn:microsoft.com/office/officeart/2005/8/layout/pList2"/>
    <dgm:cxn modelId="{6A89448A-B503-475B-832B-9E5633D93B9F}" type="presParOf" srcId="{E38DEDF9-78F3-4B97-A05A-32AF57CA5A8C}" destId="{E0A38812-A001-4B9E-80DD-8FF37328E011}" srcOrd="2" destOrd="0" presId="urn:microsoft.com/office/officeart/2005/8/layout/pList2"/>
    <dgm:cxn modelId="{8713B158-58ED-4E62-9674-1C40A67830C2}" type="presParOf" srcId="{FD2610D7-029E-44FC-AD4A-CC4329B73A2E}" destId="{4838017D-19E2-463B-A2CB-B926CC3C79CD}" srcOrd="1" destOrd="0" presId="urn:microsoft.com/office/officeart/2005/8/layout/pList2"/>
    <dgm:cxn modelId="{4E1C3CE6-B8B7-424A-A1BC-8037ED67D520}" type="presParOf" srcId="{FD2610D7-029E-44FC-AD4A-CC4329B73A2E}" destId="{D3B5CDC4-638E-4248-8487-4D617F019788}" srcOrd="2" destOrd="0" presId="urn:microsoft.com/office/officeart/2005/8/layout/pList2"/>
    <dgm:cxn modelId="{CAE080BE-E74E-4EB1-A17A-F33926677D3C}" type="presParOf" srcId="{D3B5CDC4-638E-4248-8487-4D617F019788}" destId="{844DF67C-501F-4D93-8B50-24FD5B5499DB}" srcOrd="0" destOrd="0" presId="urn:microsoft.com/office/officeart/2005/8/layout/pList2"/>
    <dgm:cxn modelId="{D0DE98FE-D2B8-4611-82C8-53033C9F9BF1}" type="presParOf" srcId="{D3B5CDC4-638E-4248-8487-4D617F019788}" destId="{5B4EB20D-73AB-4A74-B25B-7CE7BCCF68D3}" srcOrd="1" destOrd="0" presId="urn:microsoft.com/office/officeart/2005/8/layout/pList2"/>
    <dgm:cxn modelId="{BE23FFC2-378A-4EDA-8748-7075E9ACBAD2}" type="presParOf" srcId="{D3B5CDC4-638E-4248-8487-4D617F019788}" destId="{3EE9086A-1591-4B78-946E-01DC8F944F9F}" srcOrd="2" destOrd="0" presId="urn:microsoft.com/office/officeart/2005/8/layout/pList2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48A8279-724B-4CC1-8F9E-EF04DEC6A3C1}">
      <dsp:nvSpPr>
        <dsp:cNvPr id="0" name=""/>
        <dsp:cNvSpPr/>
      </dsp:nvSpPr>
      <dsp:spPr>
        <a:xfrm>
          <a:off x="18887" y="409360"/>
          <a:ext cx="2161049" cy="2274676"/>
        </a:xfrm>
        <a:prstGeom prst="downArrow">
          <a:avLst/>
        </a:prstGeom>
        <a:gradFill rotWithShape="0">
          <a:gsLst>
            <a:gs pos="0">
              <a:schemeClr val="accent5">
                <a:shade val="5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shade val="5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shade val="5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200" b="1" kern="1200"/>
            <a:t>personnes protégées en maladie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/>
            <a:t>- 3,3 % </a:t>
          </a:r>
        </a:p>
      </dsp:txBody>
      <dsp:txXfrm>
        <a:off x="559149" y="409360"/>
        <a:ext cx="1080525" cy="1734414"/>
      </dsp:txXfrm>
    </dsp:sp>
    <dsp:sp modelId="{EA8EF760-9B75-40E0-9FE6-5C6401B45BA7}">
      <dsp:nvSpPr>
        <dsp:cNvPr id="0" name=""/>
        <dsp:cNvSpPr/>
      </dsp:nvSpPr>
      <dsp:spPr>
        <a:xfrm>
          <a:off x="2359156" y="442909"/>
          <a:ext cx="1904063" cy="2152657"/>
        </a:xfrm>
        <a:prstGeom prst="downArrow">
          <a:avLst/>
        </a:prstGeom>
        <a:gradFill rotWithShape="0">
          <a:gsLst>
            <a:gs pos="0">
              <a:schemeClr val="accent5">
                <a:shade val="50000"/>
                <a:hueOff val="126486"/>
                <a:satOff val="-2798"/>
                <a:lumOff val="20993"/>
                <a:alphaOff val="0"/>
                <a:shade val="51000"/>
                <a:satMod val="130000"/>
              </a:schemeClr>
            </a:gs>
            <a:gs pos="80000">
              <a:schemeClr val="accent5">
                <a:shade val="50000"/>
                <a:hueOff val="126486"/>
                <a:satOff val="-2798"/>
                <a:lumOff val="20993"/>
                <a:alphaOff val="0"/>
                <a:shade val="93000"/>
                <a:satMod val="130000"/>
              </a:schemeClr>
            </a:gs>
            <a:gs pos="100000">
              <a:schemeClr val="accent5">
                <a:shade val="50000"/>
                <a:hueOff val="126486"/>
                <a:satOff val="-2798"/>
                <a:lumOff val="20993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/>
            <a:t>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400" b="1" kern="1200"/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400" b="1" kern="1200"/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050" b="1" kern="1200"/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1" kern="1200"/>
            <a:t>Familles bénéficiaires de prestations familiales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200" b="1" kern="1200"/>
            <a:t>- 1,3 %</a:t>
          </a:r>
        </a:p>
      </dsp:txBody>
      <dsp:txXfrm>
        <a:off x="2835172" y="442909"/>
        <a:ext cx="952031" cy="1676641"/>
      </dsp:txXfrm>
    </dsp:sp>
    <dsp:sp modelId="{13A46BE8-AD90-47D8-979D-E96039FC3DA2}">
      <dsp:nvSpPr>
        <dsp:cNvPr id="0" name=""/>
        <dsp:cNvSpPr/>
      </dsp:nvSpPr>
      <dsp:spPr>
        <a:xfrm>
          <a:off x="4403953" y="390586"/>
          <a:ext cx="1886369" cy="2200150"/>
        </a:xfrm>
        <a:prstGeom prst="downArrow">
          <a:avLst/>
        </a:prstGeom>
        <a:gradFill rotWithShape="0">
          <a:gsLst>
            <a:gs pos="0">
              <a:schemeClr val="accent5">
                <a:shade val="50000"/>
                <a:hueOff val="252972"/>
                <a:satOff val="-5595"/>
                <a:lumOff val="41987"/>
                <a:alphaOff val="0"/>
                <a:shade val="51000"/>
                <a:satMod val="130000"/>
              </a:schemeClr>
            </a:gs>
            <a:gs pos="80000">
              <a:schemeClr val="accent5">
                <a:shade val="50000"/>
                <a:hueOff val="252972"/>
                <a:satOff val="-5595"/>
                <a:lumOff val="41987"/>
                <a:alphaOff val="0"/>
                <a:shade val="93000"/>
                <a:satMod val="130000"/>
              </a:schemeClr>
            </a:gs>
            <a:gs pos="100000">
              <a:schemeClr val="accent5">
                <a:shade val="50000"/>
                <a:hueOff val="252972"/>
                <a:satOff val="-5595"/>
                <a:lumOff val="41987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500" b="1" kern="1200"/>
        </a:p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500" b="1" kern="1200"/>
            <a:t> </a:t>
          </a:r>
        </a:p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500" b="1" kern="1200"/>
        </a:p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200" kern="1200"/>
            <a:t>Cotisants NSA</a:t>
          </a:r>
        </a:p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/>
            <a:t>- 1,5 %</a:t>
          </a:r>
          <a:endParaRPr lang="fr-FR" sz="1400" kern="1200"/>
        </a:p>
      </dsp:txBody>
      <dsp:txXfrm>
        <a:off x="4875545" y="390586"/>
        <a:ext cx="943185" cy="1728558"/>
      </dsp:txXfrm>
    </dsp:sp>
    <dsp:sp modelId="{A5328A2B-A67F-4E84-BFE5-0CC941A78D61}">
      <dsp:nvSpPr>
        <dsp:cNvPr id="0" name=""/>
        <dsp:cNvSpPr/>
      </dsp:nvSpPr>
      <dsp:spPr>
        <a:xfrm>
          <a:off x="6387815" y="271387"/>
          <a:ext cx="2274574" cy="2442836"/>
        </a:xfrm>
        <a:prstGeom prst="downArrow">
          <a:avLst/>
        </a:prstGeom>
        <a:gradFill rotWithShape="0">
          <a:gsLst>
            <a:gs pos="0">
              <a:schemeClr val="accent5">
                <a:shade val="50000"/>
                <a:hueOff val="126486"/>
                <a:satOff val="-2798"/>
                <a:lumOff val="20993"/>
                <a:alphaOff val="0"/>
                <a:shade val="51000"/>
                <a:satMod val="130000"/>
              </a:schemeClr>
            </a:gs>
            <a:gs pos="80000">
              <a:schemeClr val="accent5">
                <a:shade val="50000"/>
                <a:hueOff val="126486"/>
                <a:satOff val="-2798"/>
                <a:lumOff val="20993"/>
                <a:alphaOff val="0"/>
                <a:shade val="93000"/>
                <a:satMod val="130000"/>
              </a:schemeClr>
            </a:gs>
            <a:gs pos="100000">
              <a:schemeClr val="accent5">
                <a:shade val="50000"/>
                <a:hueOff val="126486"/>
                <a:satOff val="-2798"/>
                <a:lumOff val="20993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200" b="1" kern="1200"/>
            <a:t> 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1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1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1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1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200" b="1" kern="1200"/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200" b="1" kern="1200"/>
            <a:t>Bénéficiaires d'un avantage retraite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/>
            <a:t>- 3,2 %</a:t>
          </a:r>
        </a:p>
      </dsp:txBody>
      <dsp:txXfrm>
        <a:off x="6956459" y="271387"/>
        <a:ext cx="1137287" cy="187419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7F07EBE-A76D-4BB2-9A1B-4BDFBD346494}">
      <dsp:nvSpPr>
        <dsp:cNvPr id="0" name=""/>
        <dsp:cNvSpPr/>
      </dsp:nvSpPr>
      <dsp:spPr>
        <a:xfrm>
          <a:off x="169842" y="873835"/>
          <a:ext cx="5316603" cy="971521"/>
        </a:xfrm>
        <a:prstGeom prst="roundRect">
          <a:avLst>
            <a:gd name="adj" fmla="val 10000"/>
          </a:avLst>
        </a:prstGeom>
        <a:solidFill>
          <a:schemeClr val="dk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dk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</dsp:sp>
    <dsp:sp modelId="{E0A38812-A001-4B9E-80DD-8FF37328E011}">
      <dsp:nvSpPr>
        <dsp:cNvPr id="0" name=""/>
        <dsp:cNvSpPr/>
      </dsp:nvSpPr>
      <dsp:spPr>
        <a:xfrm>
          <a:off x="0" y="0"/>
          <a:ext cx="138406" cy="1379886"/>
        </a:xfrm>
        <a:prstGeom prst="roundRect">
          <a:avLst>
            <a:gd name="adj" fmla="val 10000"/>
          </a:avLst>
        </a:prstGeom>
        <a:noFill/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910C8197-DBB9-4599-BB92-5FC4479C6B6F}">
      <dsp:nvSpPr>
        <dsp:cNvPr id="0" name=""/>
        <dsp:cNvSpPr/>
      </dsp:nvSpPr>
      <dsp:spPr>
        <a:xfrm rot="10800000">
          <a:off x="102017" y="1881663"/>
          <a:ext cx="2768131" cy="2299811"/>
        </a:xfrm>
        <a:prstGeom prst="round2SameRect">
          <a:avLst>
            <a:gd name="adj1" fmla="val 10500"/>
            <a:gd name="adj2" fmla="val 0"/>
          </a:avLst>
        </a:prstGeom>
        <a:gradFill rotWithShape="0">
          <a:gsLst>
            <a:gs pos="0">
              <a:schemeClr val="dk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dk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dk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t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800" kern="1200"/>
            <a:t>Dépenses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solidFill>
                <a:schemeClr val="bg2">
                  <a:lumMod val="90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a:rPr>
            <a:t>16,6 milliards d'€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solidFill>
                <a:schemeClr val="bg2">
                  <a:lumMod val="90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a:rPr>
            <a:t>( - 0,1 %)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400" b="1" kern="1200">
            <a:solidFill>
              <a:schemeClr val="bg2">
                <a:lumMod val="90000"/>
              </a:schemeClr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</a:endParaRP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Prestations légales :+ 0,5 %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Charges technique : - 28,4 % 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Baisse des effectifs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100" kern="1200"/>
        </a:p>
      </dsp:txBody>
      <dsp:txXfrm rot="10800000">
        <a:off x="172744" y="1881663"/>
        <a:ext cx="2626677" cy="2229084"/>
      </dsp:txXfrm>
    </dsp:sp>
    <dsp:sp modelId="{3EE9086A-1591-4B78-946E-01DC8F944F9F}">
      <dsp:nvSpPr>
        <dsp:cNvPr id="0" name=""/>
        <dsp:cNvSpPr/>
      </dsp:nvSpPr>
      <dsp:spPr>
        <a:xfrm>
          <a:off x="4274532" y="250888"/>
          <a:ext cx="138406" cy="1379886"/>
        </a:xfrm>
        <a:prstGeom prst="roundRect">
          <a:avLst>
            <a:gd name="adj" fmla="val 10000"/>
          </a:avLst>
        </a:prstGeom>
        <a:noFill/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44DF67C-501F-4D93-8B50-24FD5B5499DB}">
      <dsp:nvSpPr>
        <dsp:cNvPr id="0" name=""/>
        <dsp:cNvSpPr/>
      </dsp:nvSpPr>
      <dsp:spPr>
        <a:xfrm rot="10800000">
          <a:off x="2807270" y="1871843"/>
          <a:ext cx="2768131" cy="2299811"/>
        </a:xfrm>
        <a:prstGeom prst="round2SameRect">
          <a:avLst>
            <a:gd name="adj1" fmla="val 10500"/>
            <a:gd name="adj2" fmla="val 0"/>
          </a:avLst>
        </a:prstGeom>
        <a:gradFill rotWithShape="0">
          <a:gsLst>
            <a:gs pos="0">
              <a:schemeClr val="dk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dk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dk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28016" tIns="128016" rIns="128016" bIns="128016" numCol="1" spcCol="1270" anchor="t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800" kern="1200">
              <a:solidFill>
                <a:sysClr val="window" lastClr="FFFFFF"/>
              </a:solidFill>
              <a:latin typeface="Calibri" panose="020F0502020204030204"/>
              <a:ea typeface="+mn-ea"/>
              <a:cs typeface="+mn-cs"/>
            </a:rPr>
            <a:t>Recette</a:t>
          </a:r>
          <a:r>
            <a:rPr lang="fr-FR" sz="1800" kern="1200"/>
            <a:t>s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solidFill>
                <a:srgbClr val="FFFFCC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Calibri" panose="020F0502020204030204"/>
              <a:ea typeface="+mn-ea"/>
              <a:cs typeface="+mn-cs"/>
            </a:rPr>
            <a:t>16,8 milliards d'€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solidFill>
                <a:srgbClr val="FFFFCC"/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latin typeface="Calibri" panose="020F0502020204030204"/>
              <a:ea typeface="+mn-ea"/>
              <a:cs typeface="+mn-cs"/>
            </a:rPr>
            <a:t>( - 0,3 </a:t>
          </a:r>
          <a:r>
            <a:rPr lang="fr-FR" sz="1100" b="1" kern="1200">
              <a:solidFill>
                <a:srgbClr val="FFFFCC"/>
              </a:solidFill>
            </a:rPr>
            <a:t>%)</a:t>
          </a:r>
        </a:p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100" b="1" kern="1200">
            <a:solidFill>
              <a:srgbClr val="FFFFCC"/>
            </a:solidFill>
          </a:endParaRP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Contribution du RG: + 5,2 %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Itaf : + 3,1 % 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CSG : 508,8 millions émis (+ 16,0%)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/>
            <a:t>    Part compensation démographique sur les recettes : 15,5 % ( - 1,5 %)</a:t>
          </a:r>
          <a:endParaRPr lang="fr-FR" sz="1000" kern="1200"/>
        </a:p>
      </dsp:txBody>
      <dsp:txXfrm rot="10800000">
        <a:off x="2877997" y="1871843"/>
        <a:ext cx="2626677" cy="222908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2">
  <dgm:title val=""/>
  <dgm:desc val=""/>
  <dgm:catLst>
    <dgm:cat type="list" pri="11000"/>
    <dgm:cat type="picture" pri="24000"/>
    <dgm:cat type="pictureconvert" pri="24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bkgdShp" refType="w"/>
      <dgm:constr type="h" for="ch" forName="bkgdShp" refType="h" fact="0.45"/>
      <dgm:constr type="t" for="ch" forName="bkgdShp"/>
      <dgm:constr type="w" for="ch" forName="linComp" refType="w" fact="0.94"/>
      <dgm:constr type="h" for="ch" forName="linComp" refType="h"/>
      <dgm:constr type="ctrX" for="ch" forName="linComp" refType="w" fact="0.5"/>
    </dgm:constrLst>
    <dgm:ruleLst/>
    <dgm:choose name="Name1">
      <dgm:if name="Name2" axis="ch" ptType="node" func="cnt" op="gte" val="1">
        <dgm:layoutNode name="bkgdShp" styleLbl="alignAccFollow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/>
          <dgm:constrLst/>
          <dgm:ruleLst/>
        </dgm:layoutNode>
        <dgm:layoutNode name="linComp">
          <dgm:choose name="Name3">
            <dgm:if name="Name4" func="var" arg="dir" op="equ" val="norm">
              <dgm:alg type="lin"/>
            </dgm:if>
            <dgm:else name="Name5">
              <dgm:alg type="lin">
                <dgm:param type="linDir" val="from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w" for="ch" forName="compNode" refType="w"/>
            <dgm:constr type="h" for="ch" forName="compNode" refType="h"/>
            <dgm:constr type="w" for="ch" ptType="sibTrans" refType="w" refFor="ch" refForName="compNode" fact="0.1"/>
            <dgm:constr type="h" for="ch" ptType="sibTrans" op="equ"/>
            <dgm:constr type="h" for="ch" forName="compNode" op="equ"/>
            <dgm:constr type="primFontSz" for="des" forName="node" op="equ"/>
          </dgm:constrLst>
          <dgm:ruleLst/>
          <dgm:forEach name="nodesForEach" axis="ch" ptType="node">
            <dgm:layoutNode name="compNode">
              <dgm:alg type="composite"/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node" refType="w"/>
                <dgm:constr type="h" for="ch" forName="node" refType="h" fact="0.55"/>
                <dgm:constr type="b" for="ch" forName="node" refType="h"/>
                <dgm:constr type="w" for="ch" forName="invisiNode" refType="w" fact="0.75"/>
                <dgm:constr type="h" for="ch" forName="invisiNode" refType="h" fact="0.06"/>
                <dgm:constr type="t" for="ch" forName="invisiNode"/>
                <dgm:constr type="w" for="ch" forName="imagNode" refType="w"/>
                <dgm:constr type="h" for="ch" forName="imagNode" refType="h" fact="0.33"/>
                <dgm:constr type="ctrX" for="ch" forName="imagNode" refType="w" fact="0.5"/>
                <dgm:constr type="t" for="ch" forName="imagNode" refType="h" fact="0.06"/>
              </dgm:constrLst>
              <dgm:ruleLst/>
              <dgm:layoutNode name="node" styleLbl="node1">
                <dgm:varLst>
                  <dgm:bulletEnabled val="1"/>
                </dgm:varLst>
                <dgm:alg type="tx">
                  <dgm:param type="txAnchorVert" val="t"/>
                </dgm:alg>
                <dgm:shape xmlns:r="http://schemas.openxmlformats.org/officeDocument/2006/relationships" rot="180" type="round2SameRect" r:blip="">
                  <dgm:adjLst>
                    <dgm:adj idx="1" val="0.105"/>
                  </dgm:adjLst>
                </dgm:shape>
                <dgm:presOf axis="desOrSelf" ptType="node"/>
                <dgm:constrLst>
                  <dgm:constr type="primFontSz" val="65"/>
                </dgm:constrLst>
                <dgm:ruleLst>
                  <dgm:rule type="primFontSz" val="5" fact="NaN" max="NaN"/>
                </dgm:ruleLst>
              </dgm:layoutNode>
              <dgm:layoutNode name="invisiNode">
                <dgm:alg type="sp"/>
                <dgm:shape xmlns:r="http://schemas.openxmlformats.org/officeDocument/2006/relationships" type="roundRect" r:blip="" hideGeom="1">
                  <dgm:adjLst>
                    <dgm:adj idx="1" val="0.1"/>
                  </dgm:adjLst>
                </dgm:shape>
                <dgm:presOf/>
                <dgm:constrLst/>
                <dgm:ruleLst/>
              </dgm:layoutNode>
              <dgm:layoutNode name="imagNode" styleLbl="fgImgPlace1">
                <dgm:alg type="sp"/>
                <dgm:shape xmlns:r="http://schemas.openxmlformats.org/officeDocument/2006/relationships" type="roundRect" r:blip="" zOrderOff="-2" blipPhldr="1">
                  <dgm:adjLst>
                    <dgm:adj idx="1" val="0.1"/>
                  </dgm:adjLst>
                </dgm:shape>
                <dgm:presOf/>
                <dgm:constrLst/>
                <dgm:ruleLst/>
              </dgm:layoutNode>
            </dgm:layoutNode>
            <dgm:forEach name="sibTransForEach" axis="followSib" ptType="sibTrans" cnt="1">
              <dgm:layoutNode name="sibTrans">
                <dgm:alg type="sp"/>
                <dgm:shape xmlns:r="http://schemas.openxmlformats.org/officeDocument/2006/relationships" type="rect" r:blip="" hideGeom="1">
                  <dgm:adjLst/>
                </dgm:shape>
                <dgm:presOf axis="self"/>
                <dgm:constrLst/>
                <dgm:ruleLst/>
              </dgm:layoutNode>
            </dgm:forEach>
          </dgm:forEach>
        </dgm:layoutNode>
      </dgm:if>
      <dgm:else name="Name6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diagramQuickStyle" Target="../diagrams/quickStyle2.xml"/><Relationship Id="rId18" Type="http://schemas.openxmlformats.org/officeDocument/2006/relationships/image" Target="../media/image8.png"/><Relationship Id="rId3" Type="http://schemas.openxmlformats.org/officeDocument/2006/relationships/diagramQuickStyle" Target="../diagrams/quickStyle1.xml"/><Relationship Id="rId21" Type="http://schemas.openxmlformats.org/officeDocument/2006/relationships/image" Target="../media/image11.svg"/><Relationship Id="rId7" Type="http://schemas.openxmlformats.org/officeDocument/2006/relationships/image" Target="../media/image3.png"/><Relationship Id="rId12" Type="http://schemas.openxmlformats.org/officeDocument/2006/relationships/diagramLayout" Target="../diagrams/layout2.xml"/><Relationship Id="rId17" Type="http://schemas.openxmlformats.org/officeDocument/2006/relationships/image" Target="../media/image7.svg"/><Relationship Id="rId2" Type="http://schemas.openxmlformats.org/officeDocument/2006/relationships/diagramLayout" Target="../diagrams/layout1.xml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diagramData" Target="../diagrams/data1.xml"/><Relationship Id="rId6" Type="http://schemas.openxmlformats.org/officeDocument/2006/relationships/image" Target="../media/image2.png"/><Relationship Id="rId11" Type="http://schemas.openxmlformats.org/officeDocument/2006/relationships/diagramData" Target="../diagrams/data2.xml"/><Relationship Id="rId5" Type="http://schemas.microsoft.com/office/2007/relationships/diagramDrawing" Target="../diagrams/drawing1.xml"/><Relationship Id="rId15" Type="http://schemas.microsoft.com/office/2007/relationships/diagramDrawing" Target="../diagrams/drawing2.xml"/><Relationship Id="rId23" Type="http://schemas.openxmlformats.org/officeDocument/2006/relationships/image" Target="../media/image13.svg"/><Relationship Id="rId10" Type="http://schemas.microsoft.com/office/2007/relationships/hdphoto" Target="../media/hdphoto1.wdp"/><Relationship Id="rId19" Type="http://schemas.openxmlformats.org/officeDocument/2006/relationships/image" Target="../media/image9.svg"/><Relationship Id="rId4" Type="http://schemas.openxmlformats.org/officeDocument/2006/relationships/diagramColors" Target="../diagrams/colors1.xml"/><Relationship Id="rId9" Type="http://schemas.openxmlformats.org/officeDocument/2006/relationships/image" Target="../media/image5.png"/><Relationship Id="rId14" Type="http://schemas.openxmlformats.org/officeDocument/2006/relationships/diagramColors" Target="../diagrams/colors2.xml"/><Relationship Id="rId22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0</xdr:row>
      <xdr:rowOff>0</xdr:rowOff>
    </xdr:from>
    <xdr:to>
      <xdr:col>10</xdr:col>
      <xdr:colOff>285750</xdr:colOff>
      <xdr:row>17</xdr:row>
      <xdr:rowOff>63048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68AC46B-BF55-4269-B098-7BCD47C98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654844</xdr:colOff>
      <xdr:row>33</xdr:row>
      <xdr:rowOff>107156</xdr:rowOff>
    </xdr:from>
    <xdr:to>
      <xdr:col>10</xdr:col>
      <xdr:colOff>220927</xdr:colOff>
      <xdr:row>55</xdr:row>
      <xdr:rowOff>107156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BC18E55-0425-46F0-96A0-131AEC78D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343202</xdr:colOff>
      <xdr:row>0</xdr:row>
      <xdr:rowOff>252488</xdr:rowOff>
    </xdr:from>
    <xdr:to>
      <xdr:col>13</xdr:col>
      <xdr:colOff>730250</xdr:colOff>
      <xdr:row>19</xdr:row>
      <xdr:rowOff>10582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61A23DB-BF58-493E-9C98-C0FF6A1F7C8B}"/>
            </a:ext>
          </a:extLst>
        </xdr:cNvPr>
        <xdr:cNvSpPr txBox="1"/>
      </xdr:nvSpPr>
      <xdr:spPr>
        <a:xfrm>
          <a:off x="9116785" y="252488"/>
          <a:ext cx="2673048" cy="31130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fr-FR" sz="1200" b="1" i="0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2025, les </a:t>
          </a:r>
          <a:r>
            <a:rPr lang="fr-F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populations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bénéficiaires et de cotisants du régime des non-salariés agricoles évoluent selon la tendance observée les années précédentes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baisse des dépenses du régime est marquée principalement par la baisse des montants des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prestations légales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(- 2,2 %).</a:t>
          </a:r>
        </a:p>
        <a:p>
          <a:endParaRPr lang="fr-F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Diverses </a:t>
          </a:r>
          <a:r>
            <a:rPr lang="fr-F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mesures</a:t>
          </a: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relatives à la </a:t>
          </a:r>
          <a:r>
            <a:rPr lang="fr-F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revalorisation</a:t>
          </a: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des pensions de vieillesse et des minima sociaux au 1er janvier 2025 ainsi que le recul des effectifs</a:t>
          </a:r>
          <a:r>
            <a:rPr lang="fr-F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pèsent sur les dépenses.</a:t>
          </a:r>
          <a:endParaRPr lang="fr-FR" sz="1100">
            <a:solidFill>
              <a:sysClr val="windowText" lastClr="000000"/>
            </a:solidFill>
          </a:endParaRPr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  <a:p>
          <a:pPr algn="r"/>
          <a:endParaRPr lang="fr-FR" sz="1100"/>
        </a:p>
      </xdr:txBody>
    </xdr:sp>
    <xdr:clientData/>
  </xdr:twoCellAnchor>
  <xdr:twoCellAnchor>
    <xdr:from>
      <xdr:col>10</xdr:col>
      <xdr:colOff>174625</xdr:colOff>
      <xdr:row>36</xdr:row>
      <xdr:rowOff>157427</xdr:rowOff>
    </xdr:from>
    <xdr:to>
      <xdr:col>13</xdr:col>
      <xdr:colOff>402167</xdr:colOff>
      <xdr:row>51</xdr:row>
      <xdr:rowOff>52916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17F16FA-A4BD-4003-B8C9-4C8AF648F665}"/>
            </a:ext>
          </a:extLst>
        </xdr:cNvPr>
        <xdr:cNvSpPr txBox="1"/>
      </xdr:nvSpPr>
      <xdr:spPr>
        <a:xfrm>
          <a:off x="8948208" y="6211094"/>
          <a:ext cx="2513542" cy="22767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fr-FR" sz="1100"/>
        </a:p>
        <a:p>
          <a:pPr algn="r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régime des non-salariés agricoles a émis 502,0 millions d’euros de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contribution sociale généralisée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(CSG) ; un montant en baisse de 5,9 %.</a:t>
          </a:r>
        </a:p>
        <a:p>
          <a:pPr algn="r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part de la CSG affectée à la branche maladie est de 3,1 % en 2025. La part de la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compensation démographique vieillesse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représente 16,5 % des recettes, avec un montant stable par rapoort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2024.</a:t>
          </a:r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11</xdr:row>
      <xdr:rowOff>23812</xdr:rowOff>
    </xdr:from>
    <xdr:to>
      <xdr:col>7</xdr:col>
      <xdr:colOff>495300</xdr:colOff>
      <xdr:row>33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495299</xdr:colOff>
      <xdr:row>11</xdr:row>
      <xdr:rowOff>38101</xdr:rowOff>
    </xdr:from>
    <xdr:to>
      <xdr:col>15</xdr:col>
      <xdr:colOff>342900</xdr:colOff>
      <xdr:row>26</xdr:row>
      <xdr:rowOff>85726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85724</xdr:rowOff>
    </xdr:from>
    <xdr:to>
      <xdr:col>7</xdr:col>
      <xdr:colOff>85725</xdr:colOff>
      <xdr:row>31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31</xdr:row>
      <xdr:rowOff>85725</xdr:rowOff>
    </xdr:from>
    <xdr:to>
      <xdr:col>13</xdr:col>
      <xdr:colOff>247650</xdr:colOff>
      <xdr:row>47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0.7528</cdr:x>
      <cdr:y>0.17627</cdr:y>
    </cdr:from>
    <cdr:to>
      <cdr:x>0.88361</cdr:x>
      <cdr:y>0.27284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E2F676C-A9C4-4421-8061-0CC4772DA540}"/>
            </a:ext>
          </a:extLst>
        </cdr:cNvPr>
        <cdr:cNvSpPr txBox="1"/>
      </cdr:nvSpPr>
      <cdr:spPr>
        <a:xfrm xmlns:a="http://schemas.openxmlformats.org/drawingml/2006/main">
          <a:off x="4262436" y="535781"/>
          <a:ext cx="740643" cy="293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0.5527</cdr:x>
      <cdr:y>0.35426</cdr:y>
    </cdr:from>
    <cdr:to>
      <cdr:x>0.81495</cdr:x>
      <cdr:y>0.44527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1721A048-6867-45ED-8E1C-BC861269A66A}"/>
            </a:ext>
          </a:extLst>
        </cdr:cNvPr>
        <cdr:cNvSpPr txBox="1"/>
      </cdr:nvSpPr>
      <cdr:spPr>
        <a:xfrm xmlns:a="http://schemas.openxmlformats.org/drawingml/2006/main">
          <a:off x="3129421" y="1094623"/>
          <a:ext cx="1484912" cy="281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Maladie + IJ AMEXA</a:t>
          </a:r>
        </a:p>
      </cdr:txBody>
    </cdr:sp>
  </cdr:relSizeAnchor>
  <cdr:relSizeAnchor xmlns:cdr="http://schemas.openxmlformats.org/drawingml/2006/chartDrawing">
    <cdr:from>
      <cdr:x>0.45678</cdr:x>
      <cdr:y>0.35676</cdr:y>
    </cdr:from>
    <cdr:to>
      <cdr:x>0.57348</cdr:x>
      <cdr:y>0.44518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C284188C-D19E-4BF2-87DF-531F837A0C20}"/>
            </a:ext>
          </a:extLst>
        </cdr:cNvPr>
        <cdr:cNvSpPr txBox="1"/>
      </cdr:nvSpPr>
      <cdr:spPr>
        <a:xfrm xmlns:a="http://schemas.openxmlformats.org/drawingml/2006/main">
          <a:off x="2586314" y="1102349"/>
          <a:ext cx="660765" cy="273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200" b="1">
              <a:solidFill>
                <a:schemeClr val="tx2">
                  <a:lumMod val="50000"/>
                </a:schemeClr>
              </a:solidFill>
            </a:rPr>
            <a:t>6 435,4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0.20875</cdr:x>
      <cdr:y>0.09739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C284188C-D19E-4BF2-87DF-531F837A0C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111250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0.64159</cdr:x>
      <cdr:y>0.1756</cdr:y>
    </cdr:from>
    <cdr:to>
      <cdr:x>0.78072</cdr:x>
      <cdr:y>0.26187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CC0A6C8-7B25-4239-B29E-BD172695FCEA}"/>
            </a:ext>
          </a:extLst>
        </cdr:cNvPr>
        <cdr:cNvSpPr txBox="1"/>
      </cdr:nvSpPr>
      <cdr:spPr>
        <a:xfrm xmlns:a="http://schemas.openxmlformats.org/drawingml/2006/main">
          <a:off x="3632711" y="542583"/>
          <a:ext cx="787766" cy="26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200" b="1">
              <a:solidFill>
                <a:schemeClr val="tx2">
                  <a:lumMod val="50000"/>
                </a:schemeClr>
              </a:solidFill>
            </a:rPr>
            <a:t>7 182,5</a:t>
          </a:r>
        </a:p>
      </cdr:txBody>
    </cdr:sp>
  </cdr:relSizeAnchor>
  <cdr:relSizeAnchor xmlns:cdr="http://schemas.openxmlformats.org/drawingml/2006/chartDrawing">
    <cdr:from>
      <cdr:x>0.08354</cdr:x>
      <cdr:y>0.50419</cdr:y>
    </cdr:from>
    <cdr:to>
      <cdr:x>0.20677</cdr:x>
      <cdr:y>0.58755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96976EE3-FD18-4066-9852-EEC4C4848013}"/>
            </a:ext>
          </a:extLst>
        </cdr:cNvPr>
        <cdr:cNvSpPr txBox="1"/>
      </cdr:nvSpPr>
      <cdr:spPr>
        <a:xfrm xmlns:a="http://schemas.openxmlformats.org/drawingml/2006/main">
          <a:off x="473023" y="1557887"/>
          <a:ext cx="697739" cy="257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2">
                  <a:lumMod val="50000"/>
                </a:schemeClr>
              </a:solidFill>
            </a:rPr>
            <a:t>1 353,2</a:t>
          </a:r>
        </a:p>
      </cdr:txBody>
    </cdr:sp>
  </cdr:relSizeAnchor>
  <cdr:relSizeAnchor xmlns:cdr="http://schemas.openxmlformats.org/drawingml/2006/chartDrawing">
    <cdr:from>
      <cdr:x>0.0118</cdr:x>
      <cdr:y>0.66198</cdr:y>
    </cdr:from>
    <cdr:to>
      <cdr:x>0.10935</cdr:x>
      <cdr:y>0.74874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933E9DD4-C0ED-413C-B24F-33BD39728A5C}"/>
            </a:ext>
          </a:extLst>
        </cdr:cNvPr>
        <cdr:cNvSpPr txBox="1"/>
      </cdr:nvSpPr>
      <cdr:spPr>
        <a:xfrm xmlns:a="http://schemas.openxmlformats.org/drawingml/2006/main">
          <a:off x="66790" y="2012156"/>
          <a:ext cx="552335" cy="263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2">
                  <a:lumMod val="50000"/>
                </a:schemeClr>
              </a:solidFill>
            </a:rPr>
            <a:t>556,9</a:t>
          </a:r>
        </a:p>
      </cdr:txBody>
    </cdr:sp>
  </cdr:relSizeAnchor>
  <cdr:relSizeAnchor xmlns:cdr="http://schemas.openxmlformats.org/drawingml/2006/chartDrawing">
    <cdr:from>
      <cdr:x>0.00996</cdr:x>
      <cdr:y>0.82197</cdr:y>
    </cdr:from>
    <cdr:to>
      <cdr:x>0.1073</cdr:x>
      <cdr:y>0.89779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081E490A-6A84-41E9-8B8C-9AE71D5DE018}"/>
            </a:ext>
          </a:extLst>
        </cdr:cNvPr>
        <cdr:cNvSpPr txBox="1"/>
      </cdr:nvSpPr>
      <cdr:spPr>
        <a:xfrm xmlns:a="http://schemas.openxmlformats.org/drawingml/2006/main">
          <a:off x="56393" y="2498460"/>
          <a:ext cx="551148" cy="230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2">
                  <a:lumMod val="50000"/>
                </a:schemeClr>
              </a:solidFill>
            </a:rPr>
            <a:t>544,5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0.17784</cdr:x>
      <cdr:y>0.5041</cdr:y>
    </cdr:from>
    <cdr:to>
      <cdr:x>0.26169</cdr:x>
      <cdr:y>0.60029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1006921" y="1557608"/>
          <a:ext cx="474766" cy="29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200" b="1">
              <a:solidFill>
                <a:schemeClr val="tx1"/>
              </a:solidFill>
            </a:rPr>
            <a:t>RCO</a:t>
          </a:r>
        </a:p>
      </cdr:txBody>
    </cdr:sp>
  </cdr:relSizeAnchor>
  <cdr:relSizeAnchor xmlns:cdr="http://schemas.openxmlformats.org/drawingml/2006/chartDrawing">
    <cdr:from>
      <cdr:x>0.07897</cdr:x>
      <cdr:y>0.81893</cdr:y>
    </cdr:from>
    <cdr:to>
      <cdr:x>0.66729</cdr:x>
      <cdr:y>0.90424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44793AD9-BB3A-4D9F-B926-7C3ED44F45EE}"/>
            </a:ext>
          </a:extLst>
        </cdr:cNvPr>
        <cdr:cNvSpPr txBox="1"/>
      </cdr:nvSpPr>
      <cdr:spPr>
        <a:xfrm xmlns:a="http://schemas.openxmlformats.org/drawingml/2006/main">
          <a:off x="447135" y="2530396"/>
          <a:ext cx="3331115" cy="263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Accidents du travail et maladies professionnelles</a:t>
          </a:r>
        </a:p>
      </cdr:txBody>
    </cdr:sp>
  </cdr:relSizeAnchor>
  <cdr:relSizeAnchor xmlns:cdr="http://schemas.openxmlformats.org/drawingml/2006/chartDrawing">
    <cdr:from>
      <cdr:x>0.08524</cdr:x>
      <cdr:y>0.66476</cdr:y>
    </cdr:from>
    <cdr:to>
      <cdr:x>0.21518</cdr:x>
      <cdr:y>0.75299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00862075-EB91-4244-BB03-2B6B7D24E7E8}"/>
            </a:ext>
          </a:extLst>
        </cdr:cNvPr>
        <cdr:cNvSpPr txBox="1"/>
      </cdr:nvSpPr>
      <cdr:spPr>
        <a:xfrm xmlns:a="http://schemas.openxmlformats.org/drawingml/2006/main">
          <a:off x="482646" y="2020612"/>
          <a:ext cx="735731" cy="268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Famille</a:t>
          </a:r>
        </a:p>
      </cdr:txBody>
    </cdr:sp>
  </cdr:relSizeAnchor>
  <cdr:relSizeAnchor xmlns:cdr="http://schemas.openxmlformats.org/drawingml/2006/chartDrawing">
    <cdr:from>
      <cdr:x>0.01308</cdr:x>
      <cdr:y>0.00707</cdr:y>
    </cdr:from>
    <cdr:to>
      <cdr:x>0.89719</cdr:x>
      <cdr:y>0.15194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FB518968-3950-4E98-8B1B-41D1B4182D8F}"/>
            </a:ext>
          </a:extLst>
        </cdr:cNvPr>
        <cdr:cNvSpPr txBox="1"/>
      </cdr:nvSpPr>
      <cdr:spPr>
        <a:xfrm xmlns:a="http://schemas.openxmlformats.org/drawingml/2006/main">
          <a:off x="74079" y="21175"/>
          <a:ext cx="5005905" cy="433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400" b="1" i="1">
              <a:solidFill>
                <a:schemeClr val="accent1">
                  <a:lumMod val="50000"/>
                </a:schemeClr>
              </a:solidFill>
            </a:rPr>
            <a:t>Dépenses : montants 2025 en millions d'€ selon la branche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Evolution</a:t>
          </a:r>
          <a:r>
            <a:rPr lang="fr-FR" sz="1100" b="1" i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(en %) sur 1 an</a:t>
          </a:r>
          <a:endParaRPr lang="fr-FR" sz="1400">
            <a:solidFill>
              <a:srgbClr val="C00000"/>
            </a:solidFill>
            <a:effectLst/>
          </a:endParaRPr>
        </a:p>
        <a:p xmlns:a="http://schemas.openxmlformats.org/drawingml/2006/main">
          <a:pPr algn="l"/>
          <a:endParaRPr lang="fr-FR" sz="1400" b="1" i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0.71135</cdr:x>
      <cdr:y>0.50927</cdr:y>
    </cdr:from>
    <cdr:to>
      <cdr:x>0.97322</cdr:x>
      <cdr:y>1</cdr:y>
    </cdr:to>
    <cdr:pic>
      <cdr:nvPicPr>
        <cdr:cNvPr id="21" name="Image 20">
          <a:extLst xmlns:a="http://schemas.openxmlformats.org/drawingml/2006/main">
            <a:ext uri="{FF2B5EF4-FFF2-40B4-BE49-F238E27FC236}">
              <a16:creationId xmlns:a16="http://schemas.microsoft.com/office/drawing/2014/main" id="{7D77FC64-AD96-4026-8CFC-EDD358E6CB91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85318" t="30334" r="3439" b="51324"/>
        <a:stretch xmlns:a="http://schemas.openxmlformats.org/drawingml/2006/main"/>
      </cdr:blipFill>
      <cdr:spPr bwMode="auto">
        <a:xfrm xmlns:a="http://schemas.openxmlformats.org/drawingml/2006/main">
          <a:off x="4027714" y="1632857"/>
          <a:ext cx="1482738" cy="157344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0.84112</cdr:x>
      <cdr:y>0.56858</cdr:y>
    </cdr:from>
    <cdr:to>
      <cdr:x>1</cdr:x>
      <cdr:y>0.70997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88C51CD7-3231-4F7C-BDE3-6879787EB57D}"/>
            </a:ext>
          </a:extLst>
        </cdr:cNvPr>
        <cdr:cNvSpPr txBox="1"/>
      </cdr:nvSpPr>
      <cdr:spPr>
        <a:xfrm xmlns:a="http://schemas.openxmlformats.org/drawingml/2006/main">
          <a:off x="4762499" y="1756833"/>
          <a:ext cx="899583" cy="43689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rgbClr val="C00000"/>
              </a:solidFill>
            </a:rPr>
            <a:t>Prestations légales</a:t>
          </a:r>
        </a:p>
      </cdr:txBody>
    </cdr:sp>
  </cdr:relSizeAnchor>
  <cdr:relSizeAnchor xmlns:cdr="http://schemas.openxmlformats.org/drawingml/2006/chartDrawing">
    <cdr:from>
      <cdr:x>0.49299</cdr:x>
      <cdr:y>0.58536</cdr:y>
    </cdr:from>
    <cdr:to>
      <cdr:x>0.76217</cdr:x>
      <cdr:y>0.71817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04515782-186F-41BC-8771-5D78B2D68236}"/>
            </a:ext>
          </a:extLst>
        </cdr:cNvPr>
        <cdr:cNvSpPr txBox="1"/>
      </cdr:nvSpPr>
      <cdr:spPr>
        <a:xfrm xmlns:a="http://schemas.openxmlformats.org/drawingml/2006/main">
          <a:off x="2791989" y="1779258"/>
          <a:ext cx="1524509" cy="4037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rgbClr val="002060"/>
              </a:solidFill>
            </a:rPr>
            <a:t>Soit</a:t>
          </a:r>
        </a:p>
        <a:p xmlns:a="http://schemas.openxmlformats.org/drawingml/2006/main">
          <a:pPr algn="ctr"/>
          <a:r>
            <a:rPr lang="fr-FR" sz="1200" b="1">
              <a:solidFill>
                <a:srgbClr val="002060"/>
              </a:solidFill>
            </a:rPr>
            <a:t>16,4</a:t>
          </a:r>
          <a:r>
            <a:rPr lang="fr-FR" sz="1200" b="1" baseline="0">
              <a:solidFill>
                <a:srgbClr val="002060"/>
              </a:solidFill>
            </a:rPr>
            <a:t> milliards d'€</a:t>
          </a:r>
        </a:p>
        <a:p xmlns:a="http://schemas.openxmlformats.org/drawingml/2006/main">
          <a:endParaRPr lang="fr-FR" sz="1200" b="1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0.72056</cdr:x>
      <cdr:y>0.6414</cdr:y>
    </cdr:from>
    <cdr:to>
      <cdr:x>0.8486</cdr:x>
      <cdr:y>0.74325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D627C31B-A7A7-42DD-88A8-0D18BC42C962}"/>
            </a:ext>
          </a:extLst>
        </cdr:cNvPr>
        <cdr:cNvSpPr txBox="1"/>
      </cdr:nvSpPr>
      <cdr:spPr>
        <a:xfrm xmlns:a="http://schemas.openxmlformats.org/drawingml/2006/main">
          <a:off x="4079861" y="1981865"/>
          <a:ext cx="724973" cy="3147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400" b="1" baseline="0">
              <a:solidFill>
                <a:schemeClr val="tx2">
                  <a:lumMod val="50000"/>
                </a:schemeClr>
              </a:solidFill>
            </a:rPr>
            <a:t> - </a:t>
          </a:r>
          <a:r>
            <a:rPr lang="fr-FR" sz="1400" b="1">
              <a:solidFill>
                <a:schemeClr val="tx2">
                  <a:lumMod val="50000"/>
                </a:schemeClr>
              </a:solidFill>
            </a:rPr>
            <a:t>1,9 %</a:t>
          </a:r>
        </a:p>
      </cdr:txBody>
    </cdr:sp>
  </cdr:relSizeAnchor>
  <cdr:relSizeAnchor xmlns:cdr="http://schemas.openxmlformats.org/drawingml/2006/chartDrawing">
    <cdr:from>
      <cdr:x>0.83902</cdr:x>
      <cdr:y>0.81857</cdr:y>
    </cdr:from>
    <cdr:to>
      <cdr:x>0.96969</cdr:x>
      <cdr:y>0.90622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EC6C031F-CD9A-4DD8-9A66-475B5E01FD5D}"/>
            </a:ext>
          </a:extLst>
        </cdr:cNvPr>
        <cdr:cNvSpPr txBox="1"/>
      </cdr:nvSpPr>
      <cdr:spPr>
        <a:xfrm xmlns:a="http://schemas.openxmlformats.org/drawingml/2006/main">
          <a:off x="4751711" y="2488142"/>
          <a:ext cx="740037" cy="26642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400" b="1">
              <a:solidFill>
                <a:srgbClr val="C00000"/>
              </a:solidFill>
            </a:rPr>
            <a:t>- 2,2 %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0.78839</cdr:x>
      <cdr:y>0.13528</cdr:y>
    </cdr:from>
    <cdr:to>
      <cdr:x>0.89654</cdr:x>
      <cdr:y>0.20956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E2F676C-A9C4-4421-8061-0CC4772DA540}"/>
            </a:ext>
          </a:extLst>
        </cdr:cNvPr>
        <cdr:cNvSpPr txBox="1"/>
      </cdr:nvSpPr>
      <cdr:spPr>
        <a:xfrm xmlns:a="http://schemas.openxmlformats.org/drawingml/2006/main">
          <a:off x="4547341" y="472469"/>
          <a:ext cx="623800" cy="259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chemeClr val="bg1"/>
              </a:solidFill>
            </a:rPr>
            <a:t>ITAF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0.20875</cdr:x>
      <cdr:y>0.09739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C284188C-D19E-4BF2-87DF-531F837A0C2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111250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0.65031</cdr:x>
      <cdr:y>0.1403</cdr:y>
    </cdr:from>
    <cdr:to>
      <cdr:x>0.77278</cdr:x>
      <cdr:y>0.21248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CC0A6C8-7B25-4239-B29E-BD172695FCEA}"/>
            </a:ext>
          </a:extLst>
        </cdr:cNvPr>
        <cdr:cNvSpPr txBox="1"/>
      </cdr:nvSpPr>
      <cdr:spPr>
        <a:xfrm xmlns:a="http://schemas.openxmlformats.org/drawingml/2006/main">
          <a:off x="3751801" y="514510"/>
          <a:ext cx="706559" cy="2646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200" b="1">
              <a:solidFill>
                <a:schemeClr val="bg1"/>
              </a:solidFill>
            </a:rPr>
            <a:t>5 080,1</a:t>
          </a:r>
        </a:p>
      </cdr:txBody>
    </cdr:sp>
  </cdr:relSizeAnchor>
  <cdr:relSizeAnchor xmlns:cdr="http://schemas.openxmlformats.org/drawingml/2006/chartDrawing">
    <cdr:from>
      <cdr:x>0.02531</cdr:x>
      <cdr:y>0.8481</cdr:y>
    </cdr:from>
    <cdr:to>
      <cdr:x>0.12075</cdr:x>
      <cdr:y>0.92391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933E9DD4-C0ED-413C-B24F-33BD39728A5C}"/>
            </a:ext>
          </a:extLst>
        </cdr:cNvPr>
        <cdr:cNvSpPr txBox="1"/>
      </cdr:nvSpPr>
      <cdr:spPr>
        <a:xfrm xmlns:a="http://schemas.openxmlformats.org/drawingml/2006/main">
          <a:off x="145958" y="2962002"/>
          <a:ext cx="550490" cy="2647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27,5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0.00913</cdr:x>
      <cdr:y>0.01569</cdr:y>
    </cdr:from>
    <cdr:to>
      <cdr:x>0.15551</cdr:x>
      <cdr:y>0.10392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7F4F2CD5-5C79-4361-8EE2-7D841A01B4DC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4916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Retraite</a:t>
          </a:r>
        </a:p>
      </cdr:txBody>
    </cdr:sp>
  </cdr:relSizeAnchor>
  <cdr:relSizeAnchor xmlns:cdr="http://schemas.openxmlformats.org/drawingml/2006/chartDrawing">
    <cdr:from>
      <cdr:x>0.02218</cdr:x>
      <cdr:y>0</cdr:y>
    </cdr:from>
    <cdr:to>
      <cdr:x>0.83774</cdr:x>
      <cdr:y>0.07029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454DEE24-05D5-4200-AB13-DEA22FB98024}"/>
            </a:ext>
          </a:extLst>
        </cdr:cNvPr>
        <cdr:cNvSpPr txBox="1"/>
      </cdr:nvSpPr>
      <cdr:spPr>
        <a:xfrm xmlns:a="http://schemas.openxmlformats.org/drawingml/2006/main">
          <a:off x="127959" y="0"/>
          <a:ext cx="4704081" cy="245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400" b="1" i="1">
              <a:solidFill>
                <a:schemeClr val="accent1">
                  <a:lumMod val="50000"/>
                </a:schemeClr>
              </a:solidFill>
            </a:rPr>
            <a:t>Recettes</a:t>
          </a:r>
          <a:r>
            <a:rPr lang="fr-FR" sz="1400" b="1" i="1" baseline="0">
              <a:solidFill>
                <a:schemeClr val="accent1">
                  <a:lumMod val="50000"/>
                </a:schemeClr>
              </a:solidFill>
            </a:rPr>
            <a:t> : m</a:t>
          </a:r>
          <a:r>
            <a:rPr lang="fr-FR" sz="1400" b="1" i="1">
              <a:solidFill>
                <a:schemeClr val="accent1">
                  <a:lumMod val="50000"/>
                </a:schemeClr>
              </a:solidFill>
            </a:rPr>
            <a:t>ontants 2025 en millions d'€ selon le poste</a:t>
          </a:r>
        </a:p>
        <a:p xmlns:a="http://schemas.openxmlformats.org/drawingml/2006/main">
          <a:pPr algn="l"/>
          <a:r>
            <a:rPr lang="fr-FR" sz="1100" b="1" i="1">
              <a:solidFill>
                <a:srgbClr val="C00000"/>
              </a:solidFill>
            </a:rPr>
            <a:t>Evolution</a:t>
          </a:r>
          <a:r>
            <a:rPr lang="fr-FR" sz="1100" b="1" i="1" baseline="0">
              <a:solidFill>
                <a:srgbClr val="C00000"/>
              </a:solidFill>
            </a:rPr>
            <a:t> (en %) sur 1 an</a:t>
          </a:r>
          <a:endParaRPr lang="fr-FR" sz="1100" b="1" i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0.65943</cdr:x>
      <cdr:y>0.52592</cdr:y>
    </cdr:from>
    <cdr:to>
      <cdr:x>0.95125</cdr:x>
      <cdr:y>0.99675</cdr:y>
    </cdr:to>
    <cdr:pic>
      <cdr:nvPicPr>
        <cdr:cNvPr id="22" name="Image 21">
          <a:extLst xmlns:a="http://schemas.openxmlformats.org/drawingml/2006/main">
            <a:ext uri="{FF2B5EF4-FFF2-40B4-BE49-F238E27FC236}">
              <a16:creationId xmlns:a16="http://schemas.microsoft.com/office/drawing/2014/main" id="{B3D1A1BF-8433-49E8-8130-F1DB15383161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85318" t="30334" r="3439" b="51324"/>
        <a:stretch xmlns:a="http://schemas.openxmlformats.org/drawingml/2006/main"/>
      </cdr:blipFill>
      <cdr:spPr bwMode="auto">
        <a:xfrm xmlns:a="http://schemas.openxmlformats.org/drawingml/2006/main">
          <a:off x="3804395" y="1928627"/>
          <a:ext cx="1683579" cy="172659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0.41127</cdr:x>
      <cdr:y>0.23323</cdr:y>
    </cdr:from>
    <cdr:to>
      <cdr:x>0.53221</cdr:x>
      <cdr:y>0.31493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FF0CA47B-A291-44BC-890A-F8906BCA6C16}"/>
            </a:ext>
          </a:extLst>
        </cdr:cNvPr>
        <cdr:cNvSpPr txBox="1"/>
      </cdr:nvSpPr>
      <cdr:spPr>
        <a:xfrm xmlns:a="http://schemas.openxmlformats.org/drawingml/2006/main">
          <a:off x="2372700" y="855284"/>
          <a:ext cx="697732" cy="2996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3 405,5</a:t>
          </a:r>
        </a:p>
      </cdr:txBody>
    </cdr:sp>
  </cdr:relSizeAnchor>
  <cdr:relSizeAnchor xmlns:cdr="http://schemas.openxmlformats.org/drawingml/2006/chartDrawing">
    <cdr:from>
      <cdr:x>0.32345</cdr:x>
      <cdr:y>0.34275</cdr:y>
    </cdr:from>
    <cdr:to>
      <cdr:x>0.44648</cdr:x>
      <cdr:y>0.42445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BBA93B55-6CD7-4753-A880-ED947BBC9033}"/>
            </a:ext>
          </a:extLst>
        </cdr:cNvPr>
        <cdr:cNvSpPr txBox="1"/>
      </cdr:nvSpPr>
      <cdr:spPr>
        <a:xfrm xmlns:a="http://schemas.openxmlformats.org/drawingml/2006/main">
          <a:off x="1866076" y="1256920"/>
          <a:ext cx="709790" cy="2996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bg1"/>
              </a:solidFill>
            </a:rPr>
            <a:t>2 769,4</a:t>
          </a:r>
        </a:p>
      </cdr:txBody>
    </cdr:sp>
  </cdr:relSizeAnchor>
  <cdr:relSizeAnchor xmlns:cdr="http://schemas.openxmlformats.org/drawingml/2006/chartDrawing">
    <cdr:from>
      <cdr:x>0.15811</cdr:x>
      <cdr:y>0.54675</cdr:y>
    </cdr:from>
    <cdr:to>
      <cdr:x>0.27367</cdr:x>
      <cdr:y>0.62845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16DF6A4A-1795-4F2A-B29D-61DA587983C0}"/>
            </a:ext>
          </a:extLst>
        </cdr:cNvPr>
        <cdr:cNvSpPr txBox="1"/>
      </cdr:nvSpPr>
      <cdr:spPr>
        <a:xfrm xmlns:a="http://schemas.openxmlformats.org/drawingml/2006/main">
          <a:off x="912167" y="2005002"/>
          <a:ext cx="666693" cy="2996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1 636,6</a:t>
          </a:r>
        </a:p>
      </cdr:txBody>
    </cdr:sp>
  </cdr:relSizeAnchor>
  <cdr:relSizeAnchor xmlns:cdr="http://schemas.openxmlformats.org/drawingml/2006/chartDrawing">
    <cdr:from>
      <cdr:x>0.01551</cdr:x>
      <cdr:y>0.64394</cdr:y>
    </cdr:from>
    <cdr:to>
      <cdr:x>0.13692</cdr:x>
      <cdr:y>0.72563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95F0773E-10E0-4CB0-BA01-7016F2271770}"/>
            </a:ext>
          </a:extLst>
        </cdr:cNvPr>
        <cdr:cNvSpPr txBox="1"/>
      </cdr:nvSpPr>
      <cdr:spPr>
        <a:xfrm xmlns:a="http://schemas.openxmlformats.org/drawingml/2006/main">
          <a:off x="89481" y="2361411"/>
          <a:ext cx="700443" cy="29956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502,0</a:t>
          </a:r>
        </a:p>
      </cdr:txBody>
    </cdr:sp>
  </cdr:relSizeAnchor>
  <cdr:relSizeAnchor xmlns:cdr="http://schemas.openxmlformats.org/drawingml/2006/chartDrawing">
    <cdr:from>
      <cdr:x>0.02701</cdr:x>
      <cdr:y>0.74155</cdr:y>
    </cdr:from>
    <cdr:to>
      <cdr:x>0.11766</cdr:x>
      <cdr:y>0.83295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A5715526-92CA-441B-8E30-30A89D2E5163}"/>
            </a:ext>
          </a:extLst>
        </cdr:cNvPr>
        <cdr:cNvSpPr txBox="1"/>
      </cdr:nvSpPr>
      <cdr:spPr>
        <a:xfrm xmlns:a="http://schemas.openxmlformats.org/drawingml/2006/main">
          <a:off x="155763" y="2589869"/>
          <a:ext cx="522892" cy="31922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60,9</a:t>
          </a:r>
        </a:p>
      </cdr:txBody>
    </cdr:sp>
  </cdr:relSizeAnchor>
  <cdr:relSizeAnchor xmlns:cdr="http://schemas.openxmlformats.org/drawingml/2006/chartDrawing">
    <cdr:from>
      <cdr:x>0.52171</cdr:x>
      <cdr:y>0.24577</cdr:y>
    </cdr:from>
    <cdr:to>
      <cdr:x>0.87746</cdr:x>
      <cdr:y>0.34724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471F9F39-72D8-476B-AE77-7B6D447A2B46}"/>
            </a:ext>
          </a:extLst>
        </cdr:cNvPr>
        <cdr:cNvSpPr txBox="1"/>
      </cdr:nvSpPr>
      <cdr:spPr>
        <a:xfrm xmlns:a="http://schemas.openxmlformats.org/drawingml/2006/main">
          <a:off x="3009868" y="901270"/>
          <a:ext cx="2052407" cy="37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Contribution du régime général</a:t>
          </a:r>
        </a:p>
      </cdr:txBody>
    </cdr:sp>
  </cdr:relSizeAnchor>
  <cdr:relSizeAnchor xmlns:cdr="http://schemas.openxmlformats.org/drawingml/2006/chartDrawing">
    <cdr:from>
      <cdr:x>0.41448</cdr:x>
      <cdr:y>0.44318</cdr:y>
    </cdr:from>
    <cdr:to>
      <cdr:x>0.77109</cdr:x>
      <cdr:y>0.50924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7D2EF6F4-5534-45F1-9E4C-78AB2C5BDB52}"/>
            </a:ext>
          </a:extLst>
        </cdr:cNvPr>
        <cdr:cNvSpPr txBox="1"/>
      </cdr:nvSpPr>
      <cdr:spPr>
        <a:xfrm xmlns:a="http://schemas.openxmlformats.org/drawingml/2006/main">
          <a:off x="2391249" y="1625210"/>
          <a:ext cx="2057368" cy="24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Compensation démographique</a:t>
          </a:r>
        </a:p>
      </cdr:txBody>
    </cdr:sp>
  </cdr:relSizeAnchor>
  <cdr:relSizeAnchor xmlns:cdr="http://schemas.openxmlformats.org/drawingml/2006/chartDrawing">
    <cdr:from>
      <cdr:x>0.26571</cdr:x>
      <cdr:y>0.54961</cdr:y>
    </cdr:from>
    <cdr:to>
      <cdr:x>0.49045</cdr:x>
      <cdr:y>0.61731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17289936-4E30-48B7-B8B0-54E6F1E3E145}"/>
            </a:ext>
          </a:extLst>
        </cdr:cNvPr>
        <cdr:cNvSpPr txBox="1"/>
      </cdr:nvSpPr>
      <cdr:spPr>
        <a:xfrm xmlns:a="http://schemas.openxmlformats.org/drawingml/2006/main">
          <a:off x="1532945" y="2015489"/>
          <a:ext cx="1296579" cy="248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Autres poduits</a:t>
          </a:r>
        </a:p>
      </cdr:txBody>
    </cdr:sp>
  </cdr:relSizeAnchor>
  <cdr:relSizeAnchor xmlns:cdr="http://schemas.openxmlformats.org/drawingml/2006/chartDrawing">
    <cdr:from>
      <cdr:x>0.09045</cdr:x>
      <cdr:y>0.74535</cdr:y>
    </cdr:from>
    <cdr:to>
      <cdr:x>0.45758</cdr:x>
      <cdr:y>0.80123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FF6F6C6F-52A9-4DAD-A8E9-64F148C82297}"/>
            </a:ext>
          </a:extLst>
        </cdr:cNvPr>
        <cdr:cNvSpPr txBox="1"/>
      </cdr:nvSpPr>
      <cdr:spPr>
        <a:xfrm xmlns:a="http://schemas.openxmlformats.org/drawingml/2006/main">
          <a:off x="521707" y="2603138"/>
          <a:ext cx="2117575" cy="195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Prise en charge de </a:t>
          </a:r>
          <a:r>
            <a:rPr lang="fr-FR" sz="1100" b="1" baseline="0">
              <a:solidFill>
                <a:schemeClr val="accent1">
                  <a:lumMod val="50000"/>
                </a:schemeClr>
              </a:solidFill>
            </a:rPr>
            <a:t>prestations</a:t>
          </a:r>
          <a:endParaRPr lang="fr-FR" sz="1100" b="1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0.0946</cdr:x>
      <cdr:y>0.64545</cdr:y>
    </cdr:from>
    <cdr:to>
      <cdr:x>0.49778</cdr:x>
      <cdr:y>0.71601</cdr:y>
    </cdr:to>
    <cdr:sp macro="" textlink="">
      <cdr:nvSpPr>
        <cdr:cNvPr id="74" name="ZoneTexte 1">
          <a:extLst xmlns:a="http://schemas.openxmlformats.org/drawingml/2006/main">
            <a:ext uri="{FF2B5EF4-FFF2-40B4-BE49-F238E27FC236}">
              <a16:creationId xmlns:a16="http://schemas.microsoft.com/office/drawing/2014/main" id="{D5006FC0-73CB-4B64-B02F-5CCE138F1F74}"/>
            </a:ext>
          </a:extLst>
        </cdr:cNvPr>
        <cdr:cNvSpPr txBox="1"/>
      </cdr:nvSpPr>
      <cdr:spPr>
        <a:xfrm xmlns:a="http://schemas.openxmlformats.org/drawingml/2006/main">
          <a:off x="545784" y="2366958"/>
          <a:ext cx="2326042" cy="258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Contribution sociale généralisée</a:t>
          </a:r>
        </a:p>
      </cdr:txBody>
    </cdr:sp>
  </cdr:relSizeAnchor>
  <cdr:relSizeAnchor xmlns:cdr="http://schemas.openxmlformats.org/drawingml/2006/chartDrawing">
    <cdr:from>
      <cdr:x>0.08999</cdr:x>
      <cdr:y>0.85242</cdr:y>
    </cdr:from>
    <cdr:to>
      <cdr:x>0.52715</cdr:x>
      <cdr:y>0.9206</cdr:y>
    </cdr:to>
    <cdr:sp macro="" textlink="">
      <cdr:nvSpPr>
        <cdr:cNvPr id="113" name="ZoneTexte 1">
          <a:extLst xmlns:a="http://schemas.openxmlformats.org/drawingml/2006/main">
            <a:ext uri="{FF2B5EF4-FFF2-40B4-BE49-F238E27FC236}">
              <a16:creationId xmlns:a16="http://schemas.microsoft.com/office/drawing/2014/main" id="{894C5C47-2E51-42EA-9647-0D5B6C76C08F}"/>
            </a:ext>
          </a:extLst>
        </cdr:cNvPr>
        <cdr:cNvSpPr txBox="1"/>
      </cdr:nvSpPr>
      <cdr:spPr>
        <a:xfrm xmlns:a="http://schemas.openxmlformats.org/drawingml/2006/main">
          <a:off x="519160" y="3125944"/>
          <a:ext cx="2522080" cy="25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Cotisations prises en charge par l'état</a:t>
          </a:r>
        </a:p>
      </cdr:txBody>
    </cdr:sp>
  </cdr:relSizeAnchor>
  <cdr:relSizeAnchor xmlns:cdr="http://schemas.openxmlformats.org/drawingml/2006/chartDrawing">
    <cdr:from>
      <cdr:x>0.40862</cdr:x>
      <cdr:y>0.69237</cdr:y>
    </cdr:from>
    <cdr:to>
      <cdr:x>0.74225</cdr:x>
      <cdr:y>0.82143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9FE99FA3-2CD3-4F9B-B236-F5DCC2EC7EF9}"/>
            </a:ext>
          </a:extLst>
        </cdr:cNvPr>
        <cdr:cNvSpPr txBox="1"/>
      </cdr:nvSpPr>
      <cdr:spPr>
        <a:xfrm xmlns:a="http://schemas.openxmlformats.org/drawingml/2006/main">
          <a:off x="2357438" y="2539025"/>
          <a:ext cx="1924802" cy="4732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400" b="1">
              <a:solidFill>
                <a:srgbClr val="002060"/>
              </a:solidFill>
            </a:rPr>
            <a:t>Soit</a:t>
          </a:r>
        </a:p>
        <a:p xmlns:a="http://schemas.openxmlformats.org/drawingml/2006/main">
          <a:pPr algn="ctr"/>
          <a:r>
            <a:rPr lang="fr-FR" sz="1400" b="1">
              <a:solidFill>
                <a:srgbClr val="002060"/>
              </a:solidFill>
            </a:rPr>
            <a:t>16,1</a:t>
          </a:r>
          <a:r>
            <a:rPr lang="fr-FR" sz="1400" b="1" baseline="0">
              <a:solidFill>
                <a:srgbClr val="002060"/>
              </a:solidFill>
            </a:rPr>
            <a:t> milliards d'€</a:t>
          </a:r>
        </a:p>
        <a:p xmlns:a="http://schemas.openxmlformats.org/drawingml/2006/main">
          <a:endParaRPr lang="fr-FR" sz="1400" b="1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0.75882</cdr:x>
      <cdr:y>0.14421</cdr:y>
    </cdr:from>
    <cdr:to>
      <cdr:x>0.95986</cdr:x>
      <cdr:y>0.2193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628689E0-7B3C-4AFD-B663-DB6CA93DAD63}"/>
            </a:ext>
          </a:extLst>
        </cdr:cNvPr>
        <cdr:cNvSpPr txBox="1"/>
      </cdr:nvSpPr>
      <cdr:spPr>
        <a:xfrm xmlns:a="http://schemas.openxmlformats.org/drawingml/2006/main">
          <a:off x="4376810" y="503653"/>
          <a:ext cx="1159596" cy="26225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tx2">
                  <a:lumMod val="50000"/>
                </a:schemeClr>
              </a:solidFill>
            </a:rPr>
            <a:t>Impôts et taxes</a:t>
          </a:r>
        </a:p>
      </cdr:txBody>
    </cdr:sp>
  </cdr:relSizeAnchor>
  <cdr:relSizeAnchor xmlns:cdr="http://schemas.openxmlformats.org/drawingml/2006/chartDrawing">
    <cdr:from>
      <cdr:x>0.68575</cdr:x>
      <cdr:y>0.65666</cdr:y>
    </cdr:from>
    <cdr:to>
      <cdr:x>0.8193</cdr:x>
      <cdr:y>0.74507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4B28293C-4D0C-4714-AAAB-0E59B1A7D93C}"/>
            </a:ext>
          </a:extLst>
        </cdr:cNvPr>
        <cdr:cNvSpPr txBox="1"/>
      </cdr:nvSpPr>
      <cdr:spPr>
        <a:xfrm xmlns:a="http://schemas.openxmlformats.org/drawingml/2006/main">
          <a:off x="3955350" y="2293382"/>
          <a:ext cx="770305" cy="3087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400" b="1">
              <a:solidFill>
                <a:srgbClr val="002060"/>
              </a:solidFill>
            </a:rPr>
            <a:t>- 2,1 %</a:t>
          </a:r>
        </a:p>
      </cdr:txBody>
    </cdr:sp>
  </cdr:relSizeAnchor>
  <cdr:relSizeAnchor xmlns:cdr="http://schemas.openxmlformats.org/drawingml/2006/chartDrawing">
    <cdr:from>
      <cdr:x>0.30147</cdr:x>
      <cdr:y>0.4386</cdr:y>
    </cdr:from>
    <cdr:to>
      <cdr:x>0.4245</cdr:x>
      <cdr:y>0.5203</cdr:y>
    </cdr:to>
    <cdr:sp macro="" textlink="">
      <cdr:nvSpPr>
        <cdr:cNvPr id="31" name="ZoneTexte 1">
          <a:extLst xmlns:a="http://schemas.openxmlformats.org/drawingml/2006/main">
            <a:ext uri="{FF2B5EF4-FFF2-40B4-BE49-F238E27FC236}">
              <a16:creationId xmlns:a16="http://schemas.microsoft.com/office/drawing/2014/main" id="{2B9D41AC-F5BC-4992-B396-1B28DA3F0F2E}"/>
            </a:ext>
          </a:extLst>
        </cdr:cNvPr>
        <cdr:cNvSpPr txBox="1"/>
      </cdr:nvSpPr>
      <cdr:spPr>
        <a:xfrm xmlns:a="http://schemas.openxmlformats.org/drawingml/2006/main">
          <a:off x="1739239" y="1608390"/>
          <a:ext cx="709790" cy="2996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rgbClr val="002060"/>
              </a:solidFill>
            </a:rPr>
            <a:t>2</a:t>
          </a:r>
          <a:r>
            <a:rPr lang="fr-FR" sz="1200" b="1" baseline="0">
              <a:solidFill>
                <a:srgbClr val="002060"/>
              </a:solidFill>
            </a:rPr>
            <a:t> 654,9</a:t>
          </a:r>
          <a:endParaRPr lang="fr-FR" sz="1200" b="1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0.43259</cdr:x>
      <cdr:y>0.34412</cdr:y>
    </cdr:from>
    <cdr:to>
      <cdr:x>0.74054</cdr:x>
      <cdr:y>0.40242</cdr:y>
    </cdr:to>
    <cdr:sp macro="" textlink="">
      <cdr:nvSpPr>
        <cdr:cNvPr id="32" name="ZoneTexte 1">
          <a:extLst xmlns:a="http://schemas.openxmlformats.org/drawingml/2006/main">
            <a:ext uri="{FF2B5EF4-FFF2-40B4-BE49-F238E27FC236}">
              <a16:creationId xmlns:a16="http://schemas.microsoft.com/office/drawing/2014/main" id="{4D7717CA-6A5A-4914-9C94-EF9C2B4E7CA3}"/>
            </a:ext>
          </a:extLst>
        </cdr:cNvPr>
        <cdr:cNvSpPr txBox="1"/>
      </cdr:nvSpPr>
      <cdr:spPr>
        <a:xfrm xmlns:a="http://schemas.openxmlformats.org/drawingml/2006/main">
          <a:off x="2495723" y="1261944"/>
          <a:ext cx="1776637" cy="213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1">
              <a:solidFill>
                <a:schemeClr val="accent1">
                  <a:lumMod val="50000"/>
                </a:schemeClr>
              </a:solidFill>
            </a:rPr>
            <a:t>Cotisations employeurs</a:t>
          </a:r>
        </a:p>
      </cdr:txBody>
    </cdr:sp>
  </cdr:relSizeAnchor>
  <cdr:relSizeAnchor xmlns:cdr="http://schemas.openxmlformats.org/drawingml/2006/chartDrawing">
    <cdr:from>
      <cdr:x>0.77597</cdr:x>
      <cdr:y>0.55195</cdr:y>
    </cdr:from>
    <cdr:to>
      <cdr:x>0.9679</cdr:x>
      <cdr:y>0.72403</cdr:y>
    </cdr:to>
    <cdr:sp macro="" textlink="">
      <cdr:nvSpPr>
        <cdr:cNvPr id="28" name="ZoneTexte 1">
          <a:extLst xmlns:a="http://schemas.openxmlformats.org/drawingml/2006/main">
            <a:ext uri="{FF2B5EF4-FFF2-40B4-BE49-F238E27FC236}">
              <a16:creationId xmlns:a16="http://schemas.microsoft.com/office/drawing/2014/main" id="{DCB44C41-2C0A-4DB2-91E1-86C4F4BB11AE}"/>
            </a:ext>
          </a:extLst>
        </cdr:cNvPr>
        <cdr:cNvSpPr txBox="1"/>
      </cdr:nvSpPr>
      <cdr:spPr>
        <a:xfrm xmlns:a="http://schemas.openxmlformats.org/drawingml/2006/main">
          <a:off x="4476750" y="2024063"/>
          <a:ext cx="1107281" cy="6310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rgbClr val="C00000"/>
              </a:solidFill>
            </a:rPr>
            <a:t>Assiette</a:t>
          </a:r>
          <a:r>
            <a:rPr lang="fr-FR" sz="1200" b="1" baseline="0">
              <a:solidFill>
                <a:srgbClr val="C00000"/>
              </a:solidFill>
            </a:rPr>
            <a:t> brute de c</a:t>
          </a:r>
          <a:r>
            <a:rPr lang="fr-FR" sz="1200" b="1">
              <a:solidFill>
                <a:srgbClr val="C00000"/>
              </a:solidFill>
            </a:rPr>
            <a:t>otisations sociales</a:t>
          </a:r>
        </a:p>
      </cdr:txBody>
    </cdr:sp>
  </cdr:relSizeAnchor>
  <cdr:relSizeAnchor xmlns:cdr="http://schemas.openxmlformats.org/drawingml/2006/chartDrawing">
    <cdr:from>
      <cdr:x>0.82399</cdr:x>
      <cdr:y>0.76385</cdr:y>
    </cdr:from>
    <cdr:to>
      <cdr:x>0.95754</cdr:x>
      <cdr:y>0.85226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05A591A3-AC9D-45C4-A0E9-DC1F95DEC68B}"/>
            </a:ext>
          </a:extLst>
        </cdr:cNvPr>
        <cdr:cNvSpPr txBox="1"/>
      </cdr:nvSpPr>
      <cdr:spPr>
        <a:xfrm xmlns:a="http://schemas.openxmlformats.org/drawingml/2006/main">
          <a:off x="4753769" y="2801145"/>
          <a:ext cx="770482" cy="3242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400" b="1">
              <a:solidFill>
                <a:srgbClr val="C00000"/>
              </a:solidFill>
            </a:rPr>
            <a:t>- 9,2 %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142875</xdr:rowOff>
    </xdr:from>
    <xdr:to>
      <xdr:col>11</xdr:col>
      <xdr:colOff>352425</xdr:colOff>
      <xdr:row>21</xdr:row>
      <xdr:rowOff>123824</xdr:rowOff>
    </xdr:to>
    <xdr:graphicFrame macro="">
      <xdr:nvGraphicFramePr>
        <xdr:cNvPr id="5" name="Diagramme 4">
          <a:extLst>
            <a:ext uri="{FF2B5EF4-FFF2-40B4-BE49-F238E27FC236}">
              <a16:creationId xmlns:a16="http://schemas.microsoft.com/office/drawing/2014/main" id="{A616C371-8074-410C-A935-01D2FF7AB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9</xdr:col>
      <xdr:colOff>247649</xdr:colOff>
      <xdr:row>5</xdr:row>
      <xdr:rowOff>142875</xdr:rowOff>
    </xdr:from>
    <xdr:to>
      <xdr:col>10</xdr:col>
      <xdr:colOff>352424</xdr:colOff>
      <xdr:row>12</xdr:row>
      <xdr:rowOff>40750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89A2EC8-6533-480C-9A2B-89AD246D6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 amt="50000"/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7105649" y="952500"/>
          <a:ext cx="866775" cy="10313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590550</xdr:colOff>
      <xdr:row>6</xdr:row>
      <xdr:rowOff>133351</xdr:rowOff>
    </xdr:from>
    <xdr:to>
      <xdr:col>4</xdr:col>
      <xdr:colOff>714375</xdr:colOff>
      <xdr:row>11</xdr:row>
      <xdr:rowOff>53874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23CE4F7-0B09-453D-A718-F2B08A61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6F6F6"/>
            </a:clrFrom>
            <a:clrTo>
              <a:srgbClr val="F6F6F6">
                <a:alpha val="0"/>
              </a:srgbClr>
            </a:clrTo>
          </a:clrChange>
          <a:alphaModFix amt="50000"/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876550" y="1104901"/>
          <a:ext cx="885825" cy="73014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342899</xdr:colOff>
      <xdr:row>6</xdr:row>
      <xdr:rowOff>95251</xdr:rowOff>
    </xdr:from>
    <xdr:to>
      <xdr:col>7</xdr:col>
      <xdr:colOff>438150</xdr:colOff>
      <xdr:row>11</xdr:row>
      <xdr:rowOff>45461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B67D302-AD34-476C-A8E3-FB5E063C9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1">
              <a:shade val="45000"/>
              <a:satMod val="135000"/>
            </a:schemeClr>
            <a:prstClr val="white"/>
          </a:duotone>
          <a:alphaModFix amt="48000"/>
        </a:blip>
        <a:stretch>
          <a:fillRect/>
        </a:stretch>
      </xdr:blipFill>
      <xdr:spPr>
        <a:xfrm>
          <a:off x="4914899" y="1066801"/>
          <a:ext cx="857251" cy="75983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692708</xdr:colOff>
      <xdr:row>6</xdr:row>
      <xdr:rowOff>85726</xdr:rowOff>
    </xdr:from>
    <xdr:to>
      <xdr:col>2</xdr:col>
      <xdr:colOff>0</xdr:colOff>
      <xdr:row>11</xdr:row>
      <xdr:rowOff>57150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031A857-7901-4E75-A019-FE0AFB15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prstClr val="black"/>
            <a:schemeClr val="accent1">
              <a:tint val="45000"/>
              <a:satMod val="400000"/>
            </a:schemeClr>
          </a:duotone>
          <a:alphaModFix amt="46000"/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Marker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2708" y="1057276"/>
          <a:ext cx="831292" cy="78104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209549</xdr:colOff>
      <xdr:row>1</xdr:row>
      <xdr:rowOff>123825</xdr:rowOff>
    </xdr:from>
    <xdr:to>
      <xdr:col>4</xdr:col>
      <xdr:colOff>381000</xdr:colOff>
      <xdr:row>3</xdr:row>
      <xdr:rowOff>123824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4812FA4-DECC-45F6-8778-4DA9F72CBF6F}"/>
            </a:ext>
          </a:extLst>
        </xdr:cNvPr>
        <xdr:cNvSpPr txBox="1"/>
      </xdr:nvSpPr>
      <xdr:spPr>
        <a:xfrm>
          <a:off x="209549" y="285750"/>
          <a:ext cx="3219451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Bilan démographique 2023</a:t>
          </a:r>
        </a:p>
      </xdr:txBody>
    </xdr:sp>
    <xdr:clientData/>
  </xdr:twoCellAnchor>
  <xdr:twoCellAnchor>
    <xdr:from>
      <xdr:col>14</xdr:col>
      <xdr:colOff>380999</xdr:colOff>
      <xdr:row>0</xdr:row>
      <xdr:rowOff>57150</xdr:rowOff>
    </xdr:from>
    <xdr:to>
      <xdr:col>18</xdr:col>
      <xdr:colOff>552450</xdr:colOff>
      <xdr:row>2</xdr:row>
      <xdr:rowOff>57149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2BBA82B7-65A2-4DA2-8E8B-CBA86DE254D4}"/>
            </a:ext>
          </a:extLst>
        </xdr:cNvPr>
        <xdr:cNvSpPr txBox="1"/>
      </xdr:nvSpPr>
      <xdr:spPr>
        <a:xfrm>
          <a:off x="11048999" y="57150"/>
          <a:ext cx="3219451" cy="323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Bilans Financiers 2023</a:t>
          </a:r>
        </a:p>
      </xdr:txBody>
    </xdr:sp>
    <xdr:clientData/>
  </xdr:twoCellAnchor>
  <xdr:twoCellAnchor>
    <xdr:from>
      <xdr:col>13</xdr:col>
      <xdr:colOff>19050</xdr:colOff>
      <xdr:row>3</xdr:row>
      <xdr:rowOff>152400</xdr:rowOff>
    </xdr:from>
    <xdr:to>
      <xdr:col>20</xdr:col>
      <xdr:colOff>590550</xdr:colOff>
      <xdr:row>29</xdr:row>
      <xdr:rowOff>0</xdr:rowOff>
    </xdr:to>
    <xdr:graphicFrame macro="">
      <xdr:nvGraphicFramePr>
        <xdr:cNvPr id="3" name="Diagramme 2">
          <a:extLst>
            <a:ext uri="{FF2B5EF4-FFF2-40B4-BE49-F238E27FC236}">
              <a16:creationId xmlns:a16="http://schemas.microsoft.com/office/drawing/2014/main" id="{1E1AB153-89E2-473B-B249-54504E71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 editAs="oneCell">
    <xdr:from>
      <xdr:col>13</xdr:col>
      <xdr:colOff>171451</xdr:colOff>
      <xdr:row>25</xdr:row>
      <xdr:rowOff>85725</xdr:rowOff>
    </xdr:from>
    <xdr:to>
      <xdr:col>13</xdr:col>
      <xdr:colOff>390527</xdr:colOff>
      <xdr:row>26</xdr:row>
      <xdr:rowOff>142876</xdr:rowOff>
    </xdr:to>
    <xdr:pic>
      <xdr:nvPicPr>
        <xdr:cNvPr id="11" name="Graphique 10" descr="Flèche : courbe légère avec un remplissage uni">
          <a:extLst>
            <a:ext uri="{FF2B5EF4-FFF2-40B4-BE49-F238E27FC236}">
              <a16:creationId xmlns:a16="http://schemas.microsoft.com/office/drawing/2014/main" id="{1084B01F-C656-47C8-98E1-86B9CC895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0077451" y="4133850"/>
          <a:ext cx="219076" cy="219076"/>
        </a:xfrm>
        <a:prstGeom prst="rect">
          <a:avLst/>
        </a:prstGeom>
      </xdr:spPr>
    </xdr:pic>
    <xdr:clientData/>
  </xdr:twoCellAnchor>
  <xdr:twoCellAnchor editAs="oneCell">
    <xdr:from>
      <xdr:col>14</xdr:col>
      <xdr:colOff>685800</xdr:colOff>
      <xdr:row>9</xdr:row>
      <xdr:rowOff>123825</xdr:rowOff>
    </xdr:from>
    <xdr:to>
      <xdr:col>16</xdr:col>
      <xdr:colOff>123826</xdr:colOff>
      <xdr:row>15</xdr:row>
      <xdr:rowOff>114301</xdr:rowOff>
    </xdr:to>
    <xdr:pic>
      <xdr:nvPicPr>
        <xdr:cNvPr id="16" name="Graphique 15" descr="Graphique de tendance à la baisse avec un remplissage uni">
          <a:extLst>
            <a:ext uri="{FF2B5EF4-FFF2-40B4-BE49-F238E27FC236}">
              <a16:creationId xmlns:a16="http://schemas.microsoft.com/office/drawing/2014/main" id="{E558C8F8-7D90-4E48-A7EA-D9873E74D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11353800" y="1581150"/>
          <a:ext cx="962026" cy="962026"/>
        </a:xfrm>
        <a:prstGeom prst="rect">
          <a:avLst/>
        </a:prstGeom>
        <a:effectLst>
          <a:glow rad="63500">
            <a:schemeClr val="accent1">
              <a:satMod val="175000"/>
              <a:alpha val="40000"/>
            </a:schemeClr>
          </a:glow>
        </a:effectLst>
      </xdr:spPr>
    </xdr:pic>
    <xdr:clientData/>
  </xdr:twoCellAnchor>
  <xdr:twoCellAnchor editAs="oneCell">
    <xdr:from>
      <xdr:col>16</xdr:col>
      <xdr:colOff>76200</xdr:colOff>
      <xdr:row>9</xdr:row>
      <xdr:rowOff>66675</xdr:rowOff>
    </xdr:from>
    <xdr:to>
      <xdr:col>17</xdr:col>
      <xdr:colOff>171450</xdr:colOff>
      <xdr:row>14</xdr:row>
      <xdr:rowOff>114300</xdr:rowOff>
    </xdr:to>
    <xdr:pic>
      <xdr:nvPicPr>
        <xdr:cNvPr id="17" name="Graphique 16" descr="Pièces avec un remplissage uni">
          <a:extLst>
            <a:ext uri="{FF2B5EF4-FFF2-40B4-BE49-F238E27FC236}">
              <a16:creationId xmlns:a16="http://schemas.microsoft.com/office/drawing/2014/main" id="{36BF5673-FAA4-4A54-9E18-C7F71A2DA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2268200" y="1524000"/>
          <a:ext cx="857250" cy="857250"/>
        </a:xfrm>
        <a:prstGeom prst="rect">
          <a:avLst/>
        </a:prstGeom>
        <a:effectLst>
          <a:innerShdw blurRad="63500" dist="50800" dir="13500000">
            <a:prstClr val="black">
              <a:alpha val="50000"/>
            </a:prstClr>
          </a:innerShdw>
          <a:reflection blurRad="6350" stA="50000" endA="300" endPos="55000" dir="5400000" sy="-100000" algn="bl" rotWithShape="0"/>
        </a:effectLst>
      </xdr:spPr>
    </xdr:pic>
    <xdr:clientData/>
  </xdr:twoCellAnchor>
  <xdr:twoCellAnchor editAs="oneCell">
    <xdr:from>
      <xdr:col>17</xdr:col>
      <xdr:colOff>142875</xdr:colOff>
      <xdr:row>9</xdr:row>
      <xdr:rowOff>95249</xdr:rowOff>
    </xdr:from>
    <xdr:to>
      <xdr:col>18</xdr:col>
      <xdr:colOff>342900</xdr:colOff>
      <xdr:row>15</xdr:row>
      <xdr:rowOff>85724</xdr:rowOff>
    </xdr:to>
    <xdr:pic>
      <xdr:nvPicPr>
        <xdr:cNvPr id="19" name="Graphique 18" descr="Graphique de tendance à la baisse avec un remplissage uni">
          <a:extLst>
            <a:ext uri="{FF2B5EF4-FFF2-40B4-BE49-F238E27FC236}">
              <a16:creationId xmlns:a16="http://schemas.microsoft.com/office/drawing/2014/main" id="{977CD015-679C-4FD0-9E6C-AFB268AD2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13096875" y="1552574"/>
          <a:ext cx="962025" cy="962025"/>
        </a:xfrm>
        <a:prstGeom prst="rect">
          <a:avLst/>
        </a:prstGeom>
        <a:effectLst>
          <a:glow rad="63500">
            <a:schemeClr val="accent1">
              <a:satMod val="175000"/>
              <a:alpha val="40000"/>
            </a:schemeClr>
          </a:glow>
        </a:effectLst>
      </xdr:spPr>
    </xdr:pic>
    <xdr:clientData/>
  </xdr:twoCellAnchor>
  <xdr:twoCellAnchor editAs="oneCell">
    <xdr:from>
      <xdr:col>13</xdr:col>
      <xdr:colOff>200026</xdr:colOff>
      <xdr:row>22</xdr:row>
      <xdr:rowOff>152400</xdr:rowOff>
    </xdr:from>
    <xdr:to>
      <xdr:col>13</xdr:col>
      <xdr:colOff>419102</xdr:colOff>
      <xdr:row>24</xdr:row>
      <xdr:rowOff>47626</xdr:rowOff>
    </xdr:to>
    <xdr:pic>
      <xdr:nvPicPr>
        <xdr:cNvPr id="20" name="Graphique 19" descr="Flèche : courbe légère avec un remplissage uni">
          <a:extLst>
            <a:ext uri="{FF2B5EF4-FFF2-40B4-BE49-F238E27FC236}">
              <a16:creationId xmlns:a16="http://schemas.microsoft.com/office/drawing/2014/main" id="{A10CA62D-93DF-40E5-B619-D7DF71B7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0106026" y="3714750"/>
          <a:ext cx="219076" cy="219076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590551</xdr:colOff>
      <xdr:row>22</xdr:row>
      <xdr:rowOff>85725</xdr:rowOff>
    </xdr:from>
    <xdr:to>
      <xdr:col>17</xdr:col>
      <xdr:colOff>47627</xdr:colOff>
      <xdr:row>23</xdr:row>
      <xdr:rowOff>142876</xdr:rowOff>
    </xdr:to>
    <xdr:pic>
      <xdr:nvPicPr>
        <xdr:cNvPr id="21" name="Graphique 20" descr="Flèche : courbe légère avec un remplissage uni">
          <a:extLst>
            <a:ext uri="{FF2B5EF4-FFF2-40B4-BE49-F238E27FC236}">
              <a16:creationId xmlns:a16="http://schemas.microsoft.com/office/drawing/2014/main" id="{6BF301EC-B1F3-4036-8295-F6058499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2782551" y="3648075"/>
          <a:ext cx="219076" cy="219076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590551</xdr:colOff>
      <xdr:row>23</xdr:row>
      <xdr:rowOff>152400</xdr:rowOff>
    </xdr:from>
    <xdr:to>
      <xdr:col>17</xdr:col>
      <xdr:colOff>47627</xdr:colOff>
      <xdr:row>25</xdr:row>
      <xdr:rowOff>47626</xdr:rowOff>
    </xdr:to>
    <xdr:pic>
      <xdr:nvPicPr>
        <xdr:cNvPr id="22" name="Graphique 21" descr="Flèche : courbe légère avec un remplissage uni">
          <a:extLst>
            <a:ext uri="{FF2B5EF4-FFF2-40B4-BE49-F238E27FC236}">
              <a16:creationId xmlns:a16="http://schemas.microsoft.com/office/drawing/2014/main" id="{DF004D1C-2975-444B-8A08-998F58845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2782551" y="3876675"/>
          <a:ext cx="219076" cy="219076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571501</xdr:colOff>
      <xdr:row>25</xdr:row>
      <xdr:rowOff>28575</xdr:rowOff>
    </xdr:from>
    <xdr:to>
      <xdr:col>17</xdr:col>
      <xdr:colOff>28577</xdr:colOff>
      <xdr:row>26</xdr:row>
      <xdr:rowOff>85726</xdr:rowOff>
    </xdr:to>
    <xdr:pic>
      <xdr:nvPicPr>
        <xdr:cNvPr id="23" name="Graphique 22" descr="Flèche : courbe légère avec un remplissage uni">
          <a:extLst>
            <a:ext uri="{FF2B5EF4-FFF2-40B4-BE49-F238E27FC236}">
              <a16:creationId xmlns:a16="http://schemas.microsoft.com/office/drawing/2014/main" id="{9E5CE160-46A6-4122-B7F8-A14B3830A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2763501" y="4076700"/>
          <a:ext cx="219076" cy="219076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171451</xdr:colOff>
      <xdr:row>24</xdr:row>
      <xdr:rowOff>47625</xdr:rowOff>
    </xdr:from>
    <xdr:to>
      <xdr:col>13</xdr:col>
      <xdr:colOff>390527</xdr:colOff>
      <xdr:row>25</xdr:row>
      <xdr:rowOff>104776</xdr:rowOff>
    </xdr:to>
    <xdr:pic>
      <xdr:nvPicPr>
        <xdr:cNvPr id="24" name="Graphique 23" descr="Flèche : courbe légère avec un remplissage uni">
          <a:extLst>
            <a:ext uri="{FF2B5EF4-FFF2-40B4-BE49-F238E27FC236}">
              <a16:creationId xmlns:a16="http://schemas.microsoft.com/office/drawing/2014/main" id="{80DE61C6-F6E1-4541-8C75-8775A2FB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0077451" y="3933825"/>
          <a:ext cx="219076" cy="219076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571501</xdr:colOff>
      <xdr:row>26</xdr:row>
      <xdr:rowOff>57150</xdr:rowOff>
    </xdr:from>
    <xdr:to>
      <xdr:col>17</xdr:col>
      <xdr:colOff>28577</xdr:colOff>
      <xdr:row>27</xdr:row>
      <xdr:rowOff>114301</xdr:rowOff>
    </xdr:to>
    <xdr:pic>
      <xdr:nvPicPr>
        <xdr:cNvPr id="25" name="Graphique 24" descr="Flèche : courbe légère avec un remplissage uni">
          <a:extLst>
            <a:ext uri="{FF2B5EF4-FFF2-40B4-BE49-F238E27FC236}">
              <a16:creationId xmlns:a16="http://schemas.microsoft.com/office/drawing/2014/main" id="{E87E0179-20FA-4B0F-B835-0A083BB2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12763501" y="4267200"/>
          <a:ext cx="219076" cy="2190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61984</xdr:rowOff>
    </xdr:from>
    <xdr:to>
      <xdr:col>19</xdr:col>
      <xdr:colOff>177223</xdr:colOff>
      <xdr:row>19</xdr:row>
      <xdr:rowOff>144198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24054</xdr:colOff>
      <xdr:row>23</xdr:row>
      <xdr:rowOff>27781</xdr:rowOff>
    </xdr:from>
    <xdr:to>
      <xdr:col>19</xdr:col>
      <xdr:colOff>709083</xdr:colOff>
      <xdr:row>42</xdr:row>
      <xdr:rowOff>96572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60</xdr:row>
      <xdr:rowOff>83343</xdr:rowOff>
    </xdr:from>
    <xdr:to>
      <xdr:col>1</xdr:col>
      <xdr:colOff>1444625</xdr:colOff>
      <xdr:row>62</xdr:row>
      <xdr:rowOff>14552</xdr:rowOff>
    </xdr:to>
    <xdr:sp macro="" textlink="">
      <xdr:nvSpPr>
        <xdr:cNvPr id="7" name="ZoneTexte 1">
          <a:extLst>
            <a:ext uri="{FF2B5EF4-FFF2-40B4-BE49-F238E27FC236}">
              <a16:creationId xmlns:a16="http://schemas.microsoft.com/office/drawing/2014/main" id="{1F136F0C-7E6C-42D9-B49D-02791BFE5D88}"/>
            </a:ext>
          </a:extLst>
        </xdr:cNvPr>
        <xdr:cNvSpPr txBox="1"/>
      </xdr:nvSpPr>
      <xdr:spPr>
        <a:xfrm>
          <a:off x="333375" y="10382249"/>
          <a:ext cx="1111250" cy="2645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200" b="1">
              <a:solidFill>
                <a:schemeClr val="bg1"/>
              </a:solidFill>
            </a:rPr>
            <a:t>1 423,0</a:t>
          </a:r>
        </a:p>
      </xdr:txBody>
    </xdr:sp>
    <xdr:clientData/>
  </xdr:twoCellAnchor>
  <xdr:twoCellAnchor>
    <xdr:from>
      <xdr:col>1</xdr:col>
      <xdr:colOff>307181</xdr:colOff>
      <xdr:row>66</xdr:row>
      <xdr:rowOff>116681</xdr:rowOff>
    </xdr:from>
    <xdr:to>
      <xdr:col>1</xdr:col>
      <xdr:colOff>1418431</xdr:colOff>
      <xdr:row>68</xdr:row>
      <xdr:rowOff>47890</xdr:rowOff>
    </xdr:to>
    <xdr:sp macro="" textlink="">
      <xdr:nvSpPr>
        <xdr:cNvPr id="8" name="ZoneTexte 1">
          <a:extLst>
            <a:ext uri="{FF2B5EF4-FFF2-40B4-BE49-F238E27FC236}">
              <a16:creationId xmlns:a16="http://schemas.microsoft.com/office/drawing/2014/main" id="{7407C7D6-B00C-40D7-9C51-A175680DACB3}"/>
            </a:ext>
          </a:extLst>
        </xdr:cNvPr>
        <xdr:cNvSpPr txBox="1"/>
      </xdr:nvSpPr>
      <xdr:spPr>
        <a:xfrm>
          <a:off x="307181" y="11415712"/>
          <a:ext cx="1111250" cy="2645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200" b="1">
              <a:solidFill>
                <a:schemeClr val="bg1"/>
              </a:solidFill>
            </a:rPr>
            <a:t>524,1</a:t>
          </a:r>
        </a:p>
      </xdr:txBody>
    </xdr:sp>
    <xdr:clientData/>
  </xdr:twoCellAnchor>
  <xdr:twoCellAnchor>
    <xdr:from>
      <xdr:col>1</xdr:col>
      <xdr:colOff>316706</xdr:colOff>
      <xdr:row>63</xdr:row>
      <xdr:rowOff>102393</xdr:rowOff>
    </xdr:from>
    <xdr:to>
      <xdr:col>1</xdr:col>
      <xdr:colOff>1427956</xdr:colOff>
      <xdr:row>65</xdr:row>
      <xdr:rowOff>33602</xdr:rowOff>
    </xdr:to>
    <xdr:sp macro="" textlink="">
      <xdr:nvSpPr>
        <xdr:cNvPr id="9" name="ZoneTexte 1">
          <a:extLst>
            <a:ext uri="{FF2B5EF4-FFF2-40B4-BE49-F238E27FC236}">
              <a16:creationId xmlns:a16="http://schemas.microsoft.com/office/drawing/2014/main" id="{CA49913C-0218-4B0B-AE1E-E5622A9F73AD}"/>
            </a:ext>
          </a:extLst>
        </xdr:cNvPr>
        <xdr:cNvSpPr txBox="1"/>
      </xdr:nvSpPr>
      <xdr:spPr>
        <a:xfrm>
          <a:off x="316706" y="10901362"/>
          <a:ext cx="1111250" cy="2645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200" b="1">
              <a:solidFill>
                <a:schemeClr val="bg1"/>
              </a:solidFill>
            </a:rPr>
            <a:t>572,3</a:t>
          </a:r>
        </a:p>
      </xdr:txBody>
    </xdr:sp>
    <xdr:clientData/>
  </xdr:twoCellAnchor>
  <xdr:twoCellAnchor>
    <xdr:from>
      <xdr:col>1</xdr:col>
      <xdr:colOff>276225</xdr:colOff>
      <xdr:row>70</xdr:row>
      <xdr:rowOff>2380</xdr:rowOff>
    </xdr:from>
    <xdr:to>
      <xdr:col>1</xdr:col>
      <xdr:colOff>881062</xdr:colOff>
      <xdr:row>71</xdr:row>
      <xdr:rowOff>119061</xdr:rowOff>
    </xdr:to>
    <xdr:sp macro="" textlink="">
      <xdr:nvSpPr>
        <xdr:cNvPr id="11" name="ZoneTexte 1">
          <a:extLst>
            <a:ext uri="{FF2B5EF4-FFF2-40B4-BE49-F238E27FC236}">
              <a16:creationId xmlns:a16="http://schemas.microsoft.com/office/drawing/2014/main" id="{B48DB2B2-479D-431F-A1E7-C8A796247FBE}"/>
            </a:ext>
          </a:extLst>
        </xdr:cNvPr>
        <xdr:cNvSpPr txBox="1"/>
      </xdr:nvSpPr>
      <xdr:spPr>
        <a:xfrm>
          <a:off x="276225" y="11968161"/>
          <a:ext cx="604837" cy="2833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200" b="1">
              <a:solidFill>
                <a:schemeClr val="bg1"/>
              </a:solidFill>
            </a:rPr>
            <a:t>210,0</a:t>
          </a:r>
        </a:p>
      </xdr:txBody>
    </xdr:sp>
    <xdr:clientData/>
  </xdr:twoCellAnchor>
  <xdr:twoCellAnchor>
    <xdr:from>
      <xdr:col>1</xdr:col>
      <xdr:colOff>247651</xdr:colOff>
      <xdr:row>73</xdr:row>
      <xdr:rowOff>21430</xdr:rowOff>
    </xdr:from>
    <xdr:to>
      <xdr:col>1</xdr:col>
      <xdr:colOff>809625</xdr:colOff>
      <xdr:row>74</xdr:row>
      <xdr:rowOff>107156</xdr:rowOff>
    </xdr:to>
    <xdr:sp macro="" textlink="">
      <xdr:nvSpPr>
        <xdr:cNvPr id="13" name="ZoneTexte 1">
          <a:extLst>
            <a:ext uri="{FF2B5EF4-FFF2-40B4-BE49-F238E27FC236}">
              <a16:creationId xmlns:a16="http://schemas.microsoft.com/office/drawing/2014/main" id="{93194322-DBF5-435E-B52A-9286E19B9015}"/>
            </a:ext>
          </a:extLst>
        </xdr:cNvPr>
        <xdr:cNvSpPr txBox="1"/>
      </xdr:nvSpPr>
      <xdr:spPr>
        <a:xfrm>
          <a:off x="247651" y="12487274"/>
          <a:ext cx="561974" cy="25241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200" b="1">
              <a:solidFill>
                <a:schemeClr val="bg1"/>
              </a:solidFill>
            </a:rPr>
            <a:t>149,4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107157</xdr:rowOff>
    </xdr:from>
    <xdr:to>
      <xdr:col>5</xdr:col>
      <xdr:colOff>590550</xdr:colOff>
      <xdr:row>36</xdr:row>
      <xdr:rowOff>128589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754857</xdr:colOff>
      <xdr:row>25</xdr:row>
      <xdr:rowOff>161924</xdr:rowOff>
    </xdr:from>
    <xdr:to>
      <xdr:col>13</xdr:col>
      <xdr:colOff>581025</xdr:colOff>
      <xdr:row>41</xdr:row>
      <xdr:rowOff>150017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276225</xdr:colOff>
      <xdr:row>6</xdr:row>
      <xdr:rowOff>152400</xdr:rowOff>
    </xdr:from>
    <xdr:to>
      <xdr:col>16</xdr:col>
      <xdr:colOff>752475</xdr:colOff>
      <xdr:row>24</xdr:row>
      <xdr:rowOff>142875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85725</xdr:colOff>
      <xdr:row>6</xdr:row>
      <xdr:rowOff>152400</xdr:rowOff>
    </xdr:from>
    <xdr:to>
      <xdr:col>23</xdr:col>
      <xdr:colOff>447675</xdr:colOff>
      <xdr:row>24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0.33333</cdr:x>
      <cdr:y>0.30129</cdr:y>
    </cdr:from>
    <cdr:to>
      <cdr:x>0.58876</cdr:x>
      <cdr:y>0.73231</cdr:y>
    </cdr:to>
    <cdr:pic>
      <cdr:nvPicPr>
        <cdr:cNvPr id="2" name="Image 1" descr="icon-cotisation-entreprendre-portugal • Entreprendre.pt">
          <a:extLst xmlns:a="http://schemas.openxmlformats.org/drawingml/2006/main">
            <a:ext uri="{FF2B5EF4-FFF2-40B4-BE49-F238E27FC236}">
              <a16:creationId xmlns:a16="http://schemas.microsoft.com/office/drawing/2014/main" id="{8867A85F-86BF-45D3-BEB4-0F7D489610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146283" y="1128544"/>
          <a:ext cx="1644688" cy="161447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13</xdr:row>
      <xdr:rowOff>19050</xdr:rowOff>
    </xdr:from>
    <xdr:to>
      <xdr:col>5</xdr:col>
      <xdr:colOff>523875</xdr:colOff>
      <xdr:row>36</xdr:row>
      <xdr:rowOff>38101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30</xdr:row>
      <xdr:rowOff>10583</xdr:rowOff>
    </xdr:from>
    <xdr:to>
      <xdr:col>13</xdr:col>
      <xdr:colOff>56847</xdr:colOff>
      <xdr:row>45</xdr:row>
      <xdr:rowOff>150736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266700</xdr:colOff>
      <xdr:row>8</xdr:row>
      <xdr:rowOff>52917</xdr:rowOff>
    </xdr:from>
    <xdr:to>
      <xdr:col>16</xdr:col>
      <xdr:colOff>709083</xdr:colOff>
      <xdr:row>24</xdr:row>
      <xdr:rowOff>142599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48</xdr:row>
      <xdr:rowOff>19050</xdr:rowOff>
    </xdr:from>
    <xdr:to>
      <xdr:col>3</xdr:col>
      <xdr:colOff>561975</xdr:colOff>
      <xdr:row>62</xdr:row>
      <xdr:rowOff>109791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0.36837</cdr:x>
      <cdr:y>0.35963</cdr:y>
    </cdr:from>
    <cdr:to>
      <cdr:x>0.62932</cdr:x>
      <cdr:y>0.76845</cdr:y>
    </cdr:to>
    <cdr:pic>
      <cdr:nvPicPr>
        <cdr:cNvPr id="2" name="Image 1" descr="icon-cotisation-entreprendre-portugal • Entreprendre.pt">
          <a:extLst xmlns:a="http://schemas.openxmlformats.org/drawingml/2006/main">
            <a:ext uri="{FF2B5EF4-FFF2-40B4-BE49-F238E27FC236}">
              <a16:creationId xmlns:a16="http://schemas.microsoft.com/office/drawing/2014/main" id="{C5112BBC-A5AD-4C43-AC44-DFF323D1590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203465" y="1346195"/>
          <a:ext cx="1560924" cy="153034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1_TCDC/Exercices%202025/6%20-Publications/1%20-%20R&#233;alisations%202024/1%20-%20SA/Donn&#233;es_R&#233;alisationsSA_2024_o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4/3%20-%20MAQUETTES/3%20-%20MAQUETTES%20VALIDEES%20NJ/1%20-%20NSA/Maquette_R&#233;alisations_2024_MALADIE%20NS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3/3%20-%20MAQUETTES/2%20-%20Maquettes%20compl&#233;t&#233;es%20et%20valid&#233;es_Sharepoint/1_NSA/Maquette_R&#233;alisations2023_FAMILLE%20NS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4/3%20-%20MAQUETTES/3%20-%20MAQUETTES%20VALIDEES%20NJ/1%20-%20NSA/Maquette_R&#233;alisations_2024_FAMILLE%20NS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5/3%20-%20MAQUETTES/3%20-%20MAQUETTES%20VALIDEES%20NJ/Maquette_R&#233;alisations_2025_FAMILLE%20NS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5/3%20-%20MAQUETTES/3%20-%20MAQUETTES%20VALIDEES%20NJ/Maquette_R&#233;alisations_2025_COTISATIONS%20NS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3/3%20-%20MAQUETTES/2%20-%20Maquettes%20compl&#233;t&#233;es%20et%20valid&#233;es_Sharepoint/1_NSA/Maquette_R&#233;alisations2023_COTISATIONS%20N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4_%20CU_INMA_RAPPACT/Donn&#233;es2026/3-%20ChiffresUtiles_Edition2026_PartieFinancementR&#233;alisations_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CHANGES\MEFC_SDFT\TCDC\Pr&#233;visions_2026-2030\TCDC_PREVISIONS_2026-2030_NS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2_PREVISIONS/Exercice%202024_2024-2028/3%20-%20EFFECTIFS/1%20-%20AVRIL/TCDC_PREVISIONS_EFFECTIFS_2024-2028_NSA_AVRIL_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4/4%20-%20EFFECTIFS/TCDC_REALISATIONS_EFFECTIFS_2024_NS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1_TCDC/Exercices%202026/4%20-%20EFFECTIFS/TCDC_REALISATIONS_EFFECTIFS_2025_NSA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2_PREVISIONS/Exercice%202024_2024-2028/3%20-%20EFFECTIFS/1%20-%20AVRIL/TCDC_PREVISIONS_EFFECTIFS_2024-2028_RCO_AVRIL_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1_TCDC/01_REALISATIONS/2024/4%20-%20EFFECTIFS/TCDC_REALISATIONS_EFFECTIFS_2024_RC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1_TCDC/Exercices%202026/4%20-%20EFFECTIFS/TCDC_REALISATIONS_EFFECTIFS_2025_R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ire et introduction"/>
      <sheetName val="COMPTES SA (Chiffres utiles)"/>
      <sheetName val="SA1"/>
      <sheetName val="Effectifs"/>
      <sheetName val="%charges"/>
      <sheetName val="%produits"/>
      <sheetName val="%chargesRetraite"/>
      <sheetName val="%produitsRetraite"/>
      <sheetName val="Résultat 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die NSA - Tableau 1"/>
      <sheetName val="Maladie NSA - Tableau 2"/>
      <sheetName val="Maladie NSA - Tableaux 3&amp;4"/>
      <sheetName val="Maladie NSA - Ecarts1"/>
      <sheetName val="Maladie NSA - Ecarts2"/>
      <sheetName val="Maladie NSA - Ecarts3"/>
      <sheetName val="Chiffrage des mesures 2024"/>
    </sheetNames>
    <sheetDataSet>
      <sheetData sheetId="0">
        <row r="6">
          <cell r="E6">
            <v>11508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le NSA - Tableau 1"/>
      <sheetName val="Famille NSA - Tableau 2"/>
      <sheetName val="Famille NSA - Tableaux 3&amp;4"/>
      <sheetName val="Famille NSA - Ecarts1"/>
      <sheetName val="Famille NSA - Ecarts2"/>
      <sheetName val="Chiffrage des mesures 2023"/>
    </sheetNames>
    <sheetDataSet>
      <sheetData sheetId="0">
        <row r="31">
          <cell r="B31">
            <v>75110</v>
          </cell>
          <cell r="C31">
            <v>74127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le NSA - Tableau 1"/>
      <sheetName val="Famille NSA - Tableau 2"/>
      <sheetName val="Famille NSA - Tableaux 3&amp;4"/>
      <sheetName val="Famille NSA - Ecarts1"/>
      <sheetName val="Famille NSA - Ecarts2"/>
      <sheetName val="Chiffrage des mesures 2024"/>
    </sheetNames>
    <sheetDataSet>
      <sheetData sheetId="0">
        <row r="12">
          <cell r="C12">
            <v>73718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ille NSA - Tableau 1"/>
      <sheetName val="Famille NSA - Tableau 2"/>
      <sheetName val="Famille NSA - Tableaux 3&amp;4"/>
      <sheetName val="Famille NSA - Ecarts1"/>
      <sheetName val="Famille NSA - Ecarts2"/>
      <sheetName val="Chiffrage des mesures 2025"/>
    </sheetNames>
    <sheetDataSet>
      <sheetData sheetId="0">
        <row r="34">
          <cell r="C34">
            <v>73131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sations NSA - Tableaux 1à4 "/>
      <sheetName val="Cotisations NSA - Tableau 5"/>
      <sheetName val="Cotisations NSA - Tableau 6"/>
      <sheetName val="Cotisations NSA - Ecarts1"/>
      <sheetName val="Cotisations NSA - Ecarts2"/>
      <sheetName val="Chiffrage des mesures 2025"/>
    </sheetNames>
    <sheetDataSet>
      <sheetData sheetId="0">
        <row r="5">
          <cell r="B5">
            <v>412766</v>
          </cell>
          <cell r="E5">
            <v>406156</v>
          </cell>
        </row>
        <row r="6">
          <cell r="B6">
            <v>16286</v>
          </cell>
          <cell r="E6">
            <v>14575</v>
          </cell>
        </row>
        <row r="7">
          <cell r="B7">
            <v>2630</v>
          </cell>
          <cell r="E7">
            <v>2380</v>
          </cell>
        </row>
        <row r="8">
          <cell r="B8">
            <v>431682</v>
          </cell>
          <cell r="E8">
            <v>423111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sations NSA - Tableaux 1à4 "/>
      <sheetName val="Cotisations NSA - Tableau 5"/>
      <sheetName val="Cotisations NSA - Tableau 6"/>
      <sheetName val="Cotisations NSA - Ecarts1"/>
      <sheetName val="Cotisations NSA - Ecarts2"/>
      <sheetName val="Chiffrage des mesures 2023"/>
    </sheetNames>
    <sheetDataSet>
      <sheetData sheetId="0">
        <row r="5">
          <cell r="B5">
            <v>425857</v>
          </cell>
          <cell r="E5">
            <v>421270</v>
          </cell>
        </row>
        <row r="6">
          <cell r="E6">
            <v>18175</v>
          </cell>
        </row>
        <row r="7">
          <cell r="E7">
            <v>2660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ES SA OK"/>
      <sheetName val="COMPTES NSA OK"/>
      <sheetName val="COMPTES NSA+SA_Prestations OK"/>
      <sheetName val="COMPTES NSA+SA_Cotisations"/>
      <sheetName val="assiette RP OK"/>
      <sheetName val="masse salariale +graph9 OK"/>
      <sheetName val="CSG CRDS OK"/>
      <sheetName val="Graph0 OK"/>
      <sheetName val="DonnéesGraph1 OK"/>
      <sheetName val="DonnéesGraph2 OK"/>
      <sheetName val="DonnéesGraph3 OK"/>
      <sheetName val="DonnéesGraph4 OK"/>
      <sheetName val="DonnéesGraph5 OK"/>
      <sheetName val="DonnéesGraph6 OK"/>
      <sheetName val="DonnéesGraph7&amp;8 OK"/>
    </sheetNames>
    <sheetDataSet>
      <sheetData sheetId="0"/>
      <sheetData sheetId="1">
        <row r="6">
          <cell r="S6">
            <v>457.67057166999996</v>
          </cell>
          <cell r="T6">
            <v>572.34634403999996</v>
          </cell>
          <cell r="U6">
            <v>585.78296187000001</v>
          </cell>
          <cell r="V6">
            <v>465.17967320000002</v>
          </cell>
        </row>
        <row r="7">
          <cell r="C7">
            <v>6083.4483174000006</v>
          </cell>
          <cell r="D7">
            <v>6141.0287953800007</v>
          </cell>
          <cell r="E7">
            <v>5724.0251893599998</v>
          </cell>
          <cell r="F7">
            <v>5395.50359742</v>
          </cell>
          <cell r="S7">
            <v>68.314265239999997</v>
          </cell>
          <cell r="T7">
            <v>75.071626539999997</v>
          </cell>
          <cell r="U7">
            <v>84.929458550000007</v>
          </cell>
          <cell r="V7">
            <v>90.843485790000003</v>
          </cell>
        </row>
        <row r="8">
          <cell r="C8">
            <v>69.946866200000002</v>
          </cell>
          <cell r="D8">
            <v>71.345601070000001</v>
          </cell>
          <cell r="E8">
            <v>76.779269769999999</v>
          </cell>
          <cell r="F8">
            <v>78.554433599999996</v>
          </cell>
        </row>
        <row r="14">
          <cell r="S14">
            <v>15.44999267</v>
          </cell>
          <cell r="T14">
            <v>15.07560353</v>
          </cell>
          <cell r="U14">
            <v>15.42846988</v>
          </cell>
          <cell r="V14">
            <v>13.44816833</v>
          </cell>
        </row>
        <row r="15">
          <cell r="S15">
            <v>1.5952792600000001</v>
          </cell>
          <cell r="T15">
            <v>1.3427944700000001</v>
          </cell>
          <cell r="U15">
            <v>1.4398980400000001</v>
          </cell>
          <cell r="V15">
            <v>1.4988455700000001</v>
          </cell>
        </row>
        <row r="23">
          <cell r="C23">
            <v>17.214153500000002</v>
          </cell>
          <cell r="D23">
            <v>16.80110998</v>
          </cell>
          <cell r="E23">
            <v>18.08332867</v>
          </cell>
          <cell r="F23">
            <v>30.293621730000002</v>
          </cell>
        </row>
        <row r="24">
          <cell r="C24">
            <v>0.57693373999999997</v>
          </cell>
          <cell r="D24">
            <v>0.61987234000000002</v>
          </cell>
          <cell r="E24">
            <v>0.74446055999999994</v>
          </cell>
          <cell r="F24">
            <v>0.81995927999999996</v>
          </cell>
        </row>
        <row r="33">
          <cell r="C33">
            <v>0.22656298999999999</v>
          </cell>
          <cell r="D33">
            <v>0.95177489999999998</v>
          </cell>
          <cell r="E33">
            <v>0.48969742999999999</v>
          </cell>
          <cell r="F33">
            <v>0.52176385999999997</v>
          </cell>
        </row>
        <row r="34">
          <cell r="C34">
            <v>0.38266608000000002</v>
          </cell>
          <cell r="D34">
            <v>3.4598130000000005E-2</v>
          </cell>
          <cell r="E34">
            <v>1.2581149999999999E-2</v>
          </cell>
          <cell r="F34">
            <v>1.2231560000000001E-2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9.9508104500000005</v>
          </cell>
          <cell r="D42">
            <v>10.627469749999999</v>
          </cell>
          <cell r="E42">
            <v>9.2337598399999994</v>
          </cell>
          <cell r="F42">
            <v>8.9814002999999989</v>
          </cell>
        </row>
        <row r="49">
          <cell r="C49">
            <v>428.84193866000004</v>
          </cell>
          <cell r="D49">
            <v>404.78581773000002</v>
          </cell>
          <cell r="E49">
            <v>391.65207237999999</v>
          </cell>
          <cell r="F49">
            <v>415.02161290999999</v>
          </cell>
        </row>
        <row r="50">
          <cell r="C50">
            <v>19.205607539999999</v>
          </cell>
          <cell r="D50">
            <v>19.134703520000002</v>
          </cell>
          <cell r="E50">
            <v>20.527070999999999</v>
          </cell>
          <cell r="F50">
            <v>22.001140119999999</v>
          </cell>
        </row>
        <row r="54">
          <cell r="S54">
            <v>1.0998239300000001</v>
          </cell>
          <cell r="T54">
            <v>10.266325530000001</v>
          </cell>
          <cell r="U54">
            <v>15.34278241</v>
          </cell>
          <cell r="V54">
            <v>3.41738461</v>
          </cell>
        </row>
        <row r="55">
          <cell r="S55">
            <v>0.30687808</v>
          </cell>
          <cell r="T55">
            <v>0.43215452999999998</v>
          </cell>
          <cell r="U55">
            <v>3.5042860000000002E-2</v>
          </cell>
          <cell r="V55">
            <v>3.0076190000000003E-2</v>
          </cell>
        </row>
        <row r="57">
          <cell r="C57">
            <v>189.49664781999999</v>
          </cell>
          <cell r="D57">
            <v>186.03295477</v>
          </cell>
          <cell r="E57">
            <v>180.27318184000001</v>
          </cell>
          <cell r="F57">
            <v>177.36343409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62">
          <cell r="S62">
            <v>26.528805170000002</v>
          </cell>
          <cell r="T62">
            <v>20.156964240000001</v>
          </cell>
          <cell r="U62">
            <v>24.28707983</v>
          </cell>
          <cell r="V62">
            <v>18.699272270000002</v>
          </cell>
        </row>
        <row r="63">
          <cell r="S63">
            <v>0.77838198000000003</v>
          </cell>
          <cell r="T63">
            <v>0.65676167000000008</v>
          </cell>
          <cell r="U63">
            <v>0.53163883000000001</v>
          </cell>
          <cell r="V63">
            <v>0.41059118</v>
          </cell>
        </row>
        <row r="64">
          <cell r="E64">
            <v>16382.608266399999</v>
          </cell>
          <cell r="F64">
            <v>16072.43010526</v>
          </cell>
        </row>
        <row r="78">
          <cell r="S78">
            <v>464.45361159999999</v>
          </cell>
          <cell r="T78">
            <v>454.29726004999998</v>
          </cell>
          <cell r="U78">
            <v>416.75878750000004</v>
          </cell>
          <cell r="V78">
            <v>420.9270223499999</v>
          </cell>
        </row>
        <row r="79">
          <cell r="S79">
            <v>18.746635550000001</v>
          </cell>
          <cell r="T79">
            <v>19.718408659999998</v>
          </cell>
          <cell r="U79">
            <v>19.141959710000002</v>
          </cell>
          <cell r="V79">
            <v>20.520645699999999</v>
          </cell>
        </row>
        <row r="85">
          <cell r="U85">
            <v>16481.482007930001</v>
          </cell>
          <cell r="V85">
            <v>16137.057777459999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égende prévisions DCF"/>
      <sheetName val="Maladie"/>
      <sheetName val="AT_ANC"/>
      <sheetName val="AT"/>
      <sheetName val="AT_ANC2"/>
      <sheetName val="AT_ANC "/>
      <sheetName val="Famille"/>
      <sheetName val="Vieillesse"/>
      <sheetName val="IJ AMEXA"/>
      <sheetName val="RCO"/>
      <sheetName val="Hypotheses"/>
      <sheetName val="cot prev gestion ATEXA2025"/>
      <sheetName val="cot prev gestion ATEXA2024"/>
      <sheetName val="recettes"/>
      <sheetName val="compens"/>
      <sheetName val="cot prev gestion ATEXA2021"/>
      <sheetName val="cot prev gestion ATEXA2020"/>
      <sheetName val="Contribution RG"/>
      <sheetName val="Soldes Tech Gest"/>
      <sheetName val="Charges Interet"/>
      <sheetName val="Synthese"/>
      <sheetName val="Commentaires"/>
    </sheetNames>
    <sheetDataSet>
      <sheetData sheetId="0"/>
      <sheetData sheetId="1">
        <row r="12">
          <cell r="H12">
            <v>5700.5423182099994</v>
          </cell>
          <cell r="I12">
            <v>5368.3480793300005</v>
          </cell>
        </row>
        <row r="158">
          <cell r="H158">
            <v>585.78296187000001</v>
          </cell>
          <cell r="I158">
            <v>465.17967320000002</v>
          </cell>
        </row>
        <row r="215">
          <cell r="H215">
            <v>3501.7900372899999</v>
          </cell>
          <cell r="I215">
            <v>3021.0033701399998</v>
          </cell>
        </row>
        <row r="216">
          <cell r="H216">
            <v>25.739883460000001</v>
          </cell>
          <cell r="I216">
            <v>27.37566193</v>
          </cell>
        </row>
        <row r="240">
          <cell r="H240">
            <v>401.68679511000005</v>
          </cell>
          <cell r="I240">
            <v>405.34576350999993</v>
          </cell>
        </row>
      </sheetData>
      <sheetData sheetId="2"/>
      <sheetData sheetId="3">
        <row r="11">
          <cell r="H11">
            <v>122.15706390000001</v>
          </cell>
          <cell r="I11">
            <v>132.77616180000001</v>
          </cell>
        </row>
        <row r="97">
          <cell r="H97">
            <v>221.56093540999998</v>
          </cell>
          <cell r="I97">
            <v>217.61166559</v>
          </cell>
        </row>
        <row r="122">
          <cell r="H122">
            <v>0</v>
          </cell>
          <cell r="I122">
            <v>0</v>
          </cell>
        </row>
        <row r="131">
          <cell r="H131">
            <v>104.95736325000001</v>
          </cell>
          <cell r="I131">
            <v>123.28813158</v>
          </cell>
        </row>
      </sheetData>
      <sheetData sheetId="4"/>
      <sheetData sheetId="5"/>
      <sheetData sheetId="6">
        <row r="11">
          <cell r="H11">
            <v>328.95999352999991</v>
          </cell>
          <cell r="I11">
            <v>329.14733328000005</v>
          </cell>
        </row>
        <row r="98">
          <cell r="H98">
            <v>150.78917601000001</v>
          </cell>
          <cell r="I98">
            <v>97.622932840000004</v>
          </cell>
        </row>
        <row r="123">
          <cell r="H123">
            <v>331.27276660000001</v>
          </cell>
          <cell r="I123">
            <v>384.54005747999997</v>
          </cell>
        </row>
        <row r="132">
          <cell r="H132">
            <v>55.669187379999997</v>
          </cell>
          <cell r="I132">
            <v>58.275400169999998</v>
          </cell>
        </row>
      </sheetData>
      <sheetData sheetId="7">
        <row r="11">
          <cell r="H11">
            <v>6773.934695599999</v>
          </cell>
          <cell r="I11">
            <v>6698.491024330001</v>
          </cell>
        </row>
        <row r="108">
          <cell r="H108">
            <v>1468.4191881600002</v>
          </cell>
          <cell r="I108">
            <v>1373.9565258099999</v>
          </cell>
        </row>
        <row r="149">
          <cell r="H149">
            <v>2655.3634729999999</v>
          </cell>
          <cell r="I149">
            <v>2654.9246560000001</v>
          </cell>
        </row>
        <row r="152">
          <cell r="H152">
            <v>34.948579469999999</v>
          </cell>
          <cell r="I152">
            <v>33.554778810000002</v>
          </cell>
        </row>
        <row r="170">
          <cell r="H170">
            <v>275.33601198000002</v>
          </cell>
          <cell r="I170">
            <v>293.26492977000004</v>
          </cell>
        </row>
      </sheetData>
      <sheetData sheetId="8">
        <row r="12">
          <cell r="G12">
            <v>76.779269769999999</v>
          </cell>
          <cell r="H12">
            <v>78.554433599999996</v>
          </cell>
        </row>
        <row r="61">
          <cell r="G61">
            <v>84.929458550000007</v>
          </cell>
          <cell r="H61">
            <v>90.843485790000003</v>
          </cell>
        </row>
        <row r="78">
          <cell r="G78">
            <v>19.134703520000002</v>
          </cell>
          <cell r="H78">
            <v>20.519976</v>
          </cell>
        </row>
      </sheetData>
      <sheetData sheetId="9">
        <row r="11">
          <cell r="H11">
            <v>1085.6262669499999</v>
          </cell>
          <cell r="I11">
            <v>1177.2849562399999</v>
          </cell>
        </row>
        <row r="65">
          <cell r="H65">
            <v>550.95404135000001</v>
          </cell>
          <cell r="I65">
            <v>524.18116109999994</v>
          </cell>
        </row>
        <row r="82">
          <cell r="H82">
            <v>119.38485054</v>
          </cell>
          <cell r="I82">
            <v>179.46993169000001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11">
          <cell r="N11">
            <v>1160308</v>
          </cell>
          <cell r="P11">
            <v>1122114</v>
          </cell>
        </row>
        <row r="17">
          <cell r="N17">
            <v>1213545</v>
          </cell>
          <cell r="P17">
            <v>1174497</v>
          </cell>
        </row>
        <row r="21">
          <cell r="N21">
            <v>11887</v>
          </cell>
          <cell r="P21">
            <v>11542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10">
          <cell r="V10">
            <v>1086872</v>
          </cell>
        </row>
        <row r="16">
          <cell r="V16">
            <v>1138955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10">
          <cell r="X10">
            <v>1053229</v>
          </cell>
        </row>
        <row r="16">
          <cell r="X16">
            <v>1106103</v>
          </cell>
        </row>
        <row r="20">
          <cell r="X20">
            <v>11415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8">
          <cell r="P8">
            <v>654458</v>
          </cell>
          <cell r="R8">
            <v>643891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7">
          <cell r="V7">
            <v>642936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</sheetNames>
    <sheetDataSet>
      <sheetData sheetId="0">
        <row r="7">
          <cell r="X7">
            <v>642938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umanoir.newten@ccmsa.msa.fr" TargetMode="External"/><Relationship Id="rId2" Type="http://schemas.openxmlformats.org/officeDocument/2006/relationships/hyperlink" Target="mailto:foucaud.david@ccmsa.msa.fr" TargetMode="External"/><Relationship Id="rId1" Type="http://schemas.openxmlformats.org/officeDocument/2006/relationships/hyperlink" Target="mailto:joubert.nadia@ccmsa.msa.f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66D1-5996-45DF-8821-2371B298A6F7}">
  <dimension ref="A1:AE243"/>
  <sheetViews>
    <sheetView showGridLines="0" tabSelected="1" workbookViewId="0">
      <selection activeCell="A6" sqref="A6:G6"/>
    </sheetView>
  </sheetViews>
  <sheetFormatPr baseColWidth="10" defaultRowHeight="12.75" x14ac:dyDescent="0.2"/>
  <cols>
    <col min="7" max="7" width="26.28515625" customWidth="1"/>
    <col min="8" max="31" width="11.42578125" style="504"/>
  </cols>
  <sheetData>
    <row r="1" spans="1:7" ht="16.5" thickTop="1" x14ac:dyDescent="0.25">
      <c r="A1" s="501"/>
      <c r="B1" s="502"/>
      <c r="C1" s="502"/>
      <c r="D1" s="502"/>
      <c r="E1" s="502"/>
      <c r="F1" s="502"/>
      <c r="G1" s="503" t="s">
        <v>258</v>
      </c>
    </row>
    <row r="2" spans="1:7" x14ac:dyDescent="0.2">
      <c r="A2" s="505"/>
      <c r="G2" s="506"/>
    </row>
    <row r="3" spans="1:7" ht="19.5" customHeight="1" x14ac:dyDescent="0.2">
      <c r="A3" s="505"/>
      <c r="G3" s="506"/>
    </row>
    <row r="4" spans="1:7" x14ac:dyDescent="0.2">
      <c r="A4" s="507"/>
      <c r="B4" s="508"/>
      <c r="C4" s="508"/>
      <c r="D4" s="508"/>
      <c r="E4" s="508"/>
      <c r="F4" s="508"/>
      <c r="G4" s="509"/>
    </row>
    <row r="5" spans="1:7" x14ac:dyDescent="0.2">
      <c r="A5" s="507"/>
      <c r="B5" s="508"/>
      <c r="C5" s="508"/>
      <c r="D5" s="508"/>
      <c r="E5" s="508"/>
      <c r="F5" s="508"/>
      <c r="G5" s="509"/>
    </row>
    <row r="6" spans="1:7" ht="23.25" x14ac:dyDescent="0.35">
      <c r="A6" s="522" t="s">
        <v>259</v>
      </c>
      <c r="B6" s="523"/>
      <c r="C6" s="523"/>
      <c r="D6" s="523"/>
      <c r="E6" s="523"/>
      <c r="F6" s="523"/>
      <c r="G6" s="524"/>
    </row>
    <row r="7" spans="1:7" ht="6.95" customHeight="1" x14ac:dyDescent="0.35">
      <c r="A7" s="525"/>
      <c r="B7" s="526"/>
      <c r="C7" s="526"/>
      <c r="D7" s="526"/>
      <c r="E7" s="526"/>
      <c r="F7" s="526"/>
      <c r="G7" s="527"/>
    </row>
    <row r="8" spans="1:7" ht="23.25" x14ac:dyDescent="0.35">
      <c r="A8" s="522" t="s">
        <v>250</v>
      </c>
      <c r="B8" s="523"/>
      <c r="C8" s="523"/>
      <c r="D8" s="523"/>
      <c r="E8" s="523"/>
      <c r="F8" s="523"/>
      <c r="G8" s="524"/>
    </row>
    <row r="9" spans="1:7" ht="23.25" x14ac:dyDescent="0.35">
      <c r="A9" s="510"/>
      <c r="B9" s="511"/>
      <c r="C9" s="511"/>
      <c r="D9" s="511"/>
      <c r="E9" s="511"/>
      <c r="F9" s="511"/>
      <c r="G9" s="512"/>
    </row>
    <row r="10" spans="1:7" ht="24.75" customHeight="1" x14ac:dyDescent="0.2">
      <c r="A10" s="505"/>
      <c r="G10" s="506"/>
    </row>
    <row r="11" spans="1:7" x14ac:dyDescent="0.2">
      <c r="A11" s="505"/>
      <c r="G11" s="513" t="s">
        <v>163</v>
      </c>
    </row>
    <row r="12" spans="1:7" x14ac:dyDescent="0.2">
      <c r="A12" s="505" t="s">
        <v>260</v>
      </c>
      <c r="G12" s="506"/>
    </row>
    <row r="13" spans="1:7" x14ac:dyDescent="0.2">
      <c r="A13" s="514" t="s">
        <v>251</v>
      </c>
      <c r="G13" s="506"/>
    </row>
    <row r="14" spans="1:7" x14ac:dyDescent="0.2">
      <c r="A14" s="515" t="s">
        <v>252</v>
      </c>
      <c r="G14" s="506"/>
    </row>
    <row r="15" spans="1:7" x14ac:dyDescent="0.2">
      <c r="A15" s="516"/>
      <c r="G15" s="506"/>
    </row>
    <row r="16" spans="1:7" x14ac:dyDescent="0.2">
      <c r="A16" s="514" t="s">
        <v>253</v>
      </c>
      <c r="G16" s="506"/>
    </row>
    <row r="17" spans="1:7" x14ac:dyDescent="0.2">
      <c r="A17" s="514" t="s">
        <v>254</v>
      </c>
      <c r="G17" s="506"/>
    </row>
    <row r="18" spans="1:7" x14ac:dyDescent="0.2">
      <c r="A18" s="515" t="s">
        <v>255</v>
      </c>
      <c r="G18" s="506"/>
    </row>
    <row r="19" spans="1:7" x14ac:dyDescent="0.2">
      <c r="A19" s="515"/>
      <c r="G19" s="506"/>
    </row>
    <row r="20" spans="1:7" x14ac:dyDescent="0.2">
      <c r="A20" s="517" t="s">
        <v>261</v>
      </c>
      <c r="G20" s="506"/>
    </row>
    <row r="21" spans="1:7" x14ac:dyDescent="0.2">
      <c r="A21" s="518" t="s">
        <v>256</v>
      </c>
      <c r="G21" s="506"/>
    </row>
    <row r="22" spans="1:7" x14ac:dyDescent="0.2">
      <c r="A22" s="515" t="s">
        <v>257</v>
      </c>
      <c r="G22" s="506"/>
    </row>
    <row r="23" spans="1:7" ht="13.5" thickBot="1" x14ac:dyDescent="0.25">
      <c r="A23" s="519"/>
      <c r="B23" s="520"/>
      <c r="C23" s="520"/>
      <c r="D23" s="520"/>
      <c r="E23" s="520"/>
      <c r="F23" s="520"/>
      <c r="G23" s="521"/>
    </row>
    <row r="24" spans="1:7" s="504" customFormat="1" ht="13.5" thickTop="1" x14ac:dyDescent="0.2"/>
    <row r="25" spans="1:7" s="504" customFormat="1" x14ac:dyDescent="0.2"/>
    <row r="26" spans="1:7" s="504" customFormat="1" x14ac:dyDescent="0.2"/>
    <row r="27" spans="1:7" s="504" customFormat="1" x14ac:dyDescent="0.2"/>
    <row r="28" spans="1:7" s="504" customFormat="1" x14ac:dyDescent="0.2"/>
    <row r="29" spans="1:7" s="504" customFormat="1" x14ac:dyDescent="0.2"/>
    <row r="30" spans="1:7" s="504" customFormat="1" x14ac:dyDescent="0.2"/>
    <row r="31" spans="1:7" s="504" customFormat="1" x14ac:dyDescent="0.2"/>
    <row r="32" spans="1:7" s="504" customFormat="1" x14ac:dyDescent="0.2"/>
    <row r="33" s="504" customFormat="1" x14ac:dyDescent="0.2"/>
    <row r="34" s="504" customFormat="1" x14ac:dyDescent="0.2"/>
    <row r="35" s="504" customFormat="1" x14ac:dyDescent="0.2"/>
    <row r="36" s="504" customFormat="1" x14ac:dyDescent="0.2"/>
    <row r="37" s="504" customFormat="1" x14ac:dyDescent="0.2"/>
    <row r="38" s="504" customFormat="1" x14ac:dyDescent="0.2"/>
    <row r="39" s="504" customFormat="1" x14ac:dyDescent="0.2"/>
    <row r="40" s="504" customFormat="1" x14ac:dyDescent="0.2"/>
    <row r="41" s="504" customFormat="1" x14ac:dyDescent="0.2"/>
    <row r="42" s="504" customFormat="1" x14ac:dyDescent="0.2"/>
    <row r="43" s="504" customFormat="1" x14ac:dyDescent="0.2"/>
    <row r="44" s="504" customFormat="1" x14ac:dyDescent="0.2"/>
    <row r="45" s="504" customFormat="1" x14ac:dyDescent="0.2"/>
    <row r="46" s="504" customFormat="1" x14ac:dyDescent="0.2"/>
    <row r="47" s="504" customFormat="1" x14ac:dyDescent="0.2"/>
    <row r="48" s="504" customFormat="1" x14ac:dyDescent="0.2"/>
    <row r="49" s="504" customFormat="1" x14ac:dyDescent="0.2"/>
    <row r="50" s="504" customFormat="1" x14ac:dyDescent="0.2"/>
    <row r="51" s="504" customFormat="1" x14ac:dyDescent="0.2"/>
    <row r="52" s="504" customFormat="1" x14ac:dyDescent="0.2"/>
    <row r="53" s="504" customFormat="1" x14ac:dyDescent="0.2"/>
    <row r="54" s="504" customFormat="1" x14ac:dyDescent="0.2"/>
    <row r="55" s="504" customFormat="1" x14ac:dyDescent="0.2"/>
    <row r="56" s="504" customFormat="1" x14ac:dyDescent="0.2"/>
    <row r="57" s="504" customFormat="1" x14ac:dyDescent="0.2"/>
    <row r="58" s="504" customFormat="1" x14ac:dyDescent="0.2"/>
    <row r="59" s="504" customFormat="1" x14ac:dyDescent="0.2"/>
    <row r="60" s="504" customFormat="1" x14ac:dyDescent="0.2"/>
    <row r="61" s="504" customFormat="1" x14ac:dyDescent="0.2"/>
    <row r="62" s="504" customFormat="1" x14ac:dyDescent="0.2"/>
    <row r="63" s="504" customFormat="1" x14ac:dyDescent="0.2"/>
    <row r="64" s="504" customFormat="1" x14ac:dyDescent="0.2"/>
    <row r="65" s="504" customFormat="1" x14ac:dyDescent="0.2"/>
    <row r="66" s="504" customFormat="1" x14ac:dyDescent="0.2"/>
    <row r="67" s="504" customFormat="1" x14ac:dyDescent="0.2"/>
    <row r="68" s="504" customFormat="1" x14ac:dyDescent="0.2"/>
    <row r="69" s="504" customFormat="1" x14ac:dyDescent="0.2"/>
    <row r="70" s="504" customFormat="1" x14ac:dyDescent="0.2"/>
    <row r="71" s="504" customFormat="1" x14ac:dyDescent="0.2"/>
    <row r="72" s="504" customFormat="1" x14ac:dyDescent="0.2"/>
    <row r="73" s="504" customFormat="1" x14ac:dyDescent="0.2"/>
    <row r="74" s="504" customFormat="1" x14ac:dyDescent="0.2"/>
    <row r="75" s="504" customFormat="1" x14ac:dyDescent="0.2"/>
    <row r="76" s="504" customFormat="1" x14ac:dyDescent="0.2"/>
    <row r="77" s="504" customFormat="1" x14ac:dyDescent="0.2"/>
    <row r="78" s="504" customFormat="1" x14ac:dyDescent="0.2"/>
    <row r="79" s="504" customFormat="1" x14ac:dyDescent="0.2"/>
    <row r="80" s="504" customFormat="1" x14ac:dyDescent="0.2"/>
    <row r="81" s="504" customFormat="1" x14ac:dyDescent="0.2"/>
    <row r="82" s="504" customFormat="1" x14ac:dyDescent="0.2"/>
    <row r="83" s="504" customFormat="1" x14ac:dyDescent="0.2"/>
    <row r="84" s="504" customFormat="1" x14ac:dyDescent="0.2"/>
    <row r="85" s="504" customFormat="1" x14ac:dyDescent="0.2"/>
    <row r="86" s="504" customFormat="1" x14ac:dyDescent="0.2"/>
    <row r="87" s="504" customFormat="1" x14ac:dyDescent="0.2"/>
    <row r="88" s="504" customFormat="1" x14ac:dyDescent="0.2"/>
    <row r="89" s="504" customFormat="1" x14ac:dyDescent="0.2"/>
    <row r="90" s="504" customFormat="1" x14ac:dyDescent="0.2"/>
    <row r="91" s="504" customFormat="1" x14ac:dyDescent="0.2"/>
    <row r="92" s="504" customFormat="1" x14ac:dyDescent="0.2"/>
    <row r="93" s="504" customFormat="1" x14ac:dyDescent="0.2"/>
    <row r="94" s="504" customFormat="1" x14ac:dyDescent="0.2"/>
    <row r="95" s="504" customFormat="1" x14ac:dyDescent="0.2"/>
    <row r="96" s="504" customFormat="1" x14ac:dyDescent="0.2"/>
    <row r="97" s="504" customFormat="1" x14ac:dyDescent="0.2"/>
    <row r="98" s="504" customFormat="1" x14ac:dyDescent="0.2"/>
    <row r="99" s="504" customFormat="1" x14ac:dyDescent="0.2"/>
    <row r="100" s="504" customFormat="1" x14ac:dyDescent="0.2"/>
    <row r="101" s="504" customFormat="1" x14ac:dyDescent="0.2"/>
    <row r="102" s="504" customFormat="1" x14ac:dyDescent="0.2"/>
    <row r="103" s="504" customFormat="1" x14ac:dyDescent="0.2"/>
    <row r="104" s="504" customFormat="1" x14ac:dyDescent="0.2"/>
    <row r="105" s="504" customFormat="1" x14ac:dyDescent="0.2"/>
    <row r="106" s="504" customFormat="1" x14ac:dyDescent="0.2"/>
    <row r="107" s="504" customFormat="1" x14ac:dyDescent="0.2"/>
    <row r="108" s="504" customFormat="1" x14ac:dyDescent="0.2"/>
    <row r="109" s="504" customFormat="1" x14ac:dyDescent="0.2"/>
    <row r="110" s="504" customFormat="1" x14ac:dyDescent="0.2"/>
    <row r="111" s="504" customFormat="1" x14ac:dyDescent="0.2"/>
    <row r="112" s="504" customFormat="1" x14ac:dyDescent="0.2"/>
    <row r="113" s="504" customFormat="1" x14ac:dyDescent="0.2"/>
    <row r="114" s="504" customFormat="1" x14ac:dyDescent="0.2"/>
    <row r="115" s="504" customFormat="1" x14ac:dyDescent="0.2"/>
    <row r="116" s="504" customFormat="1" x14ac:dyDescent="0.2"/>
    <row r="117" s="504" customFormat="1" x14ac:dyDescent="0.2"/>
    <row r="118" s="504" customFormat="1" x14ac:dyDescent="0.2"/>
    <row r="119" s="504" customFormat="1" x14ac:dyDescent="0.2"/>
    <row r="120" s="504" customFormat="1" x14ac:dyDescent="0.2"/>
    <row r="121" s="504" customFormat="1" x14ac:dyDescent="0.2"/>
    <row r="122" s="504" customFormat="1" x14ac:dyDescent="0.2"/>
    <row r="123" s="504" customFormat="1" x14ac:dyDescent="0.2"/>
    <row r="124" s="504" customFormat="1" x14ac:dyDescent="0.2"/>
    <row r="125" s="504" customFormat="1" x14ac:dyDescent="0.2"/>
    <row r="126" s="504" customFormat="1" x14ac:dyDescent="0.2"/>
    <row r="127" s="504" customFormat="1" x14ac:dyDescent="0.2"/>
    <row r="128" s="504" customFormat="1" x14ac:dyDescent="0.2"/>
    <row r="129" s="504" customFormat="1" x14ac:dyDescent="0.2"/>
    <row r="130" s="504" customFormat="1" x14ac:dyDescent="0.2"/>
    <row r="131" s="504" customFormat="1" x14ac:dyDescent="0.2"/>
    <row r="132" s="504" customFormat="1" x14ac:dyDescent="0.2"/>
    <row r="133" s="504" customFormat="1" x14ac:dyDescent="0.2"/>
    <row r="134" s="504" customFormat="1" x14ac:dyDescent="0.2"/>
    <row r="135" s="504" customFormat="1" x14ac:dyDescent="0.2"/>
    <row r="136" s="504" customFormat="1" x14ac:dyDescent="0.2"/>
    <row r="137" s="504" customFormat="1" x14ac:dyDescent="0.2"/>
    <row r="138" s="504" customFormat="1" x14ac:dyDescent="0.2"/>
    <row r="139" s="504" customFormat="1" x14ac:dyDescent="0.2"/>
    <row r="140" s="504" customFormat="1" x14ac:dyDescent="0.2"/>
    <row r="141" s="504" customFormat="1" x14ac:dyDescent="0.2"/>
    <row r="142" s="504" customFormat="1" x14ac:dyDescent="0.2"/>
    <row r="143" s="504" customFormat="1" x14ac:dyDescent="0.2"/>
    <row r="144" s="504" customFormat="1" x14ac:dyDescent="0.2"/>
    <row r="145" s="504" customFormat="1" x14ac:dyDescent="0.2"/>
    <row r="146" s="504" customFormat="1" x14ac:dyDescent="0.2"/>
    <row r="147" s="504" customFormat="1" x14ac:dyDescent="0.2"/>
    <row r="148" s="504" customFormat="1" x14ac:dyDescent="0.2"/>
    <row r="149" s="504" customFormat="1" x14ac:dyDescent="0.2"/>
    <row r="150" s="504" customFormat="1" x14ac:dyDescent="0.2"/>
    <row r="151" s="504" customFormat="1" x14ac:dyDescent="0.2"/>
    <row r="152" s="504" customFormat="1" x14ac:dyDescent="0.2"/>
    <row r="153" s="504" customFormat="1" x14ac:dyDescent="0.2"/>
    <row r="154" s="504" customFormat="1" x14ac:dyDescent="0.2"/>
    <row r="155" s="504" customFormat="1" x14ac:dyDescent="0.2"/>
    <row r="156" s="504" customFormat="1" x14ac:dyDescent="0.2"/>
    <row r="157" s="504" customFormat="1" x14ac:dyDescent="0.2"/>
    <row r="158" s="504" customFormat="1" x14ac:dyDescent="0.2"/>
    <row r="159" s="504" customFormat="1" x14ac:dyDescent="0.2"/>
    <row r="160" s="504" customFormat="1" x14ac:dyDescent="0.2"/>
    <row r="161" s="504" customFormat="1" x14ac:dyDescent="0.2"/>
    <row r="162" s="504" customFormat="1" x14ac:dyDescent="0.2"/>
    <row r="163" s="504" customFormat="1" x14ac:dyDescent="0.2"/>
    <row r="164" s="504" customFormat="1" x14ac:dyDescent="0.2"/>
    <row r="165" s="504" customFormat="1" x14ac:dyDescent="0.2"/>
    <row r="166" s="504" customFormat="1" x14ac:dyDescent="0.2"/>
    <row r="167" s="504" customFormat="1" x14ac:dyDescent="0.2"/>
    <row r="168" s="504" customFormat="1" x14ac:dyDescent="0.2"/>
    <row r="169" s="504" customFormat="1" x14ac:dyDescent="0.2"/>
    <row r="170" s="504" customFormat="1" x14ac:dyDescent="0.2"/>
    <row r="171" s="504" customFormat="1" x14ac:dyDescent="0.2"/>
    <row r="172" s="504" customFormat="1" x14ac:dyDescent="0.2"/>
    <row r="173" s="504" customFormat="1" x14ac:dyDescent="0.2"/>
    <row r="174" s="504" customFormat="1" x14ac:dyDescent="0.2"/>
    <row r="175" s="504" customFormat="1" x14ac:dyDescent="0.2"/>
    <row r="176" s="504" customFormat="1" x14ac:dyDescent="0.2"/>
    <row r="177" s="504" customFormat="1" x14ac:dyDescent="0.2"/>
    <row r="178" s="504" customFormat="1" x14ac:dyDescent="0.2"/>
    <row r="179" s="504" customFormat="1" x14ac:dyDescent="0.2"/>
    <row r="180" s="504" customFormat="1" x14ac:dyDescent="0.2"/>
    <row r="181" s="504" customFormat="1" x14ac:dyDescent="0.2"/>
    <row r="182" s="504" customFormat="1" x14ac:dyDescent="0.2"/>
    <row r="183" s="504" customFormat="1" x14ac:dyDescent="0.2"/>
    <row r="184" s="504" customFormat="1" x14ac:dyDescent="0.2"/>
    <row r="185" s="504" customFormat="1" x14ac:dyDescent="0.2"/>
    <row r="186" s="504" customFormat="1" x14ac:dyDescent="0.2"/>
    <row r="187" s="504" customFormat="1" x14ac:dyDescent="0.2"/>
    <row r="188" s="504" customFormat="1" x14ac:dyDescent="0.2"/>
    <row r="189" s="504" customFormat="1" x14ac:dyDescent="0.2"/>
    <row r="190" s="504" customFormat="1" x14ac:dyDescent="0.2"/>
    <row r="191" s="504" customFormat="1" x14ac:dyDescent="0.2"/>
    <row r="192" s="504" customFormat="1" x14ac:dyDescent="0.2"/>
    <row r="193" s="504" customFormat="1" x14ac:dyDescent="0.2"/>
    <row r="194" s="504" customFormat="1" x14ac:dyDescent="0.2"/>
    <row r="195" s="504" customFormat="1" x14ac:dyDescent="0.2"/>
    <row r="196" s="504" customFormat="1" x14ac:dyDescent="0.2"/>
    <row r="197" s="504" customFormat="1" x14ac:dyDescent="0.2"/>
    <row r="198" s="504" customFormat="1" x14ac:dyDescent="0.2"/>
    <row r="199" s="504" customFormat="1" x14ac:dyDescent="0.2"/>
    <row r="200" s="504" customFormat="1" x14ac:dyDescent="0.2"/>
    <row r="201" s="504" customFormat="1" x14ac:dyDescent="0.2"/>
    <row r="202" s="504" customFormat="1" x14ac:dyDescent="0.2"/>
    <row r="203" s="504" customFormat="1" x14ac:dyDescent="0.2"/>
    <row r="204" s="504" customFormat="1" x14ac:dyDescent="0.2"/>
    <row r="205" s="504" customFormat="1" x14ac:dyDescent="0.2"/>
    <row r="206" s="504" customFormat="1" x14ac:dyDescent="0.2"/>
    <row r="207" s="504" customFormat="1" x14ac:dyDescent="0.2"/>
    <row r="208" s="504" customFormat="1" x14ac:dyDescent="0.2"/>
    <row r="209" s="504" customFormat="1" x14ac:dyDescent="0.2"/>
    <row r="210" s="504" customFormat="1" x14ac:dyDescent="0.2"/>
    <row r="211" s="504" customFormat="1" x14ac:dyDescent="0.2"/>
    <row r="212" s="504" customFormat="1" x14ac:dyDescent="0.2"/>
    <row r="213" s="504" customFormat="1" x14ac:dyDescent="0.2"/>
    <row r="214" s="504" customFormat="1" x14ac:dyDescent="0.2"/>
    <row r="215" s="504" customFormat="1" x14ac:dyDescent="0.2"/>
    <row r="216" s="504" customFormat="1" x14ac:dyDescent="0.2"/>
    <row r="217" s="504" customFormat="1" x14ac:dyDescent="0.2"/>
    <row r="218" s="504" customFormat="1" x14ac:dyDescent="0.2"/>
    <row r="219" s="504" customFormat="1" x14ac:dyDescent="0.2"/>
    <row r="220" s="504" customFormat="1" x14ac:dyDescent="0.2"/>
    <row r="221" s="504" customFormat="1" x14ac:dyDescent="0.2"/>
    <row r="222" s="504" customFormat="1" x14ac:dyDescent="0.2"/>
    <row r="223" s="504" customFormat="1" x14ac:dyDescent="0.2"/>
    <row r="224" s="504" customFormat="1" x14ac:dyDescent="0.2"/>
    <row r="225" s="504" customFormat="1" x14ac:dyDescent="0.2"/>
    <row r="226" s="504" customFormat="1" x14ac:dyDescent="0.2"/>
    <row r="227" s="504" customFormat="1" x14ac:dyDescent="0.2"/>
    <row r="228" s="504" customFormat="1" x14ac:dyDescent="0.2"/>
    <row r="229" s="504" customFormat="1" x14ac:dyDescent="0.2"/>
    <row r="230" s="504" customFormat="1" x14ac:dyDescent="0.2"/>
    <row r="231" s="504" customFormat="1" x14ac:dyDescent="0.2"/>
    <row r="232" s="504" customFormat="1" x14ac:dyDescent="0.2"/>
    <row r="233" s="504" customFormat="1" x14ac:dyDescent="0.2"/>
    <row r="234" s="504" customFormat="1" x14ac:dyDescent="0.2"/>
    <row r="235" s="504" customFormat="1" x14ac:dyDescent="0.2"/>
    <row r="236" s="504" customFormat="1" x14ac:dyDescent="0.2"/>
    <row r="237" s="504" customFormat="1" x14ac:dyDescent="0.2"/>
    <row r="238" s="504" customFormat="1" x14ac:dyDescent="0.2"/>
    <row r="239" s="504" customFormat="1" x14ac:dyDescent="0.2"/>
    <row r="240" s="504" customFormat="1" x14ac:dyDescent="0.2"/>
    <row r="241" s="504" customFormat="1" x14ac:dyDescent="0.2"/>
    <row r="242" s="504" customFormat="1" x14ac:dyDescent="0.2"/>
    <row r="243" s="504" customFormat="1" x14ac:dyDescent="0.2"/>
  </sheetData>
  <mergeCells count="3">
    <mergeCell ref="A6:G6"/>
    <mergeCell ref="A7:G7"/>
    <mergeCell ref="A8:G8"/>
  </mergeCells>
  <hyperlinks>
    <hyperlink ref="A14" r:id="rId1" display="mailto:joubert.nadia@ccmsa.msa.fr" xr:uid="{D2BE48DB-A52C-4900-8E5B-512CE9472AF5}"/>
    <hyperlink ref="A18" r:id="rId2" xr:uid="{48D824A9-5CAE-4850-98DA-29AB973034C2}"/>
    <hyperlink ref="A22" r:id="rId3" xr:uid="{529FB5C7-7F17-4AC7-8E1D-91FCAA6CE6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N54"/>
  <sheetViews>
    <sheetView topLeftCell="A4" zoomScaleNormal="100" workbookViewId="0"/>
  </sheetViews>
  <sheetFormatPr baseColWidth="10" defaultRowHeight="12.75" x14ac:dyDescent="0.2"/>
  <cols>
    <col min="1" max="1" width="36.28515625" bestFit="1" customWidth="1"/>
    <col min="2" max="3" width="8.140625" bestFit="1" customWidth="1"/>
    <col min="4" max="4" width="7" bestFit="1" customWidth="1"/>
    <col min="5" max="5" width="8.42578125" bestFit="1" customWidth="1"/>
    <col min="6" max="6" width="12.140625" bestFit="1" customWidth="1"/>
    <col min="9" max="9" width="16" customWidth="1"/>
    <col min="10" max="14" width="9.28515625" customWidth="1"/>
  </cols>
  <sheetData>
    <row r="1" spans="1:7" x14ac:dyDescent="0.2">
      <c r="A1" s="12" t="s">
        <v>2</v>
      </c>
      <c r="B1" s="12">
        <f>'%charges ok'!B2</f>
        <v>2024</v>
      </c>
      <c r="C1" s="12">
        <f>'%charges ok'!C2</f>
        <v>2025</v>
      </c>
      <c r="D1" s="168" t="s">
        <v>25</v>
      </c>
      <c r="E1" s="12" t="s">
        <v>55</v>
      </c>
      <c r="F1" s="12" t="s">
        <v>56</v>
      </c>
    </row>
    <row r="2" spans="1:7" x14ac:dyDescent="0.2">
      <c r="A2" s="244" t="s">
        <v>22</v>
      </c>
      <c r="B2" s="245">
        <f>'COMPTES NSA (Chiffres Utiles)ok'!Q30</f>
        <v>654.71580849000009</v>
      </c>
      <c r="C2" s="245">
        <f>'COMPTES NSA (Chiffres Utiles)ok'!R30</f>
        <v>630.55895623999993</v>
      </c>
      <c r="D2" s="246">
        <f t="shared" ref="D2:D9" si="0">C2/$C$10</f>
        <v>0.47256412610893755</v>
      </c>
      <c r="E2" s="247">
        <f t="shared" ref="E2" si="1">C2/B2-1</f>
        <v>-3.6896699204062577E-2</v>
      </c>
      <c r="F2" s="248">
        <f t="shared" ref="F2:F10" si="2">(B2/$B$10)*E2*100</f>
        <v>-1.8229182539730691</v>
      </c>
    </row>
    <row r="3" spans="1:7" x14ac:dyDescent="0.2">
      <c r="A3" s="239" t="s">
        <v>126</v>
      </c>
      <c r="B3" s="240">
        <v>0</v>
      </c>
      <c r="C3" s="240">
        <v>0</v>
      </c>
      <c r="D3" s="241">
        <f t="shared" si="0"/>
        <v>0</v>
      </c>
      <c r="E3" s="242" t="e">
        <f>C3/B3-1</f>
        <v>#DIV/0!</v>
      </c>
      <c r="F3" s="243" t="e">
        <f t="shared" si="2"/>
        <v>#DIV/0!</v>
      </c>
    </row>
    <row r="4" spans="1:7" x14ac:dyDescent="0.2">
      <c r="A4" s="244" t="s">
        <v>21</v>
      </c>
      <c r="B4" s="245">
        <v>0</v>
      </c>
      <c r="C4" s="245">
        <v>0</v>
      </c>
      <c r="D4" s="246">
        <f t="shared" si="0"/>
        <v>0</v>
      </c>
      <c r="E4" s="247" t="e">
        <f>C4/B4-1</f>
        <v>#DIV/0!</v>
      </c>
      <c r="F4" s="248" t="e">
        <f t="shared" si="2"/>
        <v>#DIV/0!</v>
      </c>
    </row>
    <row r="5" spans="1:7" x14ac:dyDescent="0.2">
      <c r="A5" s="244" t="s">
        <v>20</v>
      </c>
      <c r="B5" s="245">
        <f>'COMPTES NSA (Chiffres Utiles)ok'!Q9</f>
        <v>550.95404135000001</v>
      </c>
      <c r="C5" s="245">
        <f>'COMPTES NSA (Chiffres Utiles)ok'!R9</f>
        <v>524.18116109999994</v>
      </c>
      <c r="D5" s="246">
        <f t="shared" si="0"/>
        <v>0.39284068502503028</v>
      </c>
      <c r="E5" s="247">
        <f t="shared" ref="E5:E9" si="3">C5/B5-1</f>
        <v>-4.8593672503787433E-2</v>
      </c>
      <c r="F5" s="248">
        <f t="shared" si="2"/>
        <v>-2.0203282950145054</v>
      </c>
    </row>
    <row r="6" spans="1:7" x14ac:dyDescent="0.2">
      <c r="A6" s="136" t="s">
        <v>125</v>
      </c>
      <c r="B6" s="137">
        <f>B10-(B2+B4+B5+B7+B8+B3+B9)</f>
        <v>119.50489111999991</v>
      </c>
      <c r="C6" s="137">
        <f>C10-(C2+C4+C5+C7+C8+C3+C9)</f>
        <v>179.59510068000009</v>
      </c>
      <c r="D6" s="133">
        <f t="shared" si="0"/>
        <v>0.13459518886603217</v>
      </c>
      <c r="E6" s="199">
        <f>C6/B6-1</f>
        <v>0.50282636130483604</v>
      </c>
      <c r="F6" s="181">
        <f t="shared" si="2"/>
        <v>4.5345121441470315</v>
      </c>
    </row>
    <row r="7" spans="1:7" x14ac:dyDescent="0.2">
      <c r="A7" s="238" t="s">
        <v>119</v>
      </c>
      <c r="B7" s="137">
        <f>'NSA1 ok'!C34</f>
        <v>0</v>
      </c>
      <c r="C7" s="137">
        <f>'NSA1 ok'!D34</f>
        <v>0</v>
      </c>
      <c r="D7" s="133">
        <f t="shared" si="0"/>
        <v>0</v>
      </c>
      <c r="E7" s="199" t="e">
        <f>C7/B7-1</f>
        <v>#DIV/0!</v>
      </c>
      <c r="F7" s="181" t="e">
        <f t="shared" si="2"/>
        <v>#DIV/0!</v>
      </c>
    </row>
    <row r="8" spans="1:7" x14ac:dyDescent="0.2">
      <c r="A8" s="244" t="s">
        <v>61</v>
      </c>
      <c r="B8" s="245">
        <v>0</v>
      </c>
      <c r="C8" s="245">
        <v>0</v>
      </c>
      <c r="D8" s="246">
        <f t="shared" si="0"/>
        <v>0</v>
      </c>
      <c r="E8" s="247" t="e">
        <f t="shared" si="3"/>
        <v>#DIV/0!</v>
      </c>
      <c r="F8" s="248" t="e">
        <f t="shared" si="2"/>
        <v>#DIV/0!</v>
      </c>
      <c r="G8" s="136"/>
    </row>
    <row r="9" spans="1:7" x14ac:dyDescent="0.2">
      <c r="A9" s="136" t="s">
        <v>128</v>
      </c>
      <c r="B9" s="137">
        <f>'COMPTES NSA (Chiffres Utiles)ok'!Q16</f>
        <v>0</v>
      </c>
      <c r="C9" s="137">
        <f>'COMPTES NSA (Chiffres Utiles)ok'!R16</f>
        <v>0</v>
      </c>
      <c r="D9" s="133">
        <f t="shared" si="0"/>
        <v>0</v>
      </c>
      <c r="E9" s="199" t="e">
        <f t="shared" si="3"/>
        <v>#DIV/0!</v>
      </c>
      <c r="F9" s="181" t="e">
        <f t="shared" si="2"/>
        <v>#DIV/0!</v>
      </c>
      <c r="G9" s="136"/>
    </row>
    <row r="10" spans="1:7" x14ac:dyDescent="0.2">
      <c r="A10" s="169" t="s">
        <v>26</v>
      </c>
      <c r="B10" s="172">
        <f>'COMPTES NSA (Chiffres Utiles)ok'!Q9+'COMPTES NSA (Chiffres Utiles)ok'!Q16+'COMPTES NSA (Chiffres Utiles)ok'!Q23+'COMPTES NSA (Chiffres Utiles)ok'!Q30+'COMPTES NSA (Chiffres Utiles)ok'!Q44+'COMPTES NSA (Chiffres Utiles)ok'!Q51+'COMPTES NSA (Chiffres Utiles)ok'!Q58+'COMPTES NSA (Chiffres Utiles)ok'!Q65+'COMPTES NSA (Chiffres Utiles)ok'!Q72</f>
        <v>1325.17474096</v>
      </c>
      <c r="C10" s="172">
        <f>'COMPTES NSA (Chiffres Utiles)ok'!R9+'COMPTES NSA (Chiffres Utiles)ok'!R16+'COMPTES NSA (Chiffres Utiles)ok'!R23+'COMPTES NSA (Chiffres Utiles)ok'!R30+'COMPTES NSA (Chiffres Utiles)ok'!R44+'COMPTES NSA (Chiffres Utiles)ok'!R51+'COMPTES NSA (Chiffres Utiles)ok'!R58+'COMPTES NSA (Chiffres Utiles)ok'!R65+'COMPTES NSA (Chiffres Utiles)ok'!R72</f>
        <v>1334.33521802</v>
      </c>
      <c r="D10" s="173">
        <f>SUM(D2:D9)</f>
        <v>1</v>
      </c>
      <c r="E10" s="200">
        <f>C10/B10-1</f>
        <v>6.9126559515946262E-3</v>
      </c>
      <c r="F10" s="167">
        <f t="shared" si="2"/>
        <v>0.69126559515946262</v>
      </c>
      <c r="G10" s="136"/>
    </row>
    <row r="11" spans="1:7" x14ac:dyDescent="0.2">
      <c r="A11" s="136"/>
      <c r="B11" s="277"/>
      <c r="C11" s="277"/>
      <c r="D11" s="136"/>
      <c r="E11" s="136"/>
      <c r="F11" s="136"/>
    </row>
    <row r="40" spans="1:6" x14ac:dyDescent="0.2">
      <c r="A40" s="12" t="s">
        <v>131</v>
      </c>
      <c r="B40" s="12">
        <f>B1</f>
        <v>2024</v>
      </c>
      <c r="C40" s="12">
        <f>C1</f>
        <v>2025</v>
      </c>
      <c r="D40" s="168" t="s">
        <v>25</v>
      </c>
      <c r="E40" s="12" t="s">
        <v>55</v>
      </c>
      <c r="F40" s="12" t="s">
        <v>56</v>
      </c>
    </row>
    <row r="41" spans="1:6" x14ac:dyDescent="0.2">
      <c r="A41" s="249" t="s">
        <v>130</v>
      </c>
      <c r="B41" s="195">
        <f>'COMPTES NSA (Chiffres Utiles)ok'!Q6+'COMPTES NSA (Chiffres Utiles)ok'!Q13+'COMPTES NSA (Chiffres Utiles)ok'!Q20+'COMPTES NSA (Chiffres Utiles)ok'!Q27+'COMPTES NSA (Chiffres Utiles)ok'!Q41+'COMPTES NSA (Chiffres Utiles)ok'!Q48+'COMPTES NSA (Chiffres Utiles)ok'!Q55+'COMPTES NSA (Chiffres Utiles)ok'!Q62+'COMPTES NSA (Chiffres Utiles)ok'!Q69+'COMPTES NSA (Chiffres Utiles)ok'!Q34</f>
        <v>6739.8950729299995</v>
      </c>
      <c r="C41" s="195">
        <f>'COMPTES NSA (Chiffres Utiles)ok'!R6+'COMPTES NSA (Chiffres Utiles)ok'!R13+'COMPTES NSA (Chiffres Utiles)ok'!R20+'COMPTES NSA (Chiffres Utiles)ok'!R27+'COMPTES NSA (Chiffres Utiles)ok'!R41+'COMPTES NSA (Chiffres Utiles)ok'!R48+'COMPTES NSA (Chiffres Utiles)ok'!R55+'COMPTES NSA (Chiffres Utiles)ok'!R62+'COMPTES NSA (Chiffres Utiles)ok'!R69+'COMPTES NSA (Chiffres Utiles)ok'!R34</f>
        <v>6438.2892538400001</v>
      </c>
      <c r="D41" s="196">
        <f>C41/$C$46</f>
        <v>0.39897541067448528</v>
      </c>
      <c r="E41" s="196">
        <f t="shared" ref="E41:E46" si="4">C41/B41-1</f>
        <v>-4.4749334496521187E-2</v>
      </c>
      <c r="F41" s="197">
        <f>(B41/$B$46)*E41*100</f>
        <v>-1.8299678326553592</v>
      </c>
    </row>
    <row r="42" spans="1:6" x14ac:dyDescent="0.2">
      <c r="A42" s="136" t="s">
        <v>62</v>
      </c>
      <c r="B42" s="137">
        <f>'COMPTES NSA (Chiffres Utiles)ok'!Q8+'COMPTES NSA (Chiffres Utiles)ok'!Q15+'COMPTES NSA (Chiffres Utiles)ok'!Q22+'COMPTES NSA (Chiffres Utiles)ok'!Q29+'COMPTES NSA (Chiffres Utiles)ok'!Q43+'COMPTES NSA (Chiffres Utiles)ok'!Q50+'COMPTES NSA (Chiffres Utiles)ok'!Q57+'COMPTES NSA (Chiffres Utiles)ok'!Q64+'COMPTES NSA (Chiffres Utiles)ok'!Q71</f>
        <v>482.64738179000005</v>
      </c>
      <c r="C42" s="137">
        <f>'COMPTES NSA (Chiffres Utiles)ok'!R8+'COMPTES NSA (Chiffres Utiles)ok'!R15+'COMPTES NSA (Chiffres Utiles)ok'!R22+'COMPTES NSA (Chiffres Utiles)ok'!R29+'COMPTES NSA (Chiffres Utiles)ok'!R43+'COMPTES NSA (Chiffres Utiles)ok'!R50+'COMPTES NSA (Chiffres Utiles)ok'!R57+'COMPTES NSA (Chiffres Utiles)ok'!R64+'COMPTES NSA (Chiffres Utiles)ok'!R71</f>
        <v>521.10133897000003</v>
      </c>
      <c r="D42" s="133">
        <f t="shared" ref="D42:D46" si="5">C42/$C$46</f>
        <v>3.2292214984683675E-2</v>
      </c>
      <c r="E42" s="133">
        <f t="shared" si="4"/>
        <v>7.9672984109818046E-2</v>
      </c>
      <c r="F42" s="181">
        <f t="shared" ref="F42:F46" si="6">(B42/$B$46)*E42*100</f>
        <v>0.23331613723509806</v>
      </c>
    </row>
    <row r="43" spans="1:6" x14ac:dyDescent="0.2">
      <c r="A43" t="s">
        <v>63</v>
      </c>
      <c r="B43" s="22">
        <f>'COMPTES NSA (Chiffres Utiles)ok'!Q7+'COMPTES NSA (Chiffres Utiles)ok'!Q14+'COMPTES NSA (Chiffres Utiles)ok'!Q21+'COMPTES NSA (Chiffres Utiles)ok'!Q28+'COMPTES NSA (Chiffres Utiles)ok'!Q42+'COMPTES NSA (Chiffres Utiles)ok'!Q49+'COMPTES NSA (Chiffres Utiles)ok'!Q56+'COMPTES NSA (Chiffres Utiles)ok'!Q63+'COMPTES NSA (Chiffres Utiles)ok'!Q70+'COMPTES NSA (Chiffres Utiles)ok'!Q35</f>
        <v>577.7141087</v>
      </c>
      <c r="C43" s="22">
        <f>'COMPTES NSA (Chiffres Utiles)ok'!R7+'COMPTES NSA (Chiffres Utiles)ok'!R14+'COMPTES NSA (Chiffres Utiles)ok'!R21+'COMPTES NSA (Chiffres Utiles)ok'!R28+'COMPTES NSA (Chiffres Utiles)ok'!R42+'COMPTES NSA (Chiffres Utiles)ok'!R49+'COMPTES NSA (Chiffres Utiles)ok'!R56+'COMPTES NSA (Chiffres Utiles)ok'!R63+'COMPTES NSA (Chiffres Utiles)ok'!R70+'COMPTES NSA (Chiffres Utiles)ok'!R35</f>
        <v>556.93909781000002</v>
      </c>
      <c r="D43" s="133">
        <f t="shared" si="5"/>
        <v>3.4513050984295551E-2</v>
      </c>
      <c r="E43" s="165">
        <f t="shared" si="4"/>
        <v>-3.5960712361255864E-2</v>
      </c>
      <c r="F43" s="181">
        <f t="shared" si="6"/>
        <v>-0.12605062384562377</v>
      </c>
    </row>
    <row r="44" spans="1:6" x14ac:dyDescent="0.2">
      <c r="A44" s="194" t="s">
        <v>64</v>
      </c>
      <c r="B44" s="195">
        <f>'COMPTES NSA (Chiffres Utiles)ok'!Q10+'COMPTES NSA (Chiffres Utiles)ok'!Q17+'COMPTES NSA (Chiffres Utiles)ok'!Q24+'COMPTES NSA (Chiffres Utiles)ok'!Q31+'COMPTES NSA (Chiffres Utiles)ok'!Q45+'COMPTES NSA (Chiffres Utiles)ok'!Q52+'COMPTES NSA (Chiffres Utiles)ok'!Q59+'COMPTES NSA (Chiffres Utiles)ok'!Q66+'COMPTES NSA (Chiffres Utiles)ok'!Q73</f>
        <v>7356.0507035499995</v>
      </c>
      <c r="C44" s="195">
        <f>'COMPTES NSA (Chiffres Utiles)ok'!R10+'COMPTES NSA (Chiffres Utiles)ok'!R17+'COMPTES NSA (Chiffres Utiles)ok'!R24+'COMPTES NSA (Chiffres Utiles)ok'!R31+'COMPTES NSA (Chiffres Utiles)ok'!R45+'COMPTES NSA (Chiffres Utiles)ok'!R52+'COMPTES NSA (Chiffres Utiles)ok'!R59+'COMPTES NSA (Chiffres Utiles)ok'!R66+'COMPTES NSA (Chiffres Utiles)ok'!R73</f>
        <v>7286.3928688199994</v>
      </c>
      <c r="D44" s="196">
        <f t="shared" si="5"/>
        <v>0.45153168373713848</v>
      </c>
      <c r="E44" s="196">
        <f t="shared" si="4"/>
        <v>-9.4694609291345877E-3</v>
      </c>
      <c r="F44" s="197">
        <f t="shared" si="6"/>
        <v>-0.42264302868203313</v>
      </c>
    </row>
    <row r="45" spans="1:6" x14ac:dyDescent="0.2">
      <c r="A45" t="s">
        <v>37</v>
      </c>
      <c r="B45" s="22">
        <f>'COMPTES NSA (Chiffres Utiles)ok'!Q9+'COMPTES NSA (Chiffres Utiles)ok'!Q16+'COMPTES NSA (Chiffres Utiles)ok'!Q23+'COMPTES NSA (Chiffres Utiles)ok'!Q30+'COMPTES NSA (Chiffres Utiles)ok'!Q44+'COMPTES NSA (Chiffres Utiles)ok'!Q51+'COMPTES NSA (Chiffres Utiles)ok'!Q58+'COMPTES NSA (Chiffres Utiles)ok'!Q65+'COMPTES NSA (Chiffres Utiles)ok'!Q72</f>
        <v>1325.17474096</v>
      </c>
      <c r="C45" s="22">
        <f>'COMPTES NSA (Chiffres Utiles)ok'!R9+'COMPTES NSA (Chiffres Utiles)ok'!R16+'COMPTES NSA (Chiffres Utiles)ok'!R23+'COMPTES NSA (Chiffres Utiles)ok'!R30+'COMPTES NSA (Chiffres Utiles)ok'!R44+'COMPTES NSA (Chiffres Utiles)ok'!R51+'COMPTES NSA (Chiffres Utiles)ok'!R58+'COMPTES NSA (Chiffres Utiles)ok'!R65+'COMPTES NSA (Chiffres Utiles)ok'!R72</f>
        <v>1334.33521802</v>
      </c>
      <c r="D45" s="133">
        <f t="shared" si="5"/>
        <v>8.2687639619396999E-2</v>
      </c>
      <c r="E45" s="165">
        <f t="shared" si="4"/>
        <v>6.9126559515946262E-3</v>
      </c>
      <c r="F45" s="181">
        <f t="shared" si="6"/>
        <v>5.5580420835896219E-2</v>
      </c>
    </row>
    <row r="46" spans="1:6" x14ac:dyDescent="0.2">
      <c r="A46" s="12" t="s">
        <v>23</v>
      </c>
      <c r="B46" s="23">
        <f>SUM(B41:B45)</f>
        <v>16481.482007930001</v>
      </c>
      <c r="C46" s="23">
        <f>SUM(C41:C45)</f>
        <v>16137.057777460001</v>
      </c>
      <c r="D46" s="173">
        <f t="shared" si="5"/>
        <v>1</v>
      </c>
      <c r="E46" s="166">
        <f t="shared" si="4"/>
        <v>-2.0897649271120255E-2</v>
      </c>
      <c r="F46" s="250">
        <f t="shared" si="6"/>
        <v>-2.0897649271120255</v>
      </c>
    </row>
    <row r="50" spans="9:14" x14ac:dyDescent="0.2">
      <c r="I50" s="256"/>
      <c r="J50" s="255" t="s">
        <v>132</v>
      </c>
      <c r="K50" s="255" t="s">
        <v>62</v>
      </c>
      <c r="L50" s="255" t="s">
        <v>63</v>
      </c>
      <c r="M50" s="255" t="s">
        <v>64</v>
      </c>
      <c r="N50" s="255" t="s">
        <v>37</v>
      </c>
    </row>
    <row r="51" spans="9:14" x14ac:dyDescent="0.2">
      <c r="I51" s="563" t="s">
        <v>164</v>
      </c>
      <c r="J51" s="562">
        <f>E41</f>
        <v>-4.4749334496521187E-2</v>
      </c>
      <c r="K51" s="562">
        <f>E42</f>
        <v>7.9672984109818046E-2</v>
      </c>
      <c r="L51" s="562">
        <f>E43</f>
        <v>-3.5960712361255864E-2</v>
      </c>
      <c r="M51" s="562">
        <f>E44</f>
        <v>-9.4694609291345877E-3</v>
      </c>
      <c r="N51" s="562">
        <f>E45</f>
        <v>6.9126559515946262E-3</v>
      </c>
    </row>
    <row r="52" spans="9:14" x14ac:dyDescent="0.2">
      <c r="I52" s="563"/>
      <c r="J52" s="562"/>
      <c r="K52" s="562"/>
      <c r="L52" s="562"/>
      <c r="M52" s="562"/>
      <c r="N52" s="562"/>
    </row>
    <row r="53" spans="9:14" x14ac:dyDescent="0.2">
      <c r="I53" s="563" t="s">
        <v>165</v>
      </c>
      <c r="J53" s="560">
        <f>F41</f>
        <v>-1.8299678326553592</v>
      </c>
      <c r="K53" s="560">
        <f>F42</f>
        <v>0.23331613723509806</v>
      </c>
      <c r="L53" s="560">
        <f>F43</f>
        <v>-0.12605062384562377</v>
      </c>
      <c r="M53" s="560">
        <f>F44</f>
        <v>-0.42264302868203313</v>
      </c>
      <c r="N53" s="560">
        <f>F45</f>
        <v>5.5580420835896219E-2</v>
      </c>
    </row>
    <row r="54" spans="9:14" x14ac:dyDescent="0.2">
      <c r="I54" s="563"/>
      <c r="J54" s="560"/>
      <c r="K54" s="560"/>
      <c r="L54" s="560"/>
      <c r="M54" s="560"/>
      <c r="N54" s="560"/>
    </row>
  </sheetData>
  <mergeCells count="12">
    <mergeCell ref="N53:N54"/>
    <mergeCell ref="I51:I52"/>
    <mergeCell ref="J51:J52"/>
    <mergeCell ref="K51:K52"/>
    <mergeCell ref="L51:L52"/>
    <mergeCell ref="M51:M52"/>
    <mergeCell ref="N51:N52"/>
    <mergeCell ref="I53:I54"/>
    <mergeCell ref="J53:J54"/>
    <mergeCell ref="K53:K54"/>
    <mergeCell ref="L53:L54"/>
    <mergeCell ref="M53:M54"/>
  </mergeCells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tabColor theme="7" tint="0.39997558519241921"/>
  </sheetPr>
  <dimension ref="A1:E38"/>
  <sheetViews>
    <sheetView zoomScale="90" zoomScaleNormal="90" workbookViewId="0"/>
  </sheetViews>
  <sheetFormatPr baseColWidth="10" defaultColWidth="46" defaultRowHeight="12.75" x14ac:dyDescent="0.2"/>
  <cols>
    <col min="1" max="1" width="34.85546875" bestFit="1" customWidth="1"/>
    <col min="2" max="2" width="17.85546875" bestFit="1" customWidth="1"/>
    <col min="3" max="3" width="18.140625" bestFit="1" customWidth="1"/>
  </cols>
  <sheetData>
    <row r="1" spans="1:5" x14ac:dyDescent="0.2">
      <c r="A1" s="392" t="s">
        <v>224</v>
      </c>
    </row>
    <row r="2" spans="1:5" ht="24" x14ac:dyDescent="0.2">
      <c r="A2" s="462" t="s">
        <v>15</v>
      </c>
      <c r="B2" s="463">
        <f>'NSA1 ok'!C1</f>
        <v>2024</v>
      </c>
      <c r="C2" s="463">
        <f>'NSA1 ok'!D1</f>
        <v>2025</v>
      </c>
    </row>
    <row r="3" spans="1:5" x14ac:dyDescent="0.2">
      <c r="A3" s="14" t="s">
        <v>85</v>
      </c>
      <c r="B3" s="87">
        <f>'COMPTES NSA (Chiffres Utiles)ok'!D7+'COMPTES NSA (Chiffres Utiles)ok'!D14+'COMPTES NSA (Chiffres Utiles)ok'!D21+'COMPTES NSA (Chiffres Utiles)ok'!D30+'COMPTES NSA (Chiffres Utiles)ok'!D37+'COMPTES NSA (Chiffres Utiles)ok'!D44+'COMPTES NSA (Chiffres Utiles)ok'!D51</f>
        <v>6741.1142172599994</v>
      </c>
      <c r="C3" s="87">
        <f>'COMPTES NSA (Chiffres Utiles)ok'!E7+'COMPTES NSA (Chiffres Utiles)ok'!E14+'COMPTES NSA (Chiffres Utiles)ok'!E30+'COMPTES NSA (Chiffres Utiles)ok'!E37+'COMPTES NSA (Chiffres Utiles)ok'!E44+'COMPTES NSA (Chiffres Utiles)ok'!E51+'COMPTES NSA (Chiffres Utiles)ok'!E21</f>
        <v>6435.3547742700002</v>
      </c>
      <c r="D3" s="22"/>
      <c r="E3" s="22"/>
    </row>
    <row r="4" spans="1:5" x14ac:dyDescent="0.2">
      <c r="A4" s="14" t="s">
        <v>86</v>
      </c>
      <c r="B4" s="87">
        <f>'COMPTES NSA (Chiffres Utiles)ok'!Q6+'COMPTES NSA (Chiffres Utiles)ok'!Q13+'COMPTES NSA (Chiffres Utiles)ok'!Q20+'COMPTES NSA (Chiffres Utiles)ok'!Q27+'COMPTES NSA (Chiffres Utiles)ok'!Q41+'COMPTES NSA (Chiffres Utiles)ok'!Q48+'COMPTES NSA (Chiffres Utiles)ok'!Q55+'COMPTES NSA (Chiffres Utiles)ok'!Q62+'COMPTES NSA (Chiffres Utiles)ok'!Q69+'COMPTES NSA (Chiffres Utiles)ok'!Q34</f>
        <v>6739.8950729299995</v>
      </c>
      <c r="C4" s="87">
        <f>'COMPTES NSA (Chiffres Utiles)ok'!R6+'COMPTES NSA (Chiffres Utiles)ok'!R13+'COMPTES NSA (Chiffres Utiles)ok'!R20+'COMPTES NSA (Chiffres Utiles)ok'!R27+'COMPTES NSA (Chiffres Utiles)ok'!R41+'COMPTES NSA (Chiffres Utiles)ok'!R48+'COMPTES NSA (Chiffres Utiles)ok'!R55+'COMPTES NSA (Chiffres Utiles)ok'!R62+'COMPTES NSA (Chiffres Utiles)ok'!R69+'COMPTES NSA (Chiffres Utiles)ok'!R34</f>
        <v>6438.2892538400001</v>
      </c>
    </row>
    <row r="5" spans="1:5" x14ac:dyDescent="0.2">
      <c r="A5" s="464" t="s">
        <v>127</v>
      </c>
      <c r="B5" s="465">
        <f>B4-B3</f>
        <v>-1.2191443299998355</v>
      </c>
      <c r="C5" s="465">
        <f>C4-C3</f>
        <v>2.934479569999894</v>
      </c>
    </row>
    <row r="6" spans="1:5" x14ac:dyDescent="0.2">
      <c r="A6" s="14" t="s">
        <v>87</v>
      </c>
      <c r="B6" s="87">
        <f>'COMPTES NSA (Chiffres Utiles)ok'!D11+'COMPTES NSA (Chiffres Utiles)ok'!D18+'COMPTES NSA (Chiffres Utiles)ok'!D25+'COMPTES NSA (Chiffres Utiles)ok'!D34+'COMPTES NSA (Chiffres Utiles)ok'!D41+'COMPTES NSA (Chiffres Utiles)ok'!D48+'COMPTES NSA (Chiffres Utiles)ok'!D55</f>
        <v>7242.5508439799987</v>
      </c>
      <c r="C6" s="87">
        <f>'COMPTES NSA (Chiffres Utiles)ok'!E11+'COMPTES NSA (Chiffres Utiles)ok'!E18+'COMPTES NSA (Chiffres Utiles)ok'!E25+'COMPTES NSA (Chiffres Utiles)ok'!E34+'COMPTES NSA (Chiffres Utiles)ok'!E41+'COMPTES NSA (Chiffres Utiles)ok'!E48+'COMPTES NSA (Chiffres Utiles)ok'!E55</f>
        <v>7182.5108837500011</v>
      </c>
    </row>
    <row r="7" spans="1:5" x14ac:dyDescent="0.2">
      <c r="A7" s="14" t="s">
        <v>88</v>
      </c>
      <c r="B7" s="87">
        <f>'COMPTES NSA (Chiffres Utiles)ok'!Q10+'COMPTES NSA (Chiffres Utiles)ok'!Q17+'COMPTES NSA (Chiffres Utiles)ok'!Q24+'COMPTES NSA (Chiffres Utiles)ok'!Q31+'COMPTES NSA (Chiffres Utiles)ok'!Q45+'COMPTES NSA (Chiffres Utiles)ok'!Q52+'COMPTES NSA (Chiffres Utiles)ok'!Q59+'COMPTES NSA (Chiffres Utiles)ok'!Q66+'COMPTES NSA (Chiffres Utiles)ok'!Q73</f>
        <v>7356.0507035499995</v>
      </c>
      <c r="C7" s="87">
        <f>'COMPTES NSA (Chiffres Utiles)ok'!R10+'COMPTES NSA (Chiffres Utiles)ok'!R17+'COMPTES NSA (Chiffres Utiles)ok'!R24+'COMPTES NSA (Chiffres Utiles)ok'!R31+'COMPTES NSA (Chiffres Utiles)ok'!R45+'COMPTES NSA (Chiffres Utiles)ok'!R52+'COMPTES NSA (Chiffres Utiles)ok'!R59+'COMPTES NSA (Chiffres Utiles)ok'!R66+'COMPTES NSA (Chiffres Utiles)ok'!R73</f>
        <v>7286.3928688199994</v>
      </c>
    </row>
    <row r="8" spans="1:5" x14ac:dyDescent="0.2">
      <c r="A8" s="464" t="s">
        <v>89</v>
      </c>
      <c r="B8" s="465">
        <f>B7-B6</f>
        <v>113.49985957000081</v>
      </c>
      <c r="C8" s="465">
        <f>C7-C6</f>
        <v>103.88198506999834</v>
      </c>
    </row>
    <row r="9" spans="1:5" x14ac:dyDescent="0.2">
      <c r="A9" s="299" t="s">
        <v>90</v>
      </c>
      <c r="B9" s="87">
        <f>'COMPTES NSA (Chiffres Utiles)ok'!D8+'COMPTES NSA (Chiffres Utiles)ok'!D15+'COMPTES NSA (Chiffres Utiles)ok'!D22+'COMPTES NSA (Chiffres Utiles)ok'!D31+'COMPTES NSA (Chiffres Utiles)ok'!D38+'COMPTES NSA (Chiffres Utiles)ok'!D45+'COMPTES NSA (Chiffres Utiles)ok'!D52</f>
        <v>533.48982902000012</v>
      </c>
      <c r="C9" s="87">
        <f>'COMPTES NSA (Chiffres Utiles)ok'!E8+'COMPTES NSA (Chiffres Utiles)ok'!E15+'COMPTES NSA (Chiffres Utiles)ok'!E22+'COMPTES NSA (Chiffres Utiles)ok'!E31+'COMPTES NSA (Chiffres Utiles)ok'!E38+'COMPTES NSA (Chiffres Utiles)ok'!E45+'COMPTES NSA (Chiffres Utiles)ok'!E52</f>
        <v>544.46531756000002</v>
      </c>
    </row>
    <row r="10" spans="1:5" x14ac:dyDescent="0.2">
      <c r="A10" s="299" t="s">
        <v>91</v>
      </c>
      <c r="B10" s="87">
        <f>+'COMPTES NSA (Chiffres Utiles)ok'!Q8+'COMPTES NSA (Chiffres Utiles)ok'!Q15+'COMPTES NSA (Chiffres Utiles)ok'!Q22+'COMPTES NSA (Chiffres Utiles)ok'!Q29+'COMPTES NSA (Chiffres Utiles)ok'!Q36+'COMPTES NSA (Chiffres Utiles)ok'!Q43+'COMPTES NSA (Chiffres Utiles)ok'!Q50+'COMPTES NSA (Chiffres Utiles)ok'!Q57+'COMPTES NSA (Chiffres Utiles)ok'!Q64+'COMPTES NSA (Chiffres Utiles)ok'!Q71</f>
        <v>482.64738179000005</v>
      </c>
      <c r="C10" s="331">
        <f>+'COMPTES NSA (Chiffres Utiles)ok'!R8+'COMPTES NSA (Chiffres Utiles)ok'!R15+'COMPTES NSA (Chiffres Utiles)ok'!R22+'COMPTES NSA (Chiffres Utiles)ok'!R29+'COMPTES NSA (Chiffres Utiles)ok'!R36+'COMPTES NSA (Chiffres Utiles)ok'!R43+'COMPTES NSA (Chiffres Utiles)ok'!R50+'COMPTES NSA (Chiffres Utiles)ok'!R57+'COMPTES NSA (Chiffres Utiles)ok'!R64+'COMPTES NSA (Chiffres Utiles)ok'!R71</f>
        <v>521.10133897000003</v>
      </c>
    </row>
    <row r="11" spans="1:5" x14ac:dyDescent="0.2">
      <c r="A11" s="464" t="s">
        <v>92</v>
      </c>
      <c r="B11" s="465">
        <f>B10-B9</f>
        <v>-50.842447230000062</v>
      </c>
      <c r="C11" s="466">
        <f>C10-C9</f>
        <v>-23.363978589999988</v>
      </c>
    </row>
    <row r="12" spans="1:5" x14ac:dyDescent="0.2">
      <c r="A12" s="14" t="s">
        <v>93</v>
      </c>
      <c r="B12" s="87">
        <f>'COMPTES NSA (Chiffres Utiles)ok'!D9+'COMPTES NSA (Chiffres Utiles)ok'!D16+'COMPTES NSA (Chiffres Utiles)ok'!D23+'COMPTES NSA (Chiffres Utiles)ok'!D32+'COMPTES NSA (Chiffres Utiles)ok'!D39+'COMPTES NSA (Chiffres Utiles)ok'!D46+'COMPTES NSA (Chiffres Utiles)ok'!D53</f>
        <v>577.71216615999992</v>
      </c>
      <c r="C12" s="87">
        <f>'COMPTES NSA (Chiffres Utiles)ok'!E9+'COMPTES NSA (Chiffres Utiles)ok'!E16+'COMPTES NSA (Chiffres Utiles)ok'!E23+'COMPTES NSA (Chiffres Utiles)ok'!E32+'COMPTES NSA (Chiffres Utiles)ok'!E39+'COMPTES NSA (Chiffres Utiles)ok'!E46+'COMPTES NSA (Chiffres Utiles)ok'!E53</f>
        <v>556.93909781000002</v>
      </c>
    </row>
    <row r="13" spans="1:5" x14ac:dyDescent="0.2">
      <c r="A13" s="14" t="s">
        <v>94</v>
      </c>
      <c r="B13" s="87">
        <f>'COMPTES NSA (Chiffres Utiles)ok'!Q7+'COMPTES NSA (Chiffres Utiles)ok'!Q14+'COMPTES NSA (Chiffres Utiles)ok'!Q21+'COMPTES NSA (Chiffres Utiles)ok'!Q28+'COMPTES NSA (Chiffres Utiles)ok'!Q42+'COMPTES NSA (Chiffres Utiles)ok'!Q49+'COMPTES NSA (Chiffres Utiles)ok'!Q56+'COMPTES NSA (Chiffres Utiles)ok'!Q63+'COMPTES NSA (Chiffres Utiles)ok'!Q70+'COMPTES NSA (Chiffres Utiles)ok'!Q35</f>
        <v>577.7141087</v>
      </c>
      <c r="C13" s="87">
        <f>'COMPTES NSA (Chiffres Utiles)ok'!R7+'COMPTES NSA (Chiffres Utiles)ok'!R14+'COMPTES NSA (Chiffres Utiles)ok'!R21+'COMPTES NSA (Chiffres Utiles)ok'!R28+'COMPTES NSA (Chiffres Utiles)ok'!R42+'COMPTES NSA (Chiffres Utiles)ok'!R49+'COMPTES NSA (Chiffres Utiles)ok'!R56+'COMPTES NSA (Chiffres Utiles)ok'!R63+'COMPTES NSA (Chiffres Utiles)ok'!R70+'COMPTES NSA (Chiffres Utiles)ok'!R35</f>
        <v>556.93909781000002</v>
      </c>
    </row>
    <row r="14" spans="1:5" x14ac:dyDescent="0.2">
      <c r="A14" s="464" t="s">
        <v>95</v>
      </c>
      <c r="B14" s="465">
        <f>B13-B12</f>
        <v>1.9425400000727677E-3</v>
      </c>
      <c r="C14" s="465">
        <f>C13-C12</f>
        <v>0</v>
      </c>
    </row>
    <row r="15" spans="1:5" x14ac:dyDescent="0.2">
      <c r="A15" s="14" t="s">
        <v>99</v>
      </c>
      <c r="B15" s="87">
        <f>'COMPTES NSA (Chiffres Utiles)ok'!D10+'COMPTES NSA (Chiffres Utiles)ok'!D17+'COMPTES NSA (Chiffres Utiles)ok'!D24+'COMPTES NSA (Chiffres Utiles)ok'!D33+'COMPTES NSA (Chiffres Utiles)ok'!D40+'COMPTES NSA (Chiffres Utiles)ok'!D47+'COMPTES NSA (Chiffres Utiles)ok'!D54</f>
        <v>1287.7412099799997</v>
      </c>
      <c r="C15" s="87">
        <f>'COMPTES NSA (Chiffres Utiles)ok'!E10+'COMPTES NSA (Chiffres Utiles)ok'!E17+'COMPTES NSA (Chiffres Utiles)ok'!E24+'COMPTES NSA (Chiffres Utiles)ok'!E33+'COMPTES NSA (Chiffres Utiles)ok'!E40+'COMPTES NSA (Chiffres Utiles)ok'!E47+'COMPTES NSA (Chiffres Utiles)ok'!E54</f>
        <v>1353.1600318699998</v>
      </c>
    </row>
    <row r="16" spans="1:5" x14ac:dyDescent="0.2">
      <c r="A16" s="14" t="s">
        <v>100</v>
      </c>
      <c r="B16" s="204">
        <f>'COMPTES NSA (Chiffres Utiles)ok'!Q9+'COMPTES NSA (Chiffres Utiles)ok'!Q16+'COMPTES NSA (Chiffres Utiles)ok'!Q23+'COMPTES NSA (Chiffres Utiles)ok'!Q30+'COMPTES NSA (Chiffres Utiles)ok'!Q44+'COMPTES NSA (Chiffres Utiles)ok'!Q51+'COMPTES NSA (Chiffres Utiles)ok'!Q58+'COMPTES NSA (Chiffres Utiles)ok'!Q65+'COMPTES NSA (Chiffres Utiles)ok'!Q72</f>
        <v>1325.17474096</v>
      </c>
      <c r="C16" s="204">
        <f>'COMPTES NSA (Chiffres Utiles)ok'!R9+'COMPTES NSA (Chiffres Utiles)ok'!R16+'COMPTES NSA (Chiffres Utiles)ok'!R23+'COMPTES NSA (Chiffres Utiles)ok'!R30+'COMPTES NSA (Chiffres Utiles)ok'!R44+'COMPTES NSA (Chiffres Utiles)ok'!R51+'COMPTES NSA (Chiffres Utiles)ok'!R58+'COMPTES NSA (Chiffres Utiles)ok'!R65+'COMPTES NSA (Chiffres Utiles)ok'!R72</f>
        <v>1334.33521802</v>
      </c>
      <c r="D16" s="292"/>
    </row>
    <row r="17" spans="1:4" x14ac:dyDescent="0.2">
      <c r="A17" s="464" t="s">
        <v>101</v>
      </c>
      <c r="B17" s="465">
        <f>B16-B15</f>
        <v>37.433530980000342</v>
      </c>
      <c r="C17" s="465">
        <f>C16-C15</f>
        <v>-18.824813849999828</v>
      </c>
    </row>
    <row r="18" spans="1:4" x14ac:dyDescent="0.2">
      <c r="A18" s="14" t="s">
        <v>96</v>
      </c>
      <c r="B18" s="204">
        <f>B3+B6+B9+B12+B15</f>
        <v>16382.608266399997</v>
      </c>
      <c r="C18" s="204">
        <f>C3+C6+C9+C12+C15</f>
        <v>16072.43010526</v>
      </c>
      <c r="D18" s="206">
        <f>'COMPTES NSA (Chiffres Utiles)ok'!E57</f>
        <v>16072.43010526</v>
      </c>
    </row>
    <row r="19" spans="1:4" x14ac:dyDescent="0.2">
      <c r="A19" s="14" t="s">
        <v>97</v>
      </c>
      <c r="B19" s="204">
        <f>B4+B7+B10+B13+B16</f>
        <v>16481.482007930001</v>
      </c>
      <c r="C19" s="204">
        <f>C4+C7+C10+C13+C16</f>
        <v>16137.057777460001</v>
      </c>
      <c r="D19" s="206">
        <f>'COMPTES NSA (Chiffres Utiles)ok'!R75</f>
        <v>16137.057777459999</v>
      </c>
    </row>
    <row r="20" spans="1:4" x14ac:dyDescent="0.2">
      <c r="A20" s="464" t="s">
        <v>98</v>
      </c>
      <c r="B20" s="466">
        <f>B19-B18</f>
        <v>98.873741530003826</v>
      </c>
      <c r="C20" s="466">
        <f>C19-C18</f>
        <v>64.627672200000234</v>
      </c>
    </row>
    <row r="21" spans="1:4" x14ac:dyDescent="0.2">
      <c r="B21" s="231">
        <f>'COMPTES NSA (Chiffres Utiles)ok'!D58</f>
        <v>98.873741530002007</v>
      </c>
      <c r="C21" s="231">
        <f>'COMPTES NSA (Chiffres Utiles)ok'!E58</f>
        <v>64.627672199998415</v>
      </c>
    </row>
    <row r="22" spans="1:4" x14ac:dyDescent="0.2">
      <c r="B22" t="b">
        <f>B19='COMPTES NSA (Chiffres Utiles)ok'!Q75</f>
        <v>1</v>
      </c>
    </row>
    <row r="23" spans="1:4" ht="13.5" thickBot="1" x14ac:dyDescent="0.25"/>
    <row r="24" spans="1:4" x14ac:dyDescent="0.2">
      <c r="A24" s="564" t="s">
        <v>120</v>
      </c>
      <c r="B24" s="566">
        <v>2024</v>
      </c>
      <c r="C24" s="569">
        <v>2025</v>
      </c>
      <c r="D24" s="569" t="s">
        <v>235</v>
      </c>
    </row>
    <row r="25" spans="1:4" ht="31.5" customHeight="1" x14ac:dyDescent="0.2">
      <c r="A25" s="564"/>
      <c r="B25" s="567"/>
      <c r="C25" s="570"/>
      <c r="D25" s="570"/>
    </row>
    <row r="26" spans="1:4" ht="13.5" thickBot="1" x14ac:dyDescent="0.25">
      <c r="A26" s="565"/>
      <c r="B26" s="568"/>
      <c r="C26" s="571"/>
      <c r="D26" s="571"/>
    </row>
    <row r="27" spans="1:4" ht="13.5" thickBot="1" x14ac:dyDescent="0.25">
      <c r="A27" s="233" t="s">
        <v>121</v>
      </c>
      <c r="B27" s="326">
        <f>[3]Maladie!$H$215</f>
        <v>3501.7900372899999</v>
      </c>
      <c r="C27" s="326">
        <f>[3]Maladie!$I$215</f>
        <v>3021.0033701399998</v>
      </c>
      <c r="D27" s="234">
        <f>C27/B27-1</f>
        <v>-0.13729739990981182</v>
      </c>
    </row>
    <row r="28" spans="1:4" ht="13.5" thickBot="1" x14ac:dyDescent="0.25">
      <c r="A28" s="235" t="s">
        <v>122</v>
      </c>
      <c r="B28" s="327">
        <f>[3]Famille!$H$123</f>
        <v>331.27276660000001</v>
      </c>
      <c r="C28" s="327">
        <f>[3]Famille!$I$123</f>
        <v>384.54005747999997</v>
      </c>
      <c r="D28" s="234">
        <f>C28/B28-1</f>
        <v>0.16079586446753802</v>
      </c>
    </row>
    <row r="29" spans="1:4" ht="13.5" thickBot="1" x14ac:dyDescent="0.25">
      <c r="A29" s="236" t="s">
        <v>123</v>
      </c>
      <c r="B29" s="296">
        <f>SUM(B27:B28)</f>
        <v>3833.0628038899999</v>
      </c>
      <c r="C29" s="296">
        <f>SUM(C27:C28)</f>
        <v>3405.5434276199999</v>
      </c>
      <c r="D29" s="237">
        <f>C29/B29-1</f>
        <v>-0.11153466513414034</v>
      </c>
    </row>
    <row r="38" spans="4:4" x14ac:dyDescent="0.2">
      <c r="D38" t="s">
        <v>161</v>
      </c>
    </row>
  </sheetData>
  <mergeCells count="4">
    <mergeCell ref="A24:A26"/>
    <mergeCell ref="B24:B26"/>
    <mergeCell ref="C24:C26"/>
    <mergeCell ref="D24:D2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E13"/>
  <sheetViews>
    <sheetView workbookViewId="0">
      <selection activeCell="A23" sqref="A23"/>
    </sheetView>
  </sheetViews>
  <sheetFormatPr baseColWidth="10" defaultRowHeight="12.75" x14ac:dyDescent="0.2"/>
  <cols>
    <col min="1" max="1" width="81" bestFit="1" customWidth="1"/>
    <col min="4" max="4" width="13.85546875" style="251" bestFit="1" customWidth="1"/>
    <col min="5" max="5" width="17" style="251" customWidth="1"/>
  </cols>
  <sheetData>
    <row r="1" spans="1:5" ht="25.5" x14ac:dyDescent="0.2">
      <c r="A1" s="258" t="s">
        <v>145</v>
      </c>
      <c r="B1" s="257">
        <v>2015</v>
      </c>
      <c r="C1" s="257">
        <v>2016</v>
      </c>
      <c r="D1" s="259" t="s">
        <v>117</v>
      </c>
      <c r="E1" s="258" t="s">
        <v>142</v>
      </c>
    </row>
    <row r="2" spans="1:5" x14ac:dyDescent="0.2">
      <c r="A2" s="262" t="s">
        <v>129</v>
      </c>
      <c r="B2" s="263">
        <v>100.40417825</v>
      </c>
      <c r="C2" s="263">
        <v>0</v>
      </c>
      <c r="D2" s="264">
        <f t="shared" ref="D2:D10" si="0">C2/$C$11</f>
        <v>0</v>
      </c>
      <c r="E2" s="271" t="s">
        <v>143</v>
      </c>
    </row>
    <row r="3" spans="1:5" x14ac:dyDescent="0.2">
      <c r="A3" s="265" t="s">
        <v>133</v>
      </c>
      <c r="B3" s="266">
        <v>15.04352967</v>
      </c>
      <c r="C3" s="266">
        <v>0</v>
      </c>
      <c r="D3" s="267">
        <f t="shared" si="0"/>
        <v>0</v>
      </c>
      <c r="E3" s="272" t="s">
        <v>143</v>
      </c>
    </row>
    <row r="4" spans="1:5" x14ac:dyDescent="0.2">
      <c r="A4" s="265" t="s">
        <v>134</v>
      </c>
      <c r="B4" s="266">
        <v>115.77636389</v>
      </c>
      <c r="C4" s="266">
        <v>105.69936294000001</v>
      </c>
      <c r="D4" s="267">
        <f t="shared" si="0"/>
        <v>8.1296778490534072E-2</v>
      </c>
      <c r="E4" s="273">
        <v>-8.7038499149742043E-2</v>
      </c>
    </row>
    <row r="5" spans="1:5" x14ac:dyDescent="0.2">
      <c r="A5" s="265" t="s">
        <v>135</v>
      </c>
      <c r="B5" s="266">
        <v>952.56898638999996</v>
      </c>
      <c r="C5" s="266">
        <v>935.21756369000002</v>
      </c>
      <c r="D5" s="267">
        <f t="shared" si="0"/>
        <v>0.71930589741511697</v>
      </c>
      <c r="E5" s="273">
        <v>-1.821539746507761E-2</v>
      </c>
    </row>
    <row r="6" spans="1:5" x14ac:dyDescent="0.2">
      <c r="A6" s="265" t="s">
        <v>137</v>
      </c>
      <c r="B6" s="266">
        <v>158.633747</v>
      </c>
      <c r="C6" s="266">
        <v>141.876791</v>
      </c>
      <c r="D6" s="267">
        <f t="shared" si="0"/>
        <v>0.10912200159070132</v>
      </c>
      <c r="E6" s="273">
        <v>-0.10563298362989559</v>
      </c>
    </row>
    <row r="7" spans="1:5" x14ac:dyDescent="0.2">
      <c r="A7" s="265" t="s">
        <v>141</v>
      </c>
      <c r="B7" s="266">
        <v>63.089046169999996</v>
      </c>
      <c r="C7" s="266">
        <v>62.692565159999994</v>
      </c>
      <c r="D7" s="267">
        <f t="shared" si="0"/>
        <v>4.8218867560337372E-2</v>
      </c>
      <c r="E7" s="273">
        <v>-6.2844667033266077E-3</v>
      </c>
    </row>
    <row r="8" spans="1:5" x14ac:dyDescent="0.2">
      <c r="A8" s="265" t="s">
        <v>136</v>
      </c>
      <c r="B8" s="266">
        <v>2.3867078099999999</v>
      </c>
      <c r="C8" s="266">
        <v>2.7880174800000002</v>
      </c>
      <c r="D8" s="267">
        <f t="shared" si="0"/>
        <v>2.1443538844028625E-3</v>
      </c>
      <c r="E8" s="273">
        <v>0.1681436111779433</v>
      </c>
    </row>
    <row r="9" spans="1:5" x14ac:dyDescent="0.2">
      <c r="A9" s="265" t="s">
        <v>138</v>
      </c>
      <c r="B9" s="266">
        <v>70.495715000000004</v>
      </c>
      <c r="C9" s="266">
        <v>51.603861000000002</v>
      </c>
      <c r="D9" s="267">
        <f t="shared" si="0"/>
        <v>3.9690188666082322E-2</v>
      </c>
      <c r="E9" s="273">
        <v>-0.26798584850157203</v>
      </c>
    </row>
    <row r="10" spans="1:5" x14ac:dyDescent="0.2">
      <c r="A10" s="268" t="s">
        <v>139</v>
      </c>
      <c r="B10" s="269">
        <v>0</v>
      </c>
      <c r="C10" s="269">
        <v>0.28852310000000003</v>
      </c>
      <c r="D10" s="270">
        <f t="shared" si="0"/>
        <v>2.2191239282508214E-4</v>
      </c>
      <c r="E10" s="274" t="s">
        <v>144</v>
      </c>
    </row>
    <row r="11" spans="1:5" x14ac:dyDescent="0.2">
      <c r="A11" s="205" t="s">
        <v>140</v>
      </c>
      <c r="B11" s="260">
        <f>SUM(B2:B10)</f>
        <v>1478.39827418</v>
      </c>
      <c r="C11" s="260">
        <f>SUM(C2:C10)</f>
        <v>1300.16668437</v>
      </c>
      <c r="D11" s="261">
        <f>SUM(D2:D10)</f>
        <v>0.99999999999999989</v>
      </c>
      <c r="E11" s="275">
        <v>-0.12055722258527191</v>
      </c>
    </row>
    <row r="12" spans="1:5" x14ac:dyDescent="0.2">
      <c r="B12" s="22" t="b">
        <f>B11='%charges ok'!B4</f>
        <v>0</v>
      </c>
      <c r="C12" s="22" t="b">
        <f>C11='%charges ok'!C4</f>
        <v>0</v>
      </c>
    </row>
    <row r="13" spans="1:5" x14ac:dyDescent="0.2">
      <c r="B13" s="22"/>
      <c r="C13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19A4-B441-49B1-BC80-1B5E87880D1D}">
  <dimension ref="A1:Q32"/>
  <sheetViews>
    <sheetView zoomScale="90" zoomScaleNormal="90" workbookViewId="0">
      <selection activeCell="Q9" sqref="Q9"/>
    </sheetView>
  </sheetViews>
  <sheetFormatPr baseColWidth="10" defaultRowHeight="12.75" x14ac:dyDescent="0.2"/>
  <cols>
    <col min="1" max="1" width="17.28515625" customWidth="1"/>
    <col min="2" max="2" width="21.28515625" customWidth="1"/>
    <col min="3" max="3" width="13" bestFit="1" customWidth="1"/>
  </cols>
  <sheetData>
    <row r="1" spans="1:17" ht="24.75" thickBot="1" x14ac:dyDescent="0.25">
      <c r="A1" s="348" t="s">
        <v>225</v>
      </c>
      <c r="B1" s="349" t="s">
        <v>188</v>
      </c>
      <c r="D1" s="532" t="s">
        <v>210</v>
      </c>
      <c r="E1" s="533"/>
      <c r="F1" s="533"/>
      <c r="G1" s="533"/>
      <c r="H1" s="533"/>
      <c r="I1" s="533"/>
      <c r="J1" s="534"/>
    </row>
    <row r="2" spans="1:17" ht="13.5" thickBot="1" x14ac:dyDescent="0.25">
      <c r="A2" s="528" t="s">
        <v>189</v>
      </c>
      <c r="B2" s="529"/>
    </row>
    <row r="3" spans="1:17" ht="13.5" thickBot="1" x14ac:dyDescent="0.25">
      <c r="A3" s="350" t="s">
        <v>190</v>
      </c>
      <c r="B3" s="351" t="s">
        <v>191</v>
      </c>
    </row>
    <row r="4" spans="1:17" ht="13.5" thickBot="1" x14ac:dyDescent="0.25">
      <c r="A4" s="350" t="s">
        <v>192</v>
      </c>
      <c r="B4" s="351" t="s">
        <v>193</v>
      </c>
    </row>
    <row r="5" spans="1:17" ht="13.5" thickBot="1" x14ac:dyDescent="0.25">
      <c r="A5" s="350" t="s">
        <v>194</v>
      </c>
      <c r="B5" s="351" t="s">
        <v>193</v>
      </c>
    </row>
    <row r="6" spans="1:17" ht="13.5" thickBot="1" x14ac:dyDescent="0.25">
      <c r="A6" s="350" t="s">
        <v>195</v>
      </c>
      <c r="B6" s="351" t="s">
        <v>226</v>
      </c>
    </row>
    <row r="7" spans="1:17" ht="13.5" thickBot="1" x14ac:dyDescent="0.25">
      <c r="A7" s="350" t="s">
        <v>196</v>
      </c>
      <c r="B7" s="351" t="s">
        <v>197</v>
      </c>
    </row>
    <row r="8" spans="1:17" ht="13.5" thickBot="1" x14ac:dyDescent="0.25">
      <c r="A8" s="352" t="s">
        <v>198</v>
      </c>
      <c r="B8" s="353" t="s">
        <v>197</v>
      </c>
      <c r="Q8" t="s">
        <v>163</v>
      </c>
    </row>
    <row r="9" spans="1:17" ht="13.5" thickBot="1" x14ac:dyDescent="0.25">
      <c r="A9" s="352" t="s">
        <v>199</v>
      </c>
      <c r="B9" s="351" t="s">
        <v>226</v>
      </c>
    </row>
    <row r="10" spans="1:17" ht="13.5" thickBot="1" x14ac:dyDescent="0.25">
      <c r="A10" s="352" t="s">
        <v>200</v>
      </c>
      <c r="B10" s="351" t="s">
        <v>201</v>
      </c>
    </row>
    <row r="11" spans="1:17" ht="13.5" thickBot="1" x14ac:dyDescent="0.25">
      <c r="A11" s="352" t="s">
        <v>202</v>
      </c>
      <c r="B11" s="351" t="s">
        <v>201</v>
      </c>
    </row>
    <row r="12" spans="1:17" ht="13.5" thickBot="1" x14ac:dyDescent="0.25">
      <c r="A12" s="530" t="s">
        <v>203</v>
      </c>
      <c r="B12" s="531"/>
    </row>
    <row r="13" spans="1:17" ht="13.5" thickBot="1" x14ac:dyDescent="0.25">
      <c r="A13" s="354" t="s">
        <v>204</v>
      </c>
      <c r="B13" s="355" t="s">
        <v>193</v>
      </c>
    </row>
    <row r="14" spans="1:17" ht="13.5" thickBot="1" x14ac:dyDescent="0.25">
      <c r="A14" s="354" t="s">
        <v>205</v>
      </c>
      <c r="B14" s="355" t="s">
        <v>193</v>
      </c>
    </row>
    <row r="15" spans="1:17" ht="13.5" thickBot="1" x14ac:dyDescent="0.25">
      <c r="A15" s="354" t="s">
        <v>206</v>
      </c>
      <c r="B15" s="355" t="s">
        <v>226</v>
      </c>
    </row>
    <row r="16" spans="1:17" ht="13.5" thickBot="1" x14ac:dyDescent="0.25">
      <c r="A16" s="354" t="s">
        <v>207</v>
      </c>
      <c r="B16" s="355" t="s">
        <v>197</v>
      </c>
    </row>
    <row r="17" spans="1:5" ht="13.5" thickBot="1" x14ac:dyDescent="0.25">
      <c r="A17" s="354" t="s">
        <v>208</v>
      </c>
      <c r="B17" s="355" t="s">
        <v>197</v>
      </c>
    </row>
    <row r="18" spans="1:5" ht="13.5" thickBot="1" x14ac:dyDescent="0.25">
      <c r="A18" s="354" t="s">
        <v>209</v>
      </c>
      <c r="B18" s="355" t="s">
        <v>226</v>
      </c>
    </row>
    <row r="19" spans="1:5" x14ac:dyDescent="0.2">
      <c r="C19" s="536">
        <f>SUM(D19:D23)</f>
        <v>16072.43010526</v>
      </c>
      <c r="D19" s="356">
        <f>'%charges ok'!C45</f>
        <v>7182.5108837500011</v>
      </c>
      <c r="E19" s="308" t="str">
        <f>'%charges ok'!A45</f>
        <v>RETRAITE</v>
      </c>
    </row>
    <row r="20" spans="1:5" x14ac:dyDescent="0.2">
      <c r="C20" s="537"/>
      <c r="D20" s="356">
        <f>'%charges ok'!C42</f>
        <v>6435.3547742700002</v>
      </c>
      <c r="E20" s="308" t="str">
        <f>'%charges ok'!A42</f>
        <v>MALADIE (avec IJ Amexa)</v>
      </c>
    </row>
    <row r="21" spans="1:5" x14ac:dyDescent="0.2">
      <c r="C21" s="537"/>
      <c r="D21" s="356">
        <f>'%charges ok'!C46</f>
        <v>1353.16003187</v>
      </c>
      <c r="E21" s="308" t="str">
        <f>'%charges ok'!A46</f>
        <v>RCO</v>
      </c>
    </row>
    <row r="22" spans="1:5" x14ac:dyDescent="0.2">
      <c r="C22" s="537"/>
      <c r="D22" s="356">
        <f>'%charges ok'!C44</f>
        <v>556.93909781000002</v>
      </c>
      <c r="E22" s="308" t="str">
        <f>'%charges ok'!A44</f>
        <v>FAMILLE</v>
      </c>
    </row>
    <row r="23" spans="1:5" x14ac:dyDescent="0.2">
      <c r="C23" s="537"/>
      <c r="D23" s="356">
        <f>'%charges ok'!C43</f>
        <v>544.46531756000002</v>
      </c>
      <c r="E23" s="308" t="str">
        <f>'%charges ok'!A43</f>
        <v>Atexa</v>
      </c>
    </row>
    <row r="25" spans="1:5" x14ac:dyDescent="0.2">
      <c r="C25" s="535">
        <f>SUM(D25:D32)</f>
        <v>16137.057777459999</v>
      </c>
      <c r="D25" s="357">
        <f>'%produits ok'!C3</f>
        <v>5080.1464611199999</v>
      </c>
      <c r="E25" s="308" t="str">
        <f>'%produits ok'!A3</f>
        <v>ITAF</v>
      </c>
    </row>
    <row r="26" spans="1:5" x14ac:dyDescent="0.2">
      <c r="C26" s="535"/>
      <c r="D26" s="357">
        <f>'%produits ok'!C4</f>
        <v>3405.5434276199999</v>
      </c>
      <c r="E26" s="308" t="str">
        <f>'%produits ok'!A4</f>
        <v>Contributions du Régime général</v>
      </c>
    </row>
    <row r="27" spans="1:5" x14ac:dyDescent="0.2">
      <c r="C27" s="535"/>
      <c r="D27" s="357">
        <f>'%produits ok'!C6</f>
        <v>2769.3954443299999</v>
      </c>
      <c r="E27" s="308" t="str">
        <f>'%produits ok'!A6</f>
        <v>Cotisations employeurs</v>
      </c>
    </row>
    <row r="28" spans="1:5" x14ac:dyDescent="0.2">
      <c r="C28" s="535"/>
      <c r="D28" s="357">
        <f>'%produits ok'!C5</f>
        <v>2654.9246560000001</v>
      </c>
      <c r="E28" s="308" t="str">
        <f>'%produits ok'!A5</f>
        <v>Compensation démographique</v>
      </c>
    </row>
    <row r="29" spans="1:5" x14ac:dyDescent="0.2">
      <c r="C29" s="535"/>
      <c r="D29" s="357">
        <f>'%produits ok'!C7</f>
        <v>1636.5806494699991</v>
      </c>
      <c r="E29" s="308" t="str">
        <f>'%produits ok'!A7</f>
        <v>Autres produits</v>
      </c>
    </row>
    <row r="30" spans="1:5" x14ac:dyDescent="0.2">
      <c r="C30" s="535"/>
      <c r="D30" s="357">
        <f>'%produits ok'!C9</f>
        <v>502.01916304999997</v>
      </c>
      <c r="E30" s="308" t="str">
        <f>'%produits ok'!A9</f>
        <v>Contribution sociale généralisée</v>
      </c>
    </row>
    <row r="31" spans="1:5" x14ac:dyDescent="0.2">
      <c r="C31" s="535"/>
      <c r="D31" s="357">
        <f>'%produits ok'!C8</f>
        <v>60.930440740000002</v>
      </c>
      <c r="E31" s="308" t="str">
        <f>'%produits ok'!A8</f>
        <v>Prise en charge de prestations</v>
      </c>
    </row>
    <row r="32" spans="1:5" x14ac:dyDescent="0.2">
      <c r="C32" s="535"/>
      <c r="D32" s="357">
        <f>'%produits ok'!C10</f>
        <v>27.517535129999999</v>
      </c>
      <c r="E32" s="308" t="str">
        <f>'%produits ok'!A10</f>
        <v>Cotisations prises en charge par l'Etat</v>
      </c>
    </row>
  </sheetData>
  <mergeCells count="5">
    <mergeCell ref="A2:B2"/>
    <mergeCell ref="A12:B12"/>
    <mergeCell ref="D1:J1"/>
    <mergeCell ref="C25:C32"/>
    <mergeCell ref="C19:C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FD1E-77BD-4CC1-B736-516416BAB2DC}">
  <dimension ref="A1"/>
  <sheetViews>
    <sheetView showGridLines="0" zoomScale="40" zoomScaleNormal="40" workbookViewId="0">
      <selection activeCell="M3" sqref="M3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3"/>
  </sheetPr>
  <dimension ref="A1:AC115"/>
  <sheetViews>
    <sheetView zoomScale="90" zoomScaleNormal="90" workbookViewId="0"/>
  </sheetViews>
  <sheetFormatPr baseColWidth="10" defaultRowHeight="12.75" x14ac:dyDescent="0.2"/>
  <cols>
    <col min="1" max="1" width="46.42578125" style="132" customWidth="1"/>
    <col min="2" max="2" width="9.28515625" style="136" bestFit="1" customWidth="1"/>
    <col min="3" max="3" width="12" style="136" bestFit="1" customWidth="1"/>
    <col min="4" max="4" width="8.5703125" style="129" customWidth="1"/>
    <col min="5" max="5" width="8.5703125" style="130" customWidth="1"/>
    <col min="6" max="8" width="6.140625" style="134" customWidth="1"/>
    <col min="9" max="9" width="6.140625" style="135" customWidth="1"/>
    <col min="10" max="10" width="9" style="136" bestFit="1" customWidth="1"/>
    <col min="11" max="11" width="8.28515625" style="129" customWidth="1"/>
    <col min="12" max="12" width="8.28515625" style="130" customWidth="1"/>
    <col min="13" max="13" width="5.28515625" style="116" customWidth="1"/>
    <col min="14" max="14" width="43.140625" customWidth="1"/>
    <col min="15" max="15" width="9.85546875" style="163" bestFit="1" customWidth="1"/>
    <col min="16" max="16" width="10" style="163" bestFit="1" customWidth="1"/>
    <col min="17" max="17" width="9.140625" style="164" customWidth="1"/>
    <col min="18" max="18" width="9.42578125" style="164" customWidth="1"/>
    <col min="19" max="19" width="8.85546875" style="158" bestFit="1" customWidth="1"/>
    <col min="20" max="21" width="6.28515625" style="158" customWidth="1"/>
    <col min="22" max="22" width="6.28515625" style="159" customWidth="1"/>
    <col min="23" max="23" width="8.28515625" style="163" customWidth="1"/>
    <col min="24" max="24" width="8.28515625" style="160" bestFit="1" customWidth="1"/>
    <col min="25" max="25" width="8.28515625" style="4" customWidth="1"/>
  </cols>
  <sheetData>
    <row r="1" spans="1:26" s="42" customFormat="1" x14ac:dyDescent="0.2">
      <c r="A1" s="25"/>
      <c r="B1" s="26"/>
      <c r="C1" s="26"/>
      <c r="D1" s="26">
        <f>D5-'NSA1 ok'!C3</f>
        <v>157.28717180999956</v>
      </c>
      <c r="E1" s="27">
        <f>E5-'NSA1 ok'!D3</f>
        <v>135.48830251999971</v>
      </c>
      <c r="F1" s="28"/>
      <c r="G1" s="29"/>
      <c r="H1" s="29"/>
      <c r="I1" s="30"/>
      <c r="J1" s="26"/>
      <c r="K1" s="31"/>
      <c r="L1" s="32"/>
      <c r="M1" s="33"/>
      <c r="N1" s="34"/>
      <c r="O1" s="35"/>
      <c r="P1" s="35"/>
      <c r="Q1" s="36"/>
      <c r="R1" s="291"/>
      <c r="S1" s="37"/>
      <c r="T1" s="37"/>
      <c r="U1" s="38"/>
      <c r="V1" s="39"/>
      <c r="W1" s="35"/>
      <c r="X1" s="40"/>
      <c r="Y1" s="41"/>
    </row>
    <row r="2" spans="1:26" ht="11.25" customHeight="1" x14ac:dyDescent="0.2">
      <c r="A2" s="538" t="s">
        <v>0</v>
      </c>
      <c r="B2" s="547" t="s">
        <v>27</v>
      </c>
      <c r="C2" s="548"/>
      <c r="D2" s="549"/>
      <c r="E2" s="550"/>
      <c r="F2" s="543" t="s">
        <v>28</v>
      </c>
      <c r="G2" s="543"/>
      <c r="H2" s="543"/>
      <c r="I2" s="543"/>
      <c r="J2" s="546" t="s">
        <v>29</v>
      </c>
      <c r="K2" s="546"/>
      <c r="L2" s="546"/>
      <c r="M2" s="43"/>
      <c r="N2" s="44"/>
      <c r="O2" s="547" t="s">
        <v>27</v>
      </c>
      <c r="P2" s="548"/>
      <c r="Q2" s="551"/>
      <c r="R2" s="550"/>
      <c r="S2" s="544" t="s">
        <v>28</v>
      </c>
      <c r="T2" s="545"/>
      <c r="U2" s="545"/>
      <c r="V2" s="545"/>
      <c r="W2" s="540" t="s">
        <v>29</v>
      </c>
      <c r="X2" s="541"/>
      <c r="Y2" s="542"/>
    </row>
    <row r="3" spans="1:26" s="56" customFormat="1" x14ac:dyDescent="0.2">
      <c r="A3" s="539"/>
      <c r="B3" s="45">
        <v>2022</v>
      </c>
      <c r="C3" s="45">
        <f>B3+1</f>
        <v>2023</v>
      </c>
      <c r="D3" s="45">
        <f>C3+1</f>
        <v>2024</v>
      </c>
      <c r="E3" s="46">
        <f>D3+1</f>
        <v>2025</v>
      </c>
      <c r="F3" s="47">
        <f>B3</f>
        <v>2022</v>
      </c>
      <c r="G3" s="47">
        <f>F3+1</f>
        <v>2023</v>
      </c>
      <c r="H3" s="47">
        <f>G3+1</f>
        <v>2024</v>
      </c>
      <c r="I3" s="48">
        <f>H3+1</f>
        <v>2025</v>
      </c>
      <c r="J3" s="49">
        <f>G3</f>
        <v>2023</v>
      </c>
      <c r="K3" s="49">
        <f>H3</f>
        <v>2024</v>
      </c>
      <c r="L3" s="50">
        <f>I3</f>
        <v>2025</v>
      </c>
      <c r="M3" s="51"/>
      <c r="N3" s="52" t="s">
        <v>2</v>
      </c>
      <c r="O3" s="45">
        <f>B3</f>
        <v>2022</v>
      </c>
      <c r="P3" s="45">
        <f>C3</f>
        <v>2023</v>
      </c>
      <c r="Q3" s="174">
        <f>D3</f>
        <v>2024</v>
      </c>
      <c r="R3" s="46">
        <f>E3</f>
        <v>2025</v>
      </c>
      <c r="S3" s="53">
        <f>O3</f>
        <v>2022</v>
      </c>
      <c r="T3" s="53">
        <f>P3</f>
        <v>2023</v>
      </c>
      <c r="U3" s="54">
        <f>Q3</f>
        <v>2024</v>
      </c>
      <c r="V3" s="55">
        <f>R3</f>
        <v>2025</v>
      </c>
      <c r="W3" s="53">
        <f>T3</f>
        <v>2023</v>
      </c>
      <c r="X3" s="54">
        <f>U3</f>
        <v>2024</v>
      </c>
      <c r="Y3" s="55">
        <f>V3</f>
        <v>2025</v>
      </c>
    </row>
    <row r="4" spans="1:26" ht="9.9499999999999993" customHeight="1" x14ac:dyDescent="0.2">
      <c r="A4" s="57"/>
      <c r="B4" s="58"/>
      <c r="C4" s="59"/>
      <c r="D4" s="59"/>
      <c r="E4" s="60"/>
      <c r="F4" s="61"/>
      <c r="G4" s="61"/>
      <c r="H4" s="61"/>
      <c r="I4" s="62"/>
      <c r="J4" s="63"/>
      <c r="K4" s="63"/>
      <c r="L4" s="64"/>
      <c r="M4" s="65"/>
      <c r="N4" s="66"/>
      <c r="O4" s="67"/>
      <c r="P4" s="67"/>
      <c r="Q4" s="59"/>
      <c r="R4" s="60"/>
      <c r="S4" s="68"/>
      <c r="T4" s="68"/>
      <c r="U4" s="68"/>
      <c r="V4" s="69"/>
      <c r="W4" s="70"/>
      <c r="X4" s="178"/>
      <c r="Y4" s="71"/>
    </row>
    <row r="5" spans="1:26" s="85" customFormat="1" ht="12" x14ac:dyDescent="0.2">
      <c r="A5" s="72" t="s">
        <v>30</v>
      </c>
      <c r="B5" s="175">
        <f>SUM(B7:B12)</f>
        <v>14532.048040860001</v>
      </c>
      <c r="C5" s="175">
        <f>SUM(C7:C12)</f>
        <v>14619.566345620002</v>
      </c>
      <c r="D5" s="175">
        <f>SUM(D7:D11)</f>
        <v>14245.286779769998</v>
      </c>
      <c r="E5" s="74">
        <f>SUM(E7:E11)</f>
        <v>13920.090291100001</v>
      </c>
      <c r="F5" s="75">
        <f>B5/$B$57</f>
        <v>0.87233345584304312</v>
      </c>
      <c r="G5" s="75">
        <f>C5/$C$57</f>
        <v>0.87854584416597059</v>
      </c>
      <c r="H5" s="75">
        <f>D5/$D$57</f>
        <v>0.86953716698374872</v>
      </c>
      <c r="I5" s="76">
        <f>E5/$E$57</f>
        <v>0.86608497905642745</v>
      </c>
      <c r="J5" s="77">
        <f>C5/B5-1</f>
        <v>6.022434313038616E-3</v>
      </c>
      <c r="K5" s="77">
        <f>D5/C5-1</f>
        <v>-2.5601276877965429E-2</v>
      </c>
      <c r="L5" s="78">
        <f>E5/D5-1</f>
        <v>-2.2828356753885393E-2</v>
      </c>
      <c r="M5" s="79"/>
      <c r="N5" s="80" t="s">
        <v>231</v>
      </c>
      <c r="O5" s="73">
        <f>SUM(O6:O10)</f>
        <v>2547.3268893799996</v>
      </c>
      <c r="P5" s="73">
        <f>SUM(P6:P10)</f>
        <v>2953.8906554199993</v>
      </c>
      <c r="Q5" s="175">
        <f>SUM(Q6:Q10)</f>
        <v>3062.4357613500006</v>
      </c>
      <c r="R5" s="73">
        <f>SUM(R6:R10)</f>
        <v>2769.3954443299999</v>
      </c>
      <c r="S5" s="75">
        <f>O5/$O$75</f>
        <v>0.15123865422364585</v>
      </c>
      <c r="T5" s="75">
        <f>P5/$P$75</f>
        <v>0.17585106158469208</v>
      </c>
      <c r="U5" s="75">
        <f>Q5/$P$75</f>
        <v>0.18231297041418448</v>
      </c>
      <c r="V5" s="82">
        <f>R5/$R$75</f>
        <v>0.17161712392194878</v>
      </c>
      <c r="W5" s="77">
        <f t="shared" ref="W5:Y10" si="0">P5/O5-1</f>
        <v>0.15960408055008379</v>
      </c>
      <c r="X5" s="83">
        <f t="shared" si="0"/>
        <v>3.6746487460812105E-2</v>
      </c>
      <c r="Y5" s="84">
        <f t="shared" si="0"/>
        <v>-9.5688641282983489E-2</v>
      </c>
      <c r="Z5" s="467"/>
    </row>
    <row r="6" spans="1:26" x14ac:dyDescent="0.2">
      <c r="A6" s="86" t="s">
        <v>31</v>
      </c>
      <c r="B6" s="87"/>
      <c r="C6" s="88"/>
      <c r="D6" s="88"/>
      <c r="E6" s="310"/>
      <c r="F6" s="89"/>
      <c r="G6" s="89"/>
      <c r="H6" s="89"/>
      <c r="I6" s="90"/>
      <c r="J6" s="63"/>
      <c r="K6" s="63"/>
      <c r="L6" s="64"/>
      <c r="M6" s="91"/>
      <c r="N6" s="208" t="s">
        <v>105</v>
      </c>
      <c r="O6" s="490">
        <f>'[2]COMPTES NSA OK'!$S$6+'[2]COMPTES NSA OK'!$S$7</f>
        <v>525.98483691000001</v>
      </c>
      <c r="P6" s="490">
        <f>'[2]COMPTES NSA OK'!$T$6+'[2]COMPTES NSA OK'!$T$7</f>
        <v>647.41797057999997</v>
      </c>
      <c r="Q6" s="490">
        <f>'[2]COMPTES NSA OK'!$U$6+'[2]COMPTES NSA OK'!$U$7</f>
        <v>670.71242042000006</v>
      </c>
      <c r="R6" s="492">
        <f>'[2]COMPTES NSA OK'!$V$6+'[2]COMPTES NSA OK'!$V$7</f>
        <v>556.02315899000007</v>
      </c>
      <c r="S6" s="89">
        <f>O6/$O$5</f>
        <v>0.20648501733439512</v>
      </c>
      <c r="T6" s="89">
        <f>P6/$P$5</f>
        <v>0.21917465678429007</v>
      </c>
      <c r="U6" s="94">
        <f>Q6/$Q$5</f>
        <v>0.219012731266021</v>
      </c>
      <c r="V6" s="95">
        <f>R6/$R$5</f>
        <v>0.20077420150610481</v>
      </c>
      <c r="W6" s="63">
        <f t="shared" si="0"/>
        <v>0.2308681261296095</v>
      </c>
      <c r="X6" s="96">
        <f t="shared" si="0"/>
        <v>3.598054255295291E-2</v>
      </c>
      <c r="Y6" s="97">
        <f t="shared" si="0"/>
        <v>-0.17099617949251866</v>
      </c>
    </row>
    <row r="7" spans="1:26" x14ac:dyDescent="0.2">
      <c r="A7" s="207" t="s">
        <v>104</v>
      </c>
      <c r="B7" s="490">
        <f>'[2]COMPTES NSA OK'!$C$7+'[2]COMPTES NSA OK'!$C$8</f>
        <v>6153.3951836000006</v>
      </c>
      <c r="C7" s="490">
        <f>'[2]COMPTES NSA OK'!$D$7+'[2]COMPTES NSA OK'!$D$8</f>
        <v>6212.3743964500009</v>
      </c>
      <c r="D7" s="490">
        <f>'[2]COMPTES NSA OK'!$E$7+'[2]COMPTES NSA OK'!$E$8</f>
        <v>5800.8044591299995</v>
      </c>
      <c r="E7" s="492">
        <f>'[2]COMPTES NSA OK'!$F$7+'[2]COMPTES NSA OK'!$F$8</f>
        <v>5474.0580310200003</v>
      </c>
      <c r="F7" s="89">
        <f t="shared" ref="F7:F11" si="1">B7/$B$5</f>
        <v>0.42343619882747408</v>
      </c>
      <c r="G7" s="89">
        <f>C7/$C$5</f>
        <v>0.42493561365527222</v>
      </c>
      <c r="H7" s="89">
        <f>D7/$D$5</f>
        <v>0.4072086823389075</v>
      </c>
      <c r="I7" s="90">
        <f>E7/$E$5</f>
        <v>0.39324874455160064</v>
      </c>
      <c r="J7" s="63">
        <f>(C7-B7)/B7</f>
        <v>9.5848244896072025E-3</v>
      </c>
      <c r="K7" s="63">
        <f t="shared" ref="K7:L11" si="2">D7/C7-1</f>
        <v>-6.6250021498251765E-2</v>
      </c>
      <c r="L7" s="64">
        <f>E7/D7-1</f>
        <v>-5.6327778399033357E-2</v>
      </c>
      <c r="M7" s="98"/>
      <c r="N7" s="92" t="s">
        <v>32</v>
      </c>
      <c r="O7" s="490">
        <v>104.52643218999999</v>
      </c>
      <c r="P7" s="490">
        <v>149.38287507999999</v>
      </c>
      <c r="Q7" s="490">
        <v>150.78917601000001</v>
      </c>
      <c r="R7" s="491">
        <v>97.622932840000004</v>
      </c>
      <c r="S7" s="89">
        <f>O7/$O$5</f>
        <v>4.1033772550267765E-2</v>
      </c>
      <c r="T7" s="89">
        <f>P7/$P$5</f>
        <v>5.0571565608192752E-2</v>
      </c>
      <c r="U7" s="94">
        <f>Q7/$Q$5</f>
        <v>4.9238314779712557E-2</v>
      </c>
      <c r="V7" s="95">
        <f>R7/$R$5</f>
        <v>3.5250629533557974E-2</v>
      </c>
      <c r="W7" s="63">
        <f t="shared" si="0"/>
        <v>0.4291397108863666</v>
      </c>
      <c r="X7" s="96">
        <f t="shared" si="0"/>
        <v>9.4140705837058025E-3</v>
      </c>
      <c r="Y7" s="97">
        <f t="shared" si="0"/>
        <v>-0.35258660188231372</v>
      </c>
    </row>
    <row r="8" spans="1:26" x14ac:dyDescent="0.2">
      <c r="A8" s="57" t="s">
        <v>33</v>
      </c>
      <c r="B8" s="490">
        <v>133.93270525</v>
      </c>
      <c r="C8" s="490">
        <v>139.57598433999999</v>
      </c>
      <c r="D8" s="490">
        <v>131.08713883000004</v>
      </c>
      <c r="E8" s="491">
        <v>141.96684808000001</v>
      </c>
      <c r="F8" s="89">
        <f t="shared" si="1"/>
        <v>9.2163681866051627E-3</v>
      </c>
      <c r="G8" s="89">
        <f t="shared" ref="G8:G11" si="3">C8/$C$5</f>
        <v>9.5472041400062949E-3</v>
      </c>
      <c r="H8" s="89">
        <f t="shared" ref="H8:H11" si="4">D8/$D$5</f>
        <v>9.2021410910561215E-3</v>
      </c>
      <c r="I8" s="90">
        <f t="shared" ref="I8:I11" si="5">E8/$E$5</f>
        <v>1.0198701668678718E-2</v>
      </c>
      <c r="J8" s="63">
        <f>(C8-B8)/B8</f>
        <v>4.2135183333049213E-2</v>
      </c>
      <c r="K8" s="63">
        <f t="shared" si="2"/>
        <v>-6.0818811704179354E-2</v>
      </c>
      <c r="L8" s="64">
        <f t="shared" si="2"/>
        <v>8.2996008205727057E-2</v>
      </c>
      <c r="M8" s="98"/>
      <c r="N8" s="92" t="s">
        <v>34</v>
      </c>
      <c r="O8" s="490">
        <v>188.12463307999997</v>
      </c>
      <c r="P8" s="490">
        <v>209.9534434</v>
      </c>
      <c r="Q8" s="490">
        <v>221.56093540999998</v>
      </c>
      <c r="R8" s="491">
        <v>217.61166559</v>
      </c>
      <c r="S8" s="89">
        <f>O8/$O$5</f>
        <v>7.3851783163089879E-2</v>
      </c>
      <c r="T8" s="89">
        <f>P8/$P$5</f>
        <v>7.1076917832000028E-2</v>
      </c>
      <c r="U8" s="94">
        <f>Q8/$Q$5</f>
        <v>7.2347945451215021E-2</v>
      </c>
      <c r="V8" s="95">
        <f>R8/$R$5</f>
        <v>7.8577317672538755E-2</v>
      </c>
      <c r="W8" s="63">
        <f t="shared" si="0"/>
        <v>0.11603376954211697</v>
      </c>
      <c r="X8" s="96">
        <f t="shared" si="0"/>
        <v>5.528602828335405E-2</v>
      </c>
      <c r="Y8" s="97">
        <f t="shared" si="0"/>
        <v>-1.7824756935115094E-2</v>
      </c>
    </row>
    <row r="9" spans="1:26" x14ac:dyDescent="0.2">
      <c r="A9" s="57" t="s">
        <v>35</v>
      </c>
      <c r="B9" s="490">
        <v>503.27378791000001</v>
      </c>
      <c r="C9" s="490">
        <v>532.73861280999995</v>
      </c>
      <c r="D9" s="490">
        <v>422.17713388999994</v>
      </c>
      <c r="E9" s="491">
        <v>400.06635091000004</v>
      </c>
      <c r="F9" s="89">
        <f t="shared" si="1"/>
        <v>3.4631993129594446E-2</v>
      </c>
      <c r="G9" s="89">
        <f t="shared" si="3"/>
        <v>3.6440110480404748E-2</v>
      </c>
      <c r="H9" s="89">
        <f t="shared" si="4"/>
        <v>2.9636267799784958E-2</v>
      </c>
      <c r="I9" s="90">
        <f t="shared" si="5"/>
        <v>2.874021235090608E-2</v>
      </c>
      <c r="J9" s="63">
        <f>(C9-B9)/B9</f>
        <v>5.8546313374200819E-2</v>
      </c>
      <c r="K9" s="63">
        <f t="shared" si="2"/>
        <v>-0.20753419455899569</v>
      </c>
      <c r="L9" s="64">
        <f t="shared" si="2"/>
        <v>-5.2373236741336537E-2</v>
      </c>
      <c r="M9" s="98"/>
      <c r="N9" s="92" t="s">
        <v>36</v>
      </c>
      <c r="O9" s="490">
        <v>470.07117010000002</v>
      </c>
      <c r="P9" s="490">
        <v>524.13102487999993</v>
      </c>
      <c r="Q9" s="490">
        <v>550.95404135000001</v>
      </c>
      <c r="R9" s="491">
        <v>524.18116109999994</v>
      </c>
      <c r="S9" s="89">
        <f>O9/$O$5</f>
        <v>0.18453507952189516</v>
      </c>
      <c r="T9" s="89">
        <f>P9/$P$5</f>
        <v>0.17743751750535813</v>
      </c>
      <c r="U9" s="94">
        <f>Q9/$Q$5</f>
        <v>0.17990713415230147</v>
      </c>
      <c r="V9" s="95">
        <f>R9/$R$5</f>
        <v>0.18927638599723887</v>
      </c>
      <c r="W9" s="63">
        <f t="shared" si="0"/>
        <v>0.11500355311834909</v>
      </c>
      <c r="X9" s="96">
        <f t="shared" si="0"/>
        <v>5.1176166257552058E-2</v>
      </c>
      <c r="Y9" s="97">
        <f t="shared" si="0"/>
        <v>-4.8593672503787433E-2</v>
      </c>
    </row>
    <row r="10" spans="1:26" ht="12.75" customHeight="1" x14ac:dyDescent="0.2">
      <c r="A10" s="57" t="s">
        <v>37</v>
      </c>
      <c r="B10" s="490">
        <v>1038.6704697499999</v>
      </c>
      <c r="C10" s="490">
        <v>1057.9384357900001</v>
      </c>
      <c r="D10" s="490">
        <v>1085.6262669499999</v>
      </c>
      <c r="E10" s="491">
        <v>1177.2849562399999</v>
      </c>
      <c r="F10" s="89">
        <f t="shared" si="1"/>
        <v>7.1474472615941878E-2</v>
      </c>
      <c r="G10" s="89">
        <f t="shared" si="3"/>
        <v>7.2364556566136232E-2</v>
      </c>
      <c r="H10" s="89">
        <f t="shared" si="4"/>
        <v>7.6209505904206748E-2</v>
      </c>
      <c r="I10" s="90">
        <f t="shared" si="5"/>
        <v>8.4574520108731843E-2</v>
      </c>
      <c r="J10" s="63">
        <f>(C10-B10)/B10</f>
        <v>1.8550605414475486E-2</v>
      </c>
      <c r="K10" s="63">
        <f t="shared" si="2"/>
        <v>2.6171495640315179E-2</v>
      </c>
      <c r="L10" s="64">
        <f t="shared" si="2"/>
        <v>8.4429321655517198E-2</v>
      </c>
      <c r="M10" s="98"/>
      <c r="N10" s="92" t="s">
        <v>38</v>
      </c>
      <c r="O10" s="490">
        <v>1258.6198170999999</v>
      </c>
      <c r="P10" s="490">
        <v>1423.0053414799997</v>
      </c>
      <c r="Q10" s="490">
        <v>1468.4191881600002</v>
      </c>
      <c r="R10" s="491">
        <v>1373.9565258099999</v>
      </c>
      <c r="S10" s="89">
        <f>O10/$O$5</f>
        <v>0.49409434743035219</v>
      </c>
      <c r="T10" s="89">
        <f>P10/$P$5</f>
        <v>0.48173934227015913</v>
      </c>
      <c r="U10" s="94">
        <f>Q10/$Q$5</f>
        <v>0.47949387435074986</v>
      </c>
      <c r="V10" s="95">
        <f>R10/$R$5</f>
        <v>0.49612146529055962</v>
      </c>
      <c r="W10" s="63">
        <f t="shared" si="0"/>
        <v>0.13060776745019198</v>
      </c>
      <c r="X10" s="96">
        <f t="shared" si="0"/>
        <v>3.1914038096840569E-2</v>
      </c>
      <c r="Y10" s="97">
        <f t="shared" si="0"/>
        <v>-6.4329493316119479E-2</v>
      </c>
    </row>
    <row r="11" spans="1:26" s="85" customFormat="1" ht="12" x14ac:dyDescent="0.2">
      <c r="A11" s="57" t="s">
        <v>39</v>
      </c>
      <c r="B11" s="490">
        <v>6702.7758943499994</v>
      </c>
      <c r="C11" s="490">
        <v>6676.9389162300004</v>
      </c>
      <c r="D11" s="490">
        <v>6805.5917809699986</v>
      </c>
      <c r="E11" s="491">
        <v>6726.7141048500007</v>
      </c>
      <c r="F11" s="89">
        <f t="shared" si="1"/>
        <v>0.46124096724038433</v>
      </c>
      <c r="G11" s="89">
        <f t="shared" si="3"/>
        <v>0.45671251515818051</v>
      </c>
      <c r="H11" s="89">
        <f t="shared" si="4"/>
        <v>0.47774340286604466</v>
      </c>
      <c r="I11" s="90">
        <f t="shared" si="5"/>
        <v>0.48323782132008275</v>
      </c>
      <c r="J11" s="63">
        <f>(C11-B11)/B11</f>
        <v>-3.8546683534172585E-3</v>
      </c>
      <c r="K11" s="63">
        <f t="shared" si="2"/>
        <v>1.9268240484763943E-2</v>
      </c>
      <c r="L11" s="64">
        <f t="shared" si="2"/>
        <v>-1.1590127450864407E-2</v>
      </c>
      <c r="M11" s="91"/>
      <c r="N11" s="99"/>
      <c r="O11" s="100"/>
      <c r="P11" s="100"/>
      <c r="Q11" s="100"/>
      <c r="R11" s="314"/>
      <c r="S11" s="89"/>
      <c r="T11" s="89"/>
      <c r="U11" s="94"/>
      <c r="V11" s="95"/>
      <c r="W11" s="63"/>
      <c r="X11" s="96"/>
      <c r="Y11" s="97"/>
    </row>
    <row r="12" spans="1:26" ht="12.75" customHeight="1" x14ac:dyDescent="0.2">
      <c r="A12" s="57"/>
      <c r="B12" s="93"/>
      <c r="C12" s="93"/>
      <c r="D12" s="93"/>
      <c r="E12" s="300"/>
      <c r="F12" s="89"/>
      <c r="G12" s="89"/>
      <c r="H12" s="89"/>
      <c r="I12" s="90"/>
      <c r="J12" s="63"/>
      <c r="K12" s="63"/>
      <c r="L12" s="64"/>
      <c r="M12" s="79"/>
      <c r="N12" s="80" t="s">
        <v>40</v>
      </c>
      <c r="O12" s="73">
        <f>SUM(O13:O17)</f>
        <v>34.574939880000002</v>
      </c>
      <c r="P12" s="73">
        <f>SUM(P13:P17)</f>
        <v>30.481987499999999</v>
      </c>
      <c r="Q12" s="73">
        <f>SUM(Q13:Q17)</f>
        <v>30.74084573</v>
      </c>
      <c r="R12" s="73">
        <f>SUM(R13:R17)</f>
        <v>27.517535129999999</v>
      </c>
      <c r="S12" s="75">
        <f>O12/$O$75</f>
        <v>2.0527665291467088E-3</v>
      </c>
      <c r="T12" s="75">
        <f>P12/$P$75</f>
        <v>1.8146541244683143E-3</v>
      </c>
      <c r="U12" s="75">
        <f>Q12/$P$75</f>
        <v>1.8300644763924489E-3</v>
      </c>
      <c r="V12" s="82">
        <f>R12/$R$75</f>
        <v>1.7052386816409667E-3</v>
      </c>
      <c r="W12" s="77">
        <f t="shared" ref="W12:Y17" si="6">P12/O12-1</f>
        <v>-0.11837916115560876</v>
      </c>
      <c r="X12" s="83">
        <f t="shared" si="6"/>
        <v>8.4921703350215871E-3</v>
      </c>
      <c r="Y12" s="84">
        <f t="shared" si="6"/>
        <v>-0.10485432405831219</v>
      </c>
    </row>
    <row r="13" spans="1:26" x14ac:dyDescent="0.2">
      <c r="A13" s="72" t="s">
        <v>41</v>
      </c>
      <c r="B13" s="73">
        <f>SUM(B14:B18)</f>
        <v>494.32832110999993</v>
      </c>
      <c r="C13" s="73">
        <f>SUM(C14:C18)</f>
        <v>340.02371412999997</v>
      </c>
      <c r="D13" s="175">
        <f>SUM(D14:D18)</f>
        <v>324.94505199999998</v>
      </c>
      <c r="E13" s="176">
        <f>SUM(E14:E18)</f>
        <v>315.09807805999998</v>
      </c>
      <c r="F13" s="75">
        <f>B13/$B$57</f>
        <v>2.9673665505544008E-2</v>
      </c>
      <c r="G13" s="75">
        <f>C13/$C$57</f>
        <v>2.0433329820093292E-2</v>
      </c>
      <c r="H13" s="75">
        <f>D13/$D$57</f>
        <v>1.983475687851536E-2</v>
      </c>
      <c r="I13" s="76">
        <f>E13/$E$57</f>
        <v>1.9604880904529696E-2</v>
      </c>
      <c r="J13" s="77">
        <f t="shared" ref="J13:L16" si="7">C13/B13-1</f>
        <v>-0.31215004358543208</v>
      </c>
      <c r="K13" s="77">
        <f t="shared" si="7"/>
        <v>-4.4345913250730007E-2</v>
      </c>
      <c r="L13" s="78">
        <f t="shared" si="7"/>
        <v>-3.0303504790711533E-2</v>
      </c>
      <c r="M13" s="91"/>
      <c r="N13" s="92" t="str">
        <f>N6</f>
        <v>Cotisations "Maladie" + IJ AMEXA</v>
      </c>
      <c r="O13" s="490">
        <f>'[2]COMPTES NSA OK'!$S$14+'[2]COMPTES NSA OK'!$S$15</f>
        <v>17.045271930000002</v>
      </c>
      <c r="P13" s="490">
        <f>'[2]COMPTES NSA OK'!$T$14+'[2]COMPTES NSA OK'!$T$15</f>
        <v>16.418398</v>
      </c>
      <c r="Q13" s="490">
        <f>'[2]COMPTES NSA OK'!$U$14+'[2]COMPTES NSA OK'!$U$15</f>
        <v>16.868367920000001</v>
      </c>
      <c r="R13" s="492">
        <f>'[2]COMPTES NSA OK'!$V$14+'[2]COMPTES NSA OK'!$V$15</f>
        <v>14.9470139</v>
      </c>
      <c r="S13" s="89">
        <f>O13/$O$12</f>
        <v>0.49299498391492214</v>
      </c>
      <c r="T13" s="89">
        <f>P13/$P$12</f>
        <v>0.53862622967088347</v>
      </c>
      <c r="U13" s="94">
        <f>Q13/$Q$12</f>
        <v>0.54872816669250435</v>
      </c>
      <c r="V13" s="95">
        <f>R13/$R$12</f>
        <v>0.54318142338644848</v>
      </c>
      <c r="W13" s="63">
        <f t="shared" si="6"/>
        <v>-3.6776997901493802E-2</v>
      </c>
      <c r="X13" s="96">
        <f t="shared" si="6"/>
        <v>2.7406444891882931E-2</v>
      </c>
      <c r="Y13" s="97">
        <f t="shared" si="6"/>
        <v>-0.11390278117671038</v>
      </c>
    </row>
    <row r="14" spans="1:26" ht="12.75" customHeight="1" x14ac:dyDescent="0.2">
      <c r="A14" s="57" t="str">
        <f>A7</f>
        <v>"Maladie-Maternité-Invalidité" + IJ AMEXA</v>
      </c>
      <c r="B14" s="490">
        <v>484.39312775999997</v>
      </c>
      <c r="C14" s="490">
        <v>327.83553071</v>
      </c>
      <c r="D14" s="490">
        <v>319.29360525999999</v>
      </c>
      <c r="E14" s="492">
        <v>306.2815794</v>
      </c>
      <c r="F14" s="89">
        <f>B14/$B$13</f>
        <v>0.97990163030171773</v>
      </c>
      <c r="G14" s="89">
        <f>C14/$C$13</f>
        <v>0.96415490180975993</v>
      </c>
      <c r="H14" s="89">
        <f>D14/$D$13</f>
        <v>0.98260799262762744</v>
      </c>
      <c r="I14" s="90">
        <f>E14/$E$13</f>
        <v>0.97201982724146874</v>
      </c>
      <c r="J14" s="63">
        <f t="shared" si="7"/>
        <v>-0.3232035883208666</v>
      </c>
      <c r="K14" s="63">
        <f t="shared" si="7"/>
        <v>-2.6055520679837851E-2</v>
      </c>
      <c r="L14" s="64">
        <f t="shared" si="7"/>
        <v>-4.0752541377721441E-2</v>
      </c>
      <c r="M14" s="91"/>
      <c r="N14" s="92" t="s">
        <v>32</v>
      </c>
      <c r="O14" s="490">
        <v>1.6763125900000002</v>
      </c>
      <c r="P14" s="490">
        <v>1.6754305300000001</v>
      </c>
      <c r="Q14" s="490">
        <v>1.66613824</v>
      </c>
      <c r="R14" s="491">
        <v>0.63866555000000003</v>
      </c>
      <c r="S14" s="89">
        <f>O14/$O$12</f>
        <v>4.8483456394082386E-2</v>
      </c>
      <c r="T14" s="89">
        <f>P14/$P$12</f>
        <v>5.4964609181077845E-2</v>
      </c>
      <c r="U14" s="94">
        <f>Q14/$Q$12</f>
        <v>5.4199492578501679E-2</v>
      </c>
      <c r="V14" s="95">
        <f>R14/$R$12</f>
        <v>2.320940254942086E-2</v>
      </c>
      <c r="W14" s="63">
        <f t="shared" si="6"/>
        <v>-5.2619064323800036E-4</v>
      </c>
      <c r="X14" s="96">
        <f t="shared" si="6"/>
        <v>-5.5462102627437115E-3</v>
      </c>
      <c r="Y14" s="97">
        <f t="shared" si="6"/>
        <v>-0.61667913582008649</v>
      </c>
    </row>
    <row r="15" spans="1:26" x14ac:dyDescent="0.2">
      <c r="A15" s="57" t="s">
        <v>33</v>
      </c>
      <c r="B15" s="490">
        <v>5.83903588</v>
      </c>
      <c r="C15" s="490">
        <v>5.1676696599999996</v>
      </c>
      <c r="D15" s="490">
        <v>5.3776614800000004</v>
      </c>
      <c r="E15" s="491">
        <v>8.5439625299999999</v>
      </c>
      <c r="F15" s="89">
        <f>B15/$B$13</f>
        <v>1.1812060184795024E-2</v>
      </c>
      <c r="G15" s="89">
        <f>C15/$C$13</f>
        <v>1.5197968392358258E-2</v>
      </c>
      <c r="H15" s="89">
        <f>D15/$D$13</f>
        <v>1.6549448735720403E-2</v>
      </c>
      <c r="I15" s="90">
        <f>E15/$E$13</f>
        <v>2.7115247997079456E-2</v>
      </c>
      <c r="J15" s="63">
        <f t="shared" si="7"/>
        <v>-0.11497895094283961</v>
      </c>
      <c r="K15" s="63">
        <f t="shared" si="7"/>
        <v>4.0635689549862075E-2</v>
      </c>
      <c r="L15" s="64">
        <f t="shared" si="7"/>
        <v>0.58878772153579284</v>
      </c>
      <c r="M15" s="91"/>
      <c r="N15" s="92" t="s">
        <v>34</v>
      </c>
      <c r="O15" s="490">
        <v>0</v>
      </c>
      <c r="P15" s="490">
        <v>0</v>
      </c>
      <c r="Q15" s="490">
        <v>0</v>
      </c>
      <c r="R15" s="491">
        <v>0</v>
      </c>
      <c r="S15" s="89">
        <f>O15/$O$12</f>
        <v>0</v>
      </c>
      <c r="T15" s="89">
        <f>P15/$P$12</f>
        <v>0</v>
      </c>
      <c r="U15" s="94">
        <f>Q15/$Q$12</f>
        <v>0</v>
      </c>
      <c r="V15" s="95">
        <f>R15/$R$12</f>
        <v>0</v>
      </c>
      <c r="W15" s="63" t="e">
        <f t="shared" si="6"/>
        <v>#DIV/0!</v>
      </c>
      <c r="X15" s="96" t="e">
        <f t="shared" si="6"/>
        <v>#DIV/0!</v>
      </c>
      <c r="Y15" s="97" t="e">
        <f t="shared" si="6"/>
        <v>#DIV/0!</v>
      </c>
    </row>
    <row r="16" spans="1:26" ht="12.75" customHeight="1" x14ac:dyDescent="0.2">
      <c r="A16" s="57" t="s">
        <v>35</v>
      </c>
      <c r="B16" s="490">
        <v>0.26440946999999998</v>
      </c>
      <c r="C16" s="490">
        <v>0.27386776000000002</v>
      </c>
      <c r="D16" s="490">
        <v>0.27378525999999997</v>
      </c>
      <c r="E16" s="491">
        <v>0.27253612999999999</v>
      </c>
      <c r="F16" s="89">
        <f>B16/$B$13</f>
        <v>5.3488634720801791E-4</v>
      </c>
      <c r="G16" s="89">
        <f>C16/$C$13</f>
        <v>8.0543723457856588E-4</v>
      </c>
      <c r="H16" s="89">
        <f>D16/$D$13</f>
        <v>8.4255863665220543E-4</v>
      </c>
      <c r="I16" s="90">
        <f>E16/$E$13</f>
        <v>8.6492476145190748E-4</v>
      </c>
      <c r="J16" s="63">
        <f t="shared" si="7"/>
        <v>3.5771373846783971E-2</v>
      </c>
      <c r="K16" s="63">
        <f t="shared" si="7"/>
        <v>-3.0124027742450821E-4</v>
      </c>
      <c r="L16" s="64">
        <f t="shared" si="7"/>
        <v>-4.5624443039774532E-3</v>
      </c>
      <c r="M16" s="103"/>
      <c r="N16" s="92" t="s">
        <v>36</v>
      </c>
      <c r="O16" s="490">
        <v>1.65263761</v>
      </c>
      <c r="P16" s="490">
        <v>0</v>
      </c>
      <c r="Q16" s="490">
        <v>0</v>
      </c>
      <c r="R16" s="491">
        <v>0</v>
      </c>
      <c r="S16" s="89">
        <f>O16/$O$5</f>
        <v>6.4877327558154094E-4</v>
      </c>
      <c r="T16" s="89">
        <f>P16/$P$5</f>
        <v>0</v>
      </c>
      <c r="U16" s="94">
        <f>Q16/$Q$5</f>
        <v>0</v>
      </c>
      <c r="V16" s="95">
        <f>R16/$R$5</f>
        <v>0</v>
      </c>
      <c r="W16" s="63">
        <f t="shared" si="6"/>
        <v>-1</v>
      </c>
      <c r="X16" s="96" t="e">
        <f t="shared" si="6"/>
        <v>#DIV/0!</v>
      </c>
      <c r="Y16" s="97" t="e">
        <f t="shared" si="6"/>
        <v>#DIV/0!</v>
      </c>
    </row>
    <row r="17" spans="1:25" s="85" customFormat="1" ht="12" x14ac:dyDescent="0.2">
      <c r="A17" s="57" t="s">
        <v>37</v>
      </c>
      <c r="B17" s="490">
        <v>0</v>
      </c>
      <c r="C17" s="490">
        <v>0</v>
      </c>
      <c r="D17" s="490">
        <v>0</v>
      </c>
      <c r="E17" s="491">
        <v>0</v>
      </c>
      <c r="F17" s="89">
        <f>B17/$B$5</f>
        <v>0</v>
      </c>
      <c r="G17" s="89">
        <f>C17/$B$5</f>
        <v>0</v>
      </c>
      <c r="H17" s="89">
        <f>D17/$B$5</f>
        <v>0</v>
      </c>
      <c r="I17" s="90">
        <f>E17/$B$5</f>
        <v>0</v>
      </c>
      <c r="J17" s="63" t="e">
        <f>(C17-B17)/B17</f>
        <v>#DIV/0!</v>
      </c>
      <c r="K17" s="63" t="e">
        <f>D17/C17-1</f>
        <v>#DIV/0!</v>
      </c>
      <c r="L17" s="64" t="e">
        <f>E17/D17-1</f>
        <v>#DIV/0!</v>
      </c>
      <c r="M17" s="91"/>
      <c r="N17" s="92" t="s">
        <v>38</v>
      </c>
      <c r="O17" s="490">
        <v>14.200717750000001</v>
      </c>
      <c r="P17" s="490">
        <v>12.388158969999999</v>
      </c>
      <c r="Q17" s="490">
        <v>12.206339570000001</v>
      </c>
      <c r="R17" s="491">
        <v>11.93185568</v>
      </c>
      <c r="S17" s="89">
        <f>O17/$O$12</f>
        <v>0.41072284722075414</v>
      </c>
      <c r="T17" s="89">
        <f>P17/$P$12</f>
        <v>0.40640916114803866</v>
      </c>
      <c r="U17" s="94">
        <f>Q17/$Q$12</f>
        <v>0.397072340728994</v>
      </c>
      <c r="V17" s="95">
        <f>R17/$R$12</f>
        <v>0.43360917406413069</v>
      </c>
      <c r="W17" s="63">
        <f t="shared" si="6"/>
        <v>-0.12763853291852112</v>
      </c>
      <c r="X17" s="96">
        <f t="shared" si="6"/>
        <v>-1.4676870101546502E-2</v>
      </c>
      <c r="Y17" s="97">
        <f t="shared" si="6"/>
        <v>-2.2486994436449304E-2</v>
      </c>
    </row>
    <row r="18" spans="1:25" s="105" customFormat="1" ht="12" x14ac:dyDescent="0.2">
      <c r="A18" s="57" t="s">
        <v>39</v>
      </c>
      <c r="B18" s="490">
        <v>3.8317480000000002</v>
      </c>
      <c r="C18" s="490">
        <v>6.7466460000000001</v>
      </c>
      <c r="D18" s="490">
        <v>0</v>
      </c>
      <c r="E18" s="491">
        <v>0</v>
      </c>
      <c r="F18" s="89">
        <f>B18/$B$13</f>
        <v>7.7514231662792876E-3</v>
      </c>
      <c r="G18" s="89">
        <f>C18/$C$13</f>
        <v>1.9841692563303336E-2</v>
      </c>
      <c r="H18" s="89">
        <f>D18/$D$13</f>
        <v>0</v>
      </c>
      <c r="I18" s="90">
        <f>E18/$E$13</f>
        <v>0</v>
      </c>
      <c r="J18" s="63">
        <f>C18/B18-1</f>
        <v>0.76072278239591951</v>
      </c>
      <c r="K18" s="63">
        <f>D18/C18-1</f>
        <v>-1</v>
      </c>
      <c r="L18" s="64" t="e">
        <f>E18/D18-1</f>
        <v>#DIV/0!</v>
      </c>
      <c r="M18" s="103"/>
      <c r="N18" s="104"/>
      <c r="O18" s="102"/>
      <c r="P18" s="102"/>
      <c r="Q18" s="102"/>
      <c r="R18" s="311"/>
      <c r="S18" s="89"/>
      <c r="T18" s="89"/>
      <c r="U18" s="94"/>
      <c r="V18" s="95"/>
      <c r="W18" s="63"/>
      <c r="X18" s="96"/>
      <c r="Y18" s="97"/>
    </row>
    <row r="19" spans="1:25" s="105" customFormat="1" ht="12" x14ac:dyDescent="0.2">
      <c r="A19" s="57"/>
      <c r="B19" s="289"/>
      <c r="C19" s="289"/>
      <c r="D19" s="289"/>
      <c r="E19" s="300"/>
      <c r="F19" s="89"/>
      <c r="G19" s="89"/>
      <c r="H19" s="89"/>
      <c r="I19" s="90"/>
      <c r="J19" s="63"/>
      <c r="K19" s="63"/>
      <c r="L19" s="64"/>
      <c r="M19" s="91"/>
      <c r="N19" s="80" t="s">
        <v>24</v>
      </c>
      <c r="O19" s="73">
        <f t="shared" ref="O19:Q19" si="8">SUM(O20:O24)</f>
        <v>438.55704474999999</v>
      </c>
      <c r="P19" s="73">
        <f t="shared" si="8"/>
        <v>508.80796943000001</v>
      </c>
      <c r="Q19" s="73">
        <f t="shared" si="8"/>
        <v>533.56252504999998</v>
      </c>
      <c r="R19" s="73">
        <f>SUM(R20:R24)</f>
        <v>502.01916304999997</v>
      </c>
      <c r="S19" s="75">
        <f>O19/$O$75</f>
        <v>2.6037795747695606E-2</v>
      </c>
      <c r="T19" s="75">
        <f>P19/$P$75</f>
        <v>3.0290363457714086E-2</v>
      </c>
      <c r="U19" s="75">
        <f>Q19/$P$75</f>
        <v>3.1764052023960404E-2</v>
      </c>
      <c r="V19" s="82">
        <f>R19/$R$75</f>
        <v>3.1109708471838828E-2</v>
      </c>
      <c r="W19" s="77">
        <f t="shared" ref="W19:Y24" si="9">P19/O19-1</f>
        <v>0.16018651512039139</v>
      </c>
      <c r="X19" s="83">
        <f t="shared" si="9"/>
        <v>4.8652059533838665E-2</v>
      </c>
      <c r="Y19" s="84">
        <f t="shared" si="9"/>
        <v>-5.9118398536411654E-2</v>
      </c>
    </row>
    <row r="20" spans="1:25" s="108" customFormat="1" ht="12.75" customHeight="1" x14ac:dyDescent="0.2">
      <c r="A20" s="72" t="s">
        <v>42</v>
      </c>
      <c r="B20" s="176">
        <f t="shared" ref="B20:C20" si="10">SUM(B21:B26)</f>
        <v>55.568633640000002</v>
      </c>
      <c r="C20" s="176">
        <f t="shared" si="10"/>
        <v>53.827641759999999</v>
      </c>
      <c r="D20" s="176">
        <f>SUM(D21:D26)</f>
        <v>60.45347151</v>
      </c>
      <c r="E20" s="176">
        <f>SUM(E21:E25)</f>
        <v>73.229351950000009</v>
      </c>
      <c r="F20" s="75">
        <f>B20/$B$57</f>
        <v>3.3356879968577703E-3</v>
      </c>
      <c r="G20" s="75">
        <f>C20/$C$57</f>
        <v>3.234709556461685E-3</v>
      </c>
      <c r="H20" s="75">
        <f>D20/$D$57</f>
        <v>3.6901005338684308E-3</v>
      </c>
      <c r="I20" s="76">
        <f>E20/$E$57</f>
        <v>4.55620907793118E-3</v>
      </c>
      <c r="J20" s="77">
        <f t="shared" ref="J20:L23" si="11">C20/B20-1</f>
        <v>-3.1330478472423429E-2</v>
      </c>
      <c r="K20" s="77">
        <f t="shared" si="11"/>
        <v>0.12309344294781521</v>
      </c>
      <c r="L20" s="78">
        <f t="shared" si="11"/>
        <v>0.21133410738681357</v>
      </c>
      <c r="M20" s="107"/>
      <c r="N20" s="92" t="str">
        <f>N13</f>
        <v>Cotisations "Maladie" + IJ AMEXA</v>
      </c>
      <c r="O20" s="490">
        <v>438.55704474999999</v>
      </c>
      <c r="P20" s="490">
        <v>508.80796943000001</v>
      </c>
      <c r="Q20" s="490">
        <v>533.56252504999998</v>
      </c>
      <c r="R20" s="492">
        <v>502.01916304999997</v>
      </c>
      <c r="S20" s="89"/>
      <c r="T20" s="89"/>
      <c r="U20" s="94"/>
      <c r="V20" s="95"/>
      <c r="W20" s="63">
        <f t="shared" si="9"/>
        <v>0.16018651512039139</v>
      </c>
      <c r="X20" s="96">
        <f t="shared" si="9"/>
        <v>4.8652059533838665E-2</v>
      </c>
      <c r="Y20" s="97">
        <f t="shared" si="9"/>
        <v>-5.9118398536411654E-2</v>
      </c>
    </row>
    <row r="21" spans="1:25" s="85" customFormat="1" ht="12" x14ac:dyDescent="0.2">
      <c r="A21" s="57" t="str">
        <f>A14</f>
        <v>"Maladie-Maternité-Invalidité" + IJ AMEXA</v>
      </c>
      <c r="B21" s="493">
        <f>'[2]COMPTES NSA OK'!$C$23+'[2]COMPTES NSA OK'!$C$24</f>
        <v>17.791087240000003</v>
      </c>
      <c r="C21" s="493">
        <f>'[2]COMPTES NSA OK'!$D$23+'[2]COMPTES NSA OK'!$D$24</f>
        <v>17.42098232</v>
      </c>
      <c r="D21" s="493">
        <f>'[2]COMPTES NSA OK'!$E$23+'[2]COMPTES NSA OK'!$E$24</f>
        <v>18.82778923</v>
      </c>
      <c r="E21" s="494">
        <f>'[2]COMPTES NSA OK'!$F$23+'[2]COMPTES NSA OK'!$F$24</f>
        <v>31.113581010000001</v>
      </c>
      <c r="F21" s="89">
        <f>B21/$B$20</f>
        <v>0.32016420189956651</v>
      </c>
      <c r="G21" s="89">
        <f>C21/$C$20</f>
        <v>0.32364379620557243</v>
      </c>
      <c r="H21" s="89">
        <f>D21/$D$20</f>
        <v>0.31144264770445107</v>
      </c>
      <c r="I21" s="90">
        <f>E21/$E$20</f>
        <v>0.42487855185778406</v>
      </c>
      <c r="J21" s="63">
        <f t="shared" si="11"/>
        <v>-2.0802827562325099E-2</v>
      </c>
      <c r="K21" s="63">
        <f t="shared" si="11"/>
        <v>8.0753592659635887E-2</v>
      </c>
      <c r="L21" s="64">
        <f>E21/D21-1</f>
        <v>0.65253501778232947</v>
      </c>
      <c r="M21" s="91"/>
      <c r="N21" s="92" t="s">
        <v>32</v>
      </c>
      <c r="O21" s="490">
        <v>0</v>
      </c>
      <c r="P21" s="490">
        <v>0</v>
      </c>
      <c r="Q21" s="490">
        <v>0</v>
      </c>
      <c r="R21" s="491">
        <v>0</v>
      </c>
      <c r="S21" s="89"/>
      <c r="T21" s="89"/>
      <c r="U21" s="94"/>
      <c r="V21" s="95"/>
      <c r="W21" s="63" t="e">
        <f t="shared" si="9"/>
        <v>#DIV/0!</v>
      </c>
      <c r="X21" s="96" t="e">
        <f t="shared" si="9"/>
        <v>#DIV/0!</v>
      </c>
      <c r="Y21" s="97" t="e">
        <f t="shared" si="9"/>
        <v>#DIV/0!</v>
      </c>
    </row>
    <row r="22" spans="1:25" s="105" customFormat="1" ht="12" x14ac:dyDescent="0.2">
      <c r="A22" s="57" t="s">
        <v>33</v>
      </c>
      <c r="B22" s="493">
        <v>1.6620202999999998</v>
      </c>
      <c r="C22" s="493">
        <v>1.9571589900000002</v>
      </c>
      <c r="D22" s="493">
        <v>2.5784388499999999</v>
      </c>
      <c r="E22" s="491">
        <v>2.1200213999999997</v>
      </c>
      <c r="F22" s="89">
        <f>B22/$B$20</f>
        <v>2.9909324579894415E-2</v>
      </c>
      <c r="G22" s="89">
        <f>C22/$C$20</f>
        <v>3.6359738714289908E-2</v>
      </c>
      <c r="H22" s="89">
        <f>D22/$D$20</f>
        <v>4.2651625880136323E-2</v>
      </c>
      <c r="I22" s="90">
        <f>E22/$E$20</f>
        <v>2.895043235460449E-2</v>
      </c>
      <c r="J22" s="63">
        <f t="shared" si="11"/>
        <v>0.17757827025337791</v>
      </c>
      <c r="K22" s="63">
        <f t="shared" si="11"/>
        <v>0.31743964755770793</v>
      </c>
      <c r="L22" s="64">
        <f>E22/D22-1</f>
        <v>-0.17778876159890322</v>
      </c>
      <c r="M22" s="103"/>
      <c r="N22" s="92" t="s">
        <v>34</v>
      </c>
      <c r="O22" s="490">
        <v>0</v>
      </c>
      <c r="P22" s="490">
        <v>0</v>
      </c>
      <c r="Q22" s="490">
        <v>0</v>
      </c>
      <c r="R22" s="491">
        <v>0</v>
      </c>
      <c r="S22" s="89"/>
      <c r="T22" s="89"/>
      <c r="U22" s="94"/>
      <c r="V22" s="95"/>
      <c r="W22" s="63" t="e">
        <f t="shared" si="9"/>
        <v>#DIV/0!</v>
      </c>
      <c r="X22" s="96" t="e">
        <f t="shared" si="9"/>
        <v>#DIV/0!</v>
      </c>
      <c r="Y22" s="97" t="e">
        <f t="shared" si="9"/>
        <v>#DIV/0!</v>
      </c>
    </row>
    <row r="23" spans="1:25" s="105" customFormat="1" ht="12" x14ac:dyDescent="0.2">
      <c r="A23" s="57" t="s">
        <v>35</v>
      </c>
      <c r="B23" s="493">
        <v>4.5499611099999999</v>
      </c>
      <c r="C23" s="493">
        <v>3.9337006900000002</v>
      </c>
      <c r="D23" s="493">
        <v>4.4329827899999996</v>
      </c>
      <c r="E23" s="491">
        <v>4.1277445500000001</v>
      </c>
      <c r="F23" s="89">
        <f>B23/$B$20</f>
        <v>8.188002497014428E-2</v>
      </c>
      <c r="G23" s="89">
        <f>C23/$C$20</f>
        <v>7.30795658397798E-2</v>
      </c>
      <c r="H23" s="89">
        <f>D23/$D$20</f>
        <v>7.3328837522038934E-2</v>
      </c>
      <c r="I23" s="90">
        <f>E23/$E$20</f>
        <v>5.6367350523849606E-2</v>
      </c>
      <c r="J23" s="63">
        <f t="shared" si="11"/>
        <v>-0.1354430082150746</v>
      </c>
      <c r="K23" s="63">
        <f t="shared" si="11"/>
        <v>0.12692427292936692</v>
      </c>
      <c r="L23" s="64">
        <f>E23/D23-1</f>
        <v>-6.8856175279669807E-2</v>
      </c>
      <c r="M23" s="91"/>
      <c r="N23" s="92" t="s">
        <v>36</v>
      </c>
      <c r="O23" s="490">
        <v>0</v>
      </c>
      <c r="P23" s="490">
        <v>0</v>
      </c>
      <c r="Q23" s="490">
        <v>0</v>
      </c>
      <c r="R23" s="491">
        <v>0</v>
      </c>
      <c r="S23" s="89">
        <f>O23/$O$5</f>
        <v>0</v>
      </c>
      <c r="T23" s="89">
        <f>P23/$P$5</f>
        <v>0</v>
      </c>
      <c r="U23" s="94">
        <f>Q23/$Q$5</f>
        <v>0</v>
      </c>
      <c r="V23" s="95">
        <f>R23/$R$5</f>
        <v>0</v>
      </c>
      <c r="W23" s="63" t="e">
        <f t="shared" si="9"/>
        <v>#DIV/0!</v>
      </c>
      <c r="X23" s="96" t="e">
        <f t="shared" si="9"/>
        <v>#DIV/0!</v>
      </c>
      <c r="Y23" s="97" t="e">
        <f t="shared" si="9"/>
        <v>#DIV/0!</v>
      </c>
    </row>
    <row r="24" spans="1:25" s="105" customFormat="1" ht="12" x14ac:dyDescent="0.2">
      <c r="A24" s="57" t="s">
        <v>37</v>
      </c>
      <c r="B24" s="490">
        <v>6.5194643499999998</v>
      </c>
      <c r="C24" s="490">
        <v>6.3546052399999997</v>
      </c>
      <c r="D24" s="490">
        <v>7.4594812699999995</v>
      </c>
      <c r="E24" s="491">
        <v>7.7039837899999997</v>
      </c>
      <c r="F24" s="89">
        <f>B24/$B$5</f>
        <v>4.486266720058393E-4</v>
      </c>
      <c r="G24" s="89">
        <f>C24/$B$5</f>
        <v>4.3728215198110071E-4</v>
      </c>
      <c r="H24" s="89">
        <f>D24/$B$5</f>
        <v>5.1331245596120047E-4</v>
      </c>
      <c r="I24" s="90">
        <f>E24/$B$5</f>
        <v>5.3013751181791994E-4</v>
      </c>
      <c r="J24" s="63">
        <f>(C24-B24)/B24</f>
        <v>-2.5287217039541E-2</v>
      </c>
      <c r="K24" s="63">
        <f>D24/C24-1</f>
        <v>0.17387012855577466</v>
      </c>
      <c r="L24" s="64">
        <f>E24/D24-1</f>
        <v>3.2777415902004226E-2</v>
      </c>
      <c r="M24" s="91"/>
      <c r="N24" s="92" t="s">
        <v>38</v>
      </c>
      <c r="O24" s="490">
        <v>0</v>
      </c>
      <c r="P24" s="490">
        <v>0</v>
      </c>
      <c r="Q24" s="490">
        <v>0</v>
      </c>
      <c r="R24" s="491">
        <v>0</v>
      </c>
      <c r="S24" s="89"/>
      <c r="T24" s="89"/>
      <c r="U24" s="94"/>
      <c r="V24" s="95"/>
      <c r="W24" s="63" t="e">
        <f t="shared" si="9"/>
        <v>#DIV/0!</v>
      </c>
      <c r="X24" s="96" t="e">
        <f t="shared" si="9"/>
        <v>#DIV/0!</v>
      </c>
      <c r="Y24" s="97" t="e">
        <f t="shared" si="9"/>
        <v>#DIV/0!</v>
      </c>
    </row>
    <row r="25" spans="1:25" s="108" customFormat="1" ht="12.75" customHeight="1" x14ac:dyDescent="0.2">
      <c r="A25" s="57" t="s">
        <v>39</v>
      </c>
      <c r="B25" s="493">
        <v>25.046100639999999</v>
      </c>
      <c r="C25" s="493">
        <v>24.161194520000002</v>
      </c>
      <c r="D25" s="493">
        <v>27.154779369999996</v>
      </c>
      <c r="E25" s="491">
        <v>28.164021200000001</v>
      </c>
      <c r="F25" s="89">
        <f>B25/$B$20</f>
        <v>0.45072370867098394</v>
      </c>
      <c r="G25" s="89">
        <f>C25/$C$20</f>
        <v>0.44886221521141378</v>
      </c>
      <c r="H25" s="89">
        <f>D25/$D$20</f>
        <v>0.44918478115037858</v>
      </c>
      <c r="I25" s="90">
        <f>E25/$E$20</f>
        <v>0.38460016987764695</v>
      </c>
      <c r="J25" s="63">
        <f>C25/B25-1</f>
        <v>-3.5331093359369237E-2</v>
      </c>
      <c r="K25" s="63">
        <f>D25/C25-1</f>
        <v>0.12390053180201765</v>
      </c>
      <c r="L25" s="64">
        <f>E25/D25-1</f>
        <v>3.716626882687879E-2</v>
      </c>
      <c r="M25" s="91"/>
      <c r="N25" s="92"/>
      <c r="O25" s="93"/>
      <c r="P25" s="93"/>
      <c r="Q25" s="93"/>
      <c r="R25" s="300"/>
      <c r="S25" s="89"/>
      <c r="T25" s="89"/>
      <c r="U25" s="94"/>
      <c r="V25" s="95"/>
      <c r="W25" s="63"/>
      <c r="X25" s="96"/>
      <c r="Y25" s="97"/>
    </row>
    <row r="26" spans="1:25" s="85" customFormat="1" ht="12" x14ac:dyDescent="0.2">
      <c r="A26" s="57"/>
      <c r="B26" s="290"/>
      <c r="C26" s="290"/>
      <c r="D26" s="290"/>
      <c r="E26" s="311"/>
      <c r="F26" s="89"/>
      <c r="G26" s="89"/>
      <c r="H26" s="89"/>
      <c r="I26" s="90"/>
      <c r="J26" s="63"/>
      <c r="K26" s="63"/>
      <c r="L26" s="64"/>
      <c r="M26" s="91"/>
      <c r="N26" s="80" t="s">
        <v>22</v>
      </c>
      <c r="O26" s="175">
        <f t="shared" ref="O26:Q26" si="12">SUM(O27:O31)</f>
        <v>4868.3526247</v>
      </c>
      <c r="P26" s="175">
        <f t="shared" si="12"/>
        <v>4717.54026221</v>
      </c>
      <c r="Q26" s="175">
        <f t="shared" si="12"/>
        <v>4739.7633540000006</v>
      </c>
      <c r="R26" s="175">
        <f>SUM(R27:R31)</f>
        <v>5080.1464611199999</v>
      </c>
      <c r="S26" s="75">
        <f>O26/$O$75</f>
        <v>0.28904146629763244</v>
      </c>
      <c r="T26" s="75">
        <f>P26/$P$75</f>
        <v>0.28084467570117305</v>
      </c>
      <c r="U26" s="75">
        <f>Q26/$P$75</f>
        <v>0.28216766112576724</v>
      </c>
      <c r="V26" s="82">
        <f>R26/$R$75</f>
        <v>0.31481243552439109</v>
      </c>
      <c r="W26" s="77">
        <f t="shared" ref="W26:Y31" si="13">P26/O26-1</f>
        <v>-3.0978109869207238E-2</v>
      </c>
      <c r="X26" s="83">
        <f t="shared" si="13"/>
        <v>4.7107370694892126E-3</v>
      </c>
      <c r="Y26" s="84">
        <f t="shared" si="13"/>
        <v>7.1814367447847749E-2</v>
      </c>
    </row>
    <row r="27" spans="1:25" s="85" customFormat="1" ht="12.75" customHeight="1" x14ac:dyDescent="0.2">
      <c r="A27" s="72" t="s">
        <v>43</v>
      </c>
      <c r="B27" s="176">
        <f>B13+B20</f>
        <v>549.89695474999996</v>
      </c>
      <c r="C27" s="176">
        <f>C13+C20</f>
        <v>393.85135588999998</v>
      </c>
      <c r="D27" s="176">
        <f>D13+D20</f>
        <v>385.39852350999996</v>
      </c>
      <c r="E27" s="176">
        <f>E20+E13</f>
        <v>388.32743001</v>
      </c>
      <c r="F27" s="75">
        <f>B27/$B$57</f>
        <v>3.3009353502401778E-2</v>
      </c>
      <c r="G27" s="75">
        <f>C27/$C$57</f>
        <v>2.3668039376554977E-2</v>
      </c>
      <c r="H27" s="75">
        <f>D27/$D$57</f>
        <v>2.352485741238379E-2</v>
      </c>
      <c r="I27" s="76">
        <f>E27/$E$57</f>
        <v>2.4161089982460877E-2</v>
      </c>
      <c r="J27" s="77">
        <f>C27/B27-1</f>
        <v>-0.28377243683944953</v>
      </c>
      <c r="K27" s="77">
        <f>D27/C27-1</f>
        <v>-2.1461986238180741E-2</v>
      </c>
      <c r="L27" s="78">
        <f>E27/D27-1</f>
        <v>7.5996827214726004E-3</v>
      </c>
      <c r="M27" s="91"/>
      <c r="N27" s="92" t="str">
        <f>N20</f>
        <v>Cotisations "Maladie" + IJ AMEXA</v>
      </c>
      <c r="O27" s="490">
        <v>1558.7126166600001</v>
      </c>
      <c r="P27" s="490">
        <v>1512.9845784300001</v>
      </c>
      <c r="Q27" s="490">
        <v>1515.1245476500001</v>
      </c>
      <c r="R27" s="492">
        <v>1852.9158935300002</v>
      </c>
      <c r="S27" s="89">
        <f>O27/$O$26</f>
        <v>0.32017249710954365</v>
      </c>
      <c r="T27" s="89">
        <f>P27/$P$26</f>
        <v>0.32071471451972738</v>
      </c>
      <c r="U27" s="94">
        <f>Q27/$Q$26</f>
        <v>0.31966248829097133</v>
      </c>
      <c r="V27" s="95">
        <f>R27/$R$26</f>
        <v>0.36473670743766218</v>
      </c>
      <c r="W27" s="63">
        <f t="shared" si="13"/>
        <v>-2.9337055298869541E-2</v>
      </c>
      <c r="X27" s="96">
        <f t="shared" si="13"/>
        <v>1.4144025329199117E-3</v>
      </c>
      <c r="Y27" s="97">
        <f t="shared" si="13"/>
        <v>0.22294625640111487</v>
      </c>
    </row>
    <row r="28" spans="1:25" s="85" customFormat="1" ht="12.75" customHeight="1" x14ac:dyDescent="0.2">
      <c r="A28" s="57"/>
      <c r="B28" s="106"/>
      <c r="C28" s="106"/>
      <c r="D28" s="106"/>
      <c r="E28" s="312"/>
      <c r="F28" s="89"/>
      <c r="G28" s="89"/>
      <c r="H28" s="89"/>
      <c r="I28" s="90"/>
      <c r="J28" s="63"/>
      <c r="K28" s="63"/>
      <c r="L28" s="64"/>
      <c r="M28" s="103"/>
      <c r="N28" s="92" t="s">
        <v>32</v>
      </c>
      <c r="O28" s="490">
        <v>0</v>
      </c>
      <c r="P28" s="490">
        <v>0</v>
      </c>
      <c r="Q28" s="490">
        <v>0</v>
      </c>
      <c r="R28" s="492">
        <v>0</v>
      </c>
      <c r="S28" s="89">
        <f>O28/$O$26</f>
        <v>0</v>
      </c>
      <c r="T28" s="89">
        <f>P28/$P$26</f>
        <v>0</v>
      </c>
      <c r="U28" s="94">
        <f>Q28/$Q$26</f>
        <v>0</v>
      </c>
      <c r="V28" s="95">
        <f>R28/$R$26</f>
        <v>0</v>
      </c>
      <c r="W28" s="63" t="e">
        <f t="shared" si="13"/>
        <v>#DIV/0!</v>
      </c>
      <c r="X28" s="96" t="e">
        <f t="shared" si="13"/>
        <v>#DIV/0!</v>
      </c>
      <c r="Y28" s="97" t="e">
        <f t="shared" si="13"/>
        <v>#DIV/0!</v>
      </c>
    </row>
    <row r="29" spans="1:25" s="105" customFormat="1" ht="12.75" customHeight="1" x14ac:dyDescent="0.2">
      <c r="A29" s="72" t="s">
        <v>44</v>
      </c>
      <c r="B29" s="101">
        <f>SUM(B30:B34)</f>
        <v>7.9906330300000006</v>
      </c>
      <c r="C29" s="101">
        <f>SUM(C30:C34)</f>
        <v>9.5411951200000011</v>
      </c>
      <c r="D29" s="176">
        <f>SUM(D30:D34)</f>
        <v>12.689060649999998</v>
      </c>
      <c r="E29" s="176">
        <f>SUM(E30:E34)</f>
        <v>11.15352888</v>
      </c>
      <c r="F29" s="75">
        <f>B29/$B$57</f>
        <v>4.7966374084605325E-4</v>
      </c>
      <c r="G29" s="75">
        <f>C29/$C$57</f>
        <v>5.7336702901341437E-4</v>
      </c>
      <c r="H29" s="75">
        <f>D29/$D$57</f>
        <v>7.7454459287930951E-4</v>
      </c>
      <c r="I29" s="76">
        <f>E29/$E$57</f>
        <v>6.9395410693680977E-4</v>
      </c>
      <c r="J29" s="77">
        <f t="shared" ref="J29:L32" si="14">C29/B29-1</f>
        <v>0.19404746584889798</v>
      </c>
      <c r="K29" s="77">
        <f t="shared" si="14"/>
        <v>0.32992360919247155</v>
      </c>
      <c r="L29" s="78">
        <f t="shared" si="14"/>
        <v>-0.12101224924005693</v>
      </c>
      <c r="M29" s="91"/>
      <c r="N29" s="92" t="s">
        <v>34</v>
      </c>
      <c r="O29" s="490">
        <v>4.4887004599999996</v>
      </c>
      <c r="P29" s="490">
        <v>4.3387477600000004</v>
      </c>
      <c r="Q29" s="490">
        <v>4.2481270799999997</v>
      </c>
      <c r="R29" s="492">
        <v>4.0567911099999998</v>
      </c>
      <c r="S29" s="89">
        <f>O29/$O$26</f>
        <v>9.2201629709939186E-4</v>
      </c>
      <c r="T29" s="89">
        <f>P29/$P$26</f>
        <v>9.1970550728642884E-4</v>
      </c>
      <c r="U29" s="94">
        <f>Q29/$Q$26</f>
        <v>8.9627408853965311E-4</v>
      </c>
      <c r="V29" s="95">
        <f>R29/$R$26</f>
        <v>7.9855790399901484E-4</v>
      </c>
      <c r="W29" s="63">
        <f t="shared" si="13"/>
        <v>-3.3406706759844473E-2</v>
      </c>
      <c r="X29" s="96">
        <f t="shared" si="13"/>
        <v>-2.0886367452714216E-2</v>
      </c>
      <c r="Y29" s="97">
        <f t="shared" si="13"/>
        <v>-4.5040076814274577E-2</v>
      </c>
    </row>
    <row r="30" spans="1:25" s="105" customFormat="1" ht="12.75" customHeight="1" x14ac:dyDescent="0.2">
      <c r="A30" s="57" t="str">
        <f>A21</f>
        <v>"Maladie-Maternité-Invalidité" + IJ AMEXA</v>
      </c>
      <c r="B30" s="493">
        <f>'[2]COMPTES NSA OK'!$C$33+'[2]COMPTES NSA OK'!$C$34</f>
        <v>0.60922907000000004</v>
      </c>
      <c r="C30" s="493">
        <f>'[2]COMPTES NSA OK'!$D$33+'[2]COMPTES NSA OK'!$D$34</f>
        <v>0.98637302999999998</v>
      </c>
      <c r="D30" s="493">
        <f>'[2]COMPTES NSA OK'!$E$33+'[2]COMPTES NSA OK'!$E$34</f>
        <v>0.50227858000000003</v>
      </c>
      <c r="E30" s="494">
        <f>'[2]COMPTES NSA OK'!$F$33+'[2]COMPTES NSA OK'!$F$34</f>
        <v>0.53399542</v>
      </c>
      <c r="F30" s="89">
        <f>B30/$B$29</f>
        <v>7.6242904374748899E-2</v>
      </c>
      <c r="G30" s="89">
        <f>C30/$C$29</f>
        <v>0.10338044842332078</v>
      </c>
      <c r="H30" s="89">
        <f>D30/$D$29</f>
        <v>3.9583590452773203E-2</v>
      </c>
      <c r="I30" s="90">
        <f>E30/$E$29</f>
        <v>4.7876813315787102E-2</v>
      </c>
      <c r="J30" s="63">
        <f t="shared" si="14"/>
        <v>0.61905115591414561</v>
      </c>
      <c r="K30" s="63">
        <f t="shared" si="14"/>
        <v>-0.49078232603338712</v>
      </c>
      <c r="L30" s="64">
        <f t="shared" si="14"/>
        <v>6.3145913966707434E-2</v>
      </c>
      <c r="M30" s="103"/>
      <c r="N30" s="92" t="s">
        <v>36</v>
      </c>
      <c r="O30" s="490">
        <v>666.27188158000001</v>
      </c>
      <c r="P30" s="490">
        <v>588.41516970999999</v>
      </c>
      <c r="Q30" s="490">
        <v>654.71580849000009</v>
      </c>
      <c r="R30" s="492">
        <v>630.55895623999993</v>
      </c>
      <c r="S30" s="89">
        <f>O30/$O$5</f>
        <v>0.26155727572999699</v>
      </c>
      <c r="T30" s="89">
        <f>P30/$P$5</f>
        <v>0.19920005116991579</v>
      </c>
      <c r="U30" s="94">
        <f>Q30/$Q$5</f>
        <v>0.21378923821128071</v>
      </c>
      <c r="V30" s="95">
        <f>R30/$R$5</f>
        <v>0.22768830559427425</v>
      </c>
      <c r="W30" s="63">
        <f t="shared" si="13"/>
        <v>-0.11685426628746554</v>
      </c>
      <c r="X30" s="96">
        <f t="shared" si="13"/>
        <v>0.11267663070732237</v>
      </c>
      <c r="Y30" s="97">
        <f t="shared" si="13"/>
        <v>-3.6896699204062577E-2</v>
      </c>
    </row>
    <row r="31" spans="1:25" s="105" customFormat="1" ht="12.75" customHeight="1" x14ac:dyDescent="0.2">
      <c r="A31" s="57" t="s">
        <v>33</v>
      </c>
      <c r="B31" s="493">
        <v>4.5950734900000008</v>
      </c>
      <c r="C31" s="493">
        <v>2.7613311999999999</v>
      </c>
      <c r="D31" s="493">
        <v>3.60226165</v>
      </c>
      <c r="E31" s="494">
        <v>4.0434875200000002</v>
      </c>
      <c r="F31" s="89">
        <f>B31/$B$29</f>
        <v>0.57505750454917337</v>
      </c>
      <c r="G31" s="89">
        <f>C31/$C$29</f>
        <v>0.28941145897035164</v>
      </c>
      <c r="H31" s="89">
        <f>D31/$D$29</f>
        <v>0.28388718041157762</v>
      </c>
      <c r="I31" s="90">
        <f>E31/$E$29</f>
        <v>0.36252988300865013</v>
      </c>
      <c r="J31" s="63">
        <f t="shared" si="14"/>
        <v>-0.39906702123277693</v>
      </c>
      <c r="K31" s="63">
        <f t="shared" si="14"/>
        <v>0.30453806120757987</v>
      </c>
      <c r="L31" s="64">
        <f t="shared" si="14"/>
        <v>0.12248579166924212</v>
      </c>
      <c r="M31" s="91"/>
      <c r="N31" s="92" t="s">
        <v>38</v>
      </c>
      <c r="O31" s="490">
        <v>2638.879426</v>
      </c>
      <c r="P31" s="490">
        <v>2611.8017663099999</v>
      </c>
      <c r="Q31" s="490">
        <v>2565.6748707800002</v>
      </c>
      <c r="R31" s="492">
        <v>2592.61482024</v>
      </c>
      <c r="S31" s="89">
        <f>O31/$O$26</f>
        <v>0.54204771704732757</v>
      </c>
      <c r="T31" s="89">
        <f>P31/$P$26</f>
        <v>0.5536363488472833</v>
      </c>
      <c r="U31" s="94">
        <f>Q31/$Q$26</f>
        <v>0.5413086433133345</v>
      </c>
      <c r="V31" s="95">
        <f>R31/$R$26</f>
        <v>0.510342534429296</v>
      </c>
      <c r="W31" s="63">
        <f t="shared" si="13"/>
        <v>-1.0261044677984499E-2</v>
      </c>
      <c r="X31" s="96">
        <f t="shared" si="13"/>
        <v>-1.7660948133582322E-2</v>
      </c>
      <c r="Y31" s="97">
        <f t="shared" si="13"/>
        <v>1.0500141606722524E-2</v>
      </c>
    </row>
    <row r="32" spans="1:25" s="108" customFormat="1" ht="12.75" customHeight="1" x14ac:dyDescent="0.2">
      <c r="A32" s="57" t="s">
        <v>35</v>
      </c>
      <c r="B32" s="493">
        <v>0.14224012999999999</v>
      </c>
      <c r="C32" s="493">
        <v>0.61819672999999997</v>
      </c>
      <c r="D32" s="493">
        <v>0.28355996999999999</v>
      </c>
      <c r="E32" s="494">
        <v>0.30543978999999999</v>
      </c>
      <c r="F32" s="89">
        <f>B32/$B$29</f>
        <v>1.7800858763751787E-2</v>
      </c>
      <c r="G32" s="89">
        <f>C32/$C$29</f>
        <v>6.4792378965623745E-2</v>
      </c>
      <c r="H32" s="89">
        <f>D32/$D$29</f>
        <v>2.2346805474525021E-2</v>
      </c>
      <c r="I32" s="90">
        <f>E32/$E$29</f>
        <v>2.73850360084422E-2</v>
      </c>
      <c r="J32" s="63">
        <f t="shared" si="14"/>
        <v>3.3461485165965472</v>
      </c>
      <c r="K32" s="63">
        <f t="shared" si="14"/>
        <v>-0.54131111304972446</v>
      </c>
      <c r="L32" s="64">
        <f t="shared" si="14"/>
        <v>7.7161173348974543E-2</v>
      </c>
      <c r="M32" s="79"/>
      <c r="N32" s="92"/>
      <c r="O32" s="93"/>
      <c r="P32" s="93"/>
      <c r="Q32" s="93"/>
      <c r="R32" s="300"/>
      <c r="S32" s="89"/>
      <c r="T32" s="89"/>
      <c r="U32" s="94"/>
      <c r="V32" s="95"/>
      <c r="W32" s="63"/>
      <c r="X32" s="96"/>
      <c r="Y32" s="97"/>
    </row>
    <row r="33" spans="1:25" s="105" customFormat="1" ht="12.75" customHeight="1" x14ac:dyDescent="0.2">
      <c r="A33" s="57" t="s">
        <v>37</v>
      </c>
      <c r="B33" s="490">
        <v>2.23196876</v>
      </c>
      <c r="C33" s="490">
        <v>8.5516120000000001E-2</v>
      </c>
      <c r="D33" s="490">
        <v>4.1937199999999994E-2</v>
      </c>
      <c r="E33" s="492">
        <v>5.0324180000000003E-2</v>
      </c>
      <c r="F33" s="89">
        <f>B33/$B$5</f>
        <v>1.5358941518252184E-4</v>
      </c>
      <c r="G33" s="89">
        <f>C33/$B$5</f>
        <v>5.8846571219385527E-6</v>
      </c>
      <c r="H33" s="89">
        <f>D33/$B$5</f>
        <v>2.8858423728083247E-6</v>
      </c>
      <c r="I33" s="90">
        <f>E33/$B$5</f>
        <v>3.4629791931944258E-6</v>
      </c>
      <c r="J33" s="63">
        <f>(C33-B33)/B33</f>
        <v>-0.96168578990326015</v>
      </c>
      <c r="K33" s="63">
        <f>D33/C33-1</f>
        <v>-0.50959889199837416</v>
      </c>
      <c r="L33" s="64">
        <f>E33/D33-1</f>
        <v>0.1999890312181074</v>
      </c>
      <c r="M33" s="98"/>
      <c r="N33" s="80" t="s">
        <v>146</v>
      </c>
      <c r="O33" s="73">
        <f>SUM(O34:O38)</f>
        <v>4639.8392698600001</v>
      </c>
      <c r="P33" s="73">
        <f>SUM(P34:P38)</f>
        <v>4389.4364763200001</v>
      </c>
      <c r="Q33" s="304">
        <f>SUM(Q34:Q38)</f>
        <v>3833.0628038899999</v>
      </c>
      <c r="R33" s="304">
        <f>SUM(R34:R38)</f>
        <v>3405.5434276199999</v>
      </c>
      <c r="S33" s="75">
        <f>O33/$O$75</f>
        <v>0.27547428243826383</v>
      </c>
      <c r="T33" s="75">
        <f>P33/$P$75</f>
        <v>0.26131199633376112</v>
      </c>
      <c r="U33" s="75">
        <f>Q33/$P$75</f>
        <v>0.22818995075124515</v>
      </c>
      <c r="V33" s="82">
        <f>R33/$R$75</f>
        <v>0.2110386834195272</v>
      </c>
      <c r="W33" s="77">
        <f t="shared" ref="W33:W38" si="15">P33/O33-1</f>
        <v>-5.3967988754825003E-2</v>
      </c>
      <c r="X33" s="83">
        <f t="shared" ref="X33:X38" si="16">Q33/P33-1</f>
        <v>-0.126752870312968</v>
      </c>
      <c r="Y33" s="84">
        <f t="shared" ref="Y33:Y38" si="17">R33/Q33-1</f>
        <v>-0.11153466513414034</v>
      </c>
    </row>
    <row r="34" spans="1:25" s="85" customFormat="1" ht="12.75" customHeight="1" x14ac:dyDescent="0.2">
      <c r="A34" s="57" t="s">
        <v>39</v>
      </c>
      <c r="B34" s="493">
        <v>0.41212157999999999</v>
      </c>
      <c r="C34" s="493">
        <v>5.0897780400000006</v>
      </c>
      <c r="D34" s="493">
        <v>8.2590232500000003</v>
      </c>
      <c r="E34" s="494">
        <v>6.2202819699999994</v>
      </c>
      <c r="F34" s="89">
        <f>B34/$B$29</f>
        <v>5.1575585870697903E-2</v>
      </c>
      <c r="G34" s="89">
        <f>C34/$C$29</f>
        <v>0.53345288257767021</v>
      </c>
      <c r="H34" s="89">
        <f>D34/$D$29</f>
        <v>0.65087743512361584</v>
      </c>
      <c r="I34" s="90">
        <f>E34/$E$29</f>
        <v>0.55769631628909178</v>
      </c>
      <c r="J34" s="63">
        <f>C34/B34-1</f>
        <v>11.350185690348951</v>
      </c>
      <c r="K34" s="63">
        <f>D34/C34-1</f>
        <v>0.62266864784539777</v>
      </c>
      <c r="L34" s="64">
        <f>E34/D34-1</f>
        <v>-0.24685016839006968</v>
      </c>
      <c r="M34" s="79"/>
      <c r="N34" s="92" t="str">
        <f>N20</f>
        <v>Cotisations "Maladie" + IJ AMEXA</v>
      </c>
      <c r="O34" s="490">
        <v>4231.4442780600002</v>
      </c>
      <c r="P34" s="490">
        <v>3963.1403612499998</v>
      </c>
      <c r="Q34" s="490">
        <v>3501.7900372899999</v>
      </c>
      <c r="R34" s="491">
        <v>3021.0033701399998</v>
      </c>
      <c r="S34" s="89">
        <f>O34/$O$40</f>
        <v>1.4263614550760493</v>
      </c>
      <c r="T34" s="89">
        <f>P34/$P$40</f>
        <v>1.3505844721295515</v>
      </c>
      <c r="U34" s="94">
        <f>Q34/$Q$40</f>
        <v>1.167871433847876</v>
      </c>
      <c r="V34" s="95">
        <f>R34/$R$40</f>
        <v>1.0090513313922538</v>
      </c>
      <c r="W34" s="63">
        <f t="shared" si="15"/>
        <v>-6.3407172392923594E-2</v>
      </c>
      <c r="X34" s="96">
        <f t="shared" si="16"/>
        <v>-0.11641029131112757</v>
      </c>
      <c r="Y34" s="97">
        <f t="shared" si="17"/>
        <v>-0.13729739990981182</v>
      </c>
    </row>
    <row r="35" spans="1:25" s="85" customFormat="1" ht="12.75" customHeight="1" x14ac:dyDescent="0.2">
      <c r="A35" s="86"/>
      <c r="B35" s="109"/>
      <c r="C35" s="109"/>
      <c r="D35" s="109"/>
      <c r="E35" s="313"/>
      <c r="F35" s="110"/>
      <c r="G35" s="110"/>
      <c r="H35" s="110"/>
      <c r="I35" s="111"/>
      <c r="J35" s="112"/>
      <c r="K35" s="112"/>
      <c r="L35" s="113"/>
      <c r="M35" s="79"/>
      <c r="N35" s="92" t="s">
        <v>32</v>
      </c>
      <c r="O35" s="490">
        <v>408.39499180000001</v>
      </c>
      <c r="P35" s="490">
        <v>426.29611506999998</v>
      </c>
      <c r="Q35" s="490">
        <v>331.27276660000001</v>
      </c>
      <c r="R35" s="491">
        <v>384.54005747999997</v>
      </c>
      <c r="S35" s="89">
        <f>O35/$O$40</f>
        <v>0.13766431423189815</v>
      </c>
      <c r="T35" s="89">
        <f>P35/$P$40</f>
        <v>0.14527593298792463</v>
      </c>
      <c r="U35" s="94">
        <f>Q35/$Q$40</f>
        <v>0.11048178126159168</v>
      </c>
      <c r="V35" s="95">
        <f>R35/$R$40</f>
        <v>0.12844098778872468</v>
      </c>
      <c r="W35" s="63">
        <f t="shared" si="15"/>
        <v>4.3832866781986723E-2</v>
      </c>
      <c r="X35" s="96">
        <f t="shared" si="16"/>
        <v>-0.22290456119778779</v>
      </c>
      <c r="Y35" s="97">
        <f t="shared" si="17"/>
        <v>0.16079586446753802</v>
      </c>
    </row>
    <row r="36" spans="1:25" ht="12.75" customHeight="1" x14ac:dyDescent="0.2">
      <c r="A36" s="72" t="s">
        <v>45</v>
      </c>
      <c r="B36" s="101">
        <f>SUM(B37:B41)</f>
        <v>9.9508104500000005</v>
      </c>
      <c r="C36" s="101">
        <f>SUM(C37:C41)</f>
        <v>10.627469749999999</v>
      </c>
      <c r="D36" s="176">
        <f>SUM(D37:D41)</f>
        <v>9.2337598399999994</v>
      </c>
      <c r="E36" s="176">
        <f>SUM(E37:E41)</f>
        <v>8.9814002999999989</v>
      </c>
      <c r="F36" s="75">
        <f>B36/$B$57</f>
        <v>5.9732976686291384E-4</v>
      </c>
      <c r="G36" s="75">
        <f>C36/$C$57</f>
        <v>6.3864544009948232E-4</v>
      </c>
      <c r="H36" s="75">
        <f>D36/$D$57</f>
        <v>5.6363185213541549E-4</v>
      </c>
      <c r="I36" s="76">
        <f>E36/$E$57</f>
        <v>5.5880786173465263E-4</v>
      </c>
      <c r="J36" s="77">
        <f t="shared" ref="J36:L39" si="18">C36/B36-1</f>
        <v>6.8000421010933731E-2</v>
      </c>
      <c r="K36" s="77">
        <f t="shared" si="18"/>
        <v>-0.13114221378988167</v>
      </c>
      <c r="L36" s="78">
        <f t="shared" si="18"/>
        <v>-2.7330095689385048E-2</v>
      </c>
      <c r="M36" s="79"/>
      <c r="N36" s="92" t="s">
        <v>34</v>
      </c>
      <c r="O36" s="490"/>
      <c r="P36" s="490"/>
      <c r="Q36" s="490"/>
      <c r="R36" s="491"/>
      <c r="S36" s="89">
        <f>O36/$O$40</f>
        <v>0</v>
      </c>
      <c r="T36" s="89">
        <f>P36/$P$40</f>
        <v>0</v>
      </c>
      <c r="U36" s="94">
        <f>Q36/$Q$40</f>
        <v>0</v>
      </c>
      <c r="V36" s="95">
        <f>R36/$R$40</f>
        <v>0</v>
      </c>
      <c r="W36" s="63" t="e">
        <f t="shared" si="15"/>
        <v>#DIV/0!</v>
      </c>
      <c r="X36" s="96" t="e">
        <f t="shared" si="16"/>
        <v>#DIV/0!</v>
      </c>
      <c r="Y36" s="97" t="e">
        <f t="shared" si="17"/>
        <v>#DIV/0!</v>
      </c>
    </row>
    <row r="37" spans="1:25" ht="12.75" customHeight="1" x14ac:dyDescent="0.2">
      <c r="A37" s="57" t="str">
        <f>A30</f>
        <v>"Maladie-Maternité-Invalidité" + IJ AMEXA</v>
      </c>
      <c r="B37" s="493">
        <f>'[2]COMPTES NSA OK'!$C$41+'[2]COMPTES NSA OK'!$C$42</f>
        <v>9.9508104500000005</v>
      </c>
      <c r="C37" s="493">
        <f>'[2]COMPTES NSA OK'!$D$41+'[2]COMPTES NSA OK'!$D$42</f>
        <v>10.627469749999999</v>
      </c>
      <c r="D37" s="493">
        <f>'[2]COMPTES NSA OK'!$E$41+'[2]COMPTES NSA OK'!$E$42</f>
        <v>9.2337598399999994</v>
      </c>
      <c r="E37" s="494">
        <f>'[2]COMPTES NSA OK'!$F$41+'[2]COMPTES NSA OK'!$F$42</f>
        <v>8.9814002999999989</v>
      </c>
      <c r="F37" s="89">
        <f>B37/$B$36</f>
        <v>1</v>
      </c>
      <c r="G37" s="89">
        <f>C37/$C$36</f>
        <v>1</v>
      </c>
      <c r="H37" s="89">
        <f>D37/$D$36</f>
        <v>1</v>
      </c>
      <c r="I37" s="90">
        <f>E37/$E$36</f>
        <v>1</v>
      </c>
      <c r="J37" s="63">
        <f t="shared" si="18"/>
        <v>6.8000421010933731E-2</v>
      </c>
      <c r="K37" s="63">
        <f t="shared" si="18"/>
        <v>-0.13114221378988167</v>
      </c>
      <c r="L37" s="64">
        <f>E37/D37-1</f>
        <v>-2.7330095689385048E-2</v>
      </c>
      <c r="M37" s="79"/>
      <c r="N37" s="92" t="s">
        <v>36</v>
      </c>
      <c r="O37" s="490"/>
      <c r="P37" s="490"/>
      <c r="Q37" s="490"/>
      <c r="R37" s="491"/>
      <c r="S37" s="89">
        <f>O37/$O$5</f>
        <v>0</v>
      </c>
      <c r="T37" s="89">
        <f>P37/$P$5</f>
        <v>0</v>
      </c>
      <c r="U37" s="94">
        <f>Q37/$Q$5</f>
        <v>0</v>
      </c>
      <c r="V37" s="95">
        <f>R37/$R$5</f>
        <v>0</v>
      </c>
      <c r="W37" s="63" t="e">
        <f t="shared" si="15"/>
        <v>#DIV/0!</v>
      </c>
      <c r="X37" s="96" t="e">
        <f t="shared" si="16"/>
        <v>#DIV/0!</v>
      </c>
      <c r="Y37" s="97" t="e">
        <f t="shared" si="17"/>
        <v>#DIV/0!</v>
      </c>
    </row>
    <row r="38" spans="1:25" s="85" customFormat="1" ht="12.75" customHeight="1" x14ac:dyDescent="0.2">
      <c r="A38" s="57" t="s">
        <v>33</v>
      </c>
      <c r="B38" s="493">
        <v>0</v>
      </c>
      <c r="C38" s="493">
        <v>0</v>
      </c>
      <c r="D38" s="493">
        <v>0</v>
      </c>
      <c r="E38" s="494">
        <v>0</v>
      </c>
      <c r="F38" s="89">
        <f>B38/$B$36</f>
        <v>0</v>
      </c>
      <c r="G38" s="89">
        <f>C38/$C$36</f>
        <v>0</v>
      </c>
      <c r="H38" s="89">
        <f>D38/$D$36</f>
        <v>0</v>
      </c>
      <c r="I38" s="90">
        <f>E38/$E$36</f>
        <v>0</v>
      </c>
      <c r="J38" s="63" t="e">
        <f t="shared" si="18"/>
        <v>#DIV/0!</v>
      </c>
      <c r="K38" s="63" t="e">
        <f t="shared" si="18"/>
        <v>#DIV/0!</v>
      </c>
      <c r="L38" s="64" t="e">
        <f t="shared" si="18"/>
        <v>#DIV/0!</v>
      </c>
      <c r="M38" s="103"/>
      <c r="N38" s="92" t="s">
        <v>38</v>
      </c>
      <c r="O38" s="490"/>
      <c r="P38" s="490"/>
      <c r="Q38" s="490"/>
      <c r="R38" s="491"/>
      <c r="S38" s="89">
        <f>O38/$O$40</f>
        <v>0</v>
      </c>
      <c r="T38" s="89">
        <f>P38/$P$40</f>
        <v>0</v>
      </c>
      <c r="U38" s="94">
        <f>Q38/$Q$40</f>
        <v>0</v>
      </c>
      <c r="V38" s="95">
        <f>R38/$R$40</f>
        <v>0</v>
      </c>
      <c r="W38" s="63" t="e">
        <f t="shared" si="15"/>
        <v>#DIV/0!</v>
      </c>
      <c r="X38" s="96" t="e">
        <f t="shared" si="16"/>
        <v>#DIV/0!</v>
      </c>
      <c r="Y38" s="97" t="e">
        <f t="shared" si="17"/>
        <v>#DIV/0!</v>
      </c>
    </row>
    <row r="39" spans="1:25" ht="12.75" customHeight="1" x14ac:dyDescent="0.2">
      <c r="A39" s="57" t="s">
        <v>35</v>
      </c>
      <c r="B39" s="493">
        <v>0</v>
      </c>
      <c r="C39" s="493">
        <v>0</v>
      </c>
      <c r="D39" s="493">
        <v>0</v>
      </c>
      <c r="E39" s="494">
        <v>0</v>
      </c>
      <c r="F39" s="89">
        <f>B39/$B$36</f>
        <v>0</v>
      </c>
      <c r="G39" s="89">
        <f>C39/$C$36</f>
        <v>0</v>
      </c>
      <c r="H39" s="89">
        <f>D39/$D$36</f>
        <v>0</v>
      </c>
      <c r="I39" s="90">
        <f>E39/$E$36</f>
        <v>0</v>
      </c>
      <c r="J39" s="63" t="e">
        <f t="shared" si="18"/>
        <v>#DIV/0!</v>
      </c>
      <c r="K39" s="63" t="e">
        <f t="shared" si="18"/>
        <v>#DIV/0!</v>
      </c>
      <c r="L39" s="64" t="e">
        <f>E39/D39-1</f>
        <v>#DIV/0!</v>
      </c>
      <c r="M39" s="114"/>
      <c r="N39" s="92"/>
      <c r="O39" s="490"/>
      <c r="P39" s="490"/>
      <c r="Q39" s="490"/>
      <c r="R39" s="491"/>
      <c r="S39" s="89"/>
      <c r="T39" s="89"/>
      <c r="U39" s="94"/>
      <c r="V39" s="95"/>
      <c r="W39" s="63"/>
      <c r="X39" s="96"/>
      <c r="Y39" s="97"/>
    </row>
    <row r="40" spans="1:25" s="24" customFormat="1" ht="12.75" customHeight="1" x14ac:dyDescent="0.2">
      <c r="A40" s="57" t="s">
        <v>37</v>
      </c>
      <c r="B40" s="490">
        <v>0</v>
      </c>
      <c r="C40" s="490">
        <v>0</v>
      </c>
      <c r="D40" s="490">
        <v>0</v>
      </c>
      <c r="E40" s="492">
        <v>0</v>
      </c>
      <c r="F40" s="89">
        <f>B40/$B$5</f>
        <v>0</v>
      </c>
      <c r="G40" s="89">
        <f>C40/$B$5</f>
        <v>0</v>
      </c>
      <c r="H40" s="89">
        <f>D40/$B$5</f>
        <v>0</v>
      </c>
      <c r="I40" s="90">
        <f>E40/$B$5</f>
        <v>0</v>
      </c>
      <c r="J40" s="63" t="e">
        <f>(C40-B40)/B40</f>
        <v>#DIV/0!</v>
      </c>
      <c r="K40" s="63" t="e">
        <f>D40/C40-1</f>
        <v>#DIV/0!</v>
      </c>
      <c r="L40" s="64" t="e">
        <f>E40/D40-1</f>
        <v>#DIV/0!</v>
      </c>
      <c r="M40" s="43"/>
      <c r="N40" s="80" t="s">
        <v>147</v>
      </c>
      <c r="O40" s="175">
        <f t="shared" ref="O40:Q40" si="19">SUM(O41:O45)</f>
        <v>2966.6002702199999</v>
      </c>
      <c r="P40" s="175">
        <f t="shared" si="19"/>
        <v>2934.3891056299999</v>
      </c>
      <c r="Q40" s="175">
        <f t="shared" si="19"/>
        <v>2998.4379579800002</v>
      </c>
      <c r="R40" s="175">
        <f>SUM(R41:R45)</f>
        <v>2993.9045479199999</v>
      </c>
      <c r="S40" s="75">
        <f>O40/$O$75</f>
        <v>0.17613154964841538</v>
      </c>
      <c r="T40" s="75">
        <f>P40/$P$75</f>
        <v>0.17469009503813909</v>
      </c>
      <c r="U40" s="81">
        <f>Q40/$Q$75</f>
        <v>0.18192769051577481</v>
      </c>
      <c r="V40" s="82">
        <f>R40/$R$75</f>
        <v>0.18552976566160909</v>
      </c>
      <c r="W40" s="77">
        <f t="shared" ref="W40:Y45" si="20">P40/O40-1</f>
        <v>-1.0857938938841682E-2</v>
      </c>
      <c r="X40" s="83">
        <f t="shared" si="20"/>
        <v>2.1826980009949759E-2</v>
      </c>
      <c r="Y40" s="84">
        <f t="shared" si="20"/>
        <v>-1.5119239162294518E-3</v>
      </c>
    </row>
    <row r="41" spans="1:25" s="24" customFormat="1" ht="12.75" customHeight="1" x14ac:dyDescent="0.2">
      <c r="A41" s="57" t="s">
        <v>39</v>
      </c>
      <c r="B41" s="493">
        <v>0</v>
      </c>
      <c r="C41" s="493">
        <v>0</v>
      </c>
      <c r="D41" s="493">
        <v>0</v>
      </c>
      <c r="E41" s="494">
        <v>0</v>
      </c>
      <c r="F41" s="89">
        <f>B41/$B$36</f>
        <v>0</v>
      </c>
      <c r="G41" s="89">
        <f>C41/$C$36</f>
        <v>0</v>
      </c>
      <c r="H41" s="89">
        <f>D41/$D$36</f>
        <v>0</v>
      </c>
      <c r="I41" s="90">
        <f>E41/$E$36</f>
        <v>0</v>
      </c>
      <c r="J41" s="63" t="e">
        <f>C41/B41-1</f>
        <v>#DIV/0!</v>
      </c>
      <c r="K41" s="63" t="e">
        <f>D41/C41-1</f>
        <v>#DIV/0!</v>
      </c>
      <c r="L41" s="64" t="e">
        <f>E41/D41-1</f>
        <v>#DIV/0!</v>
      </c>
      <c r="M41" s="103"/>
      <c r="N41" s="92" t="str">
        <f>N27</f>
        <v>Cotisations "Maladie" + IJ AMEXA</v>
      </c>
      <c r="O41" s="490">
        <v>9.7040036199999999</v>
      </c>
      <c r="P41" s="490">
        <v>20.360506970000003</v>
      </c>
      <c r="Q41" s="490">
        <v>25.739883460000001</v>
      </c>
      <c r="R41" s="492">
        <v>27.37566193</v>
      </c>
      <c r="S41" s="89">
        <f>O41/$O$40</f>
        <v>3.2710856657747023E-3</v>
      </c>
      <c r="T41" s="89">
        <f>P41/$P$40</f>
        <v>6.9385845697613078E-3</v>
      </c>
      <c r="U41" s="94">
        <f>Q41/$Q$40</f>
        <v>8.5844309005948388E-3</v>
      </c>
      <c r="V41" s="95">
        <f>R41/$R$40</f>
        <v>9.1437991732298551E-3</v>
      </c>
      <c r="W41" s="63">
        <f t="shared" si="20"/>
        <v>1.0981553353954752</v>
      </c>
      <c r="X41" s="96">
        <f t="shared" si="20"/>
        <v>0.26420641185046079</v>
      </c>
      <c r="Y41" s="97">
        <f t="shared" si="20"/>
        <v>6.3550344839051531E-2</v>
      </c>
    </row>
    <row r="42" spans="1:25" ht="12.75" customHeight="1" x14ac:dyDescent="0.2">
      <c r="A42" s="86"/>
      <c r="B42" s="109"/>
      <c r="C42" s="109"/>
      <c r="D42" s="109"/>
      <c r="E42" s="313"/>
      <c r="F42" s="110"/>
      <c r="G42" s="110"/>
      <c r="H42" s="110"/>
      <c r="I42" s="111"/>
      <c r="J42" s="112"/>
      <c r="K42" s="112"/>
      <c r="L42" s="113"/>
      <c r="M42" s="65"/>
      <c r="N42" s="92" t="s">
        <v>32</v>
      </c>
      <c r="O42" s="490">
        <v>8.5225000000000003E-4</v>
      </c>
      <c r="P42" s="490">
        <v>8.5225000000000003E-4</v>
      </c>
      <c r="Q42" s="490">
        <v>1.95766E-3</v>
      </c>
      <c r="R42" s="491">
        <v>2.2645E-4</v>
      </c>
      <c r="S42" s="89">
        <f>O42/$O$40</f>
        <v>2.8728171050048416E-7</v>
      </c>
      <c r="T42" s="89">
        <f>P42/$P$40</f>
        <v>2.9043523858674696E-7</v>
      </c>
      <c r="U42" s="94">
        <f>Q42/$Q$40</f>
        <v>6.5289328224714856E-7</v>
      </c>
      <c r="V42" s="95">
        <f>R42/$R$40</f>
        <v>7.5637013931297504E-8</v>
      </c>
      <c r="W42" s="63">
        <f t="shared" si="20"/>
        <v>0</v>
      </c>
      <c r="X42" s="96">
        <f t="shared" si="20"/>
        <v>1.2970489879730125</v>
      </c>
      <c r="Y42" s="97">
        <f t="shared" si="20"/>
        <v>-0.88432618534372665</v>
      </c>
    </row>
    <row r="43" spans="1:25" ht="12.75" customHeight="1" x14ac:dyDescent="0.2">
      <c r="A43" s="72" t="s">
        <v>47</v>
      </c>
      <c r="B43" s="101">
        <f>SUM(B44:B48)</f>
        <v>1024.7162281400001</v>
      </c>
      <c r="C43" s="101">
        <f>SUM(C44:C48)</f>
        <v>1104.6694877600003</v>
      </c>
      <c r="D43" s="176">
        <f>SUM(D44:D48)</f>
        <v>1201.19456124</v>
      </c>
      <c r="E43" s="176">
        <f>SUM(E44:E48)</f>
        <v>1197.8511687300002</v>
      </c>
      <c r="F43" s="75">
        <f>B43/$B$57</f>
        <v>6.151192495637485E-2</v>
      </c>
      <c r="G43" s="75">
        <f>C43/$C$57</f>
        <v>6.6383828678971787E-2</v>
      </c>
      <c r="H43" s="75">
        <f>D43/$D$57</f>
        <v>7.3321325988340735E-2</v>
      </c>
      <c r="I43" s="76">
        <f>E43/$E$57</f>
        <v>7.4528317179489934E-2</v>
      </c>
      <c r="J43" s="77">
        <f t="shared" ref="J43:L46" si="21">C43/B43-1</f>
        <v>7.8024781324217196E-2</v>
      </c>
      <c r="K43" s="77">
        <f t="shared" si="21"/>
        <v>8.7379143308944807E-2</v>
      </c>
      <c r="L43" s="78">
        <f t="shared" si="21"/>
        <v>-2.783389650506285E-3</v>
      </c>
      <c r="M43" s="115"/>
      <c r="N43" s="92" t="s">
        <v>34</v>
      </c>
      <c r="O43" s="490">
        <v>0</v>
      </c>
      <c r="P43" s="490">
        <v>0</v>
      </c>
      <c r="Q43" s="490">
        <v>0</v>
      </c>
      <c r="R43" s="491">
        <v>0</v>
      </c>
      <c r="S43" s="89">
        <f>O43/$O$40</f>
        <v>0</v>
      </c>
      <c r="T43" s="89">
        <f>P43/$P$40</f>
        <v>0</v>
      </c>
      <c r="U43" s="94">
        <f>Q43/$Q$40</f>
        <v>0</v>
      </c>
      <c r="V43" s="95">
        <f>R43/$R$40</f>
        <v>0</v>
      </c>
      <c r="W43" s="63" t="e">
        <f t="shared" si="20"/>
        <v>#DIV/0!</v>
      </c>
      <c r="X43" s="96" t="e">
        <f t="shared" si="20"/>
        <v>#DIV/0!</v>
      </c>
      <c r="Y43" s="97" t="e">
        <f t="shared" si="20"/>
        <v>#DIV/0!</v>
      </c>
    </row>
    <row r="44" spans="1:25" ht="12.75" customHeight="1" x14ac:dyDescent="0.2">
      <c r="A44" s="57" t="str">
        <f>A37</f>
        <v>"Maladie-Maternité-Invalidité" + IJ AMEXA</v>
      </c>
      <c r="B44" s="493">
        <f>'[2]COMPTES NSA OK'!$C$49+'[2]COMPTES NSA OK'!$C$50</f>
        <v>448.04754620000006</v>
      </c>
      <c r="C44" s="493">
        <f>'[2]COMPTES NSA OK'!$D$49+'[2]COMPTES NSA OK'!$D$50</f>
        <v>423.92052125000004</v>
      </c>
      <c r="D44" s="493">
        <f>'[2]COMPTES NSA OK'!$E$49+'[2]COMPTES NSA OK'!$E$50</f>
        <v>412.17914337999997</v>
      </c>
      <c r="E44" s="494">
        <f>'[2]COMPTES NSA OK'!$F$49+'[2]COMPTES NSA OK'!$F$50</f>
        <v>437.02275302999999</v>
      </c>
      <c r="F44" s="89">
        <f>B44/$B$43</f>
        <v>0.43724060759071565</v>
      </c>
      <c r="G44" s="89">
        <f>C44/$C$43</f>
        <v>0.38375326371112795</v>
      </c>
      <c r="H44" s="89">
        <f>D44/$D$43</f>
        <v>0.34314103366777243</v>
      </c>
      <c r="I44" s="90">
        <f>E44/$E$43</f>
        <v>0.36483894196417188</v>
      </c>
      <c r="J44" s="63">
        <f t="shared" si="21"/>
        <v>-5.3849251390007957E-2</v>
      </c>
      <c r="K44" s="63">
        <f t="shared" si="21"/>
        <v>-2.7697120760699856E-2</v>
      </c>
      <c r="L44" s="64">
        <f t="shared" si="21"/>
        <v>6.0273815521752372E-2</v>
      </c>
      <c r="M44" s="115"/>
      <c r="N44" s="92" t="s">
        <v>36</v>
      </c>
      <c r="O44" s="490">
        <v>0</v>
      </c>
      <c r="P44" s="490">
        <v>0</v>
      </c>
      <c r="Q44" s="490">
        <v>0</v>
      </c>
      <c r="R44" s="491">
        <v>0</v>
      </c>
      <c r="S44" s="89">
        <f>O44/$O$5</f>
        <v>0</v>
      </c>
      <c r="T44" s="89">
        <f>P44/$P$5</f>
        <v>0</v>
      </c>
      <c r="U44" s="94">
        <f>Q44/$Q$5</f>
        <v>0</v>
      </c>
      <c r="V44" s="95">
        <f>R44/$R$5</f>
        <v>0</v>
      </c>
      <c r="W44" s="63" t="e">
        <f t="shared" si="20"/>
        <v>#DIV/0!</v>
      </c>
      <c r="X44" s="96" t="e">
        <f t="shared" si="20"/>
        <v>#DIV/0!</v>
      </c>
      <c r="Y44" s="97" t="e">
        <f t="shared" si="20"/>
        <v>#DIV/0!</v>
      </c>
    </row>
    <row r="45" spans="1:25" ht="12.75" customHeight="1" x14ac:dyDescent="0.2">
      <c r="A45" s="57" t="s">
        <v>33</v>
      </c>
      <c r="B45" s="493">
        <v>142.63413867</v>
      </c>
      <c r="C45" s="493">
        <v>227.13986542000001</v>
      </c>
      <c r="D45" s="493">
        <v>255.88897725000001</v>
      </c>
      <c r="E45" s="494">
        <v>233.08118281</v>
      </c>
      <c r="F45" s="89">
        <f>B45/$B$43</f>
        <v>0.1391937931234879</v>
      </c>
      <c r="G45" s="89">
        <f>C45/$C$43</f>
        <v>0.20561794087440954</v>
      </c>
      <c r="H45" s="89">
        <f>D45/$D$43</f>
        <v>0.21302875113407471</v>
      </c>
      <c r="I45" s="90">
        <f>E45/$E$43</f>
        <v>0.19458275693558832</v>
      </c>
      <c r="J45" s="63">
        <f t="shared" si="21"/>
        <v>0.59246494239021863</v>
      </c>
      <c r="K45" s="63">
        <f t="shared" si="21"/>
        <v>0.12657008392974323</v>
      </c>
      <c r="L45" s="64">
        <f t="shared" si="21"/>
        <v>-8.9131601857617704E-2</v>
      </c>
      <c r="M45" s="115"/>
      <c r="N45" s="92" t="s">
        <v>38</v>
      </c>
      <c r="O45" s="490">
        <v>2956.89541435</v>
      </c>
      <c r="P45" s="490">
        <v>2914.02774641</v>
      </c>
      <c r="Q45" s="490">
        <v>2972.6961168600001</v>
      </c>
      <c r="R45" s="491">
        <v>2966.5286595399998</v>
      </c>
      <c r="S45" s="89">
        <f>O45/$O$40</f>
        <v>0.99672862705251486</v>
      </c>
      <c r="T45" s="89">
        <f>P45/$P$40</f>
        <v>0.9930611249950001</v>
      </c>
      <c r="U45" s="94">
        <f>Q45/$Q$40</f>
        <v>0.99141491620612288</v>
      </c>
      <c r="V45" s="95">
        <f>R45/$R$40</f>
        <v>0.99085612518975619</v>
      </c>
      <c r="W45" s="63">
        <f t="shared" si="20"/>
        <v>-1.4497525929378696E-2</v>
      </c>
      <c r="X45" s="96">
        <f t="shared" si="20"/>
        <v>2.0133085734093559E-2</v>
      </c>
      <c r="Y45" s="97">
        <f t="shared" si="20"/>
        <v>-2.0747015764648324E-3</v>
      </c>
    </row>
    <row r="46" spans="1:25" ht="12.75" customHeight="1" x14ac:dyDescent="0.2">
      <c r="A46" s="57" t="s">
        <v>35</v>
      </c>
      <c r="B46" s="493">
        <v>54.174092299999998</v>
      </c>
      <c r="C46" s="493">
        <v>55.669187379999997</v>
      </c>
      <c r="D46" s="493">
        <v>58.275400169999998</v>
      </c>
      <c r="E46" s="494">
        <v>61.139797289999997</v>
      </c>
      <c r="F46" s="89">
        <f>B46/$B$43</f>
        <v>5.2867409349350671E-2</v>
      </c>
      <c r="G46" s="89">
        <f>C46/$C$43</f>
        <v>5.0394428375933061E-2</v>
      </c>
      <c r="H46" s="89">
        <f>D46/$D$43</f>
        <v>4.8514538818625663E-2</v>
      </c>
      <c r="I46" s="90">
        <f>E46/$E$43</f>
        <v>5.1041230234656239E-2</v>
      </c>
      <c r="J46" s="63">
        <f t="shared" si="21"/>
        <v>2.7597971955314105E-2</v>
      </c>
      <c r="K46" s="63">
        <f t="shared" si="21"/>
        <v>4.6816073893981791E-2</v>
      </c>
      <c r="L46" s="64">
        <f t="shared" si="21"/>
        <v>4.9152766203990561E-2</v>
      </c>
      <c r="M46" s="115"/>
      <c r="N46" s="92"/>
      <c r="O46" s="338"/>
      <c r="P46" s="338"/>
      <c r="Q46" s="338"/>
      <c r="R46" s="339"/>
      <c r="S46" s="89"/>
      <c r="T46" s="89"/>
      <c r="U46" s="94"/>
      <c r="V46" s="95"/>
      <c r="W46" s="63"/>
      <c r="X46" s="96"/>
      <c r="Y46" s="97"/>
    </row>
    <row r="47" spans="1:25" x14ac:dyDescent="0.2">
      <c r="A47" s="57" t="s">
        <v>37</v>
      </c>
      <c r="B47" s="490">
        <v>110.09915205</v>
      </c>
      <c r="C47" s="490">
        <v>122.66410515000001</v>
      </c>
      <c r="D47" s="490">
        <v>181.58611066999998</v>
      </c>
      <c r="E47" s="492">
        <v>153.73911652000001</v>
      </c>
      <c r="F47" s="89">
        <f>B47/$B$5</f>
        <v>7.5762997576413445E-3</v>
      </c>
      <c r="G47" s="89">
        <f>C47/$B$5</f>
        <v>8.4409372171839313E-3</v>
      </c>
      <c r="H47" s="89">
        <f>D47/$B$5</f>
        <v>1.2495562233171215E-2</v>
      </c>
      <c r="I47" s="90">
        <f>E47/$B$5</f>
        <v>1.0579315185838168E-2</v>
      </c>
      <c r="J47" s="63">
        <f>(C47-B47)/B47</f>
        <v>0.11412397703384503</v>
      </c>
      <c r="K47" s="63">
        <f>D47/C47-1</f>
        <v>0.48035246699062539</v>
      </c>
      <c r="L47" s="64">
        <f>E47/D47-1</f>
        <v>-0.15335420780395959</v>
      </c>
      <c r="N47" s="80" t="s">
        <v>46</v>
      </c>
      <c r="O47" s="175">
        <f>SUM(O48:O52)</f>
        <v>27.165430459999996</v>
      </c>
      <c r="P47" s="175">
        <f>SUM(P48:P52)</f>
        <v>61.789639719999997</v>
      </c>
      <c r="Q47" s="175">
        <f>SUM(Q48:Q52)</f>
        <v>86.985698929999998</v>
      </c>
      <c r="R47" s="175">
        <f>SUM(R48:R52)</f>
        <v>69.408423130000003</v>
      </c>
      <c r="S47" s="75">
        <f>O47/$O$75</f>
        <v>1.6128527364528413E-3</v>
      </c>
      <c r="T47" s="75">
        <f>P47/$P$75</f>
        <v>3.6784617330910324E-3</v>
      </c>
      <c r="U47" s="81">
        <f>Q47/$Q$75</f>
        <v>5.2777838114404499E-3</v>
      </c>
      <c r="V47" s="82">
        <f>R47/$R$75</f>
        <v>4.3011820424258907E-3</v>
      </c>
      <c r="W47" s="77">
        <f t="shared" ref="W47:Y52" si="22">P47/O47-1</f>
        <v>1.2745687689721228</v>
      </c>
      <c r="X47" s="83">
        <f t="shared" si="22"/>
        <v>0.4077715831355555</v>
      </c>
      <c r="Y47" s="84">
        <f t="shared" si="22"/>
        <v>-0.20207086930628626</v>
      </c>
    </row>
    <row r="48" spans="1:25" x14ac:dyDescent="0.2">
      <c r="A48" s="57" t="s">
        <v>39</v>
      </c>
      <c r="B48" s="493">
        <v>269.76129892</v>
      </c>
      <c r="C48" s="493">
        <v>275.27580856000003</v>
      </c>
      <c r="D48" s="493">
        <v>293.26492977000004</v>
      </c>
      <c r="E48" s="494">
        <v>312.86831908000005</v>
      </c>
      <c r="F48" s="89">
        <f>B48/$B$43</f>
        <v>0.26325463724689285</v>
      </c>
      <c r="G48" s="89">
        <f>C48/$C$43</f>
        <v>0.24919291390784415</v>
      </c>
      <c r="H48" s="89">
        <f>D48/$D$43</f>
        <v>0.24414440360707343</v>
      </c>
      <c r="I48" s="90">
        <f>E48/$E$43</f>
        <v>0.26119131261666922</v>
      </c>
      <c r="J48" s="63">
        <f>C48/B48-1</f>
        <v>2.0442182262902842E-2</v>
      </c>
      <c r="K48" s="63">
        <f>D48/C48-1</f>
        <v>6.5349444631924714E-2</v>
      </c>
      <c r="L48" s="64">
        <f>E48/D48-1</f>
        <v>6.6845324210345947E-2</v>
      </c>
      <c r="N48" s="92" t="str">
        <f>N41</f>
        <v>Cotisations "Maladie" + IJ AMEXA</v>
      </c>
      <c r="O48" s="490">
        <f>'[2]COMPTES NSA OK'!$S$54+'[2]COMPTES NSA OK'!$S$55</f>
        <v>1.4067020100000001</v>
      </c>
      <c r="P48" s="490">
        <f>'[2]COMPTES NSA OK'!$T$54+'[2]COMPTES NSA OK'!$T$55</f>
        <v>10.698480060000001</v>
      </c>
      <c r="Q48" s="490">
        <f>'[2]COMPTES NSA OK'!$U$54+'[2]COMPTES NSA OK'!$U$55</f>
        <v>15.377825270000001</v>
      </c>
      <c r="R48" s="492">
        <f>'[2]COMPTES NSA OK'!$V$54+'[2]COMPTES NSA OK'!$V$55</f>
        <v>3.4474608</v>
      </c>
      <c r="S48" s="89">
        <f>O48/$O$47</f>
        <v>5.1782798438306077E-2</v>
      </c>
      <c r="T48" s="89">
        <f>P48/$P$47</f>
        <v>0.17314359022775028</v>
      </c>
      <c r="U48" s="94">
        <f>Q48/$Q$47</f>
        <v>0.17678567234799134</v>
      </c>
      <c r="V48" s="95">
        <f>R48/$R$47</f>
        <v>4.9669199277773593E-2</v>
      </c>
      <c r="W48" s="63">
        <f t="shared" si="22"/>
        <v>6.6053634557613243</v>
      </c>
      <c r="X48" s="96">
        <f t="shared" si="22"/>
        <v>0.43738411286060752</v>
      </c>
      <c r="Y48" s="97">
        <f t="shared" si="22"/>
        <v>-0.77581610276678603</v>
      </c>
    </row>
    <row r="49" spans="1:29" x14ac:dyDescent="0.2">
      <c r="A49" s="57"/>
      <c r="B49" s="102"/>
      <c r="C49" s="102"/>
      <c r="D49" s="102"/>
      <c r="E49" s="311"/>
      <c r="F49" s="89"/>
      <c r="G49" s="89"/>
      <c r="H49" s="89"/>
      <c r="I49" s="90"/>
      <c r="J49" s="63"/>
      <c r="K49" s="63"/>
      <c r="L49" s="64"/>
      <c r="N49" s="92" t="s">
        <v>32</v>
      </c>
      <c r="O49" s="490">
        <v>0.36675923999999999</v>
      </c>
      <c r="P49" s="490">
        <v>1.5063630300000002</v>
      </c>
      <c r="Q49" s="490">
        <v>3.1364229199999998</v>
      </c>
      <c r="R49" s="491">
        <v>1.4800016899999999</v>
      </c>
      <c r="S49" s="89">
        <f>O49/$O$47</f>
        <v>1.3500954477420788E-2</v>
      </c>
      <c r="T49" s="89">
        <f>P49/$P$47</f>
        <v>2.4378893238835676E-2</v>
      </c>
      <c r="U49" s="94">
        <f>Q49/$Q$47</f>
        <v>3.6056765176123648E-2</v>
      </c>
      <c r="V49" s="95">
        <f>R49/$R$47</f>
        <v>2.1323084767795385E-2</v>
      </c>
      <c r="W49" s="63">
        <f t="shared" si="22"/>
        <v>3.1072258465798983</v>
      </c>
      <c r="X49" s="96">
        <f t="shared" si="22"/>
        <v>1.0821162346237343</v>
      </c>
      <c r="Y49" s="97">
        <f t="shared" si="22"/>
        <v>-0.52812432259613762</v>
      </c>
    </row>
    <row r="50" spans="1:29" x14ac:dyDescent="0.2">
      <c r="A50" s="72" t="s">
        <v>49</v>
      </c>
      <c r="B50" s="101">
        <f>SUM(B51:B55)</f>
        <v>534.21964838999997</v>
      </c>
      <c r="C50" s="101">
        <f>SUM(C51:C55)</f>
        <v>502.38554517</v>
      </c>
      <c r="D50" s="176">
        <f>SUM(D51:D55)</f>
        <v>528.80558139000004</v>
      </c>
      <c r="E50" s="176">
        <f>SUM(E51:E55)</f>
        <v>546.02628623999999</v>
      </c>
      <c r="F50" s="75">
        <f>B50/$B$57</f>
        <v>3.2068272190471328E-2</v>
      </c>
      <c r="G50" s="75">
        <f>C50/$C$57</f>
        <v>3.0190275309389895E-2</v>
      </c>
      <c r="H50" s="75">
        <f>D50/$D$57</f>
        <v>3.2278473170511975E-2</v>
      </c>
      <c r="I50" s="76">
        <f>E50/$E$57</f>
        <v>3.3972851812950351E-2</v>
      </c>
      <c r="J50" s="77">
        <f t="shared" ref="J50:L53" si="23">C50/B50-1</f>
        <v>-5.9589914590262194E-2</v>
      </c>
      <c r="K50" s="77">
        <f t="shared" si="23"/>
        <v>5.2589164783910958E-2</v>
      </c>
      <c r="L50" s="78">
        <f t="shared" si="23"/>
        <v>3.2565285723222148E-2</v>
      </c>
      <c r="N50" s="92" t="s">
        <v>34</v>
      </c>
      <c r="O50" s="490">
        <v>22.310291789999997</v>
      </c>
      <c r="P50" s="490">
        <v>27.553609949999998</v>
      </c>
      <c r="Q50" s="490">
        <v>34.399236559999999</v>
      </c>
      <c r="R50" s="491">
        <v>39.058282299999995</v>
      </c>
      <c r="S50" s="89">
        <f>O50/$O$47</f>
        <v>0.82127510634705403</v>
      </c>
      <c r="T50" s="89">
        <f>P50/$P$47</f>
        <v>0.44592604965588556</v>
      </c>
      <c r="U50" s="94">
        <f>Q50/$Q$47</f>
        <v>0.39545852919664526</v>
      </c>
      <c r="V50" s="95">
        <f>R50/$R$47</f>
        <v>0.56273115767008486</v>
      </c>
      <c r="W50" s="63">
        <f t="shared" si="22"/>
        <v>0.23501791053894605</v>
      </c>
      <c r="X50" s="96">
        <f t="shared" si="22"/>
        <v>0.24844753999284941</v>
      </c>
      <c r="Y50" s="97">
        <f t="shared" si="22"/>
        <v>0.13544038199433794</v>
      </c>
    </row>
    <row r="51" spans="1:29" x14ac:dyDescent="0.2">
      <c r="A51" s="57" t="str">
        <f>A44</f>
        <v>"Maladie-Maternité-Invalidité" + IJ AMEXA</v>
      </c>
      <c r="B51" s="493">
        <f>'[2]COMPTES NSA OK'!$C$57+'[2]COMPTES NSA OK'!$C$58</f>
        <v>189.49664781999999</v>
      </c>
      <c r="C51" s="493">
        <f>'[2]COMPTES NSA OK'!$D$57+'[2]COMPTES NSA OK'!$D$58</f>
        <v>186.03295477</v>
      </c>
      <c r="D51" s="493">
        <f>'[2]COMPTES NSA OK'!$E$57+'[2]COMPTES NSA OK'!$E$58</f>
        <v>180.27318184000001</v>
      </c>
      <c r="E51" s="494">
        <f>'[2]COMPTES NSA OK'!$F$57+'[2]COMPTES NSA OK'!$F$58</f>
        <v>177.36343409</v>
      </c>
      <c r="F51" s="89">
        <f>B51/$B$50</f>
        <v>0.35471673194929076</v>
      </c>
      <c r="G51" s="89">
        <f>C51/$C$50</f>
        <v>0.37029917870556794</v>
      </c>
      <c r="H51" s="89">
        <f>D51/$D$50</f>
        <v>0.34090635232355182</v>
      </c>
      <c r="I51" s="90">
        <f>E51/$E$50</f>
        <v>0.32482581619164358</v>
      </c>
      <c r="J51" s="63">
        <f t="shared" si="23"/>
        <v>-1.8278386925820955E-2</v>
      </c>
      <c r="K51" s="63">
        <f t="shared" si="23"/>
        <v>-3.0961035570934325E-2</v>
      </c>
      <c r="L51" s="64">
        <f t="shared" si="23"/>
        <v>-1.6140768805992023E-2</v>
      </c>
      <c r="N51" s="92" t="s">
        <v>36</v>
      </c>
      <c r="O51" s="490">
        <v>1.58161079</v>
      </c>
      <c r="P51" s="490">
        <v>2.2111068600000001</v>
      </c>
      <c r="Q51" s="490">
        <v>0</v>
      </c>
      <c r="R51" s="491">
        <v>0</v>
      </c>
      <c r="S51" s="89">
        <f>O51/$O$5</f>
        <v>6.2089039164696781E-4</v>
      </c>
      <c r="T51" s="89">
        <f>P51/$P$5</f>
        <v>7.485405243226966E-4</v>
      </c>
      <c r="U51" s="94">
        <f>Q51/$Q$5</f>
        <v>0</v>
      </c>
      <c r="V51" s="95">
        <f>R51/$R$5</f>
        <v>0</v>
      </c>
      <c r="W51" s="63">
        <f t="shared" si="22"/>
        <v>0.39800946856211072</v>
      </c>
      <c r="X51" s="96">
        <f t="shared" si="22"/>
        <v>-1</v>
      </c>
      <c r="Y51" s="97" t="e">
        <f t="shared" si="22"/>
        <v>#DIV/0!</v>
      </c>
    </row>
    <row r="52" spans="1:29" x14ac:dyDescent="0.2">
      <c r="A52" s="57" t="s">
        <v>33</v>
      </c>
      <c r="B52" s="493">
        <v>133.67912658</v>
      </c>
      <c r="C52" s="493">
        <v>101.04234933000001</v>
      </c>
      <c r="D52" s="493">
        <v>134.95535096</v>
      </c>
      <c r="E52" s="494">
        <v>154.70981522</v>
      </c>
      <c r="F52" s="89">
        <f>B52/$B$50</f>
        <v>0.25023251575054262</v>
      </c>
      <c r="G52" s="89">
        <f>C52/$C$50</f>
        <v>0.20112511257824653</v>
      </c>
      <c r="H52" s="89">
        <f>D52/$D$50</f>
        <v>0.25520787924601901</v>
      </c>
      <c r="I52" s="90">
        <f>E52/$E$50</f>
        <v>0.28333766911726838</v>
      </c>
      <c r="J52" s="63">
        <f t="shared" si="23"/>
        <v>-0.24414265775793043</v>
      </c>
      <c r="K52" s="63">
        <f t="shared" si="23"/>
        <v>0.33563156295229812</v>
      </c>
      <c r="L52" s="64">
        <f t="shared" si="23"/>
        <v>0.14637777694235399</v>
      </c>
      <c r="N52" s="92" t="s">
        <v>38</v>
      </c>
      <c r="O52" s="490">
        <v>1.5000666300000001</v>
      </c>
      <c r="P52" s="490">
        <v>19.82007982</v>
      </c>
      <c r="Q52" s="490">
        <v>34.072214180000003</v>
      </c>
      <c r="R52" s="491">
        <v>25.422678340000001</v>
      </c>
      <c r="S52" s="89">
        <f>O52/$O$47</f>
        <v>5.5219689310971452E-2</v>
      </c>
      <c r="T52" s="89">
        <f>P52/$P$47</f>
        <v>0.32076703974670789</v>
      </c>
      <c r="U52" s="94">
        <f>Q52/$Q$47</f>
        <v>0.39169903327923983</v>
      </c>
      <c r="V52" s="95">
        <f>R52/$R$47</f>
        <v>0.36627655828434608</v>
      </c>
      <c r="W52" s="63">
        <f t="shared" si="22"/>
        <v>12.212799634106918</v>
      </c>
      <c r="X52" s="96">
        <f t="shared" si="22"/>
        <v>0.71907552792085583</v>
      </c>
      <c r="Y52" s="97">
        <f t="shared" si="22"/>
        <v>-0.25385893016243066</v>
      </c>
    </row>
    <row r="53" spans="1:29" x14ac:dyDescent="0.2">
      <c r="A53" s="57" t="s">
        <v>35</v>
      </c>
      <c r="B53" s="493">
        <v>98.059029899999999</v>
      </c>
      <c r="C53" s="493">
        <v>97.16395052</v>
      </c>
      <c r="D53" s="493">
        <v>92.269304079999998</v>
      </c>
      <c r="E53" s="494">
        <v>91.027229140000003</v>
      </c>
      <c r="F53" s="89">
        <f>B53/$B$50</f>
        <v>0.18355564082213111</v>
      </c>
      <c r="G53" s="89">
        <f>C53/$C$50</f>
        <v>0.19340514760853864</v>
      </c>
      <c r="H53" s="89">
        <f>D53/$D$50</f>
        <v>0.17448625227718684</v>
      </c>
      <c r="I53" s="90">
        <f>E53/$E$50</f>
        <v>0.16670851098913939</v>
      </c>
      <c r="J53" s="63">
        <f t="shared" si="23"/>
        <v>-9.1279648688427084E-3</v>
      </c>
      <c r="K53" s="63">
        <f t="shared" si="23"/>
        <v>-5.0375127954400134E-2</v>
      </c>
      <c r="L53" s="64">
        <f t="shared" si="23"/>
        <v>-1.3461410079814606E-2</v>
      </c>
      <c r="N53" s="92"/>
      <c r="O53" s="93"/>
      <c r="P53" s="93"/>
      <c r="Q53" s="93"/>
      <c r="R53" s="300"/>
      <c r="S53" s="89"/>
      <c r="T53" s="89"/>
      <c r="U53" s="94"/>
      <c r="V53" s="95"/>
      <c r="W53" s="63"/>
      <c r="X53" s="96"/>
      <c r="Y53" s="97"/>
    </row>
    <row r="54" spans="1:29" x14ac:dyDescent="0.2">
      <c r="A54" s="57" t="s">
        <v>37</v>
      </c>
      <c r="B54" s="490">
        <v>15.19520571</v>
      </c>
      <c r="C54" s="490">
        <v>14.43932577</v>
      </c>
      <c r="D54" s="490">
        <v>13.02741389</v>
      </c>
      <c r="E54" s="492">
        <v>14.381651139999999</v>
      </c>
      <c r="F54" s="89">
        <f>B54/$B$5</f>
        <v>1.045634150621811E-3</v>
      </c>
      <c r="G54" s="89">
        <f>C54/$B$5</f>
        <v>9.9361946295530457E-4</v>
      </c>
      <c r="H54" s="89">
        <f>D54/$B$5</f>
        <v>8.9646097049573496E-4</v>
      </c>
      <c r="I54" s="90">
        <f>E54/$B$5</f>
        <v>9.8965067412128496E-4</v>
      </c>
      <c r="J54" s="63">
        <f>(C54-B54)/B54</f>
        <v>-4.9744633565740638E-2</v>
      </c>
      <c r="K54" s="63">
        <f>D54/C54-1</f>
        <v>-9.7782396663802063E-2</v>
      </c>
      <c r="L54" s="64">
        <f>E54/D54-1</f>
        <v>0.10395288438939732</v>
      </c>
      <c r="N54" s="80" t="s">
        <v>48</v>
      </c>
      <c r="O54" s="175">
        <f t="shared" ref="O54:Q54" si="24">SUM(O55:O59)</f>
        <v>176.44104667999997</v>
      </c>
      <c r="P54" s="175">
        <f t="shared" si="24"/>
        <v>126.67854778</v>
      </c>
      <c r="Q54" s="175">
        <f t="shared" si="24"/>
        <v>167.36867224000002</v>
      </c>
      <c r="R54" s="175">
        <f>SUM(R55:R59)</f>
        <v>177.43987873</v>
      </c>
      <c r="S54" s="75">
        <f>O54/$O$75</f>
        <v>1.0475572083404472E-2</v>
      </c>
      <c r="T54" s="75">
        <f>P54/$P$75</f>
        <v>7.5414291542056913E-3</v>
      </c>
      <c r="U54" s="81">
        <f>Q54/$Q$75</f>
        <v>1.0154952822778391E-2</v>
      </c>
      <c r="V54" s="82">
        <f>R54/$R$75</f>
        <v>1.0995801166297203E-2</v>
      </c>
      <c r="W54" s="77">
        <f t="shared" ref="W54:Y59" si="25">P54/O54-1</f>
        <v>-0.2820347069820498</v>
      </c>
      <c r="X54" s="83">
        <f t="shared" si="25"/>
        <v>0.32120769596021659</v>
      </c>
      <c r="Y54" s="84">
        <f t="shared" si="25"/>
        <v>6.0173784945597664E-2</v>
      </c>
    </row>
    <row r="55" spans="1:29" x14ac:dyDescent="0.2">
      <c r="A55" s="57" t="s">
        <v>39</v>
      </c>
      <c r="B55" s="493">
        <v>97.78963838</v>
      </c>
      <c r="C55" s="493">
        <v>103.70696477999999</v>
      </c>
      <c r="D55" s="493">
        <v>108.28033062</v>
      </c>
      <c r="E55" s="494">
        <v>108.54415665000001</v>
      </c>
      <c r="F55" s="89">
        <f>B55/$B$50</f>
        <v>0.18305136974035438</v>
      </c>
      <c r="G55" s="89">
        <f>C55/$C$50</f>
        <v>0.20642903797104087</v>
      </c>
      <c r="H55" s="89">
        <f>D55/$D$50</f>
        <v>0.20476397078748312</v>
      </c>
      <c r="I55" s="90">
        <f>E55/$E$50</f>
        <v>0.19878925133338834</v>
      </c>
      <c r="J55" s="63">
        <f>C55/B55-1</f>
        <v>6.0510770854943718E-2</v>
      </c>
      <c r="K55" s="63">
        <f>D55/C55-1</f>
        <v>4.4098926718198372E-2</v>
      </c>
      <c r="L55" s="64">
        <f>E55/D55-1</f>
        <v>2.4365092763327656E-3</v>
      </c>
      <c r="N55" s="92" t="str">
        <f>N48</f>
        <v>Cotisations "Maladie" + IJ AMEXA</v>
      </c>
      <c r="O55" s="490">
        <f>'[2]COMPTES NSA OK'!$S$62+'[2]COMPTES NSA OK'!$S$63</f>
        <v>27.307187150000001</v>
      </c>
      <c r="P55" s="490">
        <f>'[2]COMPTES NSA OK'!$T$62+'[2]COMPTES NSA OK'!$T$63</f>
        <v>20.813725910000002</v>
      </c>
      <c r="Q55" s="490">
        <f>'[2]COMPTES NSA OK'!$U$62+'[2]COMPTES NSA OK'!$U$63</f>
        <v>24.818718659999998</v>
      </c>
      <c r="R55" s="492">
        <f>'[2]COMPTES NSA OK'!$V$62+'[2]COMPTES NSA OK'!$V$63</f>
        <v>19.109863450000002</v>
      </c>
      <c r="S55" s="89">
        <f>O55/$O$54</f>
        <v>0.15476663545034014</v>
      </c>
      <c r="T55" s="89">
        <f>P55/$P$54</f>
        <v>0.16430347738234866</v>
      </c>
      <c r="U55" s="94">
        <f>Q55/$Q$54</f>
        <v>0.14828771912829028</v>
      </c>
      <c r="V55" s="95">
        <f>R55/$R$54</f>
        <v>0.10769768096538421</v>
      </c>
      <c r="W55" s="63">
        <f t="shared" si="25"/>
        <v>-0.23779312033608702</v>
      </c>
      <c r="X55" s="96">
        <f t="shared" si="25"/>
        <v>0.19242075000496617</v>
      </c>
      <c r="Y55" s="97">
        <f t="shared" si="25"/>
        <v>-0.2300221573969039</v>
      </c>
    </row>
    <row r="56" spans="1:29" x14ac:dyDescent="0.2">
      <c r="A56" s="57"/>
      <c r="B56" s="102"/>
      <c r="C56" s="102"/>
      <c r="D56" s="102"/>
      <c r="E56" s="311"/>
      <c r="F56" s="89"/>
      <c r="G56" s="89"/>
      <c r="H56" s="89"/>
      <c r="I56" s="90"/>
      <c r="J56" s="63"/>
      <c r="K56" s="63"/>
      <c r="L56" s="64"/>
      <c r="N56" s="92" t="s">
        <v>32</v>
      </c>
      <c r="O56" s="490">
        <v>17.551524839999999</v>
      </c>
      <c r="P56" s="490">
        <v>11.75926887</v>
      </c>
      <c r="Q56" s="490">
        <v>12.023435110000001</v>
      </c>
      <c r="R56" s="491">
        <v>10.97304974</v>
      </c>
      <c r="S56" s="89">
        <f>O56/$O$54</f>
        <v>9.947529313761154E-2</v>
      </c>
      <c r="T56" s="89">
        <f>P56/$P$54</f>
        <v>9.2827626114107942E-2</v>
      </c>
      <c r="U56" s="94">
        <f>Q56/$Q$54</f>
        <v>7.1838026490159843E-2</v>
      </c>
      <c r="V56" s="95">
        <f>R56/$R$54</f>
        <v>6.1840944766971211E-2</v>
      </c>
      <c r="W56" s="63">
        <f t="shared" si="25"/>
        <v>-0.3300144017572435</v>
      </c>
      <c r="X56" s="96">
        <f t="shared" si="25"/>
        <v>2.2464512285618188E-2</v>
      </c>
      <c r="Y56" s="97">
        <f t="shared" si="25"/>
        <v>-8.7361503629389992E-2</v>
      </c>
    </row>
    <row r="57" spans="1:29" x14ac:dyDescent="0.2">
      <c r="A57" s="117" t="s">
        <v>51</v>
      </c>
      <c r="B57" s="177">
        <f>B5+B27+B29+B36+B43+B50</f>
        <v>16658.82231562</v>
      </c>
      <c r="C57" s="177">
        <f>C5+C27+C29+C36+C43+C50</f>
        <v>16640.64139931</v>
      </c>
      <c r="D57" s="177">
        <f>D5+D27+D29+D36+D43+D50</f>
        <v>16382.608266399999</v>
      </c>
      <c r="E57" s="177">
        <f>E5+E27+E29+E36+E43+E50</f>
        <v>16072.43010526</v>
      </c>
      <c r="F57" s="119">
        <f>F50+F43+F36+F29+F27+F5</f>
        <v>1</v>
      </c>
      <c r="G57" s="119">
        <f>G50+G43+G36+G29+G27+G5</f>
        <v>1.0000000000000002</v>
      </c>
      <c r="H57" s="119">
        <f>H50+H43+H36+H29+H27+H5</f>
        <v>1</v>
      </c>
      <c r="I57" s="120">
        <f>I50+I43+I36+I29+I27+I5</f>
        <v>1</v>
      </c>
      <c r="J57" s="121">
        <f t="shared" ref="J57:L58" si="26">C57/B57-1</f>
        <v>-1.0913686433255965E-3</v>
      </c>
      <c r="K57" s="121">
        <f t="shared" si="26"/>
        <v>-1.5506201156446964E-2</v>
      </c>
      <c r="L57" s="122">
        <f t="shared" si="26"/>
        <v>-1.8933380820449708E-2</v>
      </c>
      <c r="N57" s="92" t="s">
        <v>34</v>
      </c>
      <c r="O57" s="490">
        <v>115.06706636999999</v>
      </c>
      <c r="P57" s="490">
        <v>80.928824169999999</v>
      </c>
      <c r="Q57" s="490">
        <v>114.63011649000001</v>
      </c>
      <c r="R57" s="491">
        <v>133.38066121</v>
      </c>
      <c r="S57" s="89">
        <f>O57/$O$54</f>
        <v>0.65215588172456207</v>
      </c>
      <c r="T57" s="89">
        <f>P57/$P$54</f>
        <v>0.63885184656953442</v>
      </c>
      <c r="U57" s="94">
        <f>Q57/$Q$54</f>
        <v>0.68489589452932376</v>
      </c>
      <c r="V57" s="95">
        <f>R57/$R$54</f>
        <v>0.75169495247997564</v>
      </c>
      <c r="W57" s="63">
        <f t="shared" si="25"/>
        <v>-0.29668125969448056</v>
      </c>
      <c r="X57" s="96">
        <f t="shared" si="25"/>
        <v>0.41643126124267771</v>
      </c>
      <c r="Y57" s="97">
        <f t="shared" si="25"/>
        <v>0.16357433189589177</v>
      </c>
    </row>
    <row r="58" spans="1:29" x14ac:dyDescent="0.2">
      <c r="A58" s="123" t="s">
        <v>52</v>
      </c>
      <c r="B58" s="185">
        <f t="shared" ref="B58" si="27">O75-B57</f>
        <v>184.27181568000015</v>
      </c>
      <c r="C58" s="185">
        <f>P75-C57</f>
        <v>157.04312304000268</v>
      </c>
      <c r="D58" s="185">
        <f t="shared" ref="D58:E58" si="28">Q75-D57</f>
        <v>98.873741530002007</v>
      </c>
      <c r="E58" s="301">
        <f t="shared" si="28"/>
        <v>64.627672199998415</v>
      </c>
      <c r="F58" s="61"/>
      <c r="G58" s="61"/>
      <c r="H58" s="61"/>
      <c r="I58" s="62"/>
      <c r="J58" s="302">
        <f t="shared" si="26"/>
        <v>-0.14776373988348734</v>
      </c>
      <c r="K58" s="302">
        <f t="shared" si="26"/>
        <v>-0.37040387623457749</v>
      </c>
      <c r="L58" s="303">
        <f t="shared" si="26"/>
        <v>-0.34636162038646079</v>
      </c>
      <c r="N58" s="92" t="s">
        <v>36</v>
      </c>
      <c r="O58" s="490">
        <v>6.4879580000000006E-2</v>
      </c>
      <c r="P58" s="490">
        <v>6.1598170000000001E-2</v>
      </c>
      <c r="Q58" s="490">
        <v>6.6861030000000002E-2</v>
      </c>
      <c r="R58" s="491">
        <v>7.6893069999999994E-2</v>
      </c>
      <c r="S58" s="89">
        <f>O58/$O$5</f>
        <v>2.5469671862880234E-5</v>
      </c>
      <c r="T58" s="89">
        <f>P58/$P$5</f>
        <v>2.085323296817893E-5</v>
      </c>
      <c r="U58" s="94">
        <f>Q58/$Q$5</f>
        <v>2.1832631019997604E-5</v>
      </c>
      <c r="V58" s="95">
        <f>R58/$R$5</f>
        <v>2.7765290853434889E-5</v>
      </c>
      <c r="W58" s="63">
        <f t="shared" si="25"/>
        <v>-5.0576930368538275E-2</v>
      </c>
      <c r="X58" s="96">
        <f t="shared" si="25"/>
        <v>8.5438577152535666E-2</v>
      </c>
      <c r="Y58" s="97">
        <f t="shared" si="25"/>
        <v>0.15004315667886048</v>
      </c>
      <c r="AC58" t="s">
        <v>163</v>
      </c>
    </row>
    <row r="59" spans="1:29" x14ac:dyDescent="0.2">
      <c r="A59" s="124"/>
      <c r="B59" s="125"/>
      <c r="C59" s="125"/>
      <c r="D59" s="126"/>
      <c r="E59" s="125"/>
      <c r="F59" s="115"/>
      <c r="G59" s="115"/>
      <c r="H59" s="115"/>
      <c r="I59" s="127"/>
      <c r="J59" s="128"/>
      <c r="N59" s="92" t="s">
        <v>38</v>
      </c>
      <c r="O59" s="490">
        <v>16.450388740000001</v>
      </c>
      <c r="P59" s="490">
        <v>13.11513066</v>
      </c>
      <c r="Q59" s="490">
        <v>15.82954095</v>
      </c>
      <c r="R59" s="491">
        <v>13.899411260000001</v>
      </c>
      <c r="S59" s="89">
        <f>O59/$O$54</f>
        <v>9.3234477178289685E-2</v>
      </c>
      <c r="T59" s="89">
        <f>P59/$P$54</f>
        <v>0.10353079420184683</v>
      </c>
      <c r="U59" s="94">
        <f>Q59/$Q$54</f>
        <v>9.4578876310263529E-2</v>
      </c>
      <c r="V59" s="95">
        <f>R59/$R$54</f>
        <v>7.8333074613683273E-2</v>
      </c>
      <c r="W59" s="63">
        <f t="shared" si="25"/>
        <v>-0.20274645983837103</v>
      </c>
      <c r="X59" s="96">
        <f t="shared" si="25"/>
        <v>0.20696784198107254</v>
      </c>
      <c r="Y59" s="97">
        <f t="shared" si="25"/>
        <v>-0.12193213284558324</v>
      </c>
    </row>
    <row r="60" spans="1:29" x14ac:dyDescent="0.2">
      <c r="A60" s="124"/>
      <c r="B60" s="125"/>
      <c r="C60" s="125"/>
      <c r="D60" s="126"/>
      <c r="E60" s="131"/>
      <c r="F60" s="115"/>
      <c r="G60" s="115"/>
      <c r="H60" s="115"/>
      <c r="I60" s="127"/>
      <c r="J60" s="128"/>
      <c r="N60" s="92"/>
      <c r="O60" s="93"/>
      <c r="P60" s="93"/>
      <c r="Q60" s="93"/>
      <c r="R60" s="300"/>
      <c r="S60" s="89"/>
      <c r="T60" s="89"/>
      <c r="U60" s="94"/>
      <c r="V60" s="95"/>
      <c r="W60" s="63"/>
      <c r="X60" s="96"/>
      <c r="Y60" s="97"/>
    </row>
    <row r="61" spans="1:29" x14ac:dyDescent="0.2">
      <c r="A61" s="340" t="s">
        <v>106</v>
      </c>
      <c r="B61" s="341">
        <f>D3</f>
        <v>2024</v>
      </c>
      <c r="C61" s="341">
        <f>E3</f>
        <v>2025</v>
      </c>
      <c r="D61" s="126"/>
      <c r="E61" s="131"/>
      <c r="F61" s="115"/>
      <c r="G61" s="115"/>
      <c r="H61" s="115"/>
      <c r="I61" s="127"/>
      <c r="J61" s="128"/>
      <c r="N61" s="80" t="s">
        <v>50</v>
      </c>
      <c r="O61" s="73">
        <f t="shared" ref="O61:Q61" si="29">SUM(O62:O66)</f>
        <v>0</v>
      </c>
      <c r="P61" s="73">
        <f t="shared" si="29"/>
        <v>0</v>
      </c>
      <c r="Q61" s="73">
        <f t="shared" si="29"/>
        <v>0</v>
      </c>
      <c r="R61" s="73">
        <f>SUM(R62:R66)</f>
        <v>0</v>
      </c>
      <c r="S61" s="75">
        <f>O61/$O$75</f>
        <v>0</v>
      </c>
      <c r="T61" s="75">
        <f>P61/$P$75</f>
        <v>0</v>
      </c>
      <c r="U61" s="81">
        <f>Q61/$Q$75</f>
        <v>0</v>
      </c>
      <c r="V61" s="82">
        <f>R61/$R$75</f>
        <v>0</v>
      </c>
      <c r="W61" s="77" t="e">
        <f t="shared" ref="W61:Y66" si="30">P61/O61-1</f>
        <v>#DIV/0!</v>
      </c>
      <c r="X61" s="83" t="e">
        <f t="shared" si="30"/>
        <v>#DIV/0!</v>
      </c>
      <c r="Y61" s="84" t="e">
        <f t="shared" si="30"/>
        <v>#DIV/0!</v>
      </c>
    </row>
    <row r="62" spans="1:29" x14ac:dyDescent="0.2">
      <c r="A62" s="340"/>
      <c r="B62" s="342"/>
      <c r="C62" s="342"/>
      <c r="D62" s="126"/>
      <c r="E62" s="131"/>
      <c r="F62" s="115"/>
      <c r="G62" s="115"/>
      <c r="H62" s="115"/>
      <c r="I62" s="127"/>
      <c r="J62" s="128"/>
      <c r="N62" s="92" t="str">
        <f>N55</f>
        <v>Cotisations "Maladie" + IJ AMEXA</v>
      </c>
      <c r="O62" s="490">
        <v>0</v>
      </c>
      <c r="P62" s="490">
        <v>0</v>
      </c>
      <c r="Q62" s="490">
        <v>0</v>
      </c>
      <c r="R62" s="491">
        <v>0</v>
      </c>
      <c r="S62" s="89" t="e">
        <f>O62/$O$61</f>
        <v>#DIV/0!</v>
      </c>
      <c r="T62" s="89" t="e">
        <f>P62/$P$61</f>
        <v>#DIV/0!</v>
      </c>
      <c r="U62" s="94" t="e">
        <f>Q62/$Q$61</f>
        <v>#DIV/0!</v>
      </c>
      <c r="V62" s="95" t="e">
        <f>R62/$R$61</f>
        <v>#DIV/0!</v>
      </c>
      <c r="W62" s="63" t="e">
        <f t="shared" si="30"/>
        <v>#DIV/0!</v>
      </c>
      <c r="X62" s="96" t="e">
        <f t="shared" si="30"/>
        <v>#DIV/0!</v>
      </c>
      <c r="Y62" s="97" t="e">
        <f t="shared" si="30"/>
        <v>#DIV/0!</v>
      </c>
    </row>
    <row r="63" spans="1:29" x14ac:dyDescent="0.2">
      <c r="A63" s="340" t="s">
        <v>107</v>
      </c>
      <c r="B63" s="342" t="b">
        <f>D57='[2]COMPTES NSA OK'!$E$64</f>
        <v>1</v>
      </c>
      <c r="C63" s="343" t="b">
        <f>E57='[2]COMPTES NSA OK'!$F$64</f>
        <v>1</v>
      </c>
      <c r="N63" s="92" t="s">
        <v>32</v>
      </c>
      <c r="O63" s="490">
        <v>0</v>
      </c>
      <c r="P63" s="490">
        <v>0</v>
      </c>
      <c r="Q63" s="490">
        <v>0</v>
      </c>
      <c r="R63" s="491">
        <v>0</v>
      </c>
      <c r="S63" s="89" t="e">
        <f>O63/$O$61</f>
        <v>#DIV/0!</v>
      </c>
      <c r="T63" s="89" t="e">
        <f>P63/$P$61</f>
        <v>#DIV/0!</v>
      </c>
      <c r="U63" s="94" t="e">
        <f>Q63/$Q$61</f>
        <v>#DIV/0!</v>
      </c>
      <c r="V63" s="95" t="e">
        <f>R63/$R$61</f>
        <v>#DIV/0!</v>
      </c>
      <c r="W63" s="63" t="e">
        <f t="shared" si="30"/>
        <v>#DIV/0!</v>
      </c>
      <c r="X63" s="96" t="e">
        <f t="shared" si="30"/>
        <v>#DIV/0!</v>
      </c>
      <c r="Y63" s="97" t="e">
        <f t="shared" si="30"/>
        <v>#DIV/0!</v>
      </c>
    </row>
    <row r="64" spans="1:29" x14ac:dyDescent="0.2">
      <c r="A64" s="344"/>
      <c r="B64" s="345"/>
      <c r="C64" s="346"/>
      <c r="N64" s="92" t="s">
        <v>34</v>
      </c>
      <c r="O64" s="490">
        <v>0</v>
      </c>
      <c r="P64" s="490">
        <v>0</v>
      </c>
      <c r="Q64" s="490">
        <v>0</v>
      </c>
      <c r="R64" s="491">
        <v>0</v>
      </c>
      <c r="S64" s="89" t="e">
        <f>O64/$O$61</f>
        <v>#DIV/0!</v>
      </c>
      <c r="T64" s="89" t="e">
        <f>P64/$P$61</f>
        <v>#DIV/0!</v>
      </c>
      <c r="U64" s="94" t="e">
        <f>Q64/$Q$61</f>
        <v>#DIV/0!</v>
      </c>
      <c r="V64" s="95" t="e">
        <f>R64/$R$61</f>
        <v>#DIV/0!</v>
      </c>
      <c r="W64" s="63" t="e">
        <f t="shared" si="30"/>
        <v>#DIV/0!</v>
      </c>
      <c r="X64" s="96" t="e">
        <f t="shared" si="30"/>
        <v>#DIV/0!</v>
      </c>
      <c r="Y64" s="97" t="e">
        <f t="shared" si="30"/>
        <v>#DIV/0!</v>
      </c>
    </row>
    <row r="65" spans="1:25" x14ac:dyDescent="0.2">
      <c r="A65" s="340" t="s">
        <v>108</v>
      </c>
      <c r="B65" s="341">
        <f>B61</f>
        <v>2024</v>
      </c>
      <c r="C65" s="341">
        <f>C61</f>
        <v>2025</v>
      </c>
      <c r="N65" s="92" t="s">
        <v>36</v>
      </c>
      <c r="O65" s="490">
        <v>0</v>
      </c>
      <c r="P65" s="490">
        <v>0</v>
      </c>
      <c r="Q65" s="490">
        <v>0</v>
      </c>
      <c r="R65" s="491">
        <v>0</v>
      </c>
      <c r="S65" s="89">
        <f>O65/$O$5</f>
        <v>0</v>
      </c>
      <c r="T65" s="89">
        <f>P65/$P$5</f>
        <v>0</v>
      </c>
      <c r="U65" s="94">
        <f>Q65/$Q$5</f>
        <v>0</v>
      </c>
      <c r="V65" s="95">
        <f>R65/$R$5</f>
        <v>0</v>
      </c>
      <c r="W65" s="63" t="e">
        <f t="shared" si="30"/>
        <v>#DIV/0!</v>
      </c>
      <c r="X65" s="96" t="e">
        <f t="shared" si="30"/>
        <v>#DIV/0!</v>
      </c>
      <c r="Y65" s="97" t="e">
        <f t="shared" si="30"/>
        <v>#DIV/0!</v>
      </c>
    </row>
    <row r="66" spans="1:25" x14ac:dyDescent="0.2">
      <c r="A66" s="340"/>
      <c r="B66" s="342"/>
      <c r="C66" s="342"/>
      <c r="N66" s="92" t="s">
        <v>38</v>
      </c>
      <c r="O66" s="490">
        <v>0</v>
      </c>
      <c r="P66" s="490">
        <v>0</v>
      </c>
      <c r="Q66" s="490">
        <v>0</v>
      </c>
      <c r="R66" s="491">
        <v>0</v>
      </c>
      <c r="S66" s="89" t="e">
        <f>O66/$O$61</f>
        <v>#DIV/0!</v>
      </c>
      <c r="T66" s="89" t="e">
        <f>P66/$P$61</f>
        <v>#DIV/0!</v>
      </c>
      <c r="U66" s="94" t="e">
        <f>Q66/$Q$61</f>
        <v>#DIV/0!</v>
      </c>
      <c r="V66" s="95" t="e">
        <f>R66/$R$61</f>
        <v>#DIV/0!</v>
      </c>
      <c r="W66" s="63" t="e">
        <f t="shared" si="30"/>
        <v>#DIV/0!</v>
      </c>
      <c r="X66" s="96" t="e">
        <f t="shared" si="30"/>
        <v>#DIV/0!</v>
      </c>
      <c r="Y66" s="97" t="e">
        <f t="shared" si="30"/>
        <v>#DIV/0!</v>
      </c>
    </row>
    <row r="67" spans="1:25" x14ac:dyDescent="0.2">
      <c r="A67" s="340" t="s">
        <v>107</v>
      </c>
      <c r="B67" s="342" t="b">
        <f>'[2]COMPTES NSA OK'!$U$85=Q75</f>
        <v>1</v>
      </c>
      <c r="C67" s="343" t="b">
        <f>'[2]COMPTES NSA OK'!$V$85=R75</f>
        <v>1</v>
      </c>
      <c r="N67" s="92"/>
      <c r="O67" s="93"/>
      <c r="P67" s="93"/>
      <c r="Q67" s="93"/>
      <c r="R67" s="300"/>
      <c r="S67" s="89"/>
      <c r="T67" s="89"/>
      <c r="U67" s="94"/>
      <c r="V67" s="95"/>
      <c r="W67" s="63"/>
      <c r="X67" s="96"/>
      <c r="Y67" s="97"/>
    </row>
    <row r="68" spans="1:25" x14ac:dyDescent="0.2">
      <c r="B68" s="137"/>
      <c r="C68" s="133"/>
      <c r="N68" s="80" t="s">
        <v>53</v>
      </c>
      <c r="O68" s="175">
        <f t="shared" ref="O68:P68" si="31">SUM(O69:O73)</f>
        <v>1144.23661537</v>
      </c>
      <c r="P68" s="175">
        <f t="shared" si="31"/>
        <v>1074.66987834</v>
      </c>
      <c r="Q68" s="175">
        <f>SUM(Q69:Q73)</f>
        <v>1029.1243887600001</v>
      </c>
      <c r="R68" s="175">
        <f>SUM(R69:R73)</f>
        <v>1111.6828964299998</v>
      </c>
      <c r="S68" s="75">
        <f>O68/$O$75</f>
        <v>6.7935060295342797E-2</v>
      </c>
      <c r="T68" s="75">
        <f>P68/$P$75</f>
        <v>6.3977262872755347E-2</v>
      </c>
      <c r="U68" s="81">
        <f>Q68/$Q$75</f>
        <v>6.2441253053872277E-2</v>
      </c>
      <c r="V68" s="82">
        <f>R68/$R$75</f>
        <v>6.8890061110320977E-2</v>
      </c>
      <c r="W68" s="77">
        <f t="shared" ref="W68:Y73" si="32">P68/O68-1</f>
        <v>-6.0797509969129027E-2</v>
      </c>
      <c r="X68" s="83">
        <f t="shared" si="32"/>
        <v>-4.238091203444927E-2</v>
      </c>
      <c r="Y68" s="84">
        <f t="shared" si="32"/>
        <v>8.0222088380856649E-2</v>
      </c>
    </row>
    <row r="69" spans="1:25" x14ac:dyDescent="0.2">
      <c r="N69" s="92" t="str">
        <f>N62</f>
        <v>Cotisations "Maladie" + IJ AMEXA</v>
      </c>
      <c r="O69" s="487">
        <f>'[2]COMPTES NSA OK'!$S$78+'[2]COMPTES NSA OK'!$S$79</f>
        <v>483.20024715</v>
      </c>
      <c r="P69" s="487">
        <f>'[2]COMPTES NSA OK'!$T$78+'[2]COMPTES NSA OK'!$T$79</f>
        <v>474.01566871</v>
      </c>
      <c r="Q69" s="487">
        <f>'[2]COMPTES NSA OK'!$U$78+'[2]COMPTES NSA OK'!$U$79</f>
        <v>435.90074721000002</v>
      </c>
      <c r="R69" s="488">
        <f>'[2]COMPTES NSA OK'!$V$78+'[2]COMPTES NSA OK'!$V$79</f>
        <v>441.44766804999989</v>
      </c>
      <c r="S69" s="89">
        <f>O69/$O$68</f>
        <v>0.42229049539177044</v>
      </c>
      <c r="T69" s="89">
        <f>P69/$P$68</f>
        <v>0.44108025940225776</v>
      </c>
      <c r="U69" s="94">
        <f>Q69/$Q$68</f>
        <v>0.4235646846687019</v>
      </c>
      <c r="V69" s="95">
        <f>R69/$R$68</f>
        <v>0.39709855163522062</v>
      </c>
      <c r="W69" s="63">
        <f t="shared" si="32"/>
        <v>-1.9007809896978034E-2</v>
      </c>
      <c r="X69" s="96">
        <f t="shared" si="32"/>
        <v>-8.040856877943936E-2</v>
      </c>
      <c r="Y69" s="97">
        <f t="shared" si="32"/>
        <v>1.2725192318442158E-2</v>
      </c>
    </row>
    <row r="70" spans="1:25" x14ac:dyDescent="0.2">
      <c r="N70" s="92" t="s">
        <v>32</v>
      </c>
      <c r="O70" s="487">
        <v>127.94261548</v>
      </c>
      <c r="P70" s="487">
        <v>99.775462419999997</v>
      </c>
      <c r="Q70" s="487">
        <v>78.824212160000002</v>
      </c>
      <c r="R70" s="489">
        <v>61.684164060000001</v>
      </c>
      <c r="S70" s="89">
        <f>O70/$O$68</f>
        <v>0.11181482375358921</v>
      </c>
      <c r="T70" s="89">
        <f>P70/$P$68</f>
        <v>9.2842894763291592E-2</v>
      </c>
      <c r="U70" s="94">
        <f>Q70/$Q$68</f>
        <v>7.6593474045422147E-2</v>
      </c>
      <c r="V70" s="95">
        <f>R70/$R$68</f>
        <v>5.5487193567598542E-2</v>
      </c>
      <c r="W70" s="63">
        <f t="shared" si="32"/>
        <v>-0.22015458222677253</v>
      </c>
      <c r="X70" s="96">
        <f t="shared" si="32"/>
        <v>-0.20998399558206726</v>
      </c>
      <c r="Y70" s="97">
        <f t="shared" si="32"/>
        <v>-0.21744648795485022</v>
      </c>
    </row>
    <row r="71" spans="1:25" x14ac:dyDescent="0.2">
      <c r="N71" s="92" t="s">
        <v>34</v>
      </c>
      <c r="O71" s="487">
        <v>107.73623636000001</v>
      </c>
      <c r="P71" s="487">
        <v>104.25518926000001</v>
      </c>
      <c r="Q71" s="487">
        <v>107.80896625000001</v>
      </c>
      <c r="R71" s="489">
        <v>126.99393875999999</v>
      </c>
      <c r="S71" s="89">
        <f>O71/$O$68</f>
        <v>9.4155557437010054E-2</v>
      </c>
      <c r="T71" s="89">
        <f>P71/$P$68</f>
        <v>9.7011362615875008E-2</v>
      </c>
      <c r="U71" s="94">
        <f>Q71/$Q$68</f>
        <v>0.10475795484732402</v>
      </c>
      <c r="V71" s="95">
        <f>R71/$R$68</f>
        <v>0.11423575838741576</v>
      </c>
      <c r="W71" s="63">
        <f t="shared" si="32"/>
        <v>-3.231082890595971E-2</v>
      </c>
      <c r="X71" s="96">
        <f t="shared" si="32"/>
        <v>3.4087291148043652E-2</v>
      </c>
      <c r="Y71" s="97">
        <f t="shared" si="32"/>
        <v>0.17795340385243685</v>
      </c>
    </row>
    <row r="72" spans="1:25" x14ac:dyDescent="0.2">
      <c r="N72" s="92" t="s">
        <v>36</v>
      </c>
      <c r="O72" s="487">
        <v>107.33132022999999</v>
      </c>
      <c r="P72" s="487">
        <v>107.32188536999999</v>
      </c>
      <c r="Q72" s="487">
        <v>119.43803009</v>
      </c>
      <c r="R72" s="489">
        <v>179.51820761000002</v>
      </c>
      <c r="S72" s="89">
        <f>O72/$O$5</f>
        <v>4.2134882914898933E-2</v>
      </c>
      <c r="T72" s="89">
        <f>P72/$P$5</f>
        <v>3.6332382572482329E-2</v>
      </c>
      <c r="U72" s="94">
        <f>Q72/$Q$5</f>
        <v>3.9000991170945784E-2</v>
      </c>
      <c r="V72" s="95">
        <f>R72/$R$5</f>
        <v>6.4822164699354035E-2</v>
      </c>
      <c r="W72" s="63">
        <f t="shared" si="32"/>
        <v>-8.7904071055744382E-5</v>
      </c>
      <c r="X72" s="96">
        <f t="shared" si="32"/>
        <v>0.11289537710066044</v>
      </c>
      <c r="Y72" s="97">
        <f t="shared" si="32"/>
        <v>0.50302384822261281</v>
      </c>
    </row>
    <row r="73" spans="1:25" x14ac:dyDescent="0.2">
      <c r="N73" s="92" t="s">
        <v>38</v>
      </c>
      <c r="O73" s="487">
        <v>318.02619614999998</v>
      </c>
      <c r="P73" s="487">
        <v>289.30167258</v>
      </c>
      <c r="Q73" s="487">
        <v>287.15243305000001</v>
      </c>
      <c r="R73" s="489">
        <v>302.03891795000004</v>
      </c>
      <c r="S73" s="89">
        <f>O73/$O$68</f>
        <v>0.27793744045427449</v>
      </c>
      <c r="T73" s="89">
        <f>P73/$P$68</f>
        <v>0.26920050371828869</v>
      </c>
      <c r="U73" s="94">
        <f>Q73/$Q$68</f>
        <v>0.2790259721625995</v>
      </c>
      <c r="V73" s="95">
        <f>R73/$R$68</f>
        <v>0.27169520995596136</v>
      </c>
      <c r="W73" s="63">
        <f t="shared" si="32"/>
        <v>-9.0321250003102871E-2</v>
      </c>
      <c r="X73" s="96">
        <f t="shared" si="32"/>
        <v>-7.4290601600502937E-3</v>
      </c>
      <c r="Y73" s="97">
        <f t="shared" si="32"/>
        <v>5.1841750884304538E-2</v>
      </c>
    </row>
    <row r="74" spans="1:25" x14ac:dyDescent="0.2">
      <c r="N74" s="138"/>
      <c r="O74" s="139"/>
      <c r="P74" s="139"/>
      <c r="Q74" s="139"/>
      <c r="R74" s="315"/>
      <c r="S74" s="110"/>
      <c r="T74" s="110"/>
      <c r="U74" s="140"/>
      <c r="V74" s="141"/>
      <c r="W74" s="112"/>
      <c r="X74" s="142"/>
      <c r="Y74" s="143"/>
    </row>
    <row r="75" spans="1:25" x14ac:dyDescent="0.2">
      <c r="N75" s="144" t="s">
        <v>54</v>
      </c>
      <c r="O75" s="118">
        <f>O5+O12+O19+O26+O40+O47+O54+O61+O68+O33</f>
        <v>16843.0941313</v>
      </c>
      <c r="P75" s="118">
        <f>P5+P12+P19+P26+P40+P47+P54+P61+P68+P33</f>
        <v>16797.684522350002</v>
      </c>
      <c r="Q75" s="118">
        <f>Q5+Q12+Q19+Q26+Q40+Q47+Q54+Q61+Q68+Q33</f>
        <v>16481.482007930001</v>
      </c>
      <c r="R75" s="74">
        <f>R5+R12+R19+R26+R40+R47+R54+R61+R68+R33</f>
        <v>16137.057777459999</v>
      </c>
      <c r="S75" s="119">
        <f>S68+S61+S54+S47+S40+S26+S19+S12+S5</f>
        <v>0.72452571756173589</v>
      </c>
      <c r="T75" s="119">
        <f>T68+T61+T54+T47+T40+T26+T19+T12+T5</f>
        <v>0.73868800366623877</v>
      </c>
      <c r="U75" s="145">
        <f>U68+U61+U54+U47+U40+U26+U19+U12+U5</f>
        <v>0.75787642824417045</v>
      </c>
      <c r="V75" s="146">
        <f>V68+V61+V54+V47+V40+V26+V19+V12+V5</f>
        <v>0.78896131658047275</v>
      </c>
      <c r="W75" s="121">
        <f>P75/O75-1</f>
        <v>-2.6960372361519713E-3</v>
      </c>
      <c r="X75" s="147">
        <f>Q75/P75-1</f>
        <v>-1.8824172700664832E-2</v>
      </c>
      <c r="Y75" s="148">
        <f>R75/Q75-1</f>
        <v>-2.0897649271120367E-2</v>
      </c>
    </row>
    <row r="76" spans="1:25" x14ac:dyDescent="0.2">
      <c r="N76" s="149"/>
      <c r="O76" s="298">
        <v>2021</v>
      </c>
      <c r="P76" s="298">
        <f>O76+1</f>
        <v>2022</v>
      </c>
      <c r="Q76" s="298">
        <f t="shared" ref="Q76:R76" si="33">P76+1</f>
        <v>2023</v>
      </c>
      <c r="R76" s="298">
        <f t="shared" si="33"/>
        <v>2024</v>
      </c>
      <c r="S76" s="151"/>
      <c r="T76" s="151"/>
      <c r="U76" s="151"/>
      <c r="V76" s="152"/>
      <c r="W76" s="149"/>
      <c r="X76" s="153"/>
      <c r="Y76" s="154"/>
    </row>
    <row r="77" spans="1:25" x14ac:dyDescent="0.2">
      <c r="N77" s="155"/>
      <c r="Q77" s="150"/>
      <c r="R77" s="150"/>
      <c r="S77" s="151"/>
      <c r="T77" s="151"/>
      <c r="U77" s="151"/>
      <c r="V77" s="152"/>
      <c r="W77" s="155"/>
      <c r="X77" s="153"/>
      <c r="Y77" s="154"/>
    </row>
    <row r="78" spans="1:25" x14ac:dyDescent="0.2">
      <c r="N78" s="316" t="s">
        <v>166</v>
      </c>
      <c r="O78" s="317">
        <f>O33</f>
        <v>4639.8392698600001</v>
      </c>
      <c r="P78" s="317">
        <f t="shared" ref="P78:R78" si="34">P33</f>
        <v>4389.4364763200001</v>
      </c>
      <c r="Q78" s="317">
        <f t="shared" si="34"/>
        <v>3833.0628038899999</v>
      </c>
      <c r="R78" s="317">
        <f t="shared" si="34"/>
        <v>3405.5434276199999</v>
      </c>
      <c r="S78" s="347">
        <f>R78/R75</f>
        <v>0.2110386834195272</v>
      </c>
      <c r="W78" s="156"/>
    </row>
    <row r="79" spans="1:25" x14ac:dyDescent="0.2">
      <c r="N79" s="318"/>
      <c r="O79" s="318"/>
      <c r="P79" s="318"/>
      <c r="Q79" s="318"/>
      <c r="R79" s="318"/>
      <c r="S79"/>
      <c r="T79"/>
      <c r="W79" s="156"/>
    </row>
    <row r="80" spans="1:25" x14ac:dyDescent="0.2">
      <c r="N80" s="319"/>
      <c r="O80" s="179"/>
      <c r="P80" s="179"/>
      <c r="Q80" s="179"/>
      <c r="R80" s="179"/>
      <c r="S80"/>
      <c r="T80"/>
      <c r="W80" s="156"/>
    </row>
    <row r="81" spans="14:23" x14ac:dyDescent="0.2">
      <c r="N81" s="318"/>
      <c r="O81" s="158"/>
      <c r="P81" s="158"/>
      <c r="Q81" s="158"/>
      <c r="R81" s="158"/>
      <c r="S81"/>
      <c r="T81"/>
      <c r="W81" s="156"/>
    </row>
    <row r="82" spans="14:23" x14ac:dyDescent="0.2">
      <c r="N82" s="163"/>
      <c r="O82" s="22"/>
      <c r="P82" s="162"/>
      <c r="Q82" s="157"/>
      <c r="R82" s="157"/>
      <c r="S82"/>
      <c r="T82"/>
      <c r="W82" s="156"/>
    </row>
    <row r="83" spans="14:23" x14ac:dyDescent="0.2">
      <c r="N83" s="163"/>
      <c r="O83" s="22"/>
      <c r="P83" s="162"/>
      <c r="S83"/>
      <c r="T83"/>
    </row>
    <row r="84" spans="14:23" x14ac:dyDescent="0.2">
      <c r="N84" s="163"/>
      <c r="O84" s="22"/>
      <c r="P84" s="162"/>
      <c r="S84"/>
      <c r="T84"/>
    </row>
    <row r="85" spans="14:23" x14ac:dyDescent="0.2">
      <c r="N85" s="163"/>
      <c r="O85" s="22"/>
      <c r="P85" s="162"/>
    </row>
    <row r="86" spans="14:23" x14ac:dyDescent="0.2">
      <c r="N86" s="163"/>
      <c r="O86" s="22"/>
      <c r="P86" s="162"/>
    </row>
    <row r="87" spans="14:23" x14ac:dyDescent="0.2">
      <c r="N87" s="163"/>
      <c r="O87" s="22"/>
      <c r="P87" s="162"/>
    </row>
    <row r="88" spans="14:23" x14ac:dyDescent="0.2">
      <c r="N88" s="163"/>
    </row>
    <row r="89" spans="14:23" x14ac:dyDescent="0.2">
      <c r="N89" s="163"/>
    </row>
    <row r="90" spans="14:23" x14ac:dyDescent="0.2">
      <c r="N90" s="163"/>
    </row>
    <row r="92" spans="14:23" x14ac:dyDescent="0.2">
      <c r="O92" s="320"/>
    </row>
    <row r="109" spans="14:15" x14ac:dyDescent="0.2">
      <c r="N109" s="155"/>
      <c r="O109" s="161"/>
    </row>
    <row r="110" spans="14:15" x14ac:dyDescent="0.2">
      <c r="N110" s="155"/>
      <c r="O110" s="161"/>
    </row>
    <row r="111" spans="14:15" x14ac:dyDescent="0.2">
      <c r="N111" s="163"/>
      <c r="O111" s="22"/>
    </row>
    <row r="112" spans="14:15" x14ac:dyDescent="0.2">
      <c r="N112" s="163"/>
      <c r="O112" s="22"/>
    </row>
    <row r="113" spans="14:15" x14ac:dyDescent="0.2">
      <c r="N113" s="163"/>
      <c r="O113" s="22"/>
    </row>
    <row r="114" spans="14:15" x14ac:dyDescent="0.2">
      <c r="N114" s="163"/>
      <c r="O114" s="22"/>
    </row>
    <row r="115" spans="14:15" x14ac:dyDescent="0.2">
      <c r="N115" s="163"/>
      <c r="O115" s="22"/>
    </row>
  </sheetData>
  <protectedRanges>
    <protectedRange sqref="C29:E29 C36:E36 C43:E43 C50:E50 B20:E20" name="Plage1_1_1"/>
    <protectedRange sqref="O11:R11 O18:R18 O32:R32 O46:R46 O53:R53 O60:R60 O67:R67 O6:R6 O27:R27 O48:R48 O55:R55 O20:R25 O13:R13" name="Plage1_3"/>
    <protectedRange sqref="B19:D19 B14:E14" name="Plage1_4"/>
    <protectedRange sqref="E19" name="Plage1_5"/>
    <protectedRange sqref="B21:E21" name="Plage1_6"/>
    <protectedRange sqref="B8:D11" name="Plage1_1"/>
    <protectedRange sqref="E8:E11" name="Plage1_7"/>
    <protectedRange sqref="B15:E18" name="Plage1_8"/>
    <protectedRange sqref="B26:E26" name="Plage1_9"/>
    <protectedRange sqref="B22:E25" name="Plage1_10"/>
    <protectedRange sqref="B31:E34" name="Plage1_11"/>
    <protectedRange sqref="B38:E41" name="Plage1_12"/>
    <protectedRange sqref="B45:E48" name="Plage1_14"/>
    <protectedRange sqref="B52:E55" name="Plage1_15"/>
    <protectedRange sqref="O7:R10" name="Plage1_16"/>
    <protectedRange sqref="O14:R17" name="Plage1_17"/>
    <protectedRange sqref="O34:R39" name="Plage1_19"/>
    <protectedRange sqref="O41:R41" name="Plage1_22"/>
    <protectedRange sqref="O42:R45" name="Plage1_23"/>
    <protectedRange sqref="O49:R52" name="Plage1_24"/>
    <protectedRange sqref="O56:R59" name="Plage1_25"/>
    <protectedRange sqref="O62:R66" name="Plage1_26"/>
    <protectedRange sqref="O70:R71 O73:R73" name="Plage1_27"/>
    <protectedRange sqref="O28:R31" name="Plage1_13"/>
  </protectedRanges>
  <mergeCells count="7">
    <mergeCell ref="A2:A3"/>
    <mergeCell ref="W2:Y2"/>
    <mergeCell ref="F2:I2"/>
    <mergeCell ref="S2:V2"/>
    <mergeCell ref="J2:L2"/>
    <mergeCell ref="B2:E2"/>
    <mergeCell ref="O2:R2"/>
  </mergeCells>
  <phoneticPr fontId="2" type="noConversion"/>
  <printOptions horizontalCentered="1" verticalCentered="1"/>
  <pageMargins left="0.27" right="0.19685039370078741" top="0.35" bottom="0.25" header="0.51181102362204722" footer="0.51181102362204722"/>
  <pageSetup paperSize="9" scale="75" orientation="landscape" cellComments="asDisplayed" r:id="rId1"/>
  <headerFooter alignWithMargins="0">
    <oddHeader>&amp;CCOMPTES CONSOLIDES DU REGIME DES SALARIES AGRICOLES (en millions d'euros)
selon le rapport de la commission des comptes de la Sécurité sociale (sept. 2010)
CHIFFRES UTILES - BUDGET 2011</oddHeader>
    <oddFooter>&amp;L&amp;Z&amp;F
&amp;D&amp;R&amp;P/&amp;N</oddFooter>
  </headerFooter>
  <colBreaks count="1" manualBreakCount="1">
    <brk id="12" max="1048575" man="1"/>
  </colBreaks>
  <ignoredErrors>
    <ignoredError sqref="F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70C0"/>
  </sheetPr>
  <dimension ref="A1:O58"/>
  <sheetViews>
    <sheetView zoomScale="80" zoomScaleNormal="80" workbookViewId="0"/>
  </sheetViews>
  <sheetFormatPr baseColWidth="10" defaultRowHeight="12.75" x14ac:dyDescent="0.2"/>
  <cols>
    <col min="2" max="2" width="48.85546875" customWidth="1"/>
    <col min="3" max="3" width="27.5703125" customWidth="1"/>
    <col min="4" max="4" width="18.140625" bestFit="1" customWidth="1"/>
    <col min="5" max="5" width="16.42578125" bestFit="1" customWidth="1"/>
    <col min="6" max="6" width="22.140625" bestFit="1" customWidth="1"/>
    <col min="7" max="7" width="15.28515625" bestFit="1" customWidth="1"/>
    <col min="8" max="8" width="2" customWidth="1"/>
    <col min="9" max="9" width="27.7109375" bestFit="1" customWidth="1"/>
    <col min="10" max="10" width="8.7109375" bestFit="1" customWidth="1"/>
    <col min="11" max="11" width="20.5703125" bestFit="1" customWidth="1"/>
    <col min="12" max="12" width="7" customWidth="1"/>
    <col min="13" max="13" width="6.28515625" customWidth="1"/>
  </cols>
  <sheetData>
    <row r="1" spans="1:15" ht="36.75" thickBot="1" x14ac:dyDescent="0.25">
      <c r="B1" s="359" t="s">
        <v>15</v>
      </c>
      <c r="C1" s="349">
        <v>2024</v>
      </c>
      <c r="D1" s="349">
        <v>2025</v>
      </c>
      <c r="E1" s="349" t="s">
        <v>241</v>
      </c>
      <c r="F1" s="486" t="s">
        <v>235</v>
      </c>
      <c r="G1" s="358" t="s">
        <v>8</v>
      </c>
      <c r="H1" s="1"/>
      <c r="N1" s="556" t="s">
        <v>214</v>
      </c>
      <c r="O1" s="556"/>
    </row>
    <row r="2" spans="1:15" ht="13.5" thickBot="1" x14ac:dyDescent="0.25">
      <c r="A2" s="552" t="s">
        <v>211</v>
      </c>
      <c r="B2" s="360" t="s">
        <v>0</v>
      </c>
      <c r="C2" s="9">
        <f>'COMPTES NSA (Chiffres Utiles)ok'!D57</f>
        <v>16382.608266399999</v>
      </c>
      <c r="D2" s="9">
        <f>'COMPTES NSA (Chiffres Utiles)ok'!E57</f>
        <v>16072.43010526</v>
      </c>
      <c r="E2" s="9"/>
      <c r="F2" s="365">
        <f t="shared" ref="F2:F10" si="0">(D2-C2)/C2</f>
        <v>-1.8933380820449694E-2</v>
      </c>
      <c r="G2" s="366">
        <f>(C2/$C$2)*F2*100</f>
        <v>-1.8933380820449695</v>
      </c>
      <c r="H2" s="1"/>
      <c r="I2" s="328" t="s">
        <v>179</v>
      </c>
      <c r="N2" s="232" t="s">
        <v>118</v>
      </c>
    </row>
    <row r="3" spans="1:15" x14ac:dyDescent="0.2">
      <c r="A3" s="553"/>
      <c r="B3" s="352" t="s">
        <v>1</v>
      </c>
      <c r="C3" s="372">
        <f>SUM(C4:C9)</f>
        <v>14087.999607959999</v>
      </c>
      <c r="D3" s="471">
        <f>SUM(D4:D9)</f>
        <v>13784.601988580001</v>
      </c>
      <c r="E3" s="373">
        <f>D3/D2</f>
        <v>0.8576551211175425</v>
      </c>
      <c r="F3" s="367">
        <f>(D3-C3)/C3</f>
        <v>-2.1535890674540589E-2</v>
      </c>
      <c r="G3" s="368">
        <f>(C3/$C$3)*F3*100</f>
        <v>-2.153589067454059</v>
      </c>
      <c r="H3" s="1"/>
      <c r="I3" s="203"/>
    </row>
    <row r="4" spans="1:15" x14ac:dyDescent="0.2">
      <c r="A4" s="553"/>
      <c r="B4" s="361" t="s">
        <v>173</v>
      </c>
      <c r="C4" s="495">
        <f>[3]Vieillesse!$H$11</f>
        <v>6773.934695599999</v>
      </c>
      <c r="D4" s="472">
        <f>[3]Vieillesse!$I$11</f>
        <v>6698.491024330001</v>
      </c>
      <c r="E4" s="374">
        <f>D4/$D$3</f>
        <v>0.4859401112835493</v>
      </c>
      <c r="F4" s="369">
        <f t="shared" ref="F4:F9" si="1">(D4-C4)/C4</f>
        <v>-1.1137348477687922E-2</v>
      </c>
      <c r="G4" s="475">
        <f>(C4/$C$3)*F4*100</f>
        <v>-0.53551727263940929</v>
      </c>
      <c r="H4" s="15"/>
    </row>
    <row r="5" spans="1:15" x14ac:dyDescent="0.2">
      <c r="A5" s="553"/>
      <c r="B5" s="362" t="s">
        <v>174</v>
      </c>
      <c r="C5" s="496">
        <f>[3]Maladie!$H$12</f>
        <v>5700.5423182099994</v>
      </c>
      <c r="D5" s="473">
        <f>[3]Maladie!$I$12</f>
        <v>5368.3480793300005</v>
      </c>
      <c r="E5" s="374">
        <f>D5/$D$3</f>
        <v>0.38944527261486872</v>
      </c>
      <c r="F5" s="370">
        <f t="shared" si="1"/>
        <v>-5.827414662265145E-2</v>
      </c>
      <c r="G5" s="475">
        <f>(C5/$C$3)*F5*100</f>
        <v>-2.3579943790763775</v>
      </c>
      <c r="H5" s="15"/>
    </row>
    <row r="6" spans="1:15" x14ac:dyDescent="0.2">
      <c r="A6" s="553"/>
      <c r="B6" s="363" t="s">
        <v>175</v>
      </c>
      <c r="C6" s="497">
        <f>[3]RCO!$H$11</f>
        <v>1085.6262669499999</v>
      </c>
      <c r="D6" s="474">
        <f>[3]RCO!$I$11</f>
        <v>1177.2849562399999</v>
      </c>
      <c r="E6" s="375">
        <f>D6/$D$3</f>
        <v>8.5405799689779516E-2</v>
      </c>
      <c r="F6" s="371">
        <f t="shared" si="1"/>
        <v>8.4429321655517253E-2</v>
      </c>
      <c r="G6" s="475">
        <f>(C6/$C$3)*F6*100</f>
        <v>0.65061535945962834</v>
      </c>
      <c r="H6" s="15"/>
    </row>
    <row r="7" spans="1:15" x14ac:dyDescent="0.2">
      <c r="A7" s="553"/>
      <c r="B7" s="362" t="s">
        <v>176</v>
      </c>
      <c r="C7" s="496">
        <f>[3]Famille!$H$11</f>
        <v>328.95999352999991</v>
      </c>
      <c r="D7" s="473">
        <f>[3]Famille!$I$11</f>
        <v>329.14733328000005</v>
      </c>
      <c r="E7" s="374">
        <f>D7/$D$3</f>
        <v>2.3877898944973937E-2</v>
      </c>
      <c r="F7" s="370">
        <f t="shared" si="1"/>
        <v>5.6949098274791925E-4</v>
      </c>
      <c r="G7" s="475">
        <f>(C7/$C$3)*F7*100</f>
        <v>1.3297824759613006E-3</v>
      </c>
      <c r="H7" s="15"/>
      <c r="I7" s="329" t="s">
        <v>103</v>
      </c>
    </row>
    <row r="8" spans="1:15" x14ac:dyDescent="0.2">
      <c r="A8" s="553"/>
      <c r="B8" s="362" t="s">
        <v>177</v>
      </c>
      <c r="C8" s="496">
        <f>[3]AT!$H$11</f>
        <v>122.15706390000001</v>
      </c>
      <c r="D8" s="473">
        <f>[3]AT!$I$11</f>
        <v>132.77616180000001</v>
      </c>
      <c r="E8" s="374">
        <f t="shared" ref="E8" si="2">D8/$D$3</f>
        <v>9.6322085984056564E-3</v>
      </c>
      <c r="F8" s="370">
        <f t="shared" si="1"/>
        <v>8.6929871764869743E-2</v>
      </c>
      <c r="G8" s="476">
        <f t="shared" ref="G8" si="3">(C8/$C$3)*F8*100</f>
        <v>7.5376903715982491E-2</v>
      </c>
      <c r="H8" s="15"/>
      <c r="I8" s="23">
        <f>C4+C5+C7+C8</f>
        <v>12925.594071239999</v>
      </c>
      <c r="J8" s="23">
        <f>D4+D5+D7+D8</f>
        <v>12528.762598740001</v>
      </c>
      <c r="K8" s="166">
        <f>J8/D3</f>
        <v>0.9088954914417976</v>
      </c>
      <c r="L8" s="198">
        <f>J8/I8-1</f>
        <v>-3.070121731448805E-2</v>
      </c>
      <c r="M8" s="23">
        <f>G4+G5+G7+G8</f>
        <v>-2.816804965523843</v>
      </c>
    </row>
    <row r="9" spans="1:15" ht="13.5" thickBot="1" x14ac:dyDescent="0.25">
      <c r="A9" s="553"/>
      <c r="B9" s="364" t="s">
        <v>178</v>
      </c>
      <c r="C9" s="496">
        <f>'[3]IJ AMEXA'!$G$12</f>
        <v>76.779269769999999</v>
      </c>
      <c r="D9" s="473">
        <f>'[3]IJ AMEXA'!$H$12</f>
        <v>78.554433599999996</v>
      </c>
      <c r="E9" s="374">
        <f>D9/$D$3</f>
        <v>5.6987088684228417E-3</v>
      </c>
      <c r="F9" s="370">
        <f t="shared" si="1"/>
        <v>2.3120353128099264E-2</v>
      </c>
      <c r="G9" s="477">
        <f>(C9/$C$3)*F9*100</f>
        <v>1.2600538610158635E-2</v>
      </c>
      <c r="H9" s="15"/>
    </row>
    <row r="10" spans="1:15" ht="13.5" thickBot="1" x14ac:dyDescent="0.25">
      <c r="A10" s="554" t="s">
        <v>213</v>
      </c>
      <c r="B10" s="376" t="s">
        <v>2</v>
      </c>
      <c r="C10" s="10">
        <f>'COMPTES NSA (Chiffres Utiles)ok'!Q75</f>
        <v>16481.482007930001</v>
      </c>
      <c r="D10" s="305">
        <f>'COMPTES NSA (Chiffres Utiles)ok'!R75</f>
        <v>16137.057777459999</v>
      </c>
      <c r="E10" s="10"/>
      <c r="F10" s="189">
        <f t="shared" si="0"/>
        <v>-2.0897649271120373E-2</v>
      </c>
      <c r="G10" s="201">
        <f>(C10/C10)*F10*100</f>
        <v>-2.0897649271120375</v>
      </c>
      <c r="H10" s="1"/>
    </row>
    <row r="11" spans="1:15" x14ac:dyDescent="0.2">
      <c r="A11" s="555"/>
      <c r="B11" s="354" t="s">
        <v>230</v>
      </c>
      <c r="C11" s="6">
        <f>SUM(C12:C17)</f>
        <v>3062.435761350001</v>
      </c>
      <c r="D11" s="295">
        <f>SUM(D12:D17)</f>
        <v>2769.3954443299999</v>
      </c>
      <c r="E11" s="297">
        <f>D11/D10</f>
        <v>0.17161712392194878</v>
      </c>
      <c r="F11" s="186">
        <f>(D11-C11)/C11</f>
        <v>-9.5688641282983627E-2</v>
      </c>
      <c r="G11" s="201">
        <f>(C11/C11)*F11*100</f>
        <v>-9.5688641282983635</v>
      </c>
      <c r="H11" s="179"/>
      <c r="I11" s="179"/>
    </row>
    <row r="12" spans="1:15" x14ac:dyDescent="0.2">
      <c r="A12" s="555"/>
      <c r="B12" s="377" t="s">
        <v>7</v>
      </c>
      <c r="C12" s="498">
        <f>[3]Vieillesse!$H$108</f>
        <v>1468.4191881600002</v>
      </c>
      <c r="D12" s="499">
        <f>[3]Vieillesse!$I$108</f>
        <v>1373.9565258099999</v>
      </c>
      <c r="E12" s="479">
        <f>D12/$D$11</f>
        <v>0.49612146529055962</v>
      </c>
      <c r="F12" s="378">
        <f>(D12-C12)/C12</f>
        <v>-6.4329493316119465E-2</v>
      </c>
      <c r="G12" s="478">
        <f>(C12/C11)*F12*100</f>
        <v>-3.0845597985166786</v>
      </c>
      <c r="H12" s="15"/>
    </row>
    <row r="13" spans="1:15" x14ac:dyDescent="0.2">
      <c r="A13" s="555"/>
      <c r="B13" s="377" t="s">
        <v>16</v>
      </c>
      <c r="C13" s="498">
        <f>[3]RCO!$H$65</f>
        <v>550.95404135000001</v>
      </c>
      <c r="D13" s="499">
        <f>[3]RCO!$I$65</f>
        <v>524.18116109999994</v>
      </c>
      <c r="E13" s="479">
        <f>D13/$D$11</f>
        <v>0.18927638599723887</v>
      </c>
      <c r="F13" s="378">
        <f>(D13-C13)/C13</f>
        <v>-4.8593672503787454E-2</v>
      </c>
      <c r="G13" s="478">
        <f>(C13/$C$11)*F13*100</f>
        <v>-0.87423483580918915</v>
      </c>
      <c r="H13" s="15"/>
    </row>
    <row r="14" spans="1:15" x14ac:dyDescent="0.2">
      <c r="A14" s="555"/>
      <c r="B14" s="377" t="s">
        <v>159</v>
      </c>
      <c r="C14" s="498">
        <f>[3]Maladie!$H$158</f>
        <v>585.78296187000001</v>
      </c>
      <c r="D14" s="499">
        <f>[3]Maladie!$I$158</f>
        <v>465.17967320000002</v>
      </c>
      <c r="E14" s="479">
        <f t="shared" ref="E14:E17" si="4">D14/$D$11</f>
        <v>0.16797156005741209</v>
      </c>
      <c r="F14" s="378">
        <f t="shared" ref="F14:F20" si="5">(D14-C14)/C14</f>
        <v>-0.20588391353172353</v>
      </c>
      <c r="G14" s="478">
        <f>(C14/C11)*F14*100</f>
        <v>-3.9381491749833448</v>
      </c>
      <c r="H14" s="15"/>
    </row>
    <row r="15" spans="1:15" x14ac:dyDescent="0.2">
      <c r="A15" s="555"/>
      <c r="B15" s="377" t="s">
        <v>6</v>
      </c>
      <c r="C15" s="498">
        <f>[3]Famille!$H$98</f>
        <v>150.78917601000001</v>
      </c>
      <c r="D15" s="499">
        <f>[3]Famille!$I$98</f>
        <v>97.622932840000004</v>
      </c>
      <c r="E15" s="479">
        <f>D15/$D$11</f>
        <v>3.5250629533557974E-2</v>
      </c>
      <c r="F15" s="378">
        <f>(D15-C15)/C15</f>
        <v>-0.35258660188231372</v>
      </c>
      <c r="G15" s="478">
        <f>(C15/C11)*F15*100</f>
        <v>-1.7360770090590554</v>
      </c>
      <c r="H15" s="15"/>
      <c r="I15" s="330" t="s">
        <v>103</v>
      </c>
    </row>
    <row r="16" spans="1:15" x14ac:dyDescent="0.2">
      <c r="A16" s="555"/>
      <c r="B16" s="377" t="s">
        <v>5</v>
      </c>
      <c r="C16" s="498">
        <f>[3]AT!$H$97</f>
        <v>221.56093540999998</v>
      </c>
      <c r="D16" s="499">
        <f>[3]AT!$I$97</f>
        <v>217.61166559</v>
      </c>
      <c r="E16" s="479">
        <f>D16/$D$11</f>
        <v>7.8577317672538755E-2</v>
      </c>
      <c r="F16" s="378">
        <f>(D16-C16)/C16</f>
        <v>-1.782475693511509E-2</v>
      </c>
      <c r="G16" s="478">
        <f>(C16/C11)*F16*100</f>
        <v>-0.1289584542422873</v>
      </c>
      <c r="H16" s="15"/>
      <c r="I16" s="23">
        <f>C12+C14+C15+C16</f>
        <v>2426.5522614500005</v>
      </c>
      <c r="J16" s="23">
        <f>D12+D14+D15+D16</f>
        <v>2154.3707974399999</v>
      </c>
      <c r="K16" s="166">
        <f>J16/D11</f>
        <v>0.77792097255406845</v>
      </c>
      <c r="L16" s="198">
        <f>J16/I16-1</f>
        <v>-0.11216797937307021</v>
      </c>
      <c r="M16" s="202">
        <f>G12+G14+G15+G16</f>
        <v>-8.8877444368013663</v>
      </c>
    </row>
    <row r="17" spans="1:15" x14ac:dyDescent="0.2">
      <c r="A17" s="555"/>
      <c r="B17" s="377" t="s">
        <v>102</v>
      </c>
      <c r="C17" s="498">
        <f>'[3]IJ AMEXA'!$G$61</f>
        <v>84.929458550000007</v>
      </c>
      <c r="D17" s="499">
        <f>'[3]IJ AMEXA'!$H$61</f>
        <v>90.843485790000003</v>
      </c>
      <c r="E17" s="479">
        <f t="shared" si="4"/>
        <v>3.2802641448692701E-2</v>
      </c>
      <c r="F17" s="378">
        <f t="shared" si="5"/>
        <v>6.9634580756431724E-2</v>
      </c>
      <c r="G17" s="478">
        <f>(C17/$C$11)*F17*100</f>
        <v>0.19311514431221702</v>
      </c>
      <c r="H17" s="15"/>
    </row>
    <row r="18" spans="1:15" x14ac:dyDescent="0.2">
      <c r="A18" s="555"/>
      <c r="B18" s="5" t="s">
        <v>3</v>
      </c>
      <c r="C18" s="324">
        <f>'COMPTES NSA (Chiffres Utiles)ok'!Q26</f>
        <v>4739.7633540000006</v>
      </c>
      <c r="D18" s="324">
        <f>'COMPTES NSA (Chiffres Utiles)ok'!R26</f>
        <v>5080.1464611199999</v>
      </c>
      <c r="E18" s="7">
        <f>D18/D10</f>
        <v>0.31481243552439109</v>
      </c>
      <c r="F18" s="187">
        <f t="shared" si="5"/>
        <v>7.1814367447847749E-2</v>
      </c>
      <c r="G18" s="8"/>
      <c r="H18" s="15"/>
    </row>
    <row r="19" spans="1:15" x14ac:dyDescent="0.2">
      <c r="A19" s="555"/>
      <c r="B19" s="16" t="s">
        <v>65</v>
      </c>
      <c r="C19" s="325">
        <f>SUM(C25:C29)</f>
        <v>2655.3634729999999</v>
      </c>
      <c r="D19" s="325">
        <f>SUM(D25:D29)</f>
        <v>2654.9246560000001</v>
      </c>
      <c r="E19" s="7">
        <f>D19/D10</f>
        <v>0.16452346472405641</v>
      </c>
      <c r="F19" s="188">
        <f t="shared" si="5"/>
        <v>-1.6525684881248061E-4</v>
      </c>
      <c r="G19" s="17"/>
      <c r="H19" s="15"/>
    </row>
    <row r="20" spans="1:15" ht="13.5" thickBot="1" x14ac:dyDescent="0.25">
      <c r="A20" s="555"/>
      <c r="B20" s="18" t="s">
        <v>14</v>
      </c>
      <c r="C20" s="19">
        <f>'COMPTES NSA (Chiffres Utiles)ok'!Q12</f>
        <v>30.74084573</v>
      </c>
      <c r="D20" s="19">
        <f>'COMPTES NSA (Chiffres Utiles)ok'!R12</f>
        <v>27.517535129999999</v>
      </c>
      <c r="E20" s="191">
        <f>D20/D10</f>
        <v>1.7052386816409667E-3</v>
      </c>
      <c r="F20" s="188">
        <f t="shared" si="5"/>
        <v>-0.10485432405831215</v>
      </c>
      <c r="G20" s="20"/>
      <c r="H20" s="15"/>
    </row>
    <row r="21" spans="1:15" ht="13.5" thickBot="1" x14ac:dyDescent="0.25">
      <c r="B21" s="3" t="s">
        <v>4</v>
      </c>
      <c r="C21" s="11">
        <f>C10-C2</f>
        <v>98.873741530002007</v>
      </c>
      <c r="D21" s="11">
        <f>D10-D2</f>
        <v>64.627672199998415</v>
      </c>
      <c r="E21" s="171"/>
      <c r="F21" s="190">
        <f>(D21-C21)/C21</f>
        <v>-0.34636162038646073</v>
      </c>
      <c r="G21" s="21" t="s">
        <v>9</v>
      </c>
      <c r="H21" s="15"/>
    </row>
    <row r="22" spans="1:15" x14ac:dyDescent="0.2">
      <c r="B22" s="228" t="s">
        <v>148</v>
      </c>
      <c r="C22" s="229" t="b">
        <f>C21='COMPTES NSA (Chiffres Utiles)ok'!D58</f>
        <v>1</v>
      </c>
      <c r="D22" s="229" t="b">
        <f>D21='COMPTES NSA (Chiffres Utiles)ok'!E58</f>
        <v>1</v>
      </c>
      <c r="E22" s="1"/>
      <c r="F22" s="1"/>
      <c r="G22" s="1"/>
      <c r="N22" s="556" t="s">
        <v>215</v>
      </c>
      <c r="O22" s="556"/>
    </row>
    <row r="23" spans="1:15" ht="13.5" thickBot="1" x14ac:dyDescent="0.25">
      <c r="B23" s="230"/>
      <c r="C23" s="276"/>
      <c r="D23" s="276"/>
      <c r="E23" s="284"/>
      <c r="F23" s="1"/>
      <c r="G23" s="1"/>
      <c r="N23" s="232" t="s">
        <v>20</v>
      </c>
    </row>
    <row r="24" spans="1:15" ht="13.5" thickBot="1" x14ac:dyDescent="0.25">
      <c r="B24" s="1"/>
      <c r="C24" s="385">
        <v>2024</v>
      </c>
      <c r="D24" s="500">
        <v>2025</v>
      </c>
      <c r="E24" s="284">
        <f>D11/D10</f>
        <v>0.17161712392194878</v>
      </c>
      <c r="F24" s="284">
        <f>C11/C10</f>
        <v>0.18581070318048595</v>
      </c>
      <c r="G24" s="1"/>
    </row>
    <row r="25" spans="1:15" x14ac:dyDescent="0.2">
      <c r="B25" s="379" t="s">
        <v>10</v>
      </c>
      <c r="C25" s="386">
        <v>0</v>
      </c>
      <c r="D25" s="386">
        <v>0</v>
      </c>
      <c r="E25" s="285"/>
    </row>
    <row r="26" spans="1:15" x14ac:dyDescent="0.2">
      <c r="B26" s="380" t="s">
        <v>11</v>
      </c>
      <c r="C26" s="387">
        <v>0</v>
      </c>
      <c r="D26" s="387">
        <v>0</v>
      </c>
    </row>
    <row r="27" spans="1:15" x14ac:dyDescent="0.2">
      <c r="B27" s="380" t="s">
        <v>12</v>
      </c>
      <c r="C27" s="387">
        <v>0</v>
      </c>
      <c r="D27" s="387">
        <v>0</v>
      </c>
    </row>
    <row r="28" spans="1:15" x14ac:dyDescent="0.2">
      <c r="B28" s="380" t="s">
        <v>13</v>
      </c>
      <c r="C28" s="387">
        <f>[3]Vieillesse!$H$149</f>
        <v>2655.3634729999999</v>
      </c>
      <c r="D28" s="387">
        <f>[3]Vieillesse!$I$149</f>
        <v>2654.9246560000001</v>
      </c>
    </row>
    <row r="29" spans="1:15" x14ac:dyDescent="0.2">
      <c r="B29" s="380" t="s">
        <v>17</v>
      </c>
      <c r="C29" s="387">
        <v>0</v>
      </c>
      <c r="D29" s="387">
        <v>0</v>
      </c>
      <c r="E29" s="22"/>
    </row>
    <row r="30" spans="1:15" x14ac:dyDescent="0.2">
      <c r="B30" s="381" t="s">
        <v>66</v>
      </c>
      <c r="C30" s="388">
        <f>[3]Maladie!$H$216</f>
        <v>25.739883460000001</v>
      </c>
      <c r="D30" s="388">
        <f>[3]Maladie!$I$216</f>
        <v>27.37566193</v>
      </c>
      <c r="E30" s="160"/>
    </row>
    <row r="31" spans="1:15" x14ac:dyDescent="0.2">
      <c r="B31" s="381" t="s">
        <v>67</v>
      </c>
      <c r="C31" s="388">
        <f>[3]AT!$H$122</f>
        <v>0</v>
      </c>
      <c r="D31" s="388">
        <f>[3]AT!$I$122</f>
        <v>0</v>
      </c>
    </row>
    <row r="32" spans="1:15" x14ac:dyDescent="0.2">
      <c r="B32" s="381" t="s">
        <v>68</v>
      </c>
      <c r="C32" s="388">
        <v>0</v>
      </c>
      <c r="D32" s="388">
        <v>0</v>
      </c>
    </row>
    <row r="33" spans="2:11" x14ac:dyDescent="0.2">
      <c r="B33" s="381" t="s">
        <v>69</v>
      </c>
      <c r="C33" s="388">
        <f>[3]Vieillesse!$H$152</f>
        <v>34.948579469999999</v>
      </c>
      <c r="D33" s="388">
        <f>[3]Vieillesse!$I$152</f>
        <v>33.554778810000002</v>
      </c>
    </row>
    <row r="34" spans="2:11" x14ac:dyDescent="0.2">
      <c r="B34" s="381" t="s">
        <v>70</v>
      </c>
      <c r="C34" s="388">
        <v>0</v>
      </c>
      <c r="D34" s="388">
        <v>0</v>
      </c>
    </row>
    <row r="35" spans="2:11" x14ac:dyDescent="0.2">
      <c r="B35" s="382" t="s">
        <v>71</v>
      </c>
      <c r="C35" s="389">
        <v>0</v>
      </c>
      <c r="D35" s="389">
        <v>0</v>
      </c>
    </row>
    <row r="36" spans="2:11" x14ac:dyDescent="0.2">
      <c r="B36" s="382" t="s">
        <v>72</v>
      </c>
      <c r="C36" s="389">
        <v>0</v>
      </c>
      <c r="D36" s="389">
        <v>0</v>
      </c>
    </row>
    <row r="37" spans="2:11" x14ac:dyDescent="0.2">
      <c r="B37" s="382" t="s">
        <v>73</v>
      </c>
      <c r="C37" s="389">
        <v>0</v>
      </c>
      <c r="D37" s="389">
        <v>0</v>
      </c>
    </row>
    <row r="38" spans="2:11" x14ac:dyDescent="0.2">
      <c r="B38" s="382" t="s">
        <v>74</v>
      </c>
      <c r="C38" s="389">
        <v>0</v>
      </c>
      <c r="D38" s="389">
        <v>0</v>
      </c>
    </row>
    <row r="39" spans="2:11" x14ac:dyDescent="0.2">
      <c r="B39" s="382" t="s">
        <v>79</v>
      </c>
      <c r="C39" s="389">
        <v>0</v>
      </c>
      <c r="D39" s="389">
        <v>0</v>
      </c>
    </row>
    <row r="40" spans="2:11" x14ac:dyDescent="0.2">
      <c r="B40" s="381" t="s">
        <v>75</v>
      </c>
      <c r="C40" s="388">
        <f>[3]Maladie!$H$215</f>
        <v>3501.7900372899999</v>
      </c>
      <c r="D40" s="388">
        <f>[3]Maladie!$I$215</f>
        <v>3021.0033701399998</v>
      </c>
      <c r="E40" s="136"/>
    </row>
    <row r="41" spans="2:11" x14ac:dyDescent="0.2">
      <c r="B41" s="381" t="s">
        <v>76</v>
      </c>
      <c r="C41" s="388">
        <v>0</v>
      </c>
      <c r="D41" s="388">
        <v>0</v>
      </c>
      <c r="E41" s="136"/>
    </row>
    <row r="42" spans="2:11" x14ac:dyDescent="0.2">
      <c r="B42" s="381" t="s">
        <v>77</v>
      </c>
      <c r="C42" s="388">
        <f>[3]Famille!$H$123</f>
        <v>331.27276660000001</v>
      </c>
      <c r="D42" s="388">
        <f>[3]Famille!$I$123</f>
        <v>384.54005747999997</v>
      </c>
      <c r="E42" s="136"/>
      <c r="K42" t="s">
        <v>171</v>
      </c>
    </row>
    <row r="43" spans="2:11" x14ac:dyDescent="0.2">
      <c r="B43" s="381" t="s">
        <v>78</v>
      </c>
      <c r="C43" s="388">
        <v>0</v>
      </c>
      <c r="D43" s="388">
        <v>0</v>
      </c>
      <c r="E43" s="136"/>
    </row>
    <row r="44" spans="2:11" x14ac:dyDescent="0.2">
      <c r="B44" s="381" t="s">
        <v>80</v>
      </c>
      <c r="C44" s="388">
        <v>0</v>
      </c>
      <c r="D44" s="388">
        <v>0</v>
      </c>
      <c r="E44" s="136"/>
    </row>
    <row r="45" spans="2:11" x14ac:dyDescent="0.2">
      <c r="B45" s="383" t="s">
        <v>109</v>
      </c>
      <c r="C45" s="390">
        <f>[3]Maladie!$H$240+'[3]IJ AMEXA'!$G$78</f>
        <v>420.82149863000006</v>
      </c>
      <c r="D45" s="390">
        <f>[3]Maladie!$I$240+'[3]IJ AMEXA'!$H$78</f>
        <v>425.86573950999991</v>
      </c>
    </row>
    <row r="46" spans="2:11" x14ac:dyDescent="0.2">
      <c r="B46" s="383" t="s">
        <v>81</v>
      </c>
      <c r="C46" s="390">
        <f>[3]AT!$H$131</f>
        <v>104.95736325000001</v>
      </c>
      <c r="D46" s="390">
        <f>[3]AT!$I$131</f>
        <v>123.28813158</v>
      </c>
      <c r="E46" s="136"/>
    </row>
    <row r="47" spans="2:11" x14ac:dyDescent="0.2">
      <c r="B47" s="383" t="s">
        <v>82</v>
      </c>
      <c r="C47" s="390">
        <f>[3]Famille!$H$132</f>
        <v>55.669187379999997</v>
      </c>
      <c r="D47" s="390">
        <f>[3]Famille!$I$132</f>
        <v>58.275400169999998</v>
      </c>
      <c r="E47" s="136"/>
    </row>
    <row r="48" spans="2:11" x14ac:dyDescent="0.2">
      <c r="B48" s="383" t="s">
        <v>83</v>
      </c>
      <c r="C48" s="390">
        <f>[3]Vieillesse!$H$170</f>
        <v>275.33601198000002</v>
      </c>
      <c r="D48" s="390">
        <f>[3]Vieillesse!$I$170</f>
        <v>293.26492977000004</v>
      </c>
      <c r="E48" s="136"/>
    </row>
    <row r="49" spans="2:5" ht="13.5" thickBot="1" x14ac:dyDescent="0.25">
      <c r="B49" s="384" t="s">
        <v>84</v>
      </c>
      <c r="C49" s="391">
        <f>[3]RCO!$H$82</f>
        <v>119.38485054</v>
      </c>
      <c r="D49" s="391">
        <f>[3]RCO!$I$82</f>
        <v>179.46993169000001</v>
      </c>
      <c r="E49" s="136"/>
    </row>
    <row r="50" spans="2:5" x14ac:dyDescent="0.2">
      <c r="B50" s="192"/>
      <c r="C50" s="193"/>
      <c r="D50" s="193"/>
    </row>
    <row r="51" spans="2:5" x14ac:dyDescent="0.2">
      <c r="B51" s="183"/>
      <c r="C51" s="184"/>
      <c r="D51" s="184"/>
    </row>
    <row r="52" spans="2:5" x14ac:dyDescent="0.2">
      <c r="D52" s="184"/>
    </row>
    <row r="53" spans="2:5" x14ac:dyDescent="0.2">
      <c r="D53" s="184"/>
    </row>
    <row r="54" spans="2:5" x14ac:dyDescent="0.2">
      <c r="D54" s="184"/>
    </row>
    <row r="55" spans="2:5" x14ac:dyDescent="0.2">
      <c r="D55" s="182"/>
    </row>
    <row r="56" spans="2:5" x14ac:dyDescent="0.2">
      <c r="D56" s="182"/>
    </row>
    <row r="57" spans="2:5" x14ac:dyDescent="0.2">
      <c r="D57" s="182"/>
    </row>
    <row r="58" spans="2:5" x14ac:dyDescent="0.2">
      <c r="D58" s="182"/>
    </row>
  </sheetData>
  <mergeCells count="4">
    <mergeCell ref="A2:A9"/>
    <mergeCell ref="A10:A20"/>
    <mergeCell ref="N1:O1"/>
    <mergeCell ref="N22:O22"/>
  </mergeCells>
  <phoneticPr fontId="2" type="noConversion"/>
  <pageMargins left="0.78740157499999996" right="0.78740157499999996" top="0.984251969" bottom="0.984251969" header="0.4921259845" footer="0.4921259845"/>
  <pageSetup paperSize="9" orientation="landscape" verticalDpi="4294967295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50"/>
  </sheetPr>
  <dimension ref="A1:J28"/>
  <sheetViews>
    <sheetView zoomScale="90" zoomScaleNormal="90" workbookViewId="0"/>
  </sheetViews>
  <sheetFormatPr baseColWidth="10" defaultRowHeight="12.75" x14ac:dyDescent="0.2"/>
  <cols>
    <col min="1" max="1" width="41" customWidth="1"/>
    <col min="2" max="2" width="14.28515625" bestFit="1" customWidth="1"/>
    <col min="3" max="6" width="11.42578125" customWidth="1"/>
  </cols>
  <sheetData>
    <row r="1" spans="1:9" x14ac:dyDescent="0.2">
      <c r="A1" s="392" t="s">
        <v>216</v>
      </c>
    </row>
    <row r="2" spans="1:9" x14ac:dyDescent="0.2">
      <c r="A2" s="12" t="s">
        <v>240</v>
      </c>
    </row>
    <row r="3" spans="1:9" ht="13.5" thickBot="1" x14ac:dyDescent="0.25"/>
    <row r="4" spans="1:9" ht="22.5" customHeight="1" x14ac:dyDescent="0.2">
      <c r="A4" s="212" t="s">
        <v>110</v>
      </c>
      <c r="B4" s="213">
        <v>2018</v>
      </c>
      <c r="C4" s="213">
        <f>B4+1</f>
        <v>2019</v>
      </c>
      <c r="D4" s="213">
        <f t="shared" ref="D4:F4" si="0">C4+1</f>
        <v>2020</v>
      </c>
      <c r="E4" s="213">
        <f t="shared" si="0"/>
        <v>2021</v>
      </c>
      <c r="F4" s="213">
        <f t="shared" si="0"/>
        <v>2022</v>
      </c>
      <c r="G4" s="213">
        <f>F4+1</f>
        <v>2023</v>
      </c>
      <c r="H4" s="213">
        <f>G4+1</f>
        <v>2024</v>
      </c>
      <c r="I4" s="213">
        <f>H4+1</f>
        <v>2025</v>
      </c>
    </row>
    <row r="5" spans="1:9" x14ac:dyDescent="0.2">
      <c r="A5" s="219" t="s">
        <v>111</v>
      </c>
      <c r="B5" s="215">
        <v>1318319</v>
      </c>
      <c r="C5" s="215">
        <v>1278834</v>
      </c>
      <c r="D5" s="215">
        <v>1239302</v>
      </c>
      <c r="E5" s="282">
        <v>1199854</v>
      </c>
      <c r="F5" s="282">
        <f>[4]Effectifs!$N$11</f>
        <v>1160308</v>
      </c>
      <c r="G5" s="282">
        <f>[4]Effectifs!$P$11</f>
        <v>1122114</v>
      </c>
      <c r="H5" s="282">
        <f>[5]Effectifs!$V$10</f>
        <v>1086872</v>
      </c>
      <c r="I5" s="396">
        <f>[6]Effectifs!$X$10</f>
        <v>1053229</v>
      </c>
    </row>
    <row r="6" spans="1:9" ht="25.5" x14ac:dyDescent="0.2">
      <c r="A6" s="220" t="s">
        <v>112</v>
      </c>
      <c r="B6" s="215">
        <v>1383472</v>
      </c>
      <c r="C6" s="215">
        <v>1342719</v>
      </c>
      <c r="D6" s="215">
        <v>1302368</v>
      </c>
      <c r="E6" s="282">
        <v>1254463</v>
      </c>
      <c r="F6" s="282">
        <f>[4]Effectifs!$N$17</f>
        <v>1213545</v>
      </c>
      <c r="G6" s="282">
        <f>[4]Effectifs!$P$17</f>
        <v>1174497</v>
      </c>
      <c r="H6" s="282">
        <f>[5]Effectifs!$V$16</f>
        <v>1138955</v>
      </c>
      <c r="I6" s="396">
        <f>[6]Effectifs!$X$16</f>
        <v>1106103</v>
      </c>
    </row>
    <row r="7" spans="1:9" x14ac:dyDescent="0.2">
      <c r="A7" s="219" t="s">
        <v>113</v>
      </c>
      <c r="B7" s="215">
        <v>693983</v>
      </c>
      <c r="C7" s="215">
        <v>683417</v>
      </c>
      <c r="D7" s="215">
        <v>672840</v>
      </c>
      <c r="E7" s="287">
        <v>659447</v>
      </c>
      <c r="F7" s="287">
        <f>[7]Effectifs!$P$8</f>
        <v>654458</v>
      </c>
      <c r="G7" s="287">
        <f>[7]Effectifs!$R$8</f>
        <v>643891</v>
      </c>
      <c r="H7" s="287">
        <f>[8]Effectifs!$V$7</f>
        <v>642936</v>
      </c>
      <c r="I7" s="396">
        <f>[9]Effectifs!$X$7</f>
        <v>642938</v>
      </c>
    </row>
    <row r="8" spans="1:9" ht="13.5" thickBot="1" x14ac:dyDescent="0.25">
      <c r="A8" s="221" t="s">
        <v>114</v>
      </c>
      <c r="B8" s="216">
        <v>13162</v>
      </c>
      <c r="C8" s="216">
        <v>12882</v>
      </c>
      <c r="D8" s="216">
        <v>12486</v>
      </c>
      <c r="E8" s="286">
        <v>12393</v>
      </c>
      <c r="F8" s="286">
        <f>[4]Effectifs!$N$21</f>
        <v>11887</v>
      </c>
      <c r="G8" s="286">
        <f>[4]Effectifs!$P$21</f>
        <v>11542</v>
      </c>
      <c r="H8" s="286">
        <f>'[10]Maladie NSA - Tableau 1'!$E$6</f>
        <v>11508</v>
      </c>
      <c r="I8" s="397">
        <f>[6]Effectifs!$X$20</f>
        <v>11415</v>
      </c>
    </row>
    <row r="9" spans="1:9" ht="9" customHeight="1" x14ac:dyDescent="0.2">
      <c r="A9" s="211"/>
      <c r="B9" s="217"/>
      <c r="C9" s="217"/>
      <c r="D9" s="217"/>
      <c r="E9" s="217"/>
      <c r="F9" s="217"/>
      <c r="G9" s="217"/>
      <c r="H9" s="217"/>
      <c r="I9" s="333"/>
    </row>
    <row r="10" spans="1:9" s="13" customFormat="1" ht="25.5" x14ac:dyDescent="0.2">
      <c r="A10" s="209" t="s">
        <v>115</v>
      </c>
      <c r="B10" s="218">
        <v>76395</v>
      </c>
      <c r="C10" s="218">
        <v>76889</v>
      </c>
      <c r="D10" s="218">
        <v>75389</v>
      </c>
      <c r="E10" s="283">
        <v>74937</v>
      </c>
      <c r="F10" s="283">
        <f>'[11]Famille NSA - Tableau 1'!$B$31</f>
        <v>75110</v>
      </c>
      <c r="G10" s="283">
        <f>'[11]Famille NSA - Tableau 1'!$C$31</f>
        <v>74127</v>
      </c>
      <c r="H10" s="283">
        <f>'[12]Famille NSA - Tableau 1'!$C$12</f>
        <v>73718</v>
      </c>
      <c r="I10" s="398">
        <f>'[13]Famille NSA - Tableau 1'!$C$34</f>
        <v>73131</v>
      </c>
    </row>
    <row r="11" spans="1:9" x14ac:dyDescent="0.2">
      <c r="A11" s="210" t="s">
        <v>124</v>
      </c>
      <c r="B11" s="215">
        <v>477589</v>
      </c>
      <c r="C11" s="215">
        <v>468837</v>
      </c>
      <c r="D11" s="215">
        <v>461394</v>
      </c>
      <c r="E11" s="288">
        <v>455144</v>
      </c>
      <c r="F11" s="293">
        <v>448721</v>
      </c>
      <c r="G11" s="293">
        <v>442105</v>
      </c>
      <c r="H11" s="293">
        <f>'[14]Cotisations NSA - Tableaux 1à4 '!$B$8</f>
        <v>431682</v>
      </c>
      <c r="I11" s="399">
        <f>'[14]Cotisations NSA - Tableaux 1à4 '!$E$8</f>
        <v>423111</v>
      </c>
    </row>
    <row r="13" spans="1:9" x14ac:dyDescent="0.2">
      <c r="A13" s="12" t="s">
        <v>116</v>
      </c>
    </row>
    <row r="14" spans="1:9" ht="13.5" thickBot="1" x14ac:dyDescent="0.25"/>
    <row r="15" spans="1:9" x14ac:dyDescent="0.2">
      <c r="A15" s="212" t="s">
        <v>110</v>
      </c>
      <c r="B15" s="213" t="s">
        <v>155</v>
      </c>
      <c r="C15" s="213" t="s">
        <v>160</v>
      </c>
      <c r="D15" s="214" t="s">
        <v>162</v>
      </c>
      <c r="E15" s="214" t="s">
        <v>167</v>
      </c>
      <c r="F15" s="214" t="s">
        <v>172</v>
      </c>
      <c r="G15" s="214" t="s">
        <v>180</v>
      </c>
      <c r="H15" s="214" t="s">
        <v>239</v>
      </c>
    </row>
    <row r="16" spans="1:9" x14ac:dyDescent="0.2">
      <c r="A16" s="219" t="s">
        <v>111</v>
      </c>
      <c r="B16" s="222">
        <f>C5/B5-1</f>
        <v>-2.995102095926705E-2</v>
      </c>
      <c r="C16" s="222">
        <f t="shared" ref="C16:D16" si="1">D5/C5-1</f>
        <v>-3.0912534386792978E-2</v>
      </c>
      <c r="D16" s="222">
        <f t="shared" si="1"/>
        <v>-3.1830820897569723E-2</v>
      </c>
      <c r="E16" s="223">
        <f>F5/E5-1</f>
        <v>-3.2959010012884926E-2</v>
      </c>
      <c r="F16" s="223">
        <f>G5/F5-1</f>
        <v>-3.2917122005536426E-2</v>
      </c>
      <c r="G16" s="334">
        <f>H5/G5-1</f>
        <v>-3.1406791110350607E-2</v>
      </c>
      <c r="H16" s="393">
        <f>I5/H5-1</f>
        <v>-3.0953966980472369E-2</v>
      </c>
    </row>
    <row r="17" spans="1:10" ht="25.5" x14ac:dyDescent="0.2">
      <c r="A17" s="220" t="s">
        <v>112</v>
      </c>
      <c r="B17" s="222">
        <f t="shared" ref="B17:E17" si="2">C6/B6-1</f>
        <v>-2.9457047197196662E-2</v>
      </c>
      <c r="C17" s="222">
        <f t="shared" si="2"/>
        <v>-3.0051708510864916E-2</v>
      </c>
      <c r="D17" s="222">
        <f>E6/D6-1</f>
        <v>-3.678299835376786E-2</v>
      </c>
      <c r="E17" s="223">
        <f t="shared" si="2"/>
        <v>-3.2617940903797105E-2</v>
      </c>
      <c r="F17" s="223">
        <f t="shared" ref="F17:H19" si="3">G6/F6-1</f>
        <v>-3.2176804321224162E-2</v>
      </c>
      <c r="G17" s="334">
        <f t="shared" si="3"/>
        <v>-3.0261465120813402E-2</v>
      </c>
      <c r="H17" s="393">
        <f t="shared" si="3"/>
        <v>-2.8843984178479443E-2</v>
      </c>
    </row>
    <row r="18" spans="1:10" x14ac:dyDescent="0.2">
      <c r="A18" s="219" t="s">
        <v>170</v>
      </c>
      <c r="B18" s="222">
        <f t="shared" ref="B18:E18" si="4">C7/B7-1</f>
        <v>-1.5225156812198604E-2</v>
      </c>
      <c r="C18" s="222">
        <f t="shared" si="4"/>
        <v>-1.5476641640462585E-2</v>
      </c>
      <c r="D18" s="222">
        <f>E7/D7-1</f>
        <v>-1.9905178051245476E-2</v>
      </c>
      <c r="E18" s="223">
        <f t="shared" si="4"/>
        <v>-7.5654298222601613E-3</v>
      </c>
      <c r="F18" s="223">
        <f t="shared" si="3"/>
        <v>-1.6146185087507536E-2</v>
      </c>
      <c r="G18" s="334">
        <f t="shared" si="3"/>
        <v>-1.4831702881388242E-3</v>
      </c>
      <c r="H18" s="393">
        <f t="shared" si="3"/>
        <v>3.1107295281884717E-6</v>
      </c>
    </row>
    <row r="19" spans="1:10" ht="13.5" thickBot="1" x14ac:dyDescent="0.25">
      <c r="A19" s="221" t="s">
        <v>114</v>
      </c>
      <c r="B19" s="224">
        <f t="shared" ref="B19:E19" si="5">C8/B8-1</f>
        <v>-2.1273362710834243E-2</v>
      </c>
      <c r="C19" s="224">
        <f t="shared" si="5"/>
        <v>-3.0740568234746135E-2</v>
      </c>
      <c r="D19" s="224">
        <f t="shared" si="5"/>
        <v>-7.4483421432003372E-3</v>
      </c>
      <c r="E19" s="225">
        <f t="shared" si="5"/>
        <v>-4.0829500524489637E-2</v>
      </c>
      <c r="F19" s="225">
        <f t="shared" si="3"/>
        <v>-2.9023302767729464E-2</v>
      </c>
      <c r="G19" s="335">
        <f t="shared" si="3"/>
        <v>-2.9457632992548888E-3</v>
      </c>
      <c r="H19" s="394">
        <f t="shared" si="3"/>
        <v>-8.0813347236704525E-3</v>
      </c>
    </row>
    <row r="20" spans="1:10" ht="9" customHeight="1" x14ac:dyDescent="0.2">
      <c r="A20" s="211"/>
      <c r="B20" s="226"/>
      <c r="C20" s="226"/>
      <c r="D20" s="226"/>
      <c r="E20" s="226"/>
      <c r="F20" s="226"/>
      <c r="G20" s="336"/>
      <c r="H20" s="323"/>
    </row>
    <row r="21" spans="1:10" ht="25.5" x14ac:dyDescent="0.2">
      <c r="A21" s="209" t="s">
        <v>249</v>
      </c>
      <c r="B21" s="222">
        <f t="shared" ref="B21:D21" si="6">C10/B10-1</f>
        <v>6.4663917795666492E-3</v>
      </c>
      <c r="C21" s="222">
        <f t="shared" si="6"/>
        <v>-1.950864232855154E-2</v>
      </c>
      <c r="D21" s="222">
        <f t="shared" si="6"/>
        <v>-5.9955696454390139E-3</v>
      </c>
      <c r="E21" s="222">
        <f>F10/E10-1</f>
        <v>2.308605895618987E-3</v>
      </c>
      <c r="F21" s="222">
        <f>G10/F10-1</f>
        <v>-1.308747170816138E-2</v>
      </c>
      <c r="G21" s="337">
        <f>H10/G10-1</f>
        <v>-5.5175577050197155E-3</v>
      </c>
      <c r="H21" s="395">
        <f>I10/H10-1</f>
        <v>-7.9627770693724287E-3</v>
      </c>
    </row>
    <row r="22" spans="1:10" x14ac:dyDescent="0.2">
      <c r="A22" s="210" t="str">
        <f>A11</f>
        <v>Cotisants NSA au 1er janvier (hors DOM)</v>
      </c>
      <c r="B22" s="222">
        <f t="shared" ref="B22:E22" si="7">C11/B11-1</f>
        <v>-1.832538019091734E-2</v>
      </c>
      <c r="C22" s="222">
        <f t="shared" si="7"/>
        <v>-1.587545351582742E-2</v>
      </c>
      <c r="D22" s="222">
        <f t="shared" si="7"/>
        <v>-1.3545906535412211E-2</v>
      </c>
      <c r="E22" s="222">
        <f t="shared" si="7"/>
        <v>-1.4112017295625168E-2</v>
      </c>
      <c r="F22" s="222">
        <f>G11/F11-1</f>
        <v>-1.4744128311356075E-2</v>
      </c>
      <c r="G22" s="337">
        <f>H11/G11-1</f>
        <v>-2.3575847366575808E-2</v>
      </c>
      <c r="H22" s="395">
        <f>I11/H11-1</f>
        <v>-1.9854893185261346E-2</v>
      </c>
    </row>
    <row r="23" spans="1:10" ht="13.5" thickBot="1" x14ac:dyDescent="0.25"/>
    <row r="24" spans="1:10" x14ac:dyDescent="0.2">
      <c r="B24" s="213">
        <v>2021</v>
      </c>
      <c r="C24" s="213">
        <v>2022</v>
      </c>
      <c r="D24" s="214" t="s">
        <v>167</v>
      </c>
      <c r="E24" s="213">
        <v>2023</v>
      </c>
      <c r="F24" s="214" t="s">
        <v>172</v>
      </c>
      <c r="G24" s="213">
        <v>2024</v>
      </c>
      <c r="H24" s="214" t="s">
        <v>180</v>
      </c>
      <c r="I24" s="213">
        <v>2025</v>
      </c>
      <c r="J24" s="214" t="s">
        <v>239</v>
      </c>
    </row>
    <row r="25" spans="1:10" x14ac:dyDescent="0.2">
      <c r="A25" s="210" t="s">
        <v>124</v>
      </c>
      <c r="B25" s="321">
        <f>SUM(B26:B28)</f>
        <v>455136</v>
      </c>
      <c r="C25" s="321">
        <v>448721</v>
      </c>
      <c r="D25" s="322">
        <f>C25/B25-1</f>
        <v>-1.4094688181115145E-2</v>
      </c>
      <c r="E25" s="321">
        <f>SUM(E26:E28)</f>
        <v>442105</v>
      </c>
      <c r="F25" s="322">
        <f>E25/C25-1</f>
        <v>-1.4744128311356075E-2</v>
      </c>
      <c r="G25" s="321">
        <f>SUM(G26:G28)</f>
        <v>431682</v>
      </c>
      <c r="H25" s="322">
        <f>G25/E25-1</f>
        <v>-2.3575847366575808E-2</v>
      </c>
      <c r="I25" s="400">
        <f>SUM(I26:I28)</f>
        <v>423111</v>
      </c>
      <c r="J25" s="401">
        <f>I25/G25-1</f>
        <v>-1.9854893185261346E-2</v>
      </c>
    </row>
    <row r="26" spans="1:10" x14ac:dyDescent="0.2">
      <c r="A26" s="210" t="s">
        <v>156</v>
      </c>
      <c r="B26" s="332">
        <v>430824</v>
      </c>
      <c r="C26" s="332">
        <v>425857</v>
      </c>
      <c r="D26" s="294">
        <f t="shared" ref="D26:D28" si="8">C26/B26-1</f>
        <v>-1.1529069875401587E-2</v>
      </c>
      <c r="E26" s="332">
        <f>'[15]Cotisations NSA - Tableaux 1à4 '!$E$5</f>
        <v>421270</v>
      </c>
      <c r="F26" s="294">
        <f t="shared" ref="F26:F27" si="9">E26/C26-1</f>
        <v>-1.0771221325468372E-2</v>
      </c>
      <c r="G26" s="332">
        <f>'[14]Cotisations NSA - Tableaux 1à4 '!$B$5</f>
        <v>412766</v>
      </c>
      <c r="H26" s="294">
        <f>G26/E26-1</f>
        <v>-2.0186578678757061E-2</v>
      </c>
      <c r="I26" s="402">
        <f>'[14]Cotisations NSA - Tableaux 1à4 '!$E$5</f>
        <v>406156</v>
      </c>
      <c r="J26" s="403">
        <f>I26/G26-1</f>
        <v>-1.6013915874854012E-2</v>
      </c>
    </row>
    <row r="27" spans="1:10" x14ac:dyDescent="0.2">
      <c r="A27" s="210" t="s">
        <v>157</v>
      </c>
      <c r="B27" s="332">
        <v>21610</v>
      </c>
      <c r="C27" s="332">
        <v>20060</v>
      </c>
      <c r="D27" s="294">
        <f t="shared" si="8"/>
        <v>-7.1726052753354974E-2</v>
      </c>
      <c r="E27" s="332">
        <f>'[15]Cotisations NSA - Tableaux 1à4 '!$E$6</f>
        <v>18175</v>
      </c>
      <c r="F27" s="294">
        <f t="shared" si="9"/>
        <v>-9.3968095712861466E-2</v>
      </c>
      <c r="G27" s="332">
        <f>'[14]Cotisations NSA - Tableaux 1à4 '!$B$6</f>
        <v>16286</v>
      </c>
      <c r="H27" s="294">
        <f>G27/E27-1</f>
        <v>-0.10393397524071524</v>
      </c>
      <c r="I27" s="402">
        <f>'[14]Cotisations NSA - Tableaux 1à4 '!$E$6</f>
        <v>14575</v>
      </c>
      <c r="J27" s="403">
        <f>I27/G27-1</f>
        <v>-0.10505956035859021</v>
      </c>
    </row>
    <row r="28" spans="1:10" x14ac:dyDescent="0.2">
      <c r="A28" s="210" t="s">
        <v>158</v>
      </c>
      <c r="B28" s="332">
        <v>2702</v>
      </c>
      <c r="C28" s="332">
        <v>2804</v>
      </c>
      <c r="D28" s="294">
        <f t="shared" si="8"/>
        <v>3.7749814951887561E-2</v>
      </c>
      <c r="E28" s="332">
        <f>'[15]Cotisations NSA - Tableaux 1à4 '!$E$7</f>
        <v>2660</v>
      </c>
      <c r="F28" s="294">
        <f>E28/C28-1</f>
        <v>-5.1355206847360946E-2</v>
      </c>
      <c r="G28" s="332">
        <f>'[14]Cotisations NSA - Tableaux 1à4 '!$B$7</f>
        <v>2630</v>
      </c>
      <c r="H28" s="294">
        <f>G28/E28-1</f>
        <v>-1.1278195488721776E-2</v>
      </c>
      <c r="I28" s="402">
        <f>'[14]Cotisations NSA - Tableaux 1à4 '!$E$7</f>
        <v>2380</v>
      </c>
      <c r="J28" s="403">
        <f>I28/G28-1</f>
        <v>-9.5057034220532355E-2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landscape" horizontalDpi="4294967295" verticalDpi="4294967295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92D050"/>
  </sheetPr>
  <dimension ref="A1:N61"/>
  <sheetViews>
    <sheetView zoomScale="110" zoomScaleNormal="110" workbookViewId="0"/>
  </sheetViews>
  <sheetFormatPr baseColWidth="10" defaultRowHeight="12.75" x14ac:dyDescent="0.2"/>
  <cols>
    <col min="1" max="1" width="42" customWidth="1"/>
    <col min="6" max="6" width="14.42578125" customWidth="1"/>
    <col min="8" max="8" width="32" customWidth="1"/>
    <col min="9" max="9" width="9.85546875" customWidth="1"/>
    <col min="10" max="13" width="9.5703125" customWidth="1"/>
    <col min="14" max="14" width="13.5703125" bestFit="1" customWidth="1"/>
  </cols>
  <sheetData>
    <row r="1" spans="1:9" ht="13.5" thickBot="1" x14ac:dyDescent="0.25">
      <c r="A1" s="392" t="s">
        <v>217</v>
      </c>
    </row>
    <row r="2" spans="1:9" ht="13.5" thickBot="1" x14ac:dyDescent="0.25">
      <c r="A2" s="12" t="s">
        <v>0</v>
      </c>
      <c r="B2" s="404">
        <f>'COMPTES NSA (Chiffres Utiles)ok'!D3</f>
        <v>2024</v>
      </c>
      <c r="C2" s="404">
        <f>'COMPTES NSA (Chiffres Utiles)ok'!E3</f>
        <v>2025</v>
      </c>
      <c r="D2" s="404" t="s">
        <v>25</v>
      </c>
      <c r="E2" s="404" t="s">
        <v>55</v>
      </c>
      <c r="F2" s="404" t="s">
        <v>56</v>
      </c>
    </row>
    <row r="3" spans="1:9" x14ac:dyDescent="0.2">
      <c r="A3" s="411" t="s">
        <v>18</v>
      </c>
      <c r="B3" s="412">
        <f>'NSA1 ok'!C3</f>
        <v>14087.999607959999</v>
      </c>
      <c r="C3" s="412">
        <f>'NSA1 ok'!D3</f>
        <v>13784.601988580001</v>
      </c>
      <c r="D3" s="420">
        <f>C3/$C$10</f>
        <v>0.8576551211175425</v>
      </c>
      <c r="E3" s="425">
        <f t="shared" ref="E3:E9" si="0">C3/B3-1</f>
        <v>-2.1535890674540537E-2</v>
      </c>
      <c r="F3" s="415">
        <f t="shared" ref="F3:F10" si="1">(B3/$B$10)*E3*100</f>
        <v>-1.8519494237205896</v>
      </c>
    </row>
    <row r="4" spans="1:9" x14ac:dyDescent="0.2">
      <c r="A4" s="413" t="s">
        <v>232</v>
      </c>
      <c r="B4" s="414">
        <f>'COMPTES NSA (Chiffres Utiles)ok'!D27</f>
        <v>385.39852350999996</v>
      </c>
      <c r="C4" s="414">
        <f>'COMPTES NSA (Chiffres Utiles)ok'!E27</f>
        <v>388.32743001</v>
      </c>
      <c r="D4" s="421">
        <f t="shared" ref="D4:D9" si="2">C4/$C$10</f>
        <v>2.4161089982460877E-2</v>
      </c>
      <c r="E4" s="426">
        <f t="shared" si="0"/>
        <v>7.5996827214726004E-3</v>
      </c>
      <c r="F4" s="416">
        <f t="shared" si="1"/>
        <v>1.7878145240199969E-2</v>
      </c>
    </row>
    <row r="5" spans="1:9" x14ac:dyDescent="0.2">
      <c r="A5" s="405" t="s">
        <v>58</v>
      </c>
      <c r="B5" s="408">
        <f>'COMPTES NSA (Chiffres Utiles)ok'!D43</f>
        <v>1201.19456124</v>
      </c>
      <c r="C5" s="408">
        <f>'COMPTES NSA (Chiffres Utiles)ok'!E43</f>
        <v>1197.8511687300002</v>
      </c>
      <c r="D5" s="422">
        <f t="shared" si="2"/>
        <v>7.4528317179489934E-2</v>
      </c>
      <c r="E5" s="427">
        <f t="shared" si="0"/>
        <v>-2.783389650506285E-3</v>
      </c>
      <c r="F5" s="417">
        <f t="shared" si="1"/>
        <v>-2.0408181991734508E-2</v>
      </c>
    </row>
    <row r="6" spans="1:9" x14ac:dyDescent="0.2">
      <c r="A6" s="406" t="s">
        <v>59</v>
      </c>
      <c r="B6" s="409">
        <f>'COMPTES NSA (Chiffres Utiles)ok'!D50</f>
        <v>528.80558139000004</v>
      </c>
      <c r="C6" s="409">
        <f>'COMPTES NSA (Chiffres Utiles)ok'!E50</f>
        <v>546.02628623999999</v>
      </c>
      <c r="D6" s="423">
        <f t="shared" si="2"/>
        <v>3.3972851812950351E-2</v>
      </c>
      <c r="E6" s="428">
        <f t="shared" si="0"/>
        <v>3.2565285723222148E-2</v>
      </c>
      <c r="F6" s="418">
        <f t="shared" si="1"/>
        <v>0.10511577015070825</v>
      </c>
    </row>
    <row r="7" spans="1:9" x14ac:dyDescent="0.2">
      <c r="A7" s="406" t="s">
        <v>57</v>
      </c>
      <c r="B7" s="409">
        <f>'COMPTES NSA (Chiffres Utiles)ok'!D5-'NSA1 ok'!C3</f>
        <v>157.28717180999956</v>
      </c>
      <c r="C7" s="409">
        <f>'COMPTES NSA (Chiffres Utiles)ok'!E5-'NSA1 ok'!D3</f>
        <v>135.48830251999971</v>
      </c>
      <c r="D7" s="423">
        <f t="shared" si="2"/>
        <v>8.4298579388849635E-3</v>
      </c>
      <c r="E7" s="428">
        <f t="shared" si="0"/>
        <v>-0.13859279837730532</v>
      </c>
      <c r="F7" s="418">
        <f t="shared" si="1"/>
        <v>-0.13306104214619086</v>
      </c>
    </row>
    <row r="8" spans="1:9" x14ac:dyDescent="0.2">
      <c r="A8" s="406" t="s">
        <v>19</v>
      </c>
      <c r="B8" s="409">
        <f>'COMPTES NSA (Chiffres Utiles)ok'!D36</f>
        <v>9.2337598399999994</v>
      </c>
      <c r="C8" s="409">
        <f>'COMPTES NSA (Chiffres Utiles)ok'!E36</f>
        <v>8.9814002999999989</v>
      </c>
      <c r="D8" s="423">
        <f t="shared" si="2"/>
        <v>5.5880786173465263E-4</v>
      </c>
      <c r="E8" s="428">
        <f t="shared" si="0"/>
        <v>-2.7330095689385048E-2</v>
      </c>
      <c r="F8" s="418">
        <f t="shared" si="1"/>
        <v>-1.5404112452446226E-3</v>
      </c>
    </row>
    <row r="9" spans="1:9" x14ac:dyDescent="0.2">
      <c r="A9" s="406" t="s">
        <v>60</v>
      </c>
      <c r="B9" s="409">
        <f>'COMPTES NSA (Chiffres Utiles)ok'!D29</f>
        <v>12.689060649999998</v>
      </c>
      <c r="C9" s="409">
        <f>'COMPTES NSA (Chiffres Utiles)ok'!E29</f>
        <v>11.15352888</v>
      </c>
      <c r="D9" s="423">
        <f t="shared" si="2"/>
        <v>6.9395410693680977E-4</v>
      </c>
      <c r="E9" s="428">
        <f t="shared" si="0"/>
        <v>-0.12101224924005693</v>
      </c>
      <c r="F9" s="418">
        <f t="shared" si="1"/>
        <v>-9.3729383321049433E-3</v>
      </c>
    </row>
    <row r="10" spans="1:9" ht="13.5" thickBot="1" x14ac:dyDescent="0.25">
      <c r="A10" s="407" t="s">
        <v>23</v>
      </c>
      <c r="B10" s="410">
        <f>SUM(B3:B9)</f>
        <v>16382.608266400001</v>
      </c>
      <c r="C10" s="410">
        <f>SUM(C3:C9)</f>
        <v>16072.43010526</v>
      </c>
      <c r="D10" s="424">
        <f>SUM(D3:D9)</f>
        <v>1.0000000000000002</v>
      </c>
      <c r="E10" s="429">
        <f>C10/B10-1</f>
        <v>-1.8933380820449819E-2</v>
      </c>
      <c r="F10" s="419">
        <f t="shared" si="1"/>
        <v>-1.8933380820449819</v>
      </c>
    </row>
    <row r="11" spans="1:9" s="227" customFormat="1" ht="10.5" x14ac:dyDescent="0.15">
      <c r="B11" s="277">
        <f>'COMPTES NSA (Chiffres Utiles)ok'!D57</f>
        <v>16382.608266399999</v>
      </c>
      <c r="C11" s="277">
        <f>'COMPTES NSA (Chiffres Utiles)ok'!E57</f>
        <v>16072.43010526</v>
      </c>
    </row>
    <row r="13" spans="1:9" x14ac:dyDescent="0.2">
      <c r="A13" s="392" t="s">
        <v>218</v>
      </c>
      <c r="H13" s="306" t="s">
        <v>0</v>
      </c>
      <c r="I13" s="12" t="s">
        <v>56</v>
      </c>
    </row>
    <row r="14" spans="1:9" x14ac:dyDescent="0.2">
      <c r="H14" s="441" t="s">
        <v>242</v>
      </c>
      <c r="I14" s="442">
        <f>F3</f>
        <v>-1.8519494237205896</v>
      </c>
    </row>
    <row r="15" spans="1:9" x14ac:dyDescent="0.2">
      <c r="B15" s="22"/>
      <c r="C15" s="22"/>
      <c r="D15" s="165"/>
      <c r="E15" s="165"/>
      <c r="F15" s="2"/>
      <c r="H15" s="441" t="s">
        <v>243</v>
      </c>
      <c r="I15" s="442">
        <f t="shared" ref="I15:I20" si="3">F4</f>
        <v>1.7878145240199969E-2</v>
      </c>
    </row>
    <row r="16" spans="1:9" x14ac:dyDescent="0.2">
      <c r="B16" s="22"/>
      <c r="C16" s="22"/>
      <c r="D16" s="165"/>
      <c r="E16" s="165"/>
      <c r="F16" s="2"/>
      <c r="H16" s="307" t="s">
        <v>244</v>
      </c>
      <c r="I16" s="252">
        <f t="shared" si="3"/>
        <v>-2.0408181991734508E-2</v>
      </c>
    </row>
    <row r="17" spans="1:9" x14ac:dyDescent="0.2">
      <c r="B17" s="22"/>
      <c r="C17" s="22"/>
      <c r="D17" s="165"/>
      <c r="E17" s="165"/>
      <c r="F17" s="2"/>
      <c r="H17" s="308" t="s">
        <v>245</v>
      </c>
      <c r="I17" s="253">
        <f t="shared" si="3"/>
        <v>0.10511577015070825</v>
      </c>
    </row>
    <row r="18" spans="1:9" x14ac:dyDescent="0.2">
      <c r="B18" s="22"/>
      <c r="C18" s="22"/>
      <c r="D18" s="165"/>
      <c r="E18" s="165"/>
      <c r="F18" s="2"/>
      <c r="H18" s="308" t="s">
        <v>246</v>
      </c>
      <c r="I18" s="253">
        <f t="shared" si="3"/>
        <v>-0.13306104214619086</v>
      </c>
    </row>
    <row r="19" spans="1:9" x14ac:dyDescent="0.2">
      <c r="A19" s="136"/>
      <c r="B19" s="22"/>
      <c r="C19" s="22"/>
      <c r="D19" s="165"/>
      <c r="E19" s="165"/>
      <c r="F19" s="2"/>
      <c r="H19" s="308" t="s">
        <v>247</v>
      </c>
      <c r="I19" s="253">
        <f t="shared" si="3"/>
        <v>-1.5404112452446226E-3</v>
      </c>
    </row>
    <row r="20" spans="1:9" x14ac:dyDescent="0.2">
      <c r="A20" s="136"/>
      <c r="B20" s="22"/>
      <c r="C20" s="22"/>
      <c r="D20" s="165"/>
      <c r="E20" s="165"/>
      <c r="F20" s="2"/>
      <c r="H20" s="308" t="s">
        <v>248</v>
      </c>
      <c r="I20" s="253">
        <f t="shared" si="3"/>
        <v>-9.3729383321049433E-3</v>
      </c>
    </row>
    <row r="21" spans="1:9" x14ac:dyDescent="0.2">
      <c r="A21" s="136"/>
      <c r="B21" s="22"/>
      <c r="C21" s="22"/>
      <c r="D21" s="165"/>
      <c r="E21" s="165"/>
      <c r="F21" s="2"/>
      <c r="H21" s="306" t="s">
        <v>23</v>
      </c>
      <c r="I21" s="254">
        <f>SUM(I14:I20)</f>
        <v>-1.8933380820449563</v>
      </c>
    </row>
    <row r="22" spans="1:9" x14ac:dyDescent="0.2">
      <c r="A22" s="169"/>
      <c r="B22" s="23"/>
      <c r="C22" s="23"/>
      <c r="D22" s="166"/>
      <c r="E22" s="166"/>
      <c r="F22" s="167"/>
    </row>
    <row r="24" spans="1:9" x14ac:dyDescent="0.2">
      <c r="C24" s="170"/>
    </row>
    <row r="26" spans="1:9" x14ac:dyDescent="0.2">
      <c r="H26" s="557" t="s">
        <v>219</v>
      </c>
      <c r="I26" s="557"/>
    </row>
    <row r="40" spans="1:14" ht="13.5" thickBot="1" x14ac:dyDescent="0.25">
      <c r="A40" s="392"/>
    </row>
    <row r="41" spans="1:14" ht="13.5" thickBot="1" x14ac:dyDescent="0.25">
      <c r="A41" s="430" t="s">
        <v>0</v>
      </c>
      <c r="B41" s="434">
        <f>B2</f>
        <v>2024</v>
      </c>
      <c r="C41" s="404">
        <f>C2</f>
        <v>2025</v>
      </c>
      <c r="D41" s="404" t="s">
        <v>25</v>
      </c>
      <c r="E41" s="404" t="s">
        <v>55</v>
      </c>
      <c r="F41" s="404" t="s">
        <v>56</v>
      </c>
    </row>
    <row r="42" spans="1:14" x14ac:dyDescent="0.2">
      <c r="A42" s="435" t="s">
        <v>152</v>
      </c>
      <c r="B42" s="412">
        <f>'COMPTES NSA (Chiffres Utiles)ok'!D7+'COMPTES NSA (Chiffres Utiles)ok'!D14+'COMPTES NSA (Chiffres Utiles)ok'!D21+'COMPTES NSA (Chiffres Utiles)ok'!D30+'COMPTES NSA (Chiffres Utiles)ok'!D37+'COMPTES NSA (Chiffres Utiles)ok'!D44+'COMPTES NSA (Chiffres Utiles)ok'!D51</f>
        <v>6741.1142172599994</v>
      </c>
      <c r="C42" s="412">
        <f>'COMPTES NSA (Chiffres Utiles)ok'!E7+'COMPTES NSA (Chiffres Utiles)ok'!E14+'COMPTES NSA (Chiffres Utiles)ok'!E21+'COMPTES NSA (Chiffres Utiles)ok'!E30+'COMPTES NSA (Chiffres Utiles)ok'!E37+'COMPTES NSA (Chiffres Utiles)ok'!E44+'COMPTES NSA (Chiffres Utiles)ok'!E51</f>
        <v>6435.3547742700002</v>
      </c>
      <c r="D42" s="420">
        <f t="shared" ref="D42:D47" si="4">C42/$C$47</f>
        <v>0.40039712303143943</v>
      </c>
      <c r="E42" s="420">
        <f t="shared" ref="E42:E47" si="5">C42/B42-1</f>
        <v>-4.5357404300780169E-2</v>
      </c>
      <c r="F42" s="458">
        <f t="shared" ref="F42:F47" si="6">(B42/$B$47)*E42*100</f>
        <v>-1.8663660756455862</v>
      </c>
    </row>
    <row r="43" spans="1:14" x14ac:dyDescent="0.2">
      <c r="A43" s="436" t="s">
        <v>151</v>
      </c>
      <c r="B43" s="408">
        <f>'COMPTES NSA (Chiffres Utiles)ok'!D8+'COMPTES NSA (Chiffres Utiles)ok'!D15+'COMPTES NSA (Chiffres Utiles)ok'!D22+'COMPTES NSA (Chiffres Utiles)ok'!D31+'COMPTES NSA (Chiffres Utiles)ok'!D38+'COMPTES NSA (Chiffres Utiles)ok'!D45+'COMPTES NSA (Chiffres Utiles)ok'!D52</f>
        <v>533.48982902000012</v>
      </c>
      <c r="C43" s="408">
        <f>'COMPTES NSA (Chiffres Utiles)ok'!E8+'COMPTES NSA (Chiffres Utiles)ok'!E15+'COMPTES NSA (Chiffres Utiles)ok'!E22+'COMPTES NSA (Chiffres Utiles)ok'!E31+'COMPTES NSA (Chiffres Utiles)ok'!E38+'COMPTES NSA (Chiffres Utiles)ok'!E45+'COMPTES NSA (Chiffres Utiles)ok'!E52</f>
        <v>544.46531756000002</v>
      </c>
      <c r="D43" s="422">
        <f t="shared" si="4"/>
        <v>3.3875730925207979E-2</v>
      </c>
      <c r="E43" s="422">
        <f t="shared" si="5"/>
        <v>2.0573004287938179E-2</v>
      </c>
      <c r="F43" s="459">
        <f t="shared" si="6"/>
        <v>6.6994756643910663E-2</v>
      </c>
    </row>
    <row r="44" spans="1:14" x14ac:dyDescent="0.2">
      <c r="A44" s="437" t="s">
        <v>63</v>
      </c>
      <c r="B44" s="409">
        <f>'COMPTES NSA (Chiffres Utiles)ok'!D9+'COMPTES NSA (Chiffres Utiles)ok'!D16+'COMPTES NSA (Chiffres Utiles)ok'!D23+'COMPTES NSA (Chiffres Utiles)ok'!D32+'COMPTES NSA (Chiffres Utiles)ok'!D39+'COMPTES NSA (Chiffres Utiles)ok'!D46+'COMPTES NSA (Chiffres Utiles)ok'!D53</f>
        <v>577.71216615999992</v>
      </c>
      <c r="C44" s="409">
        <f>'COMPTES NSA (Chiffres Utiles)ok'!E9+'COMPTES NSA (Chiffres Utiles)ok'!E16+'COMPTES NSA (Chiffres Utiles)ok'!E23+'COMPTES NSA (Chiffres Utiles)ok'!E32+'COMPTES NSA (Chiffres Utiles)ok'!E39+'COMPTES NSA (Chiffres Utiles)ok'!E46+'COMPTES NSA (Chiffres Utiles)ok'!E53</f>
        <v>556.93909781000002</v>
      </c>
      <c r="D44" s="423">
        <f t="shared" si="4"/>
        <v>3.4651828887265236E-2</v>
      </c>
      <c r="E44" s="423">
        <f t="shared" si="5"/>
        <v>-3.5957470807784109E-2</v>
      </c>
      <c r="F44" s="468">
        <f t="shared" si="6"/>
        <v>-0.12679951819762766</v>
      </c>
    </row>
    <row r="45" spans="1:14" x14ac:dyDescent="0.2">
      <c r="A45" s="438" t="s">
        <v>64</v>
      </c>
      <c r="B45" s="414">
        <f>'COMPTES NSA (Chiffres Utiles)ok'!D11+'COMPTES NSA (Chiffres Utiles)ok'!D18+'COMPTES NSA (Chiffres Utiles)ok'!D25+'COMPTES NSA (Chiffres Utiles)ok'!D34+'COMPTES NSA (Chiffres Utiles)ok'!D41+'COMPTES NSA (Chiffres Utiles)ok'!D48+'COMPTES NSA (Chiffres Utiles)ok'!D55</f>
        <v>7242.5508439799987</v>
      </c>
      <c r="C45" s="414">
        <f>'COMPTES NSA (Chiffres Utiles)ok'!E11+'COMPTES NSA (Chiffres Utiles)ok'!E18+'COMPTES NSA (Chiffres Utiles)ok'!E25+'COMPTES NSA (Chiffres Utiles)ok'!E34+'COMPTES NSA (Chiffres Utiles)ok'!E41+'COMPTES NSA (Chiffres Utiles)ok'!E48+'COMPTES NSA (Chiffres Utiles)ok'!E55</f>
        <v>7182.5108837500011</v>
      </c>
      <c r="D45" s="421">
        <f t="shared" si="4"/>
        <v>0.44688393956053918</v>
      </c>
      <c r="E45" s="421">
        <f t="shared" si="5"/>
        <v>-8.2898914378907174E-3</v>
      </c>
      <c r="F45" s="460">
        <f t="shared" si="6"/>
        <v>-0.36648596642048309</v>
      </c>
      <c r="H45" s="392" t="s">
        <v>220</v>
      </c>
      <c r="I45" s="443" t="s">
        <v>132</v>
      </c>
      <c r="J45" s="443" t="s">
        <v>62</v>
      </c>
      <c r="K45" s="443" t="s">
        <v>63</v>
      </c>
      <c r="L45" s="443" t="s">
        <v>64</v>
      </c>
      <c r="M45" s="443" t="s">
        <v>37</v>
      </c>
      <c r="N45" s="444" t="s">
        <v>140</v>
      </c>
    </row>
    <row r="46" spans="1:14" x14ac:dyDescent="0.2">
      <c r="A46" s="437" t="s">
        <v>37</v>
      </c>
      <c r="B46" s="409">
        <f>'COMPTES NSA (Chiffres Utiles)ok'!D54+'COMPTES NSA (Chiffres Utiles)ok'!D47+'COMPTES NSA (Chiffres Utiles)ok'!D40+'COMPTES NSA (Chiffres Utiles)ok'!D33+'COMPTES NSA (Chiffres Utiles)ok'!D24+'COMPTES NSA (Chiffres Utiles)ok'!D17+'COMPTES NSA (Chiffres Utiles)ok'!D10</f>
        <v>1287.7412099799999</v>
      </c>
      <c r="C46" s="409">
        <f>'COMPTES NSA (Chiffres Utiles)ok'!E54+'COMPTES NSA (Chiffres Utiles)ok'!E47+'COMPTES NSA (Chiffres Utiles)ok'!E40+'COMPTES NSA (Chiffres Utiles)ok'!E33+'COMPTES NSA (Chiffres Utiles)ok'!E24+'COMPTES NSA (Chiffres Utiles)ok'!E17+'COMPTES NSA (Chiffres Utiles)ok'!E10</f>
        <v>1353.16003187</v>
      </c>
      <c r="D46" s="423">
        <f t="shared" si="4"/>
        <v>8.4191377595548123E-2</v>
      </c>
      <c r="E46" s="423">
        <f t="shared" si="5"/>
        <v>5.0801217964451251E-2</v>
      </c>
      <c r="F46" s="468">
        <f t="shared" si="6"/>
        <v>0.39931872157482556</v>
      </c>
      <c r="H46" s="561" t="s">
        <v>237</v>
      </c>
      <c r="I46" s="562">
        <f>E42</f>
        <v>-4.5357404300780169E-2</v>
      </c>
      <c r="J46" s="562">
        <f>E43</f>
        <v>2.0573004287938179E-2</v>
      </c>
      <c r="K46" s="562">
        <f>E44</f>
        <v>-3.5957470807784109E-2</v>
      </c>
      <c r="L46" s="562">
        <f>E45</f>
        <v>-8.2898914378907174E-3</v>
      </c>
      <c r="M46" s="562">
        <f>E46</f>
        <v>5.0801217964451251E-2</v>
      </c>
      <c r="N46" s="558">
        <f>E47</f>
        <v>-1.8933380820449486E-2</v>
      </c>
    </row>
    <row r="47" spans="1:14" ht="13.5" thickBot="1" x14ac:dyDescent="0.25">
      <c r="A47" s="439" t="s">
        <v>150</v>
      </c>
      <c r="B47" s="410">
        <f>SUM(B42:B46)</f>
        <v>16382.608266399997</v>
      </c>
      <c r="C47" s="410">
        <f>SUM(C42:C46)</f>
        <v>16072.430105260002</v>
      </c>
      <c r="D47" s="424">
        <f t="shared" si="4"/>
        <v>1</v>
      </c>
      <c r="E47" s="424">
        <f t="shared" si="5"/>
        <v>-1.8933380820449486E-2</v>
      </c>
      <c r="F47" s="440">
        <f t="shared" si="6"/>
        <v>-1.8933380820449486</v>
      </c>
      <c r="H47" s="561"/>
      <c r="I47" s="562"/>
      <c r="J47" s="562"/>
      <c r="K47" s="562"/>
      <c r="L47" s="562"/>
      <c r="M47" s="562"/>
      <c r="N47" s="558"/>
    </row>
    <row r="48" spans="1:14" x14ac:dyDescent="0.2">
      <c r="B48" s="180"/>
      <c r="C48" s="180"/>
      <c r="H48" s="561" t="s">
        <v>238</v>
      </c>
      <c r="I48" s="560">
        <f>F42</f>
        <v>-1.8663660756455862</v>
      </c>
      <c r="J48" s="560">
        <f>F43</f>
        <v>6.6994756643910663E-2</v>
      </c>
      <c r="K48" s="560">
        <f>F44</f>
        <v>-0.12679951819762766</v>
      </c>
      <c r="L48" s="560">
        <f>F45</f>
        <v>-0.36648596642048309</v>
      </c>
      <c r="M48" s="560">
        <f>F46</f>
        <v>0.39931872157482556</v>
      </c>
      <c r="N48" s="559">
        <f>SUM(I48:M49)</f>
        <v>-1.8933380820449608</v>
      </c>
    </row>
    <row r="49" spans="1:14" x14ac:dyDescent="0.2">
      <c r="H49" s="561"/>
      <c r="I49" s="560"/>
      <c r="J49" s="560"/>
      <c r="K49" s="560"/>
      <c r="L49" s="560"/>
      <c r="M49" s="560"/>
      <c r="N49" s="559"/>
    </row>
    <row r="50" spans="1:14" x14ac:dyDescent="0.2">
      <c r="A50" s="238"/>
      <c r="B50" s="137"/>
      <c r="C50" s="137"/>
      <c r="D50" s="133"/>
      <c r="E50" s="133"/>
      <c r="F50" s="181"/>
    </row>
    <row r="51" spans="1:14" x14ac:dyDescent="0.2">
      <c r="A51" s="136"/>
      <c r="B51" s="137"/>
      <c r="C51" s="137"/>
      <c r="D51" s="133"/>
      <c r="E51" s="133"/>
      <c r="F51" s="181"/>
    </row>
    <row r="52" spans="1:14" x14ac:dyDescent="0.2">
      <c r="A52" s="136"/>
      <c r="B52" s="137"/>
      <c r="C52" s="137"/>
      <c r="D52" s="133"/>
      <c r="E52" s="133"/>
      <c r="F52" s="181"/>
    </row>
    <row r="53" spans="1:14" x14ac:dyDescent="0.2">
      <c r="A53" s="136"/>
      <c r="B53" s="137"/>
      <c r="C53" s="137"/>
      <c r="D53" s="133"/>
      <c r="E53" s="133"/>
      <c r="F53" s="181"/>
    </row>
    <row r="54" spans="1:14" x14ac:dyDescent="0.2">
      <c r="A54" s="136"/>
      <c r="B54" s="137"/>
      <c r="C54" s="137"/>
      <c r="D54" s="133"/>
      <c r="E54" s="133"/>
      <c r="F54" s="181"/>
    </row>
    <row r="55" spans="1:14" x14ac:dyDescent="0.2">
      <c r="A55" s="169"/>
      <c r="B55" s="172"/>
      <c r="C55" s="172"/>
      <c r="D55" s="173"/>
      <c r="E55" s="173"/>
      <c r="F55" s="250"/>
    </row>
    <row r="56" spans="1:14" x14ac:dyDescent="0.2">
      <c r="A56" s="136"/>
      <c r="B56" s="136"/>
      <c r="C56" s="136"/>
      <c r="D56" s="136"/>
      <c r="E56" s="136"/>
      <c r="F56" s="136"/>
    </row>
    <row r="57" spans="1:14" x14ac:dyDescent="0.2">
      <c r="A57" s="278"/>
      <c r="B57" s="279"/>
      <c r="C57" s="279"/>
      <c r="D57" s="278"/>
      <c r="E57" s="280"/>
      <c r="F57" s="278"/>
    </row>
    <row r="58" spans="1:14" x14ac:dyDescent="0.2">
      <c r="A58" s="160"/>
    </row>
    <row r="61" spans="1:14" ht="18" customHeight="1" x14ac:dyDescent="0.2"/>
  </sheetData>
  <mergeCells count="15">
    <mergeCell ref="H26:I26"/>
    <mergeCell ref="N46:N47"/>
    <mergeCell ref="N48:N49"/>
    <mergeCell ref="M48:M49"/>
    <mergeCell ref="H46:H47"/>
    <mergeCell ref="I46:I47"/>
    <mergeCell ref="J46:J47"/>
    <mergeCell ref="K46:K47"/>
    <mergeCell ref="L46:L47"/>
    <mergeCell ref="M46:M47"/>
    <mergeCell ref="H48:H49"/>
    <mergeCell ref="I48:I49"/>
    <mergeCell ref="J48:J49"/>
    <mergeCell ref="K48:K49"/>
    <mergeCell ref="L48:L49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92D050"/>
  </sheetPr>
  <dimension ref="A1:R53"/>
  <sheetViews>
    <sheetView zoomScale="90" zoomScaleNormal="90" workbookViewId="0"/>
  </sheetViews>
  <sheetFormatPr baseColWidth="10" defaultRowHeight="12.75" x14ac:dyDescent="0.2"/>
  <cols>
    <col min="1" max="1" width="42" customWidth="1"/>
    <col min="6" max="6" width="13.28515625" customWidth="1"/>
    <col min="7" max="7" width="18.5703125" customWidth="1"/>
    <col min="8" max="8" width="42.7109375" customWidth="1"/>
    <col min="9" max="9" width="16" customWidth="1"/>
    <col min="10" max="11" width="20.5703125" customWidth="1"/>
    <col min="12" max="14" width="9.28515625" customWidth="1"/>
  </cols>
  <sheetData>
    <row r="1" spans="1:12" ht="13.5" thickBot="1" x14ac:dyDescent="0.25">
      <c r="A1" s="392" t="s">
        <v>221</v>
      </c>
    </row>
    <row r="2" spans="1:12" ht="13.5" thickBot="1" x14ac:dyDescent="0.25">
      <c r="A2" s="445" t="s">
        <v>2</v>
      </c>
      <c r="B2" s="446">
        <f>'%charges ok'!B2</f>
        <v>2024</v>
      </c>
      <c r="C2" s="446">
        <f>'%charges ok'!C2</f>
        <v>2025</v>
      </c>
      <c r="D2" s="446" t="s">
        <v>25</v>
      </c>
      <c r="E2" s="446" t="s">
        <v>55</v>
      </c>
      <c r="F2" s="446" t="s">
        <v>56</v>
      </c>
      <c r="J2" s="480" t="s">
        <v>228</v>
      </c>
      <c r="K2" s="481" t="s">
        <v>236</v>
      </c>
      <c r="L2" s="482" t="s">
        <v>55</v>
      </c>
    </row>
    <row r="3" spans="1:12" x14ac:dyDescent="0.2">
      <c r="A3" s="447" t="s">
        <v>22</v>
      </c>
      <c r="B3" s="449">
        <f>'COMPTES NSA (Chiffres Utiles)ok'!Q26</f>
        <v>4739.7633540000006</v>
      </c>
      <c r="C3" s="469">
        <f>'COMPTES NSA (Chiffres Utiles)ok'!R26</f>
        <v>5080.1464611199999</v>
      </c>
      <c r="D3" s="451">
        <f t="shared" ref="D3:D10" si="0">C3/$C$11</f>
        <v>0.31481243552439109</v>
      </c>
      <c r="E3" s="454">
        <f t="shared" ref="E3" si="1">C3/B3-1</f>
        <v>7.1814367447847749E-2</v>
      </c>
      <c r="F3" s="456">
        <f t="shared" ref="F3:F11" si="2">(B3/$B$11)*E3*100</f>
        <v>2.065245752513186</v>
      </c>
      <c r="J3" s="483">
        <f>B6+B9</f>
        <v>3595.9982864000012</v>
      </c>
      <c r="K3" s="484">
        <f>C6+C9</f>
        <v>3271.4146073799998</v>
      </c>
      <c r="L3" s="485">
        <f>K3/J3-1</f>
        <v>-9.0262467656775813E-2</v>
      </c>
    </row>
    <row r="4" spans="1:12" x14ac:dyDescent="0.2">
      <c r="A4" s="405" t="s">
        <v>149</v>
      </c>
      <c r="B4" s="408">
        <f>SUM('NSA1 ok'!C40:C44)</f>
        <v>3833.0628038899999</v>
      </c>
      <c r="C4" s="470">
        <f>SUM('NSA1 ok'!D40:D44)</f>
        <v>3405.5434276199999</v>
      </c>
      <c r="D4" s="422">
        <f t="shared" si="0"/>
        <v>0.2110386834195272</v>
      </c>
      <c r="E4" s="427">
        <f>C4/B4-1</f>
        <v>-0.11153466513414034</v>
      </c>
      <c r="F4" s="417">
        <f t="shared" si="2"/>
        <v>-2.5939377057494033</v>
      </c>
    </row>
    <row r="5" spans="1:12" x14ac:dyDescent="0.2">
      <c r="A5" s="405" t="s">
        <v>21</v>
      </c>
      <c r="B5" s="408">
        <f>'NSA1 ok'!C28</f>
        <v>2655.3634729999999</v>
      </c>
      <c r="C5" s="470">
        <f>'NSA1 ok'!D28</f>
        <v>2654.9246560000001</v>
      </c>
      <c r="D5" s="422">
        <f t="shared" si="0"/>
        <v>0.16452346472405641</v>
      </c>
      <c r="E5" s="427">
        <f>C5/B5-1</f>
        <v>-1.6525684881252278E-4</v>
      </c>
      <c r="F5" s="417">
        <f t="shared" si="2"/>
        <v>-2.6624850834938343E-3</v>
      </c>
    </row>
    <row r="6" spans="1:12" x14ac:dyDescent="0.2">
      <c r="A6" s="432" t="s">
        <v>227</v>
      </c>
      <c r="B6" s="408">
        <f>'NSA1 ok'!C11</f>
        <v>3062.435761350001</v>
      </c>
      <c r="C6" s="470">
        <f>'NSA1 ok'!D11</f>
        <v>2769.3954443299999</v>
      </c>
      <c r="D6" s="422">
        <f>C6/$C$11</f>
        <v>0.17161712392194878</v>
      </c>
      <c r="E6" s="427">
        <f t="shared" ref="E6:E11" si="3">C6/B6-1</f>
        <v>-9.56886412829836E-2</v>
      </c>
      <c r="F6" s="417">
        <f t="shared" si="2"/>
        <v>-1.7779973723176461</v>
      </c>
    </row>
    <row r="7" spans="1:12" x14ac:dyDescent="0.2">
      <c r="A7" s="405" t="s">
        <v>233</v>
      </c>
      <c r="B7" s="408">
        <f>B11-(B3+B5+B6+B8+B9+B4+B10)</f>
        <v>1565.864781979999</v>
      </c>
      <c r="C7" s="470">
        <f>C11-(C3+C5+C6+C8+C9+C4+C10)</f>
        <v>1636.5806494699991</v>
      </c>
      <c r="D7" s="422">
        <f t="shared" si="0"/>
        <v>0.1014175367058517</v>
      </c>
      <c r="E7" s="427">
        <f>C7/B7-1</f>
        <v>4.51609029743818E-2</v>
      </c>
      <c r="F7" s="417">
        <f t="shared" si="2"/>
        <v>0.42906255308822089</v>
      </c>
    </row>
    <row r="8" spans="1:12" x14ac:dyDescent="0.2">
      <c r="A8" s="432" t="s">
        <v>234</v>
      </c>
      <c r="B8" s="408">
        <f>SUM('NSA1 ok'!C30:C39)</f>
        <v>60.68846293</v>
      </c>
      <c r="C8" s="470">
        <f>'NSA1 ok'!D30+'NSA1 ok'!D33</f>
        <v>60.930440740000002</v>
      </c>
      <c r="D8" s="422">
        <f t="shared" si="0"/>
        <v>3.7758085507450267E-3</v>
      </c>
      <c r="E8" s="427">
        <f>C8/B8-1</f>
        <v>3.9872126977265054E-3</v>
      </c>
      <c r="F8" s="417">
        <f t="shared" si="2"/>
        <v>1.4681799238901794E-3</v>
      </c>
    </row>
    <row r="9" spans="1:12" x14ac:dyDescent="0.2">
      <c r="A9" s="432" t="s">
        <v>154</v>
      </c>
      <c r="B9" s="408">
        <f>'COMPTES NSA (Chiffres Utiles)ok'!Q19</f>
        <v>533.56252504999998</v>
      </c>
      <c r="C9" s="470">
        <f>'COMPTES NSA (Chiffres Utiles)ok'!R20</f>
        <v>502.01916304999997</v>
      </c>
      <c r="D9" s="422">
        <f>C9/$C$11</f>
        <v>3.1109708471838828E-2</v>
      </c>
      <c r="E9" s="427">
        <f t="shared" si="3"/>
        <v>-5.9118398536411654E-2</v>
      </c>
      <c r="F9" s="417">
        <f t="shared" si="2"/>
        <v>-0.19138668467327791</v>
      </c>
    </row>
    <row r="10" spans="1:12" x14ac:dyDescent="0.2">
      <c r="A10" s="405" t="s">
        <v>128</v>
      </c>
      <c r="B10" s="408">
        <f>'COMPTES NSA (Chiffres Utiles)ok'!Q12</f>
        <v>30.74084573</v>
      </c>
      <c r="C10" s="470">
        <f>'COMPTES NSA (Chiffres Utiles)ok'!R12</f>
        <v>27.517535129999999</v>
      </c>
      <c r="D10" s="422">
        <f t="shared" si="0"/>
        <v>1.7052386816409667E-3</v>
      </c>
      <c r="E10" s="427">
        <f t="shared" si="3"/>
        <v>-0.10485432405831219</v>
      </c>
      <c r="F10" s="417">
        <f t="shared" si="2"/>
        <v>-1.955716481351082E-2</v>
      </c>
      <c r="G10" s="136"/>
    </row>
    <row r="11" spans="1:12" ht="13.5" thickBot="1" x14ac:dyDescent="0.25">
      <c r="A11" s="448" t="s">
        <v>26</v>
      </c>
      <c r="B11" s="450">
        <f>'NSA1 ok'!C10</f>
        <v>16481.482007930001</v>
      </c>
      <c r="C11" s="452">
        <f>'NSA1 ok'!D10</f>
        <v>16137.057777459999</v>
      </c>
      <c r="D11" s="453"/>
      <c r="E11" s="455">
        <f t="shared" si="3"/>
        <v>-2.0897649271120367E-2</v>
      </c>
      <c r="F11" s="419">
        <f t="shared" si="2"/>
        <v>-2.0897649271120367</v>
      </c>
      <c r="G11" s="136"/>
    </row>
    <row r="12" spans="1:12" x14ac:dyDescent="0.2">
      <c r="A12" s="136"/>
      <c r="B12" s="277">
        <f>'COMPTES NSA (Chiffres Utiles)ok'!Q75</f>
        <v>16481.482007930001</v>
      </c>
      <c r="C12" s="277">
        <f>'COMPTES NSA (Chiffres Utiles)ok'!R75</f>
        <v>16137.057777459999</v>
      </c>
      <c r="D12" s="173"/>
      <c r="E12" s="200">
        <f t="shared" ref="E12" si="4">C12/B12-1</f>
        <v>-2.0897649271120367E-2</v>
      </c>
      <c r="F12" s="167">
        <f t="shared" ref="F12" si="5">(B12/$B$11)*E12*100</f>
        <v>-2.0897649271120367</v>
      </c>
    </row>
    <row r="13" spans="1:12" x14ac:dyDescent="0.2">
      <c r="A13" s="392" t="s">
        <v>222</v>
      </c>
      <c r="B13" s="22"/>
      <c r="C13" s="22"/>
      <c r="D13" s="173"/>
      <c r="E13" s="200"/>
      <c r="F13" s="167" t="s">
        <v>163</v>
      </c>
    </row>
    <row r="14" spans="1:12" x14ac:dyDescent="0.2">
      <c r="F14" s="24"/>
    </row>
    <row r="15" spans="1:12" x14ac:dyDescent="0.2">
      <c r="H15" s="306" t="s">
        <v>2</v>
      </c>
      <c r="I15" s="12" t="s">
        <v>56</v>
      </c>
    </row>
    <row r="16" spans="1:12" x14ac:dyDescent="0.2">
      <c r="H16" s="307" t="s">
        <v>181</v>
      </c>
      <c r="I16" s="252">
        <f>F3</f>
        <v>2.065245752513186</v>
      </c>
    </row>
    <row r="17" spans="8:9" x14ac:dyDescent="0.2">
      <c r="H17" s="307" t="s">
        <v>182</v>
      </c>
      <c r="I17" s="252">
        <f t="shared" ref="I17:I23" si="6">F4</f>
        <v>-2.5939377057494033</v>
      </c>
    </row>
    <row r="18" spans="8:9" x14ac:dyDescent="0.2">
      <c r="H18" s="307" t="s">
        <v>183</v>
      </c>
      <c r="I18" s="252">
        <f t="shared" si="6"/>
        <v>-2.6624850834938343E-3</v>
      </c>
    </row>
    <row r="19" spans="8:9" x14ac:dyDescent="0.2">
      <c r="H19" s="307" t="s">
        <v>229</v>
      </c>
      <c r="I19" s="252">
        <f t="shared" si="6"/>
        <v>-1.7779973723176461</v>
      </c>
    </row>
    <row r="20" spans="8:9" x14ac:dyDescent="0.2">
      <c r="H20" s="307" t="s">
        <v>184</v>
      </c>
      <c r="I20" s="252">
        <f t="shared" si="6"/>
        <v>0.42906255308822089</v>
      </c>
    </row>
    <row r="21" spans="8:9" x14ac:dyDescent="0.2">
      <c r="H21" s="307" t="s">
        <v>185</v>
      </c>
      <c r="I21" s="252">
        <f t="shared" si="6"/>
        <v>1.4681799238901794E-3</v>
      </c>
    </row>
    <row r="22" spans="8:9" x14ac:dyDescent="0.2">
      <c r="H22" s="307" t="s">
        <v>186</v>
      </c>
      <c r="I22" s="252">
        <f t="shared" si="6"/>
        <v>-0.19138668467327791</v>
      </c>
    </row>
    <row r="23" spans="8:9" x14ac:dyDescent="0.2">
      <c r="H23" s="307" t="s">
        <v>187</v>
      </c>
      <c r="I23" s="281">
        <f t="shared" si="6"/>
        <v>-1.955716481351082E-2</v>
      </c>
    </row>
    <row r="24" spans="8:9" x14ac:dyDescent="0.2">
      <c r="H24" s="309" t="s">
        <v>26</v>
      </c>
      <c r="I24" s="254">
        <f>SUM(I16:I23)</f>
        <v>-2.0897649271120344</v>
      </c>
    </row>
    <row r="30" spans="8:9" x14ac:dyDescent="0.2">
      <c r="H30" s="392" t="s">
        <v>223</v>
      </c>
    </row>
    <row r="35" spans="1:18" x14ac:dyDescent="0.2">
      <c r="J35" s="22">
        <f>C11</f>
        <v>16137.057777459999</v>
      </c>
      <c r="K35" s="22">
        <f>J35-J36</f>
        <v>0</v>
      </c>
    </row>
    <row r="36" spans="1:18" x14ac:dyDescent="0.2">
      <c r="J36" s="22">
        <f>C47</f>
        <v>16137.057777460001</v>
      </c>
    </row>
    <row r="40" spans="1:18" ht="13.5" thickBot="1" x14ac:dyDescent="0.25">
      <c r="R40" t="s">
        <v>163</v>
      </c>
    </row>
    <row r="41" spans="1:18" ht="13.5" thickBot="1" x14ac:dyDescent="0.25">
      <c r="A41" s="457" t="s">
        <v>131</v>
      </c>
      <c r="B41" s="404">
        <f>B2</f>
        <v>2024</v>
      </c>
      <c r="C41" s="404">
        <f>C2</f>
        <v>2025</v>
      </c>
      <c r="D41" s="404" t="s">
        <v>25</v>
      </c>
      <c r="E41" s="404" t="s">
        <v>55</v>
      </c>
      <c r="F41" s="404" t="s">
        <v>56</v>
      </c>
    </row>
    <row r="42" spans="1:18" x14ac:dyDescent="0.2">
      <c r="A42" s="431" t="s">
        <v>152</v>
      </c>
      <c r="B42" s="412">
        <f>'COMPTES NSA (Chiffres Utiles)ok'!Q6+'COMPTES NSA (Chiffres Utiles)ok'!Q13+'COMPTES NSA (Chiffres Utiles)ok'!Q20+'COMPTES NSA (Chiffres Utiles)ok'!Q27+'COMPTES NSA (Chiffres Utiles)ok'!Q34+'COMPTES NSA (Chiffres Utiles)ok'!Q41+'COMPTES NSA (Chiffres Utiles)ok'!Q48+'COMPTES NSA (Chiffres Utiles)ok'!Q55+'COMPTES NSA (Chiffres Utiles)ok'!Q62+'COMPTES NSA (Chiffres Utiles)ok'!Q69</f>
        <v>6739.8950729300004</v>
      </c>
      <c r="C42" s="412">
        <f>'COMPTES NSA (Chiffres Utiles)ok'!R6+'COMPTES NSA (Chiffres Utiles)ok'!R13+'COMPTES NSA (Chiffres Utiles)ok'!R20+'COMPTES NSA (Chiffres Utiles)ok'!R27+'COMPTES NSA (Chiffres Utiles)ok'!R34+'COMPTES NSA (Chiffres Utiles)ok'!R41+'COMPTES NSA (Chiffres Utiles)ok'!R48+'COMPTES NSA (Chiffres Utiles)ok'!R55+'COMPTES NSA (Chiffres Utiles)ok'!R62+'COMPTES NSA (Chiffres Utiles)ok'!R69</f>
        <v>6438.289253840001</v>
      </c>
      <c r="D42" s="420">
        <f>C42/$C$47</f>
        <v>0.39897541067448533</v>
      </c>
      <c r="E42" s="420">
        <f t="shared" ref="E42:E47" si="7">C42/B42-1</f>
        <v>-4.4749334496521187E-2</v>
      </c>
      <c r="F42" s="458">
        <f>(B42/$B$47)*E42*100</f>
        <v>-1.8299678326553592</v>
      </c>
    </row>
    <row r="43" spans="1:18" x14ac:dyDescent="0.2">
      <c r="A43" s="405" t="s">
        <v>151</v>
      </c>
      <c r="B43" s="408">
        <f>'COMPTES NSA (Chiffres Utiles)ok'!Q8+'COMPTES NSA (Chiffres Utiles)ok'!Q15+'COMPTES NSA (Chiffres Utiles)ok'!Q22+'COMPTES NSA (Chiffres Utiles)ok'!Q29+'COMPTES NSA (Chiffres Utiles)ok'!Q43+'COMPTES NSA (Chiffres Utiles)ok'!Q50+'COMPTES NSA (Chiffres Utiles)ok'!Q57+'COMPTES NSA (Chiffres Utiles)ok'!Q64+'COMPTES NSA (Chiffres Utiles)ok'!Q71+'COMPTES NSA (Chiffres Utiles)ok'!Q36</f>
        <v>482.64738179000005</v>
      </c>
      <c r="C43" s="408">
        <f>'COMPTES NSA (Chiffres Utiles)ok'!R8+'COMPTES NSA (Chiffres Utiles)ok'!R15+'COMPTES NSA (Chiffres Utiles)ok'!R22+'COMPTES NSA (Chiffres Utiles)ok'!R29+'COMPTES NSA (Chiffres Utiles)ok'!R36+'COMPTES NSA (Chiffres Utiles)ok'!R43+'COMPTES NSA (Chiffres Utiles)ok'!R50+'COMPTES NSA (Chiffres Utiles)ok'!R57+'COMPTES NSA (Chiffres Utiles)ok'!R64+'COMPTES NSA (Chiffres Utiles)ok'!R71</f>
        <v>521.10133897000003</v>
      </c>
      <c r="D43" s="422">
        <f t="shared" ref="D43:D47" si="8">C43/$C$47</f>
        <v>3.2292214984683675E-2</v>
      </c>
      <c r="E43" s="422">
        <f t="shared" si="7"/>
        <v>7.9672984109818046E-2</v>
      </c>
      <c r="F43" s="459">
        <f t="shared" ref="F43:F47" si="9">(B43/$B$47)*E43*100</f>
        <v>0.23331613723509806</v>
      </c>
    </row>
    <row r="44" spans="1:18" x14ac:dyDescent="0.2">
      <c r="A44" s="406" t="s">
        <v>63</v>
      </c>
      <c r="B44" s="409">
        <f>'COMPTES NSA (Chiffres Utiles)ok'!Q7+'COMPTES NSA (Chiffres Utiles)ok'!Q14+'COMPTES NSA (Chiffres Utiles)ok'!Q21+'COMPTES NSA (Chiffres Utiles)ok'!Q28+'COMPTES NSA (Chiffres Utiles)ok'!Q42+'COMPTES NSA (Chiffres Utiles)ok'!Q49+'COMPTES NSA (Chiffres Utiles)ok'!Q56+'COMPTES NSA (Chiffres Utiles)ok'!Q63+'COMPTES NSA (Chiffres Utiles)ok'!Q70+'COMPTES NSA (Chiffres Utiles)ok'!Q35</f>
        <v>577.7141087</v>
      </c>
      <c r="C44" s="409">
        <f>'COMPTES NSA (Chiffres Utiles)ok'!R7+'COMPTES NSA (Chiffres Utiles)ok'!R14+'COMPTES NSA (Chiffres Utiles)ok'!R21+'COMPTES NSA (Chiffres Utiles)ok'!R28+'COMPTES NSA (Chiffres Utiles)ok'!R42+'COMPTES NSA (Chiffres Utiles)ok'!R49+'COMPTES NSA (Chiffres Utiles)ok'!R56+'COMPTES NSA (Chiffres Utiles)ok'!R63+'COMPTES NSA (Chiffres Utiles)ok'!R70+'COMPTES NSA (Chiffres Utiles)ok'!R35</f>
        <v>556.93909781000002</v>
      </c>
      <c r="D44" s="422">
        <f t="shared" si="8"/>
        <v>3.4513050984295551E-2</v>
      </c>
      <c r="E44" s="423">
        <f t="shared" si="7"/>
        <v>-3.5960712361255864E-2</v>
      </c>
      <c r="F44" s="459">
        <f t="shared" si="9"/>
        <v>-0.12605062384562377</v>
      </c>
    </row>
    <row r="45" spans="1:18" x14ac:dyDescent="0.2">
      <c r="A45" s="433" t="s">
        <v>64</v>
      </c>
      <c r="B45" s="414">
        <f>'COMPTES NSA (Chiffres Utiles)ok'!Q10+'COMPTES NSA (Chiffres Utiles)ok'!Q17+'COMPTES NSA (Chiffres Utiles)ok'!Q24+'COMPTES NSA (Chiffres Utiles)ok'!Q31+'COMPTES NSA (Chiffres Utiles)ok'!Q45+'COMPTES NSA (Chiffres Utiles)ok'!Q52+'COMPTES NSA (Chiffres Utiles)ok'!Q59+'COMPTES NSA (Chiffres Utiles)ok'!Q66+'COMPTES NSA (Chiffres Utiles)ok'!Q73</f>
        <v>7356.0507035499995</v>
      </c>
      <c r="C45" s="414">
        <f>'COMPTES NSA (Chiffres Utiles)ok'!R10+'COMPTES NSA (Chiffres Utiles)ok'!R17+'COMPTES NSA (Chiffres Utiles)ok'!R24+'COMPTES NSA (Chiffres Utiles)ok'!R31+'COMPTES NSA (Chiffres Utiles)ok'!R45+'COMPTES NSA (Chiffres Utiles)ok'!R52+'COMPTES NSA (Chiffres Utiles)ok'!R59+'COMPTES NSA (Chiffres Utiles)ok'!R66+'COMPTES NSA (Chiffres Utiles)ok'!R73</f>
        <v>7286.3928688199994</v>
      </c>
      <c r="D45" s="421">
        <f t="shared" si="8"/>
        <v>0.45153168373713848</v>
      </c>
      <c r="E45" s="421">
        <f t="shared" si="7"/>
        <v>-9.4694609291345877E-3</v>
      </c>
      <c r="F45" s="460">
        <f t="shared" si="9"/>
        <v>-0.42264302868203313</v>
      </c>
    </row>
    <row r="46" spans="1:18" x14ac:dyDescent="0.2">
      <c r="A46" s="406" t="s">
        <v>37</v>
      </c>
      <c r="B46" s="409">
        <f>'COMPTES NSA (Chiffres Utiles)ok'!Q9+'COMPTES NSA (Chiffres Utiles)ok'!Q16+'COMPTES NSA (Chiffres Utiles)ok'!Q23+'COMPTES NSA (Chiffres Utiles)ok'!Q30+'COMPTES NSA (Chiffres Utiles)ok'!Q44+'COMPTES NSA (Chiffres Utiles)ok'!Q51+'COMPTES NSA (Chiffres Utiles)ok'!Q58+'COMPTES NSA (Chiffres Utiles)ok'!Q65+'COMPTES NSA (Chiffres Utiles)ok'!Q72</f>
        <v>1325.17474096</v>
      </c>
      <c r="C46" s="409">
        <f>'COMPTES NSA (Chiffres Utiles)ok'!R9+'COMPTES NSA (Chiffres Utiles)ok'!R16+'COMPTES NSA (Chiffres Utiles)ok'!R23+'COMPTES NSA (Chiffres Utiles)ok'!R30+'COMPTES NSA (Chiffres Utiles)ok'!R44+'COMPTES NSA (Chiffres Utiles)ok'!R51+'COMPTES NSA (Chiffres Utiles)ok'!R58+'COMPTES NSA (Chiffres Utiles)ok'!R65+'COMPTES NSA (Chiffres Utiles)ok'!R72</f>
        <v>1334.33521802</v>
      </c>
      <c r="D46" s="422">
        <f t="shared" si="8"/>
        <v>8.2687639619396999E-2</v>
      </c>
      <c r="E46" s="423">
        <f t="shared" si="7"/>
        <v>6.9126559515946262E-3</v>
      </c>
      <c r="F46" s="459">
        <f t="shared" si="9"/>
        <v>5.5580420835896219E-2</v>
      </c>
    </row>
    <row r="47" spans="1:18" ht="13.5" thickBot="1" x14ac:dyDescent="0.25">
      <c r="A47" s="407" t="s">
        <v>153</v>
      </c>
      <c r="B47" s="410">
        <f>SUM(B42:B46)</f>
        <v>16481.482007930001</v>
      </c>
      <c r="C47" s="410">
        <f>SUM(C42:C46)</f>
        <v>16137.057777460001</v>
      </c>
      <c r="D47" s="453">
        <f t="shared" si="8"/>
        <v>1</v>
      </c>
      <c r="E47" s="424">
        <f t="shared" si="7"/>
        <v>-2.0897649271120255E-2</v>
      </c>
      <c r="F47" s="461">
        <f t="shared" si="9"/>
        <v>-2.0897649271120255</v>
      </c>
    </row>
    <row r="48" spans="1:18" x14ac:dyDescent="0.2">
      <c r="C48" s="22"/>
    </row>
    <row r="49" spans="9:15" x14ac:dyDescent="0.2">
      <c r="I49" s="392" t="s">
        <v>212</v>
      </c>
      <c r="J49" s="443" t="s">
        <v>132</v>
      </c>
      <c r="K49" s="443" t="s">
        <v>62</v>
      </c>
      <c r="L49" s="443" t="s">
        <v>63</v>
      </c>
      <c r="M49" s="443" t="s">
        <v>64</v>
      </c>
      <c r="N49" s="443" t="s">
        <v>37</v>
      </c>
      <c r="O49" s="443" t="s">
        <v>140</v>
      </c>
    </row>
    <row r="50" spans="9:15" x14ac:dyDescent="0.2">
      <c r="I50" s="563" t="s">
        <v>237</v>
      </c>
      <c r="J50" s="562">
        <f>E42</f>
        <v>-4.4749334496521187E-2</v>
      </c>
      <c r="K50" s="562">
        <f>E43</f>
        <v>7.9672984109818046E-2</v>
      </c>
      <c r="L50" s="562">
        <f>E44</f>
        <v>-3.5960712361255864E-2</v>
      </c>
      <c r="M50" s="562">
        <f>E45</f>
        <v>-9.4694609291345877E-3</v>
      </c>
      <c r="N50" s="562">
        <f>E46</f>
        <v>6.9126559515946262E-3</v>
      </c>
      <c r="O50" s="562">
        <f>E47</f>
        <v>-2.0897649271120255E-2</v>
      </c>
    </row>
    <row r="51" spans="9:15" x14ac:dyDescent="0.2">
      <c r="I51" s="563"/>
      <c r="J51" s="562"/>
      <c r="K51" s="562"/>
      <c r="L51" s="562"/>
      <c r="M51" s="562"/>
      <c r="N51" s="562"/>
      <c r="O51" s="562"/>
    </row>
    <row r="52" spans="9:15" x14ac:dyDescent="0.2">
      <c r="I52" s="563" t="s">
        <v>238</v>
      </c>
      <c r="J52" s="560">
        <f>F42</f>
        <v>-1.8299678326553592</v>
      </c>
      <c r="K52" s="560">
        <f>F43</f>
        <v>0.23331613723509806</v>
      </c>
      <c r="L52" s="560">
        <f>F44</f>
        <v>-0.12605062384562377</v>
      </c>
      <c r="M52" s="560">
        <f>F45</f>
        <v>-0.42264302868203313</v>
      </c>
      <c r="N52" s="560">
        <f>F46</f>
        <v>5.5580420835896219E-2</v>
      </c>
      <c r="O52" s="560">
        <f>F47</f>
        <v>-2.0897649271120255</v>
      </c>
    </row>
    <row r="53" spans="9:15" x14ac:dyDescent="0.2">
      <c r="I53" s="563"/>
      <c r="J53" s="560"/>
      <c r="K53" s="560"/>
      <c r="L53" s="560"/>
      <c r="M53" s="560"/>
      <c r="N53" s="560"/>
      <c r="O53" s="560"/>
    </row>
  </sheetData>
  <mergeCells count="14">
    <mergeCell ref="O50:O51"/>
    <mergeCell ref="O52:O53"/>
    <mergeCell ref="N52:N53"/>
    <mergeCell ref="I50:I51"/>
    <mergeCell ref="J50:J51"/>
    <mergeCell ref="K50:K51"/>
    <mergeCell ref="L50:L51"/>
    <mergeCell ref="M50:M51"/>
    <mergeCell ref="N50:N51"/>
    <mergeCell ref="I52:I53"/>
    <mergeCell ref="J52:J53"/>
    <mergeCell ref="K52:K53"/>
    <mergeCell ref="L52:L53"/>
    <mergeCell ref="M52:M5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N42"/>
  <sheetViews>
    <sheetView zoomScale="90" zoomScaleNormal="90" workbookViewId="0"/>
  </sheetViews>
  <sheetFormatPr baseColWidth="10" defaultRowHeight="12.75" x14ac:dyDescent="0.2"/>
  <cols>
    <col min="1" max="1" width="36.28515625" bestFit="1" customWidth="1"/>
    <col min="2" max="2" width="9.42578125" customWidth="1"/>
    <col min="3" max="3" width="9" customWidth="1"/>
    <col min="4" max="4" width="8" customWidth="1"/>
    <col min="5" max="5" width="8.42578125" bestFit="1" customWidth="1"/>
    <col min="6" max="6" width="12.140625" bestFit="1" customWidth="1"/>
    <col min="9" max="9" width="16" customWidth="1"/>
    <col min="10" max="14" width="9.28515625" customWidth="1"/>
  </cols>
  <sheetData>
    <row r="1" spans="1:7" x14ac:dyDescent="0.2">
      <c r="A1" s="12" t="s">
        <v>2</v>
      </c>
      <c r="B1" s="12">
        <f>'%charges ok'!B2</f>
        <v>2024</v>
      </c>
      <c r="C1" s="12">
        <f>'%charges ok'!C2</f>
        <v>2025</v>
      </c>
      <c r="D1" s="168" t="s">
        <v>25</v>
      </c>
      <c r="E1" s="12" t="s">
        <v>55</v>
      </c>
      <c r="F1" s="12" t="s">
        <v>56</v>
      </c>
    </row>
    <row r="2" spans="1:7" x14ac:dyDescent="0.2">
      <c r="A2" s="244" t="s">
        <v>22</v>
      </c>
      <c r="B2" s="245">
        <f>'COMPTES NSA (Chiffres Utiles)ok'!Q31</f>
        <v>2565.6748707800002</v>
      </c>
      <c r="C2" s="245">
        <f>'COMPTES NSA (Chiffres Utiles)ok'!R31</f>
        <v>2592.61482024</v>
      </c>
      <c r="D2" s="246">
        <f t="shared" ref="D2:D9" si="0">C2/$C$10</f>
        <v>0.35581595268275218</v>
      </c>
      <c r="E2" s="247">
        <f t="shared" ref="E2" si="1">C2/B2-1</f>
        <v>1.0500141606722524E-2</v>
      </c>
      <c r="F2" s="248">
        <f t="shared" ref="F2:F10" si="2">(B2/$B$10)*E2*100</f>
        <v>0.36622843623139256</v>
      </c>
    </row>
    <row r="3" spans="1:7" x14ac:dyDescent="0.2">
      <c r="A3" s="239" t="s">
        <v>126</v>
      </c>
      <c r="B3" s="240">
        <v>0</v>
      </c>
      <c r="C3" s="240">
        <v>0</v>
      </c>
      <c r="D3" s="241">
        <f t="shared" si="0"/>
        <v>0</v>
      </c>
      <c r="E3" s="242" t="e">
        <f>C3/B3-1</f>
        <v>#DIV/0!</v>
      </c>
      <c r="F3" s="243" t="e">
        <f t="shared" si="2"/>
        <v>#DIV/0!</v>
      </c>
    </row>
    <row r="4" spans="1:7" x14ac:dyDescent="0.2">
      <c r="A4" s="244" t="s">
        <v>21</v>
      </c>
      <c r="B4" s="245">
        <f>'NSA1 ok'!C19</f>
        <v>2655.3634729999999</v>
      </c>
      <c r="C4" s="245">
        <f>'NSA1 ok'!D19</f>
        <v>2654.9246560000001</v>
      </c>
      <c r="D4" s="246">
        <f t="shared" si="0"/>
        <v>0.36436748660108331</v>
      </c>
      <c r="E4" s="247">
        <f>C4/B4-1</f>
        <v>-1.6525684881252278E-4</v>
      </c>
      <c r="F4" s="248">
        <f t="shared" si="2"/>
        <v>-5.965388462970833E-3</v>
      </c>
    </row>
    <row r="5" spans="1:7" x14ac:dyDescent="0.2">
      <c r="A5" s="244" t="s">
        <v>20</v>
      </c>
      <c r="B5" s="245">
        <f>'COMPTES NSA (Chiffres Utiles)ok'!Q10</f>
        <v>1468.4191881600002</v>
      </c>
      <c r="C5" s="245">
        <f>'COMPTES NSA (Chiffres Utiles)ok'!R10</f>
        <v>1373.9565258099999</v>
      </c>
      <c r="D5" s="246">
        <f t="shared" si="0"/>
        <v>0.18856470554716415</v>
      </c>
      <c r="E5" s="247">
        <f t="shared" ref="E5:E10" si="3">C5/B5-1</f>
        <v>-6.4329493316119479E-2</v>
      </c>
      <c r="F5" s="248">
        <f t="shared" si="2"/>
        <v>-1.284149146829739</v>
      </c>
    </row>
    <row r="6" spans="1:7" x14ac:dyDescent="0.2">
      <c r="A6" s="136" t="s">
        <v>125</v>
      </c>
      <c r="B6" s="137">
        <f>B10-(B2+B4+B5+B7+B8+B3+B9)</f>
        <v>619.43825256999935</v>
      </c>
      <c r="C6" s="137">
        <f>C10-(C2+C4+C5+C7+C8+C3+C9)</f>
        <v>619.41023227999904</v>
      </c>
      <c r="D6" s="133">
        <f t="shared" si="0"/>
        <v>8.5009173047830719E-2</v>
      </c>
      <c r="E6" s="199">
        <f>C6/B6-1</f>
        <v>-4.5235001041810108E-5</v>
      </c>
      <c r="F6" s="181">
        <f t="shared" si="2"/>
        <v>-3.8091485675620037E-4</v>
      </c>
    </row>
    <row r="7" spans="1:7" x14ac:dyDescent="0.2">
      <c r="A7" s="238" t="s">
        <v>119</v>
      </c>
      <c r="B7" s="137">
        <f>'NSA1 ok'!C33</f>
        <v>34.948579469999999</v>
      </c>
      <c r="C7" s="137">
        <f>'NSA1 ok'!D33</f>
        <v>33.554778810000002</v>
      </c>
      <c r="D7" s="133">
        <f t="shared" si="0"/>
        <v>4.6051289594317545E-3</v>
      </c>
      <c r="E7" s="199">
        <f>C7/B7-1</f>
        <v>-3.9881468178025403E-2</v>
      </c>
      <c r="F7" s="181">
        <f t="shared" si="2"/>
        <v>-1.8947676085584272E-2</v>
      </c>
    </row>
    <row r="8" spans="1:7" x14ac:dyDescent="0.2">
      <c r="A8" s="244" t="s">
        <v>61</v>
      </c>
      <c r="B8" s="245">
        <v>0</v>
      </c>
      <c r="C8" s="245">
        <v>0</v>
      </c>
      <c r="D8" s="246">
        <f t="shared" si="0"/>
        <v>0</v>
      </c>
      <c r="E8" s="247" t="e">
        <f t="shared" si="3"/>
        <v>#DIV/0!</v>
      </c>
      <c r="F8" s="248" t="e">
        <f t="shared" si="2"/>
        <v>#DIV/0!</v>
      </c>
      <c r="G8" s="136"/>
    </row>
    <row r="9" spans="1:7" x14ac:dyDescent="0.2">
      <c r="A9" s="136" t="s">
        <v>128</v>
      </c>
      <c r="B9" s="137">
        <f>'COMPTES NSA (Chiffres Utiles)ok'!Q17</f>
        <v>12.206339570000001</v>
      </c>
      <c r="C9" s="137">
        <f>'COMPTES NSA (Chiffres Utiles)ok'!R17</f>
        <v>11.93185568</v>
      </c>
      <c r="D9" s="133">
        <f t="shared" si="0"/>
        <v>1.6375531617378069E-3</v>
      </c>
      <c r="E9" s="199">
        <f t="shared" si="3"/>
        <v>-2.2486994436449304E-2</v>
      </c>
      <c r="F9" s="181">
        <f t="shared" si="2"/>
        <v>-3.7314029098186644E-3</v>
      </c>
      <c r="G9" s="136"/>
    </row>
    <row r="10" spans="1:7" x14ac:dyDescent="0.2">
      <c r="A10" s="169" t="s">
        <v>26</v>
      </c>
      <c r="B10" s="172">
        <f>'COMPTES NSA (Chiffres Utiles)ok'!Q10+'COMPTES NSA (Chiffres Utiles)ok'!Q17+'COMPTES NSA (Chiffres Utiles)ok'!Q31+'COMPTES NSA (Chiffres Utiles)ok'!Q45+'COMPTES NSA (Chiffres Utiles)ok'!Q52+'COMPTES NSA (Chiffres Utiles)ok'!Q59+'COMPTES NSA (Chiffres Utiles)ok'!Q66+'COMPTES NSA (Chiffres Utiles)ok'!Q73</f>
        <v>7356.0507035499995</v>
      </c>
      <c r="C10" s="172">
        <f>'COMPTES NSA (Chiffres Utiles)ok'!R10+'COMPTES NSA (Chiffres Utiles)ok'!R17+'COMPTES NSA (Chiffres Utiles)ok'!R31+'COMPTES NSA (Chiffres Utiles)ok'!R45+'COMPTES NSA (Chiffres Utiles)ok'!R52+'COMPTES NSA (Chiffres Utiles)ok'!R59+'COMPTES NSA (Chiffres Utiles)ok'!R66+'COMPTES NSA (Chiffres Utiles)ok'!R73</f>
        <v>7286.3928688199994</v>
      </c>
      <c r="D10" s="173">
        <f>SUM(D2:D9)</f>
        <v>1</v>
      </c>
      <c r="E10" s="200">
        <f t="shared" si="3"/>
        <v>-9.4694609291345877E-3</v>
      </c>
      <c r="F10" s="167">
        <f t="shared" si="2"/>
        <v>-0.94694609291345877</v>
      </c>
      <c r="G10" s="136"/>
    </row>
    <row r="11" spans="1:7" x14ac:dyDescent="0.2">
      <c r="A11" s="136"/>
      <c r="B11" s="277"/>
      <c r="C11" s="277"/>
      <c r="D11" s="136"/>
      <c r="E11" s="136"/>
      <c r="F11" s="136"/>
    </row>
    <row r="29" spans="9:14" x14ac:dyDescent="0.2">
      <c r="I29" s="256"/>
      <c r="J29" s="255" t="s">
        <v>132</v>
      </c>
      <c r="K29" s="255" t="s">
        <v>62</v>
      </c>
      <c r="L29" s="255" t="s">
        <v>63</v>
      </c>
      <c r="M29" s="255" t="s">
        <v>64</v>
      </c>
      <c r="N29" s="255" t="s">
        <v>37</v>
      </c>
    </row>
    <row r="30" spans="9:14" x14ac:dyDescent="0.2">
      <c r="I30" s="563" t="s">
        <v>168</v>
      </c>
      <c r="J30" s="562">
        <f>E37</f>
        <v>-4.4749334496521187E-2</v>
      </c>
      <c r="K30" s="562">
        <f>E38</f>
        <v>7.9672984109818046E-2</v>
      </c>
      <c r="L30" s="562">
        <f>E39</f>
        <v>-3.5960712361255864E-2</v>
      </c>
      <c r="M30" s="562">
        <f>E40</f>
        <v>-9.4694609291345877E-3</v>
      </c>
      <c r="N30" s="562">
        <f>E41</f>
        <v>6.9126559515946262E-3</v>
      </c>
    </row>
    <row r="31" spans="9:14" x14ac:dyDescent="0.2">
      <c r="I31" s="563"/>
      <c r="J31" s="562"/>
      <c r="K31" s="562"/>
      <c r="L31" s="562"/>
      <c r="M31" s="562"/>
      <c r="N31" s="562"/>
    </row>
    <row r="32" spans="9:14" x14ac:dyDescent="0.2">
      <c r="I32" s="563" t="s">
        <v>169</v>
      </c>
      <c r="J32" s="560">
        <f>F37</f>
        <v>-1.8299678326553592</v>
      </c>
      <c r="K32" s="560">
        <f>F38</f>
        <v>0.23331613723509806</v>
      </c>
      <c r="L32" s="560">
        <f>F39</f>
        <v>-0.12605062384562377</v>
      </c>
      <c r="M32" s="560">
        <f>F40</f>
        <v>-0.42264302868203313</v>
      </c>
      <c r="N32" s="560">
        <f>F41</f>
        <v>5.5580420835896219E-2</v>
      </c>
    </row>
    <row r="33" spans="1:14" x14ac:dyDescent="0.2">
      <c r="I33" s="563"/>
      <c r="J33" s="560"/>
      <c r="K33" s="560"/>
      <c r="L33" s="560"/>
      <c r="M33" s="560"/>
      <c r="N33" s="560"/>
    </row>
    <row r="36" spans="1:14" x14ac:dyDescent="0.2">
      <c r="A36" s="12" t="s">
        <v>131</v>
      </c>
      <c r="B36" s="12">
        <f>B1</f>
        <v>2024</v>
      </c>
      <c r="C36" s="12">
        <f>C1</f>
        <v>2025</v>
      </c>
      <c r="D36" s="168" t="s">
        <v>25</v>
      </c>
      <c r="E36" s="12" t="s">
        <v>55</v>
      </c>
      <c r="F36" s="12" t="s">
        <v>56</v>
      </c>
    </row>
    <row r="37" spans="1:14" x14ac:dyDescent="0.2">
      <c r="A37" s="249" t="s">
        <v>130</v>
      </c>
      <c r="B37" s="195">
        <f>'COMPTES NSA (Chiffres Utiles)ok'!Q6+'COMPTES NSA (Chiffres Utiles)ok'!Q13+'COMPTES NSA (Chiffres Utiles)ok'!Q20+'COMPTES NSA (Chiffres Utiles)ok'!Q27+'COMPTES NSA (Chiffres Utiles)ok'!Q41+'COMPTES NSA (Chiffres Utiles)ok'!Q48+'COMPTES NSA (Chiffres Utiles)ok'!Q55+'COMPTES NSA (Chiffres Utiles)ok'!Q62+'COMPTES NSA (Chiffres Utiles)ok'!Q69+'COMPTES NSA (Chiffres Utiles)ok'!Q34</f>
        <v>6739.8950729299995</v>
      </c>
      <c r="C37" s="195">
        <f>'COMPTES NSA (Chiffres Utiles)ok'!R6+'COMPTES NSA (Chiffres Utiles)ok'!R13+'COMPTES NSA (Chiffres Utiles)ok'!R20+'COMPTES NSA (Chiffres Utiles)ok'!R27+'COMPTES NSA (Chiffres Utiles)ok'!R41+'COMPTES NSA (Chiffres Utiles)ok'!R48+'COMPTES NSA (Chiffres Utiles)ok'!R55+'COMPTES NSA (Chiffres Utiles)ok'!R62+'COMPTES NSA (Chiffres Utiles)ok'!R69+'COMPTES NSA (Chiffres Utiles)ok'!R34</f>
        <v>6438.2892538400001</v>
      </c>
      <c r="D37" s="196">
        <f>C37/$C$42</f>
        <v>0.39897541067448528</v>
      </c>
      <c r="E37" s="196">
        <f t="shared" ref="E37:E42" si="4">C37/B37-1</f>
        <v>-4.4749334496521187E-2</v>
      </c>
      <c r="F37" s="197">
        <f>(B37/$B$42)*E37*100</f>
        <v>-1.8299678326553592</v>
      </c>
    </row>
    <row r="38" spans="1:14" x14ac:dyDescent="0.2">
      <c r="A38" s="136" t="s">
        <v>62</v>
      </c>
      <c r="B38" s="137">
        <f>'COMPTES NSA (Chiffres Utiles)ok'!Q8+'COMPTES NSA (Chiffres Utiles)ok'!Q15+'COMPTES NSA (Chiffres Utiles)ok'!Q22+'COMPTES NSA (Chiffres Utiles)ok'!Q29+'COMPTES NSA (Chiffres Utiles)ok'!Q43+'COMPTES NSA (Chiffres Utiles)ok'!Q50+'COMPTES NSA (Chiffres Utiles)ok'!Q57+'COMPTES NSA (Chiffres Utiles)ok'!Q64+'COMPTES NSA (Chiffres Utiles)ok'!Q71</f>
        <v>482.64738179000005</v>
      </c>
      <c r="C38" s="137">
        <f>'COMPTES NSA (Chiffres Utiles)ok'!R8+'COMPTES NSA (Chiffres Utiles)ok'!R15+'COMPTES NSA (Chiffres Utiles)ok'!R22+'COMPTES NSA (Chiffres Utiles)ok'!R29+'COMPTES NSA (Chiffres Utiles)ok'!R43+'COMPTES NSA (Chiffres Utiles)ok'!R50+'COMPTES NSA (Chiffres Utiles)ok'!R57+'COMPTES NSA (Chiffres Utiles)ok'!R64+'COMPTES NSA (Chiffres Utiles)ok'!R71</f>
        <v>521.10133897000003</v>
      </c>
      <c r="D38" s="133">
        <f t="shared" ref="D38:D42" si="5">C38/$C$42</f>
        <v>3.2292214984683675E-2</v>
      </c>
      <c r="E38" s="133">
        <f t="shared" si="4"/>
        <v>7.9672984109818046E-2</v>
      </c>
      <c r="F38" s="181">
        <f t="shared" ref="F38:F42" si="6">(B38/$B$42)*E38*100</f>
        <v>0.23331613723509806</v>
      </c>
    </row>
    <row r="39" spans="1:14" x14ac:dyDescent="0.2">
      <c r="A39" t="s">
        <v>63</v>
      </c>
      <c r="B39" s="22">
        <f>'COMPTES NSA (Chiffres Utiles)ok'!Q7+'COMPTES NSA (Chiffres Utiles)ok'!Q14+'COMPTES NSA (Chiffres Utiles)ok'!Q21+'COMPTES NSA (Chiffres Utiles)ok'!Q28+'COMPTES NSA (Chiffres Utiles)ok'!Q42+'COMPTES NSA (Chiffres Utiles)ok'!Q49+'COMPTES NSA (Chiffres Utiles)ok'!Q56+'COMPTES NSA (Chiffres Utiles)ok'!Q63+'COMPTES NSA (Chiffres Utiles)ok'!Q70+'COMPTES NSA (Chiffres Utiles)ok'!Q35</f>
        <v>577.7141087</v>
      </c>
      <c r="C39" s="22">
        <f>'COMPTES NSA (Chiffres Utiles)ok'!R7+'COMPTES NSA (Chiffres Utiles)ok'!R14+'COMPTES NSA (Chiffres Utiles)ok'!R21+'COMPTES NSA (Chiffres Utiles)ok'!R28+'COMPTES NSA (Chiffres Utiles)ok'!R42+'COMPTES NSA (Chiffres Utiles)ok'!R49+'COMPTES NSA (Chiffres Utiles)ok'!R56+'COMPTES NSA (Chiffres Utiles)ok'!R63+'COMPTES NSA (Chiffres Utiles)ok'!R70+'COMPTES NSA (Chiffres Utiles)ok'!R35</f>
        <v>556.93909781000002</v>
      </c>
      <c r="D39" s="133">
        <f t="shared" si="5"/>
        <v>3.4513050984295551E-2</v>
      </c>
      <c r="E39" s="165">
        <f t="shared" si="4"/>
        <v>-3.5960712361255864E-2</v>
      </c>
      <c r="F39" s="181">
        <f t="shared" si="6"/>
        <v>-0.12605062384562377</v>
      </c>
    </row>
    <row r="40" spans="1:14" x14ac:dyDescent="0.2">
      <c r="A40" s="194" t="s">
        <v>64</v>
      </c>
      <c r="B40" s="195">
        <f>'COMPTES NSA (Chiffres Utiles)ok'!Q10+'COMPTES NSA (Chiffres Utiles)ok'!Q17+'COMPTES NSA (Chiffres Utiles)ok'!Q24+'COMPTES NSA (Chiffres Utiles)ok'!Q31+'COMPTES NSA (Chiffres Utiles)ok'!Q45+'COMPTES NSA (Chiffres Utiles)ok'!Q52+'COMPTES NSA (Chiffres Utiles)ok'!Q59+'COMPTES NSA (Chiffres Utiles)ok'!Q66+'COMPTES NSA (Chiffres Utiles)ok'!Q73</f>
        <v>7356.0507035499995</v>
      </c>
      <c r="C40" s="195">
        <f>'COMPTES NSA (Chiffres Utiles)ok'!R10+'COMPTES NSA (Chiffres Utiles)ok'!R17+'COMPTES NSA (Chiffres Utiles)ok'!R24+'COMPTES NSA (Chiffres Utiles)ok'!R31+'COMPTES NSA (Chiffres Utiles)ok'!R45+'COMPTES NSA (Chiffres Utiles)ok'!R52+'COMPTES NSA (Chiffres Utiles)ok'!R59+'COMPTES NSA (Chiffres Utiles)ok'!R66+'COMPTES NSA (Chiffres Utiles)ok'!R73</f>
        <v>7286.3928688199994</v>
      </c>
      <c r="D40" s="196">
        <f t="shared" si="5"/>
        <v>0.45153168373713848</v>
      </c>
      <c r="E40" s="196">
        <f t="shared" si="4"/>
        <v>-9.4694609291345877E-3</v>
      </c>
      <c r="F40" s="197">
        <f t="shared" si="6"/>
        <v>-0.42264302868203313</v>
      </c>
    </row>
    <row r="41" spans="1:14" x14ac:dyDescent="0.2">
      <c r="A41" t="s">
        <v>37</v>
      </c>
      <c r="B41" s="22">
        <f>'COMPTES NSA (Chiffres Utiles)ok'!Q9+'COMPTES NSA (Chiffres Utiles)ok'!Q16+'COMPTES NSA (Chiffres Utiles)ok'!Q23+'COMPTES NSA (Chiffres Utiles)ok'!Q30+'COMPTES NSA (Chiffres Utiles)ok'!Q44+'COMPTES NSA (Chiffres Utiles)ok'!Q51+'COMPTES NSA (Chiffres Utiles)ok'!Q58+'COMPTES NSA (Chiffres Utiles)ok'!Q65+'COMPTES NSA (Chiffres Utiles)ok'!Q72</f>
        <v>1325.17474096</v>
      </c>
      <c r="C41" s="22">
        <f>'COMPTES NSA (Chiffres Utiles)ok'!R9+'COMPTES NSA (Chiffres Utiles)ok'!R16+'COMPTES NSA (Chiffres Utiles)ok'!R23+'COMPTES NSA (Chiffres Utiles)ok'!R30+'COMPTES NSA (Chiffres Utiles)ok'!R44+'COMPTES NSA (Chiffres Utiles)ok'!R51+'COMPTES NSA (Chiffres Utiles)ok'!R58+'COMPTES NSA (Chiffres Utiles)ok'!R65+'COMPTES NSA (Chiffres Utiles)ok'!R72</f>
        <v>1334.33521802</v>
      </c>
      <c r="D41" s="133">
        <f t="shared" si="5"/>
        <v>8.2687639619396999E-2</v>
      </c>
      <c r="E41" s="165">
        <f t="shared" si="4"/>
        <v>6.9126559515946262E-3</v>
      </c>
      <c r="F41" s="181">
        <f t="shared" si="6"/>
        <v>5.5580420835896219E-2</v>
      </c>
    </row>
    <row r="42" spans="1:14" x14ac:dyDescent="0.2">
      <c r="A42" s="12" t="s">
        <v>23</v>
      </c>
      <c r="B42" s="23">
        <f>SUM(B37:B41)</f>
        <v>16481.482007930001</v>
      </c>
      <c r="C42" s="23">
        <f>SUM(C37:C41)</f>
        <v>16137.057777460001</v>
      </c>
      <c r="D42" s="173">
        <f t="shared" si="5"/>
        <v>1</v>
      </c>
      <c r="E42" s="166">
        <f t="shared" si="4"/>
        <v>-2.0897649271120255E-2</v>
      </c>
      <c r="F42" s="250">
        <f t="shared" si="6"/>
        <v>-2.0897649271120255</v>
      </c>
    </row>
  </sheetData>
  <mergeCells count="12">
    <mergeCell ref="N32:N33"/>
    <mergeCell ref="I30:I31"/>
    <mergeCell ref="J30:J31"/>
    <mergeCell ref="K30:K31"/>
    <mergeCell ref="L30:L31"/>
    <mergeCell ref="M30:M31"/>
    <mergeCell ref="N30:N31"/>
    <mergeCell ref="I32:I33"/>
    <mergeCell ref="J32:J33"/>
    <mergeCell ref="K32:K33"/>
    <mergeCell ref="L32:L33"/>
    <mergeCell ref="M32:M33"/>
  </mergeCells>
  <pageMargins left="0.78740157499999996" right="0.78740157499999996" top="0.984251969" bottom="0.984251969" header="0.4921259845" footer="0.4921259845"/>
  <pageSetup paperSize="9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Bilan NSA</vt:lpstr>
      <vt:lpstr>Glossaire et introduction ok</vt:lpstr>
      <vt:lpstr>Introduction KO</vt:lpstr>
      <vt:lpstr>COMPTES NSA (Chiffres Utiles)ok</vt:lpstr>
      <vt:lpstr>NSA1 ok</vt:lpstr>
      <vt:lpstr>Effectifs ok</vt:lpstr>
      <vt:lpstr>%charges ok</vt:lpstr>
      <vt:lpstr>%produits ok</vt:lpstr>
      <vt:lpstr>%produitsRetraite</vt:lpstr>
      <vt:lpstr>%produitsRCO</vt:lpstr>
      <vt:lpstr>Résultat net ok</vt:lpstr>
      <vt:lpstr>Charges techniques</vt:lpstr>
      <vt:lpstr>'COMPTES NSA (Chiffres Utiles)ok'!Zone_d_impression</vt:lpstr>
    </vt:vector>
  </TitlesOfParts>
  <Company>GETIMA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GUERINVA</dc:creator>
  <cp:lastModifiedBy>Claudine Gaillard</cp:lastModifiedBy>
  <cp:lastPrinted>2016-04-13T13:53:00Z</cp:lastPrinted>
  <dcterms:created xsi:type="dcterms:W3CDTF">2012-05-14T13:27:34Z</dcterms:created>
  <dcterms:modified xsi:type="dcterms:W3CDTF">2026-06-16T08:23:54Z</dcterms:modified>
</cp:coreProperties>
</file>