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8.xml" ContentType="application/vnd.openxmlformats-officedocument.drawingml.chart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21-STATISTIQUES\01_STATS_MISSION_SYNTHESES\12 COMITES DE LECTURE\Bilan démo et financier SA 2025\A diffuser\"/>
    </mc:Choice>
  </mc:AlternateContent>
  <xr:revisionPtr revIDLastSave="0" documentId="13_ncr:1_{701AB384-E661-4850-9AD4-6EF6A349973F}" xr6:coauthVersionLast="47" xr6:coauthVersionMax="47" xr10:uidLastSave="{00000000-0000-0000-0000-000000000000}"/>
  <bookViews>
    <workbookView xWindow="-110" yWindow="-110" windowWidth="19420" windowHeight="10300" tabRatio="676" xr2:uid="{00000000-000D-0000-FFFF-FFFF00000000}"/>
  </bookViews>
  <sheets>
    <sheet name="Bilan SA" sheetId="12" r:id="rId1"/>
    <sheet name="Glossaire et introduction" sheetId="11" r:id="rId2"/>
    <sheet name="COMPTES SA (Chiffres utiles)" sheetId="6" r:id="rId3"/>
    <sheet name="SA1" sheetId="1" r:id="rId4"/>
    <sheet name="Effectifs" sheetId="2" r:id="rId5"/>
    <sheet name="%charges" sheetId="4" r:id="rId6"/>
    <sheet name="%produits" sheetId="7" r:id="rId7"/>
    <sheet name="%chargesRetraite" sheetId="10" state="hidden" r:id="rId8"/>
    <sheet name="%produitsRetraite" sheetId="9" state="hidden" r:id="rId9"/>
    <sheet name="Résultat net" sheetId="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2">'COMPTES SA (Chiffres utiles)'!$A$1:$L$52,'COMPTES SA (Chiffres utiles)'!$N$1:$Y$69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8" l="1"/>
  <c r="B29" i="8"/>
  <c r="C28" i="8"/>
  <c r="B28" i="8"/>
  <c r="C27" i="8"/>
  <c r="B27" i="8"/>
  <c r="O1" i="7"/>
  <c r="I10" i="2"/>
  <c r="H10" i="2"/>
  <c r="I9" i="2" l="1"/>
  <c r="I7" i="2" l="1"/>
  <c r="I6" i="2"/>
  <c r="I5" i="2"/>
  <c r="D45" i="1" l="1"/>
  <c r="C45" i="1"/>
  <c r="D44" i="1"/>
  <c r="C44" i="1"/>
  <c r="D43" i="1"/>
  <c r="C43" i="1"/>
  <c r="D41" i="1"/>
  <c r="C41" i="1"/>
  <c r="D40" i="1"/>
  <c r="C40" i="1"/>
  <c r="D39" i="1"/>
  <c r="C39" i="1"/>
  <c r="D35" i="1"/>
  <c r="C35" i="1"/>
  <c r="D34" i="1"/>
  <c r="C34" i="1"/>
  <c r="D32" i="1"/>
  <c r="C32" i="1"/>
  <c r="D31" i="1"/>
  <c r="C31" i="1"/>
  <c r="D30" i="1"/>
  <c r="C30" i="1"/>
  <c r="D28" i="1"/>
  <c r="C28" i="1"/>
  <c r="D9" i="1"/>
  <c r="C9" i="1"/>
  <c r="D8" i="1"/>
  <c r="C8" i="1"/>
  <c r="D7" i="1"/>
  <c r="C7" i="1"/>
  <c r="D6" i="1"/>
  <c r="C6" i="1"/>
  <c r="D5" i="1"/>
  <c r="C5" i="1"/>
  <c r="R68" i="6" l="1"/>
  <c r="Q68" i="6"/>
  <c r="P68" i="6"/>
  <c r="O68" i="6"/>
  <c r="G10" i="2" l="1"/>
  <c r="F10" i="2"/>
  <c r="E10" i="2"/>
  <c r="D10" i="2"/>
  <c r="C10" i="2"/>
  <c r="B10" i="2"/>
  <c r="H9" i="2"/>
  <c r="G9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H5" i="2"/>
  <c r="G5" i="2"/>
  <c r="F5" i="2"/>
  <c r="E5" i="2"/>
  <c r="D5" i="2"/>
  <c r="C5" i="2"/>
  <c r="B5" i="2"/>
  <c r="L4" i="7"/>
  <c r="L3" i="7"/>
  <c r="B59" i="7" l="1"/>
  <c r="B7" i="8" l="1"/>
  <c r="R30" i="6" l="1"/>
  <c r="H20" i="2" l="1"/>
  <c r="C59" i="7" l="1"/>
  <c r="C7" i="8" l="1"/>
  <c r="E27" i="8" l="1"/>
  <c r="C16" i="8"/>
  <c r="H19" i="2"/>
  <c r="H17" i="2" l="1"/>
  <c r="H16" i="2"/>
  <c r="I3" i="2" l="1"/>
  <c r="H15" i="2"/>
  <c r="B2" i="8" l="1"/>
  <c r="B42" i="4" l="1"/>
  <c r="C4" i="2" l="1"/>
  <c r="D4" i="2" s="1"/>
  <c r="E4" i="2" s="1"/>
  <c r="F4" i="2" s="1"/>
  <c r="G4" i="2" s="1"/>
  <c r="H4" i="2" s="1"/>
  <c r="I4" i="2" s="1"/>
  <c r="C7" i="9" l="1"/>
  <c r="B7" i="9"/>
  <c r="D4" i="1" l="1"/>
  <c r="B9" i="7"/>
  <c r="C9" i="7"/>
  <c r="P60" i="6"/>
  <c r="O3" i="6"/>
  <c r="Q60" i="6" l="1"/>
  <c r="O60" i="6"/>
  <c r="Q54" i="6"/>
  <c r="P54" i="6"/>
  <c r="O54" i="6"/>
  <c r="Q48" i="6"/>
  <c r="P48" i="6"/>
  <c r="O48" i="6"/>
  <c r="Q42" i="6"/>
  <c r="P42" i="6"/>
  <c r="O42" i="6"/>
  <c r="Q36" i="6"/>
  <c r="P36" i="6"/>
  <c r="O36" i="6"/>
  <c r="Q30" i="6"/>
  <c r="P30" i="6"/>
  <c r="O30" i="6"/>
  <c r="Q24" i="6"/>
  <c r="P24" i="6"/>
  <c r="O24" i="6"/>
  <c r="Q18" i="6"/>
  <c r="P18" i="6"/>
  <c r="O18" i="6"/>
  <c r="Q12" i="6"/>
  <c r="P12" i="6"/>
  <c r="O12" i="6"/>
  <c r="Q5" i="6"/>
  <c r="P5" i="6"/>
  <c r="O5" i="6"/>
  <c r="D45" i="6"/>
  <c r="C45" i="6"/>
  <c r="B45" i="6"/>
  <c r="D39" i="6"/>
  <c r="C39" i="6"/>
  <c r="B39" i="6"/>
  <c r="D33" i="6"/>
  <c r="C33" i="6"/>
  <c r="B33" i="6"/>
  <c r="D27" i="6"/>
  <c r="C27" i="6"/>
  <c r="B27" i="6"/>
  <c r="D19" i="6"/>
  <c r="C19" i="6"/>
  <c r="B19" i="6"/>
  <c r="F20" i="6" s="1"/>
  <c r="D13" i="6"/>
  <c r="C13" i="6"/>
  <c r="B13" i="6"/>
  <c r="D5" i="6"/>
  <c r="C5" i="6"/>
  <c r="B5" i="6"/>
  <c r="C3" i="6"/>
  <c r="D3" i="6" s="1"/>
  <c r="F14" i="6" l="1"/>
  <c r="F15" i="6"/>
  <c r="F16" i="6"/>
  <c r="F17" i="6"/>
  <c r="F9" i="6"/>
  <c r="F7" i="6"/>
  <c r="F10" i="6"/>
  <c r="F8" i="6"/>
  <c r="S19" i="6"/>
  <c r="S20" i="6"/>
  <c r="S21" i="6"/>
  <c r="S22" i="6"/>
  <c r="U20" i="6"/>
  <c r="U22" i="6"/>
  <c r="U19" i="6"/>
  <c r="U21" i="6"/>
  <c r="T20" i="6"/>
  <c r="T22" i="6"/>
  <c r="T19" i="6"/>
  <c r="T21" i="6"/>
  <c r="S6" i="6"/>
  <c r="S7" i="6"/>
  <c r="S8" i="6"/>
  <c r="S9" i="6"/>
  <c r="F21" i="6"/>
  <c r="F22" i="6"/>
  <c r="F23" i="6"/>
  <c r="D25" i="6"/>
  <c r="D51" i="6" s="1"/>
  <c r="P66" i="6"/>
  <c r="Q66" i="6"/>
  <c r="A33" i="8" s="1"/>
  <c r="O66" i="6"/>
  <c r="C25" i="6"/>
  <c r="C51" i="6" s="1"/>
  <c r="B25" i="6"/>
  <c r="B51" i="6" s="1"/>
  <c r="F9" i="1"/>
  <c r="C52" i="6" l="1"/>
  <c r="D52" i="6"/>
  <c r="B21" i="8" s="1"/>
  <c r="B52" i="6"/>
  <c r="D38" i="10"/>
  <c r="W24" i="6" l="1"/>
  <c r="B60" i="7"/>
  <c r="B16" i="8"/>
  <c r="C60" i="7"/>
  <c r="C42" i="4"/>
  <c r="F42" i="4" s="1"/>
  <c r="B15" i="8"/>
  <c r="C15" i="8"/>
  <c r="D42" i="4"/>
  <c r="D26" i="11" s="1"/>
  <c r="W19" i="6"/>
  <c r="G42" i="4" l="1"/>
  <c r="M59" i="4" s="1"/>
  <c r="E60" i="7"/>
  <c r="N60" i="7" s="1"/>
  <c r="E19" i="6"/>
  <c r="R24" i="6"/>
  <c r="E5" i="6"/>
  <c r="R36" i="6"/>
  <c r="E39" i="6"/>
  <c r="R60" i="6"/>
  <c r="C38" i="10"/>
  <c r="E9" i="1" l="1"/>
  <c r="F5" i="1"/>
  <c r="C4" i="1"/>
  <c r="G9" i="1" s="1"/>
  <c r="F38" i="10"/>
  <c r="G38" i="10"/>
  <c r="X24" i="6"/>
  <c r="S24" i="6"/>
  <c r="T24" i="6"/>
  <c r="Y24" i="6" l="1"/>
  <c r="J44" i="10"/>
  <c r="U24" i="6"/>
  <c r="C26" i="1" l="1"/>
  <c r="D27" i="8" l="1"/>
  <c r="G19" i="2"/>
  <c r="G17" i="2" l="1"/>
  <c r="G16" i="2"/>
  <c r="H3" i="2" l="1"/>
  <c r="G15" i="2"/>
  <c r="F20" i="2"/>
  <c r="G20" i="2"/>
  <c r="E45" i="6"/>
  <c r="F5" i="6"/>
  <c r="F3" i="6"/>
  <c r="D3" i="2" l="1"/>
  <c r="E3" i="2"/>
  <c r="C30" i="8" l="1"/>
  <c r="B6" i="8"/>
  <c r="E28" i="8" l="1"/>
  <c r="E29" i="8"/>
  <c r="F19" i="2" l="1"/>
  <c r="F17" i="2" l="1"/>
  <c r="F16" i="2"/>
  <c r="F15" i="2" l="1"/>
  <c r="G3" i="2"/>
  <c r="F3" i="2"/>
  <c r="I33" i="10"/>
  <c r="H33" i="10"/>
  <c r="G33" i="10"/>
  <c r="F33" i="10"/>
  <c r="B33" i="10"/>
  <c r="B2" i="10" l="1"/>
  <c r="C18" i="1"/>
  <c r="R18" i="6" l="1"/>
  <c r="V22" i="6" l="1"/>
  <c r="V19" i="6"/>
  <c r="V21" i="6"/>
  <c r="V20" i="6"/>
  <c r="R48" i="6"/>
  <c r="L19" i="6"/>
  <c r="E13" i="6"/>
  <c r="R5" i="6"/>
  <c r="E27" i="6"/>
  <c r="E33" i="6"/>
  <c r="R54" i="6"/>
  <c r="R12" i="6"/>
  <c r="R42" i="6"/>
  <c r="E25" i="6" l="1"/>
  <c r="E51" i="6" s="1"/>
  <c r="R66" i="6"/>
  <c r="S68" i="6" s="1"/>
  <c r="V24" i="6" l="1"/>
  <c r="E52" i="6"/>
  <c r="C21" i="8" s="1"/>
  <c r="D3" i="1"/>
  <c r="E4" i="1" s="1"/>
  <c r="D28" i="8"/>
  <c r="E15" i="2"/>
  <c r="L52" i="6" l="1"/>
  <c r="D15" i="2"/>
  <c r="F6" i="1" l="1"/>
  <c r="F7" i="1" l="1"/>
  <c r="F8" i="1"/>
  <c r="C19" i="9" l="1"/>
  <c r="B19" i="9"/>
  <c r="E19" i="9" l="1"/>
  <c r="E3" i="9"/>
  <c r="C8" i="9" l="1"/>
  <c r="B8" i="9"/>
  <c r="D17" i="1"/>
  <c r="C17" i="1"/>
  <c r="B4" i="9" s="1"/>
  <c r="C4" i="9" l="1"/>
  <c r="E4" i="9" s="1"/>
  <c r="B17" i="9"/>
  <c r="B21" i="9"/>
  <c r="C21" i="9"/>
  <c r="E7" i="9"/>
  <c r="E8" i="9"/>
  <c r="C17" i="9" l="1"/>
  <c r="E17" i="9" s="1"/>
  <c r="E21" i="9"/>
  <c r="C2" i="10" l="1"/>
  <c r="E2" i="10" l="1"/>
  <c r="A60" i="6"/>
  <c r="B9" i="9" l="1"/>
  <c r="B18" i="9" s="1"/>
  <c r="C9" i="9"/>
  <c r="C18" i="9" s="1"/>
  <c r="B39" i="4"/>
  <c r="B35" i="10"/>
  <c r="B41" i="4"/>
  <c r="B37" i="10"/>
  <c r="B40" i="4"/>
  <c r="B36" i="10"/>
  <c r="B38" i="4"/>
  <c r="B34" i="10"/>
  <c r="W34" i="6"/>
  <c r="X34" i="6"/>
  <c r="W33" i="6"/>
  <c r="W32" i="6"/>
  <c r="X33" i="6"/>
  <c r="Y34" i="6"/>
  <c r="W31" i="6"/>
  <c r="Y33" i="6"/>
  <c r="B43" i="4" l="1"/>
  <c r="I42" i="4" s="1"/>
  <c r="E18" i="9"/>
  <c r="E9" i="9"/>
  <c r="B39" i="10"/>
  <c r="I38" i="10" s="1"/>
  <c r="W30" i="6"/>
  <c r="B44" i="4" l="1"/>
  <c r="B30" i="8"/>
  <c r="B33" i="8" s="1"/>
  <c r="C33" i="8" s="1"/>
  <c r="D29" i="8"/>
  <c r="E30" i="8" l="1"/>
  <c r="C32" i="8" s="1"/>
  <c r="D30" i="8"/>
  <c r="F4" i="1" l="1"/>
  <c r="G4" i="1" s="1"/>
  <c r="A20" i="2"/>
  <c r="A19" i="2"/>
  <c r="A16" i="2"/>
  <c r="A17" i="2"/>
  <c r="A15" i="2"/>
  <c r="E20" i="2"/>
  <c r="D20" i="2"/>
  <c r="C20" i="2"/>
  <c r="B20" i="2"/>
  <c r="E19" i="2"/>
  <c r="D19" i="2"/>
  <c r="C19" i="2"/>
  <c r="B19" i="2"/>
  <c r="E17" i="2"/>
  <c r="D17" i="2"/>
  <c r="C17" i="2"/>
  <c r="B17" i="2"/>
  <c r="E16" i="2"/>
  <c r="D16" i="2"/>
  <c r="C16" i="2"/>
  <c r="B16" i="2"/>
  <c r="C15" i="2"/>
  <c r="B15" i="2"/>
  <c r="C2" i="8" l="1"/>
  <c r="B1" i="10" l="1"/>
  <c r="C33" i="10" s="1"/>
  <c r="E3" i="6" l="1"/>
  <c r="B2" i="4"/>
  <c r="B54" i="6"/>
  <c r="B58" i="6" s="1"/>
  <c r="D26" i="1"/>
  <c r="B1" i="9" l="1"/>
  <c r="B15" i="9" s="1"/>
  <c r="B28" i="9" s="1"/>
  <c r="C37" i="4"/>
  <c r="C1" i="10"/>
  <c r="D33" i="10" s="1"/>
  <c r="B2" i="7"/>
  <c r="B16" i="7" s="1"/>
  <c r="B55" i="7" s="1"/>
  <c r="C2" i="4"/>
  <c r="C1" i="9" s="1"/>
  <c r="C15" i="9" s="1"/>
  <c r="C28" i="9" s="1"/>
  <c r="C54" i="6"/>
  <c r="C58" i="6" s="1"/>
  <c r="I3" i="6"/>
  <c r="L3" i="6" s="1"/>
  <c r="G3" i="6"/>
  <c r="J3" i="6" s="1"/>
  <c r="H3" i="6"/>
  <c r="K3" i="6" s="1"/>
  <c r="Q3" i="6"/>
  <c r="P3" i="6"/>
  <c r="S33" i="6" l="1"/>
  <c r="S32" i="6"/>
  <c r="S31" i="6"/>
  <c r="S34" i="6"/>
  <c r="T34" i="6"/>
  <c r="T32" i="6"/>
  <c r="T33" i="6"/>
  <c r="T31" i="6"/>
  <c r="C2" i="7"/>
  <c r="C16" i="7" s="1"/>
  <c r="C55" i="7" s="1"/>
  <c r="D37" i="4"/>
  <c r="C5" i="7" l="1"/>
  <c r="C8" i="7"/>
  <c r="C10" i="7"/>
  <c r="B10" i="7"/>
  <c r="B19" i="7" s="1"/>
  <c r="B8" i="7"/>
  <c r="B5" i="7"/>
  <c r="B18" i="7" s="1"/>
  <c r="R3" i="6"/>
  <c r="V3" i="6" s="1"/>
  <c r="Y3" i="6" s="1"/>
  <c r="T3" i="6"/>
  <c r="W3" i="6" s="1"/>
  <c r="U3" i="6"/>
  <c r="X3" i="6" s="1"/>
  <c r="J5" i="6"/>
  <c r="W5" i="6"/>
  <c r="T6" i="6"/>
  <c r="W6" i="6"/>
  <c r="G7" i="6"/>
  <c r="J7" i="6"/>
  <c r="T7" i="6"/>
  <c r="W7" i="6"/>
  <c r="G8" i="6"/>
  <c r="J8" i="6"/>
  <c r="T8" i="6"/>
  <c r="W8" i="6"/>
  <c r="G9" i="6"/>
  <c r="J9" i="6"/>
  <c r="T9" i="6"/>
  <c r="W9" i="6"/>
  <c r="G10" i="6"/>
  <c r="J10" i="6"/>
  <c r="W12" i="6"/>
  <c r="F13" i="6"/>
  <c r="J13" i="6"/>
  <c r="S13" i="6"/>
  <c r="T13" i="6"/>
  <c r="W13" i="6"/>
  <c r="G14" i="6"/>
  <c r="J14" i="6"/>
  <c r="S14" i="6"/>
  <c r="T14" i="6"/>
  <c r="W14" i="6"/>
  <c r="G15" i="6"/>
  <c r="J15" i="6"/>
  <c r="S15" i="6"/>
  <c r="T15" i="6"/>
  <c r="W15" i="6"/>
  <c r="G16" i="6"/>
  <c r="J16" i="6"/>
  <c r="S16" i="6"/>
  <c r="T16" i="6"/>
  <c r="W16" i="6"/>
  <c r="G17" i="6"/>
  <c r="J17" i="6"/>
  <c r="W18" i="6"/>
  <c r="F19" i="6"/>
  <c r="J19" i="6"/>
  <c r="G20" i="6"/>
  <c r="J20" i="6"/>
  <c r="W20" i="6"/>
  <c r="X20" i="6"/>
  <c r="Y20" i="6"/>
  <c r="G21" i="6"/>
  <c r="J21" i="6"/>
  <c r="W21" i="6"/>
  <c r="X21" i="6"/>
  <c r="Y21" i="6"/>
  <c r="G22" i="6"/>
  <c r="J22" i="6"/>
  <c r="W22" i="6"/>
  <c r="X22" i="6"/>
  <c r="Y22" i="6"/>
  <c r="G23" i="6"/>
  <c r="J23" i="6"/>
  <c r="F25" i="6"/>
  <c r="J25" i="6"/>
  <c r="S25" i="6"/>
  <c r="T25" i="6"/>
  <c r="W25" i="6"/>
  <c r="S26" i="6"/>
  <c r="T26" i="6"/>
  <c r="W26" i="6"/>
  <c r="F27" i="6"/>
  <c r="J27" i="6"/>
  <c r="S27" i="6"/>
  <c r="T27" i="6"/>
  <c r="W27" i="6"/>
  <c r="F28" i="6"/>
  <c r="G28" i="6"/>
  <c r="J28" i="6"/>
  <c r="S28" i="6"/>
  <c r="T28" i="6"/>
  <c r="W28" i="6"/>
  <c r="F29" i="6"/>
  <c r="G29" i="6"/>
  <c r="J29" i="6"/>
  <c r="F30" i="6"/>
  <c r="G30" i="6"/>
  <c r="J30" i="6"/>
  <c r="W36" i="6"/>
  <c r="F31" i="6"/>
  <c r="G31" i="6"/>
  <c r="J31" i="6"/>
  <c r="S37" i="6"/>
  <c r="T37" i="6"/>
  <c r="W37" i="6"/>
  <c r="S38" i="6"/>
  <c r="T38" i="6"/>
  <c r="W38" i="6"/>
  <c r="F33" i="6"/>
  <c r="J33" i="6"/>
  <c r="S39" i="6"/>
  <c r="T39" i="6"/>
  <c r="W39" i="6"/>
  <c r="F34" i="6"/>
  <c r="G34" i="6"/>
  <c r="J34" i="6"/>
  <c r="S40" i="6"/>
  <c r="T40" i="6"/>
  <c r="W40" i="6"/>
  <c r="F35" i="6"/>
  <c r="G35" i="6"/>
  <c r="J35" i="6"/>
  <c r="F36" i="6"/>
  <c r="G36" i="6"/>
  <c r="J36" i="6"/>
  <c r="W42" i="6"/>
  <c r="F37" i="6"/>
  <c r="G37" i="6"/>
  <c r="J37" i="6"/>
  <c r="S43" i="6"/>
  <c r="T43" i="6"/>
  <c r="W43" i="6"/>
  <c r="S44" i="6"/>
  <c r="T44" i="6"/>
  <c r="W44" i="6"/>
  <c r="F39" i="6"/>
  <c r="J39" i="6"/>
  <c r="S45" i="6"/>
  <c r="T45" i="6"/>
  <c r="W45" i="6"/>
  <c r="F40" i="6"/>
  <c r="G40" i="6"/>
  <c r="J40" i="6"/>
  <c r="S46" i="6"/>
  <c r="T46" i="6"/>
  <c r="W46" i="6"/>
  <c r="F41" i="6"/>
  <c r="G41" i="6"/>
  <c r="J41" i="6"/>
  <c r="F42" i="6"/>
  <c r="G42" i="6"/>
  <c r="J42" i="6"/>
  <c r="W48" i="6"/>
  <c r="F43" i="6"/>
  <c r="G43" i="6"/>
  <c r="J43" i="6"/>
  <c r="S49" i="6"/>
  <c r="T49" i="6"/>
  <c r="W49" i="6"/>
  <c r="S50" i="6"/>
  <c r="T50" i="6"/>
  <c r="W50" i="6"/>
  <c r="F45" i="6"/>
  <c r="J45" i="6"/>
  <c r="S51" i="6"/>
  <c r="T51" i="6"/>
  <c r="W51" i="6"/>
  <c r="F46" i="6"/>
  <c r="G46" i="6"/>
  <c r="J46" i="6"/>
  <c r="S52" i="6"/>
  <c r="T52" i="6"/>
  <c r="W52" i="6"/>
  <c r="F47" i="6"/>
  <c r="G47" i="6"/>
  <c r="J47" i="6"/>
  <c r="F48" i="6"/>
  <c r="G48" i="6"/>
  <c r="J48" i="6"/>
  <c r="W54" i="6"/>
  <c r="F49" i="6"/>
  <c r="G49" i="6"/>
  <c r="J49" i="6"/>
  <c r="S55" i="6"/>
  <c r="T55" i="6"/>
  <c r="W55" i="6"/>
  <c r="S56" i="6"/>
  <c r="T56" i="6"/>
  <c r="W56" i="6"/>
  <c r="S57" i="6"/>
  <c r="T57" i="6"/>
  <c r="W57" i="6"/>
  <c r="S58" i="6"/>
  <c r="T58" i="6"/>
  <c r="W58" i="6"/>
  <c r="G8" i="1"/>
  <c r="G7" i="1"/>
  <c r="G6" i="1"/>
  <c r="C19" i="7" l="1"/>
  <c r="H10" i="7"/>
  <c r="E9" i="7"/>
  <c r="H9" i="7"/>
  <c r="H8" i="7"/>
  <c r="G9" i="7"/>
  <c r="C18" i="7"/>
  <c r="D30" i="11" s="1"/>
  <c r="H5" i="7"/>
  <c r="E8" i="7"/>
  <c r="E8" i="1"/>
  <c r="C3" i="4"/>
  <c r="G5" i="1"/>
  <c r="E7" i="1"/>
  <c r="E10" i="7"/>
  <c r="F17" i="1"/>
  <c r="B22" i="7"/>
  <c r="E5" i="1"/>
  <c r="E6" i="1"/>
  <c r="C22" i="7"/>
  <c r="D32" i="11" s="1"/>
  <c r="F51" i="6"/>
  <c r="G5" i="6"/>
  <c r="G19" i="6"/>
  <c r="G25" i="6"/>
  <c r="G33" i="6"/>
  <c r="G45" i="6"/>
  <c r="J51" i="6"/>
  <c r="G13" i="6"/>
  <c r="G27" i="6"/>
  <c r="G39" i="6"/>
  <c r="E5" i="7"/>
  <c r="B3" i="4"/>
  <c r="E19" i="7" l="1"/>
  <c r="D29" i="11"/>
  <c r="E3" i="4"/>
  <c r="E22" i="7"/>
  <c r="E18" i="7"/>
  <c r="G51" i="6"/>
  <c r="W61" i="6" l="1"/>
  <c r="W63" i="6"/>
  <c r="W62" i="6"/>
  <c r="W64" i="6"/>
  <c r="T61" i="6" l="1"/>
  <c r="S61" i="6"/>
  <c r="T62" i="6"/>
  <c r="T64" i="6"/>
  <c r="T63" i="6"/>
  <c r="S62" i="6"/>
  <c r="S64" i="6"/>
  <c r="S63" i="6"/>
  <c r="W60" i="6"/>
  <c r="S60" i="6" l="1"/>
  <c r="S30" i="6"/>
  <c r="T60" i="6"/>
  <c r="T30" i="6"/>
  <c r="T18" i="6"/>
  <c r="T48" i="6"/>
  <c r="W66" i="6"/>
  <c r="T36" i="6"/>
  <c r="T42" i="6"/>
  <c r="T5" i="6"/>
  <c r="T12" i="6"/>
  <c r="T54" i="6"/>
  <c r="S12" i="6"/>
  <c r="S36" i="6"/>
  <c r="S48" i="6"/>
  <c r="S18" i="6"/>
  <c r="S54" i="6"/>
  <c r="S5" i="6"/>
  <c r="S42" i="6"/>
  <c r="T66" i="6" l="1"/>
  <c r="S66" i="6"/>
  <c r="J52" i="6"/>
  <c r="C35" i="10" l="1"/>
  <c r="B3" i="10"/>
  <c r="B8" i="10"/>
  <c r="B4" i="10"/>
  <c r="B5" i="10"/>
  <c r="B31" i="9"/>
  <c r="K22" i="6"/>
  <c r="B6" i="9"/>
  <c r="B5" i="9"/>
  <c r="B7" i="10"/>
  <c r="C34" i="10"/>
  <c r="C36" i="10"/>
  <c r="B10" i="10"/>
  <c r="C37" i="10"/>
  <c r="B6" i="10"/>
  <c r="B29" i="9"/>
  <c r="B30" i="9"/>
  <c r="B32" i="9"/>
  <c r="B11" i="9"/>
  <c r="B2" i="9"/>
  <c r="K23" i="6"/>
  <c r="K31" i="6"/>
  <c r="X52" i="6"/>
  <c r="C38" i="4"/>
  <c r="H9" i="6"/>
  <c r="K7" i="6"/>
  <c r="K46" i="6"/>
  <c r="H46" i="6"/>
  <c r="X9" i="6"/>
  <c r="C15" i="1"/>
  <c r="X64" i="6"/>
  <c r="K28" i="6"/>
  <c r="K29" i="6"/>
  <c r="C41" i="4"/>
  <c r="K10" i="6"/>
  <c r="K17" i="6"/>
  <c r="X28" i="6"/>
  <c r="K37" i="6"/>
  <c r="K43" i="6"/>
  <c r="K49" i="6"/>
  <c r="X58" i="6"/>
  <c r="X16" i="6"/>
  <c r="X40" i="6"/>
  <c r="X46" i="6"/>
  <c r="K14" i="6"/>
  <c r="H14" i="6"/>
  <c r="K20" i="6"/>
  <c r="H20" i="6"/>
  <c r="H35" i="6"/>
  <c r="K34" i="6"/>
  <c r="H43" i="6"/>
  <c r="K40" i="6"/>
  <c r="X55" i="6"/>
  <c r="U58" i="6"/>
  <c r="B58" i="7"/>
  <c r="C14" i="1"/>
  <c r="X7" i="6"/>
  <c r="X14" i="6"/>
  <c r="K30" i="6"/>
  <c r="K36" i="6"/>
  <c r="K42" i="6"/>
  <c r="K48" i="6"/>
  <c r="X56" i="6"/>
  <c r="C39" i="4"/>
  <c r="F39" i="4" s="1"/>
  <c r="I39" i="4" s="1"/>
  <c r="K8" i="6"/>
  <c r="B9" i="8"/>
  <c r="K15" i="6"/>
  <c r="K21" i="6"/>
  <c r="X39" i="6"/>
  <c r="X45" i="6"/>
  <c r="X51" i="6"/>
  <c r="X63" i="6"/>
  <c r="B56" i="7"/>
  <c r="U7" i="6"/>
  <c r="X6" i="6"/>
  <c r="C12" i="1"/>
  <c r="X13" i="6"/>
  <c r="U13" i="6"/>
  <c r="X19" i="6"/>
  <c r="X25" i="6"/>
  <c r="X31" i="6"/>
  <c r="U40" i="6"/>
  <c r="X37" i="6"/>
  <c r="U45" i="6"/>
  <c r="X43" i="6"/>
  <c r="U49" i="6"/>
  <c r="X49" i="6"/>
  <c r="X61" i="6"/>
  <c r="U64" i="6"/>
  <c r="K9" i="6"/>
  <c r="C40" i="4"/>
  <c r="F40" i="4" s="1"/>
  <c r="I40" i="4" s="1"/>
  <c r="K16" i="6"/>
  <c r="X26" i="6"/>
  <c r="X32" i="6"/>
  <c r="X38" i="6"/>
  <c r="X44" i="6"/>
  <c r="X50" i="6"/>
  <c r="X62" i="6"/>
  <c r="X8" i="6"/>
  <c r="B10" i="8"/>
  <c r="B57" i="7"/>
  <c r="C13" i="1"/>
  <c r="X15" i="6"/>
  <c r="X27" i="6"/>
  <c r="K35" i="6"/>
  <c r="K41" i="6"/>
  <c r="K47" i="6"/>
  <c r="X57" i="6"/>
  <c r="F35" i="10" l="1"/>
  <c r="I35" i="10" s="1"/>
  <c r="B61" i="7"/>
  <c r="C45" i="4"/>
  <c r="F43" i="4" s="1"/>
  <c r="C43" i="4"/>
  <c r="F41" i="4"/>
  <c r="I41" i="4" s="1"/>
  <c r="F38" i="4"/>
  <c r="I38" i="4" s="1"/>
  <c r="F34" i="10"/>
  <c r="I34" i="10" s="1"/>
  <c r="C11" i="1"/>
  <c r="B22" i="9"/>
  <c r="U8" i="6"/>
  <c r="H15" i="6"/>
  <c r="U15" i="6"/>
  <c r="H42" i="6"/>
  <c r="F36" i="10"/>
  <c r="I36" i="10" s="1"/>
  <c r="F37" i="10"/>
  <c r="I37" i="10" s="1"/>
  <c r="C39" i="10"/>
  <c r="B9" i="10"/>
  <c r="U62" i="6"/>
  <c r="H8" i="6"/>
  <c r="H21" i="6"/>
  <c r="U57" i="6"/>
  <c r="H41" i="6"/>
  <c r="U56" i="6"/>
  <c r="H48" i="6"/>
  <c r="H40" i="6"/>
  <c r="H47" i="6"/>
  <c r="U44" i="6"/>
  <c r="U61" i="6"/>
  <c r="U55" i="6"/>
  <c r="B16" i="9"/>
  <c r="B33" i="9"/>
  <c r="H49" i="6"/>
  <c r="B10" i="9"/>
  <c r="B11" i="8"/>
  <c r="U32" i="6"/>
  <c r="H36" i="6"/>
  <c r="H10" i="6"/>
  <c r="U6" i="6"/>
  <c r="U52" i="6"/>
  <c r="U51" i="6"/>
  <c r="H34" i="6"/>
  <c r="U9" i="6"/>
  <c r="U50" i="6"/>
  <c r="H16" i="6"/>
  <c r="B7" i="7"/>
  <c r="C16" i="1"/>
  <c r="U46" i="6"/>
  <c r="U37" i="6"/>
  <c r="X30" i="6"/>
  <c r="X12" i="6"/>
  <c r="B6" i="7"/>
  <c r="B23" i="7" s="1"/>
  <c r="U63" i="6"/>
  <c r="B9" i="4"/>
  <c r="K33" i="6"/>
  <c r="U16" i="6"/>
  <c r="U28" i="6"/>
  <c r="B6" i="4"/>
  <c r="K45" i="6"/>
  <c r="B7" i="4"/>
  <c r="K5" i="6"/>
  <c r="B8" i="4"/>
  <c r="K27" i="6"/>
  <c r="U38" i="6"/>
  <c r="U26" i="6"/>
  <c r="B12" i="8"/>
  <c r="X60" i="6"/>
  <c r="X48" i="6"/>
  <c r="U31" i="6"/>
  <c r="X18" i="6"/>
  <c r="B4" i="7"/>
  <c r="N4" i="7" s="1"/>
  <c r="X5" i="6"/>
  <c r="H30" i="6"/>
  <c r="X54" i="6"/>
  <c r="B5" i="4"/>
  <c r="K39" i="6"/>
  <c r="K13" i="6"/>
  <c r="H28" i="6"/>
  <c r="B8" i="8"/>
  <c r="B3" i="8"/>
  <c r="B18" i="8" s="1"/>
  <c r="H31" i="6"/>
  <c r="U43" i="6"/>
  <c r="X42" i="6"/>
  <c r="H29" i="6"/>
  <c r="U27" i="6"/>
  <c r="U33" i="6"/>
  <c r="U34" i="6"/>
  <c r="X36" i="6"/>
  <c r="U25" i="6"/>
  <c r="B4" i="8"/>
  <c r="U39" i="6"/>
  <c r="U14" i="6"/>
  <c r="B13" i="8"/>
  <c r="H22" i="6"/>
  <c r="K19" i="6"/>
  <c r="H37" i="6"/>
  <c r="H17" i="6"/>
  <c r="H7" i="6"/>
  <c r="H23" i="6"/>
  <c r="F60" i="7" l="1"/>
  <c r="N62" i="7" s="1"/>
  <c r="B13" i="4"/>
  <c r="H38" i="10"/>
  <c r="J46" i="10" s="1"/>
  <c r="B19" i="8"/>
  <c r="H42" i="4"/>
  <c r="M61" i="4" s="1"/>
  <c r="I43" i="4"/>
  <c r="B14" i="8"/>
  <c r="F2" i="10"/>
  <c r="F39" i="10"/>
  <c r="I39" i="10" s="1"/>
  <c r="U42" i="6"/>
  <c r="B20" i="9"/>
  <c r="B23" i="9" s="1"/>
  <c r="K25" i="6"/>
  <c r="B4" i="4"/>
  <c r="U36" i="6"/>
  <c r="U18" i="6"/>
  <c r="U54" i="6"/>
  <c r="B20" i="7"/>
  <c r="U48" i="6"/>
  <c r="B3" i="7"/>
  <c r="U30" i="6"/>
  <c r="B13" i="7"/>
  <c r="X66" i="6"/>
  <c r="C10" i="1"/>
  <c r="B12" i="7" s="1"/>
  <c r="B5" i="8"/>
  <c r="U5" i="6"/>
  <c r="U60" i="6"/>
  <c r="U12" i="6"/>
  <c r="B17" i="7" l="1"/>
  <c r="N3" i="7"/>
  <c r="N2" i="7" s="1"/>
  <c r="B11" i="7"/>
  <c r="B21" i="7" s="1"/>
  <c r="B20" i="8"/>
  <c r="B10" i="4"/>
  <c r="K51" i="6"/>
  <c r="F3" i="9"/>
  <c r="B24" i="9"/>
  <c r="F8" i="9"/>
  <c r="F21" i="9"/>
  <c r="F7" i="9"/>
  <c r="F4" i="9"/>
  <c r="F17" i="9"/>
  <c r="F19" i="9"/>
  <c r="F9" i="9"/>
  <c r="F18" i="9"/>
  <c r="U66" i="6"/>
  <c r="H25" i="6"/>
  <c r="B11" i="4"/>
  <c r="C3" i="1"/>
  <c r="H27" i="6"/>
  <c r="H19" i="6"/>
  <c r="H39" i="6"/>
  <c r="H33" i="6"/>
  <c r="H5" i="6"/>
  <c r="H13" i="6"/>
  <c r="H45" i="6"/>
  <c r="K52" i="6"/>
  <c r="C44" i="4" l="1"/>
  <c r="C19" i="1"/>
  <c r="C20" i="1" s="1"/>
  <c r="F3" i="4"/>
  <c r="I11" i="4" s="1"/>
  <c r="H51" i="6"/>
  <c r="B24" i="7"/>
  <c r="F8" i="7" l="1"/>
  <c r="J8" i="7" s="1"/>
  <c r="B62" i="7"/>
  <c r="F5" i="7"/>
  <c r="J5" i="7" s="1"/>
  <c r="B25" i="7"/>
  <c r="F22" i="7"/>
  <c r="F10" i="7"/>
  <c r="J10" i="7" s="1"/>
  <c r="F9" i="7"/>
  <c r="J9" i="7" s="1"/>
  <c r="F18" i="7"/>
  <c r="F19" i="7"/>
  <c r="Y38" i="6" l="1"/>
  <c r="Y27" i="6"/>
  <c r="C29" i="9" l="1"/>
  <c r="C56" i="7"/>
  <c r="V6" i="6"/>
  <c r="D12" i="1"/>
  <c r="Y6" i="6"/>
  <c r="Y13" i="6"/>
  <c r="V14" i="6"/>
  <c r="Y19" i="6"/>
  <c r="C6" i="9"/>
  <c r="Y28" i="6"/>
  <c r="Y44" i="6"/>
  <c r="Y50" i="6"/>
  <c r="Y56" i="6"/>
  <c r="Y62" i="6"/>
  <c r="C58" i="7"/>
  <c r="C31" i="9"/>
  <c r="D14" i="1"/>
  <c r="Y7" i="6"/>
  <c r="Y14" i="6"/>
  <c r="Y25" i="6"/>
  <c r="Y31" i="6"/>
  <c r="Y39" i="6"/>
  <c r="Y45" i="6"/>
  <c r="Y51" i="6"/>
  <c r="Y57" i="6"/>
  <c r="Y64" i="6"/>
  <c r="C10" i="8"/>
  <c r="C30" i="9"/>
  <c r="D13" i="1"/>
  <c r="C57" i="7"/>
  <c r="Y8" i="6"/>
  <c r="V8" i="6"/>
  <c r="Y15" i="6"/>
  <c r="Y26" i="6"/>
  <c r="Y32" i="6"/>
  <c r="Y40" i="6"/>
  <c r="Y46" i="6"/>
  <c r="Y52" i="6"/>
  <c r="Y58" i="6"/>
  <c r="Y63" i="6"/>
  <c r="C11" i="9"/>
  <c r="D15" i="1"/>
  <c r="Y9" i="6"/>
  <c r="C2" i="9"/>
  <c r="C32" i="9"/>
  <c r="V9" i="6"/>
  <c r="Y16" i="6"/>
  <c r="C5" i="9"/>
  <c r="V32" i="6"/>
  <c r="Y37" i="6"/>
  <c r="Y43" i="6"/>
  <c r="V46" i="6"/>
  <c r="Y49" i="6"/>
  <c r="Y55" i="6"/>
  <c r="V58" i="6"/>
  <c r="Y61" i="6"/>
  <c r="V62" i="6"/>
  <c r="C61" i="7" l="1"/>
  <c r="V15" i="6"/>
  <c r="V63" i="6"/>
  <c r="V64" i="6"/>
  <c r="L15" i="6"/>
  <c r="L21" i="6"/>
  <c r="L29" i="6"/>
  <c r="L35" i="6"/>
  <c r="L41" i="6"/>
  <c r="L47" i="6"/>
  <c r="V49" i="6"/>
  <c r="Y48" i="6"/>
  <c r="E32" i="9"/>
  <c r="F15" i="1"/>
  <c r="G15" i="1" s="1"/>
  <c r="V27" i="6"/>
  <c r="D16" i="1"/>
  <c r="C7" i="7"/>
  <c r="H7" i="7" s="1"/>
  <c r="V50" i="6"/>
  <c r="V28" i="6"/>
  <c r="C4" i="7"/>
  <c r="O4" i="7" s="1"/>
  <c r="P4" i="7" s="1"/>
  <c r="Y18" i="6"/>
  <c r="E56" i="7"/>
  <c r="J60" i="7" s="1"/>
  <c r="C4" i="8"/>
  <c r="L16" i="6"/>
  <c r="L22" i="6"/>
  <c r="L30" i="6"/>
  <c r="L36" i="6"/>
  <c r="L42" i="6"/>
  <c r="L48" i="6"/>
  <c r="V55" i="6"/>
  <c r="Y54" i="6"/>
  <c r="V43" i="6"/>
  <c r="Y42" i="6"/>
  <c r="V38" i="6"/>
  <c r="Y36" i="6"/>
  <c r="V34" i="6"/>
  <c r="V33" i="6"/>
  <c r="D3" i="9"/>
  <c r="D19" i="9" s="1"/>
  <c r="C10" i="9"/>
  <c r="D7" i="9"/>
  <c r="E11" i="9"/>
  <c r="F11" i="9" s="1"/>
  <c r="D4" i="9"/>
  <c r="D17" i="9" s="1"/>
  <c r="D9" i="9"/>
  <c r="D18" i="9" s="1"/>
  <c r="D8" i="9"/>
  <c r="E57" i="7"/>
  <c r="V51" i="6"/>
  <c r="V39" i="6"/>
  <c r="Y30" i="6"/>
  <c r="F14" i="1"/>
  <c r="G14" i="1" s="1"/>
  <c r="V13" i="6"/>
  <c r="Y12" i="6"/>
  <c r="C6" i="7"/>
  <c r="C23" i="7" s="1"/>
  <c r="D34" i="11" s="1"/>
  <c r="D18" i="1"/>
  <c r="F18" i="1" s="1"/>
  <c r="C33" i="9"/>
  <c r="D32" i="9" s="1"/>
  <c r="E29" i="9"/>
  <c r="C3" i="10"/>
  <c r="L17" i="6"/>
  <c r="L23" i="6"/>
  <c r="L31" i="6"/>
  <c r="C7" i="10"/>
  <c r="C8" i="10"/>
  <c r="E8" i="10" s="1"/>
  <c r="F8" i="10" s="1"/>
  <c r="L37" i="6"/>
  <c r="L43" i="6"/>
  <c r="C4" i="10"/>
  <c r="C5" i="10"/>
  <c r="L49" i="6"/>
  <c r="V16" i="6"/>
  <c r="C16" i="9"/>
  <c r="E16" i="9" s="1"/>
  <c r="F16" i="9" s="1"/>
  <c r="E2" i="9"/>
  <c r="F2" i="9" s="1"/>
  <c r="D2" i="9"/>
  <c r="V52" i="6"/>
  <c r="V40" i="6"/>
  <c r="V26" i="6"/>
  <c r="F13" i="1"/>
  <c r="G13" i="1" s="1"/>
  <c r="V25" i="6"/>
  <c r="E31" i="9"/>
  <c r="V56" i="6"/>
  <c r="V44" i="6"/>
  <c r="E6" i="9"/>
  <c r="F6" i="9" s="1"/>
  <c r="D6" i="9"/>
  <c r="D11" i="1"/>
  <c r="E12" i="1" s="1"/>
  <c r="F12" i="1"/>
  <c r="G12" i="1" s="1"/>
  <c r="I16" i="6"/>
  <c r="L14" i="6"/>
  <c r="I14" i="6"/>
  <c r="I22" i="6"/>
  <c r="L20" i="6"/>
  <c r="I30" i="6"/>
  <c r="L28" i="6"/>
  <c r="I34" i="6"/>
  <c r="L34" i="6"/>
  <c r="I41" i="6"/>
  <c r="L40" i="6"/>
  <c r="L46" i="6"/>
  <c r="V61" i="6"/>
  <c r="Y60" i="6"/>
  <c r="V37" i="6"/>
  <c r="C22" i="9"/>
  <c r="E22" i="9" s="1"/>
  <c r="F22" i="9" s="1"/>
  <c r="E5" i="9"/>
  <c r="F5" i="9" s="1"/>
  <c r="D5" i="9"/>
  <c r="E59" i="7"/>
  <c r="E30" i="9"/>
  <c r="V57" i="6"/>
  <c r="V45" i="6"/>
  <c r="V31" i="6"/>
  <c r="E58" i="7"/>
  <c r="C13" i="8"/>
  <c r="V7" i="6"/>
  <c r="Y5" i="6"/>
  <c r="V48" i="6"/>
  <c r="C19" i="8" l="1"/>
  <c r="D60" i="7"/>
  <c r="C11" i="10"/>
  <c r="D58" i="7"/>
  <c r="H4" i="7"/>
  <c r="H6" i="7"/>
  <c r="E15" i="1"/>
  <c r="D31" i="9"/>
  <c r="D30" i="9"/>
  <c r="D22" i="9"/>
  <c r="D29" i="9"/>
  <c r="I23" i="6"/>
  <c r="V42" i="6"/>
  <c r="I15" i="6"/>
  <c r="V5" i="6"/>
  <c r="V60" i="6"/>
  <c r="I42" i="6"/>
  <c r="V18" i="6"/>
  <c r="V12" i="6"/>
  <c r="C6" i="8"/>
  <c r="C8" i="8" s="1"/>
  <c r="C10" i="10"/>
  <c r="D37" i="10"/>
  <c r="L10" i="6"/>
  <c r="C6" i="10"/>
  <c r="C9" i="10" s="1"/>
  <c r="D41" i="4"/>
  <c r="D22" i="11" s="1"/>
  <c r="L45" i="6"/>
  <c r="C6" i="4"/>
  <c r="D16" i="9"/>
  <c r="I49" i="6"/>
  <c r="E4" i="10"/>
  <c r="F4" i="10" s="1"/>
  <c r="E3" i="10"/>
  <c r="F3" i="10" s="1"/>
  <c r="L5" i="10"/>
  <c r="K60" i="7"/>
  <c r="F57" i="7"/>
  <c r="K62" i="7" s="1"/>
  <c r="D56" i="7"/>
  <c r="E61" i="7"/>
  <c r="D61" i="7"/>
  <c r="I10" i="6"/>
  <c r="L7" i="6"/>
  <c r="D34" i="10"/>
  <c r="G34" i="10" s="1"/>
  <c r="H34" i="10" s="1"/>
  <c r="D38" i="4"/>
  <c r="D23" i="11" s="1"/>
  <c r="I7" i="6"/>
  <c r="K46" i="9"/>
  <c r="F30" i="9"/>
  <c r="K48" i="9" s="1"/>
  <c r="L27" i="6"/>
  <c r="C8" i="4"/>
  <c r="F11" i="1"/>
  <c r="G11" i="1" s="1"/>
  <c r="C3" i="7"/>
  <c r="O3" i="7" s="1"/>
  <c r="E13" i="1"/>
  <c r="I31" i="6"/>
  <c r="E14" i="1"/>
  <c r="D21" i="9"/>
  <c r="F16" i="1"/>
  <c r="I29" i="6"/>
  <c r="L8" i="6"/>
  <c r="D35" i="10"/>
  <c r="C9" i="8"/>
  <c r="C11" i="8" s="1"/>
  <c r="D39" i="4"/>
  <c r="D25" i="11" s="1"/>
  <c r="C13" i="7"/>
  <c r="D10" i="1"/>
  <c r="E18" i="1" s="1"/>
  <c r="Y66" i="6"/>
  <c r="L60" i="7"/>
  <c r="F58" i="7"/>
  <c r="L62" i="7" s="1"/>
  <c r="D59" i="7"/>
  <c r="C9" i="4"/>
  <c r="L33" i="6"/>
  <c r="L13" i="6"/>
  <c r="E5" i="10"/>
  <c r="F5" i="10" s="1"/>
  <c r="I37" i="6"/>
  <c r="E7" i="10"/>
  <c r="F7" i="10" s="1"/>
  <c r="I17" i="6"/>
  <c r="J46" i="9"/>
  <c r="F29" i="9"/>
  <c r="J48" i="9" s="1"/>
  <c r="E6" i="7"/>
  <c r="F6" i="7" s="1"/>
  <c r="J6" i="7" s="1"/>
  <c r="E10" i="9"/>
  <c r="F10" i="9" s="1"/>
  <c r="D10" i="9"/>
  <c r="D20" i="9" s="1"/>
  <c r="C20" i="9"/>
  <c r="I48" i="6"/>
  <c r="I36" i="6"/>
  <c r="D36" i="10"/>
  <c r="G36" i="10" s="1"/>
  <c r="H36" i="10" s="1"/>
  <c r="D40" i="4"/>
  <c r="D24" i="11" s="1"/>
  <c r="L9" i="6"/>
  <c r="M60" i="7"/>
  <c r="F59" i="7"/>
  <c r="M62" i="7" s="1"/>
  <c r="I46" i="6"/>
  <c r="I40" i="6"/>
  <c r="L39" i="6"/>
  <c r="C5" i="4"/>
  <c r="I28" i="6"/>
  <c r="I20" i="6"/>
  <c r="L46" i="9"/>
  <c r="F31" i="9"/>
  <c r="L48" i="9" s="1"/>
  <c r="I43" i="6"/>
  <c r="E33" i="9"/>
  <c r="F33" i="9" s="1"/>
  <c r="D33" i="9"/>
  <c r="V30" i="6"/>
  <c r="D57" i="7"/>
  <c r="V36" i="6"/>
  <c r="V54" i="6"/>
  <c r="F56" i="7"/>
  <c r="J62" i="7" s="1"/>
  <c r="C20" i="7"/>
  <c r="D33" i="11" s="1"/>
  <c r="E4" i="7"/>
  <c r="F4" i="7" s="1"/>
  <c r="J4" i="7" s="1"/>
  <c r="E7" i="7"/>
  <c r="F7" i="7" s="1"/>
  <c r="J7" i="7" s="1"/>
  <c r="M46" i="9"/>
  <c r="F32" i="9"/>
  <c r="M48" i="9" s="1"/>
  <c r="I47" i="6"/>
  <c r="I35" i="6"/>
  <c r="I21" i="6"/>
  <c r="F61" i="7" l="1"/>
  <c r="O62" i="7" s="1"/>
  <c r="O60" i="7"/>
  <c r="P3" i="7"/>
  <c r="O2" i="7"/>
  <c r="P2" i="7" s="1"/>
  <c r="G38" i="4"/>
  <c r="H38" i="4" s="1"/>
  <c r="D43" i="4"/>
  <c r="E39" i="4" s="1"/>
  <c r="V66" i="6"/>
  <c r="C13" i="4"/>
  <c r="E13" i="4" s="1"/>
  <c r="F13" i="4" s="1"/>
  <c r="H3" i="7"/>
  <c r="I8" i="6"/>
  <c r="I9" i="6"/>
  <c r="D4" i="10"/>
  <c r="D3" i="10"/>
  <c r="C4" i="4"/>
  <c r="I25" i="6"/>
  <c r="L25" i="6"/>
  <c r="E17" i="1"/>
  <c r="F10" i="1"/>
  <c r="C12" i="7"/>
  <c r="D10" i="7" s="1"/>
  <c r="E11" i="1"/>
  <c r="D39" i="10"/>
  <c r="E38" i="10" s="1"/>
  <c r="D23" i="9"/>
  <c r="G37" i="10"/>
  <c r="H37" i="10" s="1"/>
  <c r="E5" i="4"/>
  <c r="F5" i="4" s="1"/>
  <c r="I13" i="4" s="1"/>
  <c r="G40" i="4"/>
  <c r="K59" i="4" s="1"/>
  <c r="C12" i="8"/>
  <c r="C14" i="8" s="1"/>
  <c r="G39" i="4"/>
  <c r="H39" i="4" s="1"/>
  <c r="C17" i="7"/>
  <c r="D28" i="11" s="1"/>
  <c r="E3" i="7"/>
  <c r="F3" i="7" s="1"/>
  <c r="J3" i="7" s="1"/>
  <c r="E8" i="4"/>
  <c r="F8" i="4" s="1"/>
  <c r="I16" i="4" s="1"/>
  <c r="D8" i="10"/>
  <c r="E9" i="10"/>
  <c r="F9" i="10" s="1"/>
  <c r="D2" i="10"/>
  <c r="G41" i="4"/>
  <c r="E20" i="7"/>
  <c r="F20" i="7" s="1"/>
  <c r="C23" i="9"/>
  <c r="E20" i="9"/>
  <c r="F20" i="9" s="1"/>
  <c r="E23" i="7"/>
  <c r="F23" i="7" s="1"/>
  <c r="E9" i="4"/>
  <c r="E16" i="1"/>
  <c r="L5" i="6"/>
  <c r="C7" i="4"/>
  <c r="I5" i="6"/>
  <c r="E6" i="4"/>
  <c r="F6" i="4" s="1"/>
  <c r="I15" i="4" s="1"/>
  <c r="E6" i="10"/>
  <c r="F6" i="10" s="1"/>
  <c r="D6" i="10"/>
  <c r="H44" i="10"/>
  <c r="H46" i="10"/>
  <c r="D7" i="10"/>
  <c r="D5" i="10"/>
  <c r="G35" i="10"/>
  <c r="H35" i="10" s="1"/>
  <c r="C3" i="8"/>
  <c r="D11" i="9"/>
  <c r="C18" i="8" l="1"/>
  <c r="C20" i="8" s="1"/>
  <c r="L59" i="4"/>
  <c r="H41" i="4"/>
  <c r="L61" i="4" s="1"/>
  <c r="E42" i="4"/>
  <c r="G43" i="4"/>
  <c r="H43" i="4" s="1"/>
  <c r="E41" i="4"/>
  <c r="F9" i="4"/>
  <c r="I17" i="4" s="1"/>
  <c r="H12" i="7"/>
  <c r="D19" i="7"/>
  <c r="D4" i="7"/>
  <c r="D20" i="7" s="1"/>
  <c r="D3" i="7"/>
  <c r="D17" i="7" s="1"/>
  <c r="E38" i="4"/>
  <c r="E40" i="4"/>
  <c r="C5" i="8"/>
  <c r="D9" i="10"/>
  <c r="I44" i="10"/>
  <c r="I46" i="10"/>
  <c r="E36" i="10"/>
  <c r="G39" i="10"/>
  <c r="E35" i="10"/>
  <c r="E7" i="4"/>
  <c r="F7" i="4" s="1"/>
  <c r="I14" i="4" s="1"/>
  <c r="E17" i="7"/>
  <c r="F17" i="7" s="1"/>
  <c r="E4" i="4"/>
  <c r="F4" i="4" s="1"/>
  <c r="I12" i="4" s="1"/>
  <c r="C10" i="4"/>
  <c r="D13" i="4" s="1"/>
  <c r="I59" i="4"/>
  <c r="I61" i="4"/>
  <c r="G44" i="10"/>
  <c r="G46" i="10"/>
  <c r="E34" i="10"/>
  <c r="C11" i="7"/>
  <c r="C21" i="7" s="1"/>
  <c r="D31" i="11" s="1"/>
  <c r="D9" i="7"/>
  <c r="D8" i="7"/>
  <c r="E12" i="7"/>
  <c r="F12" i="7" s="1"/>
  <c r="D5" i="7"/>
  <c r="D18" i="7" s="1"/>
  <c r="D7" i="7"/>
  <c r="D6" i="7"/>
  <c r="C11" i="4"/>
  <c r="L51" i="6"/>
  <c r="I33" i="6"/>
  <c r="I19" i="6"/>
  <c r="I45" i="6"/>
  <c r="I13" i="6"/>
  <c r="I27" i="6"/>
  <c r="I39" i="6"/>
  <c r="C24" i="9"/>
  <c r="E23" i="9"/>
  <c r="F23" i="9" s="1"/>
  <c r="J59" i="4"/>
  <c r="J61" i="4"/>
  <c r="H40" i="4"/>
  <c r="K61" i="4" s="1"/>
  <c r="E37" i="10"/>
  <c r="F44" i="10"/>
  <c r="F46" i="10"/>
  <c r="K44" i="10" l="1"/>
  <c r="H39" i="10"/>
  <c r="N59" i="4"/>
  <c r="D23" i="7"/>
  <c r="D22" i="7"/>
  <c r="E43" i="4"/>
  <c r="H11" i="7"/>
  <c r="I51" i="6"/>
  <c r="E39" i="10"/>
  <c r="N61" i="4"/>
  <c r="E11" i="7"/>
  <c r="F11" i="7" s="1"/>
  <c r="J11" i="7" s="1"/>
  <c r="D11" i="7"/>
  <c r="D21" i="7" s="1"/>
  <c r="E10" i="4"/>
  <c r="F10" i="4" s="1"/>
  <c r="D3" i="4"/>
  <c r="D9" i="4"/>
  <c r="D6" i="4"/>
  <c r="D5" i="4"/>
  <c r="D8" i="4"/>
  <c r="F3" i="1"/>
  <c r="G3" i="1" s="1"/>
  <c r="D19" i="1"/>
  <c r="F19" i="1" s="1"/>
  <c r="D7" i="4"/>
  <c r="K46" i="10"/>
  <c r="D44" i="4"/>
  <c r="D4" i="4"/>
  <c r="E21" i="7" l="1"/>
  <c r="F21" i="7" s="1"/>
  <c r="C24" i="7"/>
  <c r="C62" i="7" s="1"/>
  <c r="D12" i="7"/>
  <c r="D10" i="4"/>
  <c r="D24" i="7"/>
  <c r="D20" i="1"/>
  <c r="E24" i="7" l="1"/>
  <c r="F24" i="7" s="1"/>
  <c r="C25" i="7"/>
  <c r="S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GUERINVA</author>
    <author>Newten Dumanoir</author>
  </authors>
  <commentList>
    <comment ref="N6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
Divers produits techniques + reprises sur provisions</t>
        </r>
      </text>
    </comment>
    <comment ref="S68" authorId="1" shapeId="0" xr:uid="{F86A1AA9-C751-4D69-B203-0C47791E5937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pour note Sénat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Newten Dumanoir</author>
  </authors>
  <commentList>
    <comment ref="F23" authorId="0" shapeId="0" xr:uid="{C9B23FDA-C66B-450F-9A44-82A03FE92D98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-0,2 pour la note</t>
        </r>
      </text>
    </comment>
    <comment ref="F56" authorId="0" shapeId="0" xr:uid="{DB4E81AC-6DCC-4217-BEF8-55BBA22691E7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+1,1 pour la synthèse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Newten Dumanoir</author>
  </authors>
  <commentList>
    <comment ref="E3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= Montant transfert équilibrage
Pour note Sénat p. 6</t>
        </r>
      </text>
    </comment>
    <comment ref="A33" authorId="0" shapeId="0" xr:uid="{52A5FAEA-9559-417A-BC06-75990061A382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Total porduit NSA + SA</t>
        </r>
      </text>
    </comment>
    <comment ref="B33" authorId="0" shapeId="0" xr:uid="{EBB5BC69-7C0F-4187-8FA9-E58BC8F432F1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Transfert NSA + SA
</t>
        </r>
      </text>
    </comment>
  </commentList>
</comments>
</file>

<file path=xl/sharedStrings.xml><?xml version="1.0" encoding="utf-8"?>
<sst xmlns="http://schemas.openxmlformats.org/spreadsheetml/2006/main" count="459" uniqueCount="255">
  <si>
    <t>CHARGES</t>
  </si>
  <si>
    <t>dont prestations légales</t>
  </si>
  <si>
    <t>PRODUITS</t>
  </si>
  <si>
    <t>dont ITAF</t>
  </si>
  <si>
    <t>RESULTAT NET</t>
  </si>
  <si>
    <r>
      <t>ü</t>
    </r>
    <r>
      <rPr>
        <sz val="9"/>
        <rFont val="Arial"/>
        <family val="2"/>
      </rPr>
      <t xml:space="preserve"> accident du travail et maladie professionnelle</t>
    </r>
  </si>
  <si>
    <r>
      <t>ü</t>
    </r>
    <r>
      <rPr>
        <sz val="9"/>
        <rFont val="Arial"/>
        <family val="2"/>
      </rPr>
      <t xml:space="preserve"> famille</t>
    </r>
  </si>
  <si>
    <r>
      <t>ü</t>
    </r>
    <r>
      <rPr>
        <sz val="9"/>
        <rFont val="Arial"/>
        <family val="2"/>
      </rPr>
      <t xml:space="preserve"> retraite</t>
    </r>
  </si>
  <si>
    <r>
      <t>ü</t>
    </r>
    <r>
      <rPr>
        <sz val="9"/>
        <rFont val="Arial"/>
        <family val="2"/>
      </rPr>
      <t xml:space="preserve"> maladie</t>
    </r>
  </si>
  <si>
    <t>Contribution à la croissance
 (en points)</t>
  </si>
  <si>
    <r>
      <t xml:space="preserve">Régime des SA - Toutes branches
</t>
    </r>
    <r>
      <rPr>
        <b/>
        <i/>
        <sz val="9"/>
        <rFont val="Arial"/>
        <family val="2"/>
      </rPr>
      <t>Montants en millions d'euros</t>
    </r>
  </si>
  <si>
    <t>-</t>
  </si>
  <si>
    <t>TOTAL COMPENSATION MAL-MAT-INV-DEC</t>
  </si>
  <si>
    <t>TOTAL COMPENSATION AT-MP</t>
  </si>
  <si>
    <t>TOTAL COMPENSATION FAMILLE</t>
  </si>
  <si>
    <t>TOTAL COMPENSATION RETRAITE</t>
  </si>
  <si>
    <t>EVOLUTION DE LA POPULATION DE BENEFICIAIRES ET DE COTISANTS DU REGIME DES SALARIES AGRICOLES</t>
  </si>
  <si>
    <t>dont cotisations PEC Etat</t>
  </si>
  <si>
    <t>Prestations légales</t>
  </si>
  <si>
    <t>Autres charges</t>
  </si>
  <si>
    <t>Total CHARGES</t>
  </si>
  <si>
    <t>Cotisations sociales</t>
  </si>
  <si>
    <t>Autres produits</t>
  </si>
  <si>
    <t>Contributions Régime général</t>
  </si>
  <si>
    <t>Compensations des exonérations (Etat, ITAF)</t>
  </si>
  <si>
    <t>Compensation démographique</t>
  </si>
  <si>
    <t>Contribution Sociale Généralisée</t>
  </si>
  <si>
    <t>%</t>
  </si>
  <si>
    <t>Total PRODUITS</t>
  </si>
  <si>
    <t>TOTAL CONTRIB RG MAL-MAT-INV-DEC</t>
  </si>
  <si>
    <t>TOTAL CONTRIB RG AT-MP</t>
  </si>
  <si>
    <t>TOTAL CONTRIB RG FAMILLE</t>
  </si>
  <si>
    <t>TOTAL CONTRIB RG RETRAITE</t>
  </si>
  <si>
    <t>Réalisations</t>
  </si>
  <si>
    <t>Poids</t>
  </si>
  <si>
    <t>Evolutions</t>
  </si>
  <si>
    <t>PRESTATIONS SOCIALES (yc  prest extra,...)</t>
  </si>
  <si>
    <t>Prestations sociales</t>
  </si>
  <si>
    <t>Cotisations "Maladie"</t>
  </si>
  <si>
    <t>"Maladie-Maternité-Invalidité-Décès"</t>
  </si>
  <si>
    <t>Cotisations "Famille"</t>
  </si>
  <si>
    <t>Prestations sociales "AT-MP"</t>
  </si>
  <si>
    <t>Cotisations "AT"</t>
  </si>
  <si>
    <t>Prestations sociales "Famille"</t>
  </si>
  <si>
    <t>Cotisations "Vieillesse-Veuvage"</t>
  </si>
  <si>
    <t>Prestations sociales "Vieillesse-Veuvage"</t>
  </si>
  <si>
    <t>COTISATIONS PRISES EN CHARGE PAR L'ETAT</t>
  </si>
  <si>
    <t>CHARGES TECHNIQUES</t>
  </si>
  <si>
    <t>CSG</t>
  </si>
  <si>
    <t>CHARGES TECHNIQUES DIVERSES</t>
  </si>
  <si>
    <t>ITAF</t>
  </si>
  <si>
    <t>TOTAL CHARGES TECHNIQUES + DIVERSES</t>
  </si>
  <si>
    <t>CHARGES FINANCIERES</t>
  </si>
  <si>
    <t xml:space="preserve">Cotisations "Maladie" </t>
  </si>
  <si>
    <t>CHARGES EXCEPTIONNELLES</t>
  </si>
  <si>
    <t>PRODUITS FINANCIERS</t>
  </si>
  <si>
    <t>DOTATIONS AUX PROVISIONS</t>
  </si>
  <si>
    <t>PRODUITS DE GESTION COURANTE</t>
  </si>
  <si>
    <t>CHARGES DE GESTION COURANTE</t>
  </si>
  <si>
    <t>PRODUITS EXEPTIONNELS</t>
  </si>
  <si>
    <t>TOTAL DES CHARGES</t>
  </si>
  <si>
    <t>SOLDE</t>
  </si>
  <si>
    <t>AUTRES PRODUITS</t>
  </si>
  <si>
    <t>TOTAL DES PRODUITS</t>
  </si>
  <si>
    <t>Evol</t>
  </si>
  <si>
    <t>Contri croiss</t>
  </si>
  <si>
    <t>Prestations extra-légales</t>
  </si>
  <si>
    <t>Dotations aux provisions</t>
  </si>
  <si>
    <t>Gestion</t>
  </si>
  <si>
    <t>Charges techniques</t>
  </si>
  <si>
    <t>Charges financières</t>
  </si>
  <si>
    <t>Cotisations prises en charges par l'Etat</t>
  </si>
  <si>
    <t>Prise en charge de cotisations</t>
  </si>
  <si>
    <t>Prise en charge de prestations</t>
  </si>
  <si>
    <t>TOTAL PEC PREST MAL-MAT-INV-DEC</t>
  </si>
  <si>
    <t>TOTAL PEC PREST AT-MP</t>
  </si>
  <si>
    <t>TOTAL PEC PREST FAMILLE</t>
  </si>
  <si>
    <t>TOTAL PEC PREST RETRAITE</t>
  </si>
  <si>
    <t>TOTAL PEC COT MAL-MAT-INV-DEC</t>
  </si>
  <si>
    <t>TOTAL PEC COT AT-MP</t>
  </si>
  <si>
    <t>TOTAL PEC COT FAMILLE</t>
  </si>
  <si>
    <t>TOTAL PEC COT RETRAITE</t>
  </si>
  <si>
    <t>FAMILLE</t>
  </si>
  <si>
    <t>RETRAITE</t>
  </si>
  <si>
    <t>AT</t>
  </si>
  <si>
    <t>Bénéficiaires de pensions d'invalidité</t>
  </si>
  <si>
    <t>CHARGES MALADIE</t>
  </si>
  <si>
    <t>RECETTES MALADIE</t>
  </si>
  <si>
    <t>CHARGES RETRAITE</t>
  </si>
  <si>
    <t>RESULTAT MALADIE</t>
  </si>
  <si>
    <t>RECETTES RETRAITE</t>
  </si>
  <si>
    <t>RESULTAT RETRAITE</t>
  </si>
  <si>
    <t>CHARGES ATMP</t>
  </si>
  <si>
    <t>RECETTES ATMP</t>
  </si>
  <si>
    <t>RESULTAT ATMP</t>
  </si>
  <si>
    <t>CHARGES FAMILLE</t>
  </si>
  <si>
    <t>RECETTES FAMILLE</t>
  </si>
  <si>
    <t>RESULTAT FAMILLE</t>
  </si>
  <si>
    <t>CHARGES TOTALES</t>
  </si>
  <si>
    <t>RECETTES TOTALES</t>
  </si>
  <si>
    <t>RESULTAT NET TOTAL</t>
  </si>
  <si>
    <t>TOTAL CHARGES</t>
  </si>
  <si>
    <t>TOTAL PRODUITS</t>
  </si>
  <si>
    <t>Effectif en moyenne annuelle</t>
  </si>
  <si>
    <t xml:space="preserve">Bénéficiaires - maladie </t>
  </si>
  <si>
    <t>Bénéficiaires de pensions vieillesse</t>
  </si>
  <si>
    <t>Familles bénéficiaires de prestations familiales dans l'année</t>
  </si>
  <si>
    <t>Actifs cotisants au 1er juillet</t>
  </si>
  <si>
    <t>Maladie</t>
  </si>
  <si>
    <t>Retraite</t>
  </si>
  <si>
    <t>Famille</t>
  </si>
  <si>
    <t xml:space="preserve">TOTAL INTEGRATION RG </t>
  </si>
  <si>
    <t xml:space="preserve">Transferts d’équilibrage des soldes venant du Régime Général (RG)
(en millions d’euros)
</t>
  </si>
  <si>
    <t>Prise en charge de cotisations et prestations*</t>
  </si>
  <si>
    <t>Charges techniques :</t>
  </si>
  <si>
    <t>Intégration financière RG</t>
  </si>
  <si>
    <t>Contribution CNSA</t>
  </si>
  <si>
    <t>Autres produits**</t>
  </si>
  <si>
    <t>MALADIE</t>
  </si>
  <si>
    <t>ATMP</t>
  </si>
  <si>
    <t>Verif fichier CU</t>
  </si>
  <si>
    <t>CONTRIBUTION RG</t>
  </si>
  <si>
    <t>AUTRES TRANSFERTS ENTRE ORGANISMES (dont CDV)</t>
  </si>
  <si>
    <t>VERIF avec fichiers TCDC DSEF</t>
  </si>
  <si>
    <t>dont COMPENSATION DEMO</t>
  </si>
  <si>
    <t>TOTAL</t>
  </si>
  <si>
    <t>Total DEPENSES</t>
  </si>
  <si>
    <t>Total RECETTES</t>
  </si>
  <si>
    <t>Cotisations prises en charge par l'Etat</t>
  </si>
  <si>
    <t>Contribution sociale généralisée</t>
  </si>
  <si>
    <t>Contributions du régime général</t>
  </si>
  <si>
    <t>2019/2018</t>
  </si>
  <si>
    <t>2020/2019</t>
  </si>
  <si>
    <t>autres charges</t>
  </si>
  <si>
    <t>2021/2020</t>
  </si>
  <si>
    <t>Prestations sociales SASPA</t>
  </si>
  <si>
    <t>Cotisations SASPA</t>
  </si>
  <si>
    <t>vérif</t>
  </si>
  <si>
    <t>SASPA</t>
  </si>
  <si>
    <t>CHARGES SASPA</t>
  </si>
  <si>
    <t>RECETTES SASPA</t>
  </si>
  <si>
    <t>RESULTAT SASPA</t>
  </si>
  <si>
    <t>TOTAL CONTRIB RG SASPA</t>
  </si>
  <si>
    <t>Prise en charge de cotisations et prestations</t>
  </si>
  <si>
    <t>COMPENS DEMO</t>
  </si>
  <si>
    <t>2022/2021</t>
  </si>
  <si>
    <r>
      <t xml:space="preserve">Evol </t>
    </r>
    <r>
      <rPr>
        <b/>
        <sz val="10"/>
        <rFont val="Arial"/>
        <family val="2"/>
      </rPr>
      <t xml:space="preserve">charges financières et autres charges </t>
    </r>
  </si>
  <si>
    <t>TOTAL PEC COT SASPA</t>
  </si>
  <si>
    <t>TOTAL PEC PREST SASPA</t>
  </si>
  <si>
    <t>Autres produits + ITAF</t>
  </si>
  <si>
    <t>2023/2022</t>
  </si>
  <si>
    <t>ne rien saisir ci-dessus</t>
  </si>
  <si>
    <t>attention aux étiquettes de données</t>
  </si>
  <si>
    <r>
      <t xml:space="preserve">CHARGES </t>
    </r>
    <r>
      <rPr>
        <b/>
        <sz val="10"/>
        <color theme="5"/>
        <rFont val="Arial"/>
        <family val="2"/>
      </rPr>
      <t>(attention aux évol)</t>
    </r>
  </si>
  <si>
    <t>Autres charges (-%)</t>
  </si>
  <si>
    <t>(-1,9)</t>
  </si>
  <si>
    <t>(-0,1)</t>
  </si>
  <si>
    <t>Saspa</t>
  </si>
  <si>
    <t>Accident du travail</t>
  </si>
  <si>
    <t>Réalisation 2024</t>
  </si>
  <si>
    <t>2024/2023</t>
  </si>
  <si>
    <t>Evol 2024/2023</t>
  </si>
  <si>
    <t>Contri croiss 2024</t>
  </si>
  <si>
    <t>Evolution en 2024
(en %)</t>
  </si>
  <si>
    <t>Contribution à l'évolution en 2024
(en points)</t>
  </si>
  <si>
    <t>TABLEAU 2</t>
  </si>
  <si>
    <t>GRAPHIQUE 1</t>
  </si>
  <si>
    <t>TABLEAU 3</t>
  </si>
  <si>
    <t>GRAPHIQUE 2</t>
  </si>
  <si>
    <t>GRAPHIQUE 3</t>
  </si>
  <si>
    <t>TABLEAU 5</t>
  </si>
  <si>
    <t>TABLEAU 6</t>
  </si>
  <si>
    <t>TABLEAU 8</t>
  </si>
  <si>
    <t>GRAPHIQUE 5</t>
  </si>
  <si>
    <t>TABLEAU 1</t>
  </si>
  <si>
    <t>TABLEAUX</t>
  </si>
  <si>
    <t>GRAPHIQUES</t>
  </si>
  <si>
    <t>Onglet</t>
  </si>
  <si>
    <t>Régime des SA Index</t>
  </si>
  <si>
    <t>Tableau 1</t>
  </si>
  <si>
    <t>Tableau 2</t>
  </si>
  <si>
    <t>Tableau 3</t>
  </si>
  <si>
    <t>Tableau 4</t>
  </si>
  <si>
    <t>Tableau 5</t>
  </si>
  <si>
    <t>Tableau 6</t>
  </si>
  <si>
    <t>Grapgique 1</t>
  </si>
  <si>
    <t>Grapgique 2</t>
  </si>
  <si>
    <t>Grapgique 3</t>
  </si>
  <si>
    <t>Grapgique 4</t>
  </si>
  <si>
    <t>Grapgique 5</t>
  </si>
  <si>
    <t>Grapgique 6</t>
  </si>
  <si>
    <t>Préface</t>
  </si>
  <si>
    <t>Effectifs</t>
  </si>
  <si>
    <t>%charges</t>
  </si>
  <si>
    <t>SA1</t>
  </si>
  <si>
    <t>%produits</t>
  </si>
  <si>
    <t>GRAPHIQUE 4</t>
  </si>
  <si>
    <t>GRAPHIQUE 6</t>
  </si>
  <si>
    <t>Tableau 7</t>
  </si>
  <si>
    <t>Tableau 8</t>
  </si>
  <si>
    <t>Tableau 9</t>
  </si>
  <si>
    <t>Résultat net</t>
  </si>
  <si>
    <t>TABLEAU 9</t>
  </si>
  <si>
    <t>TABLEAU 3 (autre présentation)</t>
  </si>
  <si>
    <t>TABLEAU 4</t>
  </si>
  <si>
    <t>TABLEAU 7</t>
  </si>
  <si>
    <r>
      <t>ü</t>
    </r>
    <r>
      <rPr>
        <sz val="9"/>
        <color theme="0"/>
        <rFont val="Arial"/>
        <family val="2"/>
      </rPr>
      <t xml:space="preserve"> retraite</t>
    </r>
  </si>
  <si>
    <r>
      <t>ü</t>
    </r>
    <r>
      <rPr>
        <sz val="9"/>
        <color theme="0"/>
        <rFont val="Arial"/>
        <family val="2"/>
      </rPr>
      <t xml:space="preserve"> maladie-maternité-invalidité-décès</t>
    </r>
  </si>
  <si>
    <r>
      <t>ü</t>
    </r>
    <r>
      <rPr>
        <sz val="9"/>
        <color theme="0"/>
        <rFont val="Arial"/>
        <family val="2"/>
      </rPr>
      <t xml:space="preserve"> famille</t>
    </r>
  </si>
  <si>
    <r>
      <t>ü</t>
    </r>
    <r>
      <rPr>
        <sz val="9"/>
        <color theme="0"/>
        <rFont val="Arial"/>
        <family val="2"/>
      </rPr>
      <t xml:space="preserve"> accident du travail et maladie professionnelle</t>
    </r>
  </si>
  <si>
    <r>
      <t>ü</t>
    </r>
    <r>
      <rPr>
        <sz val="9"/>
        <color theme="0"/>
        <rFont val="Arial"/>
        <family val="2"/>
      </rPr>
      <t xml:space="preserve"> SASPA</t>
    </r>
  </si>
  <si>
    <t>Cotisations prises en charges par l'Etat (+9,0%)</t>
  </si>
  <si>
    <t>Cotisations employeurs</t>
  </si>
  <si>
    <t>dont cotisations employeurs</t>
  </si>
  <si>
    <t>COTISATIONS EMPLOYEURS (techniques + gestion)</t>
  </si>
  <si>
    <t>Financement professionnel</t>
  </si>
  <si>
    <t>evol</t>
  </si>
  <si>
    <t>Evolution 2025/2024</t>
  </si>
  <si>
    <t>2025/2024</t>
  </si>
  <si>
    <t>Réalisation 2025</t>
  </si>
  <si>
    <t>Structure 2025</t>
  </si>
  <si>
    <t>ok</t>
  </si>
  <si>
    <t>POPULATION DE BENEFICIAIRES ET DE COTISANTS DU REGIME DES SALARIES AGRICOLES DE 2018 A 2025</t>
  </si>
  <si>
    <t>Prestations légales (+7,6%)</t>
  </si>
  <si>
    <t>Charges techniques (-11,6%)</t>
  </si>
  <si>
    <t>Dotations aux provisions (+2,6%)</t>
  </si>
  <si>
    <t>Prestations extra-légales (-1,7%)</t>
  </si>
  <si>
    <t>Gestion (-0,2%)</t>
  </si>
  <si>
    <t>Charges financières (+8,5%)</t>
  </si>
  <si>
    <t>Evol 2025/2024</t>
  </si>
  <si>
    <t>Contri croiss 2025</t>
  </si>
  <si>
    <t>Total hors SASPA (2024)</t>
  </si>
  <si>
    <t>Evolution en 2025
(en %)</t>
  </si>
  <si>
    <t>Contribution à l'évolution en 2025
(en points)</t>
  </si>
  <si>
    <t>Cotisations employeurs (+3,8%)</t>
  </si>
  <si>
    <t>Contribution Sociale Généralisée  (+11,4%)</t>
  </si>
  <si>
    <t>Compensation démographique (-2,2%)</t>
  </si>
  <si>
    <t>ITAF (+4,0%)</t>
  </si>
  <si>
    <t>Prise en charge de cotisations (-11,3%)</t>
  </si>
  <si>
    <t>Prise en charge de prestations (+3,8%)</t>
  </si>
  <si>
    <t>Contributions Régime général (+23,0%)</t>
  </si>
  <si>
    <t>Autres produits (-1,7%)</t>
  </si>
  <si>
    <t>Bilan démographique et financier en 2025</t>
  </si>
  <si>
    <t xml:space="preserve"> </t>
  </si>
  <si>
    <t>Direction des Statistiques et de la Science des Données (DSSD)</t>
  </si>
  <si>
    <r>
      <t>Directrice de la publication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: Nadia JOUBERT</t>
    </r>
  </si>
  <si>
    <t>joubert.nadia@ccmsa.msa.fr</t>
  </si>
  <si>
    <t>Département Synthèse et Valorisation</t>
  </si>
  <si>
    <t>Responsable : David FOUCAUD</t>
  </si>
  <si>
    <t>foucaud.david@ccmsa.msa.fr</t>
  </si>
  <si>
    <t>Auteure : Newten DUMANOIR</t>
  </si>
  <si>
    <t>dumanoir.newten@ccmsa.msa.fr</t>
  </si>
  <si>
    <t>Régime des salariés agricoles</t>
  </si>
  <si>
    <t>Juin 2026</t>
  </si>
  <si>
    <t>Service Analyse du Financement et prévisions Financement et gestion du risque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</si>
</sst>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€_-;\-* #,##0.00\ _€_-;_-* &quot;-&quot;??\ _€_-;_-@_-"/>
    <numFmt numFmtId="165" formatCode="0.0"/>
    <numFmt numFmtId="166" formatCode="#,##0.0"/>
    <numFmt numFmtId="167" formatCode="0.0%"/>
    <numFmt numFmtId="168" formatCode="#,##0.0\ &quot;€&quot;"/>
    <numFmt numFmtId="169" formatCode="\+0.0%;\-0.0%;General"/>
    <numFmt numFmtId="170" formatCode="\+0.0;\-0.0;General"/>
    <numFmt numFmtId="171" formatCode="\+0.0%;\-0.0%"/>
    <numFmt numFmtId="172" formatCode="\+0.0;\-0.0"/>
    <numFmt numFmtId="173" formatCode="0.0_ ;\-0.0\ "/>
    <numFmt numFmtId="174" formatCode="\+0.00;\-0.00"/>
    <numFmt numFmtId="175" formatCode="\+0.00%;\-0.00%;General"/>
    <numFmt numFmtId="176" formatCode="_-* #,##0.0\ _€_-;\-* #,##0.0\ _€_-;_-* &quot;-&quot;??\ _€_-;_-@_-"/>
    <numFmt numFmtId="177" formatCode="\+0.00;\-0.00;General"/>
  </numFmts>
  <fonts count="8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23"/>
      <name val="Arial"/>
      <family val="2"/>
    </font>
    <font>
      <sz val="10"/>
      <color indexed="48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8"/>
      <name val="Arial"/>
      <family val="2"/>
    </font>
    <font>
      <b/>
      <i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i/>
      <sz val="8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i/>
      <sz val="8"/>
      <color indexed="10"/>
      <name val="Arial"/>
      <family val="2"/>
    </font>
    <font>
      <i/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color indexed="81"/>
      <name val="Tahoma"/>
      <family val="2"/>
    </font>
    <font>
      <sz val="10"/>
      <color indexed="54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7"/>
      <color theme="4" tint="-0.249977111117893"/>
      <name val="Arial"/>
      <family val="2"/>
    </font>
    <font>
      <sz val="10"/>
      <color rgb="FF00B05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</font>
    <font>
      <sz val="9"/>
      <color rgb="FF00B050"/>
      <name val="Arial"/>
      <family val="2"/>
    </font>
    <font>
      <b/>
      <i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0"/>
      <color theme="8"/>
      <name val="Arial"/>
      <family val="2"/>
    </font>
    <font>
      <sz val="10"/>
      <color theme="8"/>
      <name val="Arial"/>
      <family val="2"/>
    </font>
    <font>
      <sz val="10"/>
      <color rgb="FFFF0000"/>
      <name val="Arial"/>
      <family val="2"/>
    </font>
    <font>
      <i/>
      <sz val="9"/>
      <color theme="3"/>
      <name val="Arial"/>
      <family val="2"/>
    </font>
    <font>
      <sz val="10"/>
      <color theme="5"/>
      <name val="Arial"/>
      <family val="2"/>
    </font>
    <font>
      <sz val="10"/>
      <color theme="1"/>
      <name val="Arial"/>
      <family val="2"/>
    </font>
    <font>
      <b/>
      <i/>
      <sz val="8"/>
      <color rgb="FFFF0000"/>
      <name val="Arial"/>
      <family val="2"/>
    </font>
    <font>
      <sz val="8"/>
      <color theme="3"/>
      <name val="Arial"/>
      <family val="2"/>
    </font>
    <font>
      <sz val="8"/>
      <color theme="1"/>
      <name val="Arial"/>
      <family val="2"/>
    </font>
    <font>
      <b/>
      <sz val="10"/>
      <color theme="5"/>
      <name val="Arial"/>
      <family val="2"/>
    </font>
    <font>
      <sz val="9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i/>
      <sz val="8"/>
      <color theme="1"/>
      <name val="Arial"/>
      <family val="2"/>
    </font>
    <font>
      <sz val="8"/>
      <name val="Arial"/>
    </font>
    <font>
      <b/>
      <sz val="9"/>
      <color theme="0"/>
      <name val="Arial"/>
      <family val="2"/>
    </font>
    <font>
      <sz val="9"/>
      <color theme="0"/>
      <name val="Wingdings"/>
      <charset val="2"/>
    </font>
    <font>
      <i/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u/>
      <sz val="10"/>
      <color theme="10"/>
      <name val="Arial"/>
    </font>
    <font>
      <b/>
      <sz val="12"/>
      <color rgb="FF0070C0"/>
      <name val="Arial"/>
      <family val="2"/>
    </font>
    <font>
      <sz val="10"/>
      <color rgb="FF000000"/>
      <name val="Arial"/>
      <family val="2"/>
    </font>
    <font>
      <b/>
      <sz val="18"/>
      <color theme="3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2"/>
      <color theme="3"/>
      <name val="Calibri"/>
      <family val="2"/>
    </font>
    <font>
      <b/>
      <sz val="22"/>
      <color rgb="FF0070C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/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B05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B05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B050"/>
      </left>
      <right style="thin">
        <color rgb="FF00B05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B05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B050"/>
      </left>
      <right style="thin">
        <color rgb="FF00B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76" fillId="0" borderId="0" applyNumberFormat="0" applyFill="0" applyBorder="0" applyAlignment="0" applyProtection="0"/>
  </cellStyleXfs>
  <cellXfs count="611">
    <xf numFmtId="0" fontId="0" fillId="0" borderId="0" xfId="0"/>
    <xf numFmtId="0" fontId="3" fillId="0" borderId="0" xfId="0" applyFont="1"/>
    <xf numFmtId="165" fontId="0" fillId="0" borderId="0" xfId="0" applyNumberFormat="1"/>
    <xf numFmtId="0" fontId="6" fillId="0" borderId="1" xfId="0" applyFont="1" applyBorder="1"/>
    <xf numFmtId="0" fontId="8" fillId="0" borderId="0" xfId="0" applyFont="1"/>
    <xf numFmtId="165" fontId="8" fillId="0" borderId="0" xfId="0" applyNumberFormat="1" applyFont="1"/>
    <xf numFmtId="0" fontId="9" fillId="0" borderId="0" xfId="0" applyFont="1"/>
    <xf numFmtId="0" fontId="5" fillId="0" borderId="5" xfId="0" applyFont="1" applyBorder="1" applyAlignment="1">
      <alignment horizontal="left" indent="1"/>
    </xf>
    <xf numFmtId="166" fontId="3" fillId="0" borderId="7" xfId="0" applyNumberFormat="1" applyFont="1" applyBorder="1" applyAlignment="1">
      <alignment horizontal="right" indent="1"/>
    </xf>
    <xf numFmtId="166" fontId="6" fillId="0" borderId="11" xfId="0" applyNumberFormat="1" applyFont="1" applyBorder="1" applyAlignment="1">
      <alignment horizontal="right" indent="1"/>
    </xf>
    <xf numFmtId="166" fontId="6" fillId="0" borderId="12" xfId="0" applyNumberFormat="1" applyFont="1" applyBorder="1" applyAlignment="1">
      <alignment horizontal="right" indent="1"/>
    </xf>
    <xf numFmtId="166" fontId="6" fillId="0" borderId="14" xfId="0" applyNumberFormat="1" applyFont="1" applyBorder="1" applyAlignment="1">
      <alignment horizontal="right" indent="1"/>
    </xf>
    <xf numFmtId="0" fontId="10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167" fontId="3" fillId="0" borderId="0" xfId="0" applyNumberFormat="1" applyFont="1"/>
    <xf numFmtId="0" fontId="5" fillId="0" borderId="21" xfId="0" applyFont="1" applyBorder="1" applyAlignment="1">
      <alignment horizontal="left" indent="1"/>
    </xf>
    <xf numFmtId="166" fontId="6" fillId="0" borderId="24" xfId="0" applyNumberFormat="1" applyFont="1" applyBorder="1" applyAlignment="1">
      <alignment horizontal="right" indent="1"/>
    </xf>
    <xf numFmtId="0" fontId="6" fillId="0" borderId="25" xfId="0" quotePrefix="1" applyFont="1" applyBorder="1" applyAlignment="1">
      <alignment horizontal="right" indent="1"/>
    </xf>
    <xf numFmtId="167" fontId="0" fillId="0" borderId="0" xfId="0" applyNumberFormat="1"/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18" fillId="0" borderId="0" xfId="0" applyFont="1" applyFill="1" applyBorder="1" applyAlignment="1">
      <alignment horizontal="centerContinuous"/>
    </xf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19" fillId="0" borderId="0" xfId="0" quotePrefix="1" applyNumberFormat="1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" fontId="19" fillId="0" borderId="0" xfId="0" quotePrefix="1" applyNumberFormat="1" applyFont="1" applyFill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/>
    </xf>
    <xf numFmtId="3" fontId="19" fillId="0" borderId="0" xfId="0" quotePrefix="1" applyNumberFormat="1" applyFont="1" applyBorder="1" applyAlignment="1">
      <alignment horizontal="centerContinuous" vertical="center"/>
    </xf>
    <xf numFmtId="3" fontId="20" fillId="0" borderId="0" xfId="0" quotePrefix="1" applyNumberFormat="1" applyFont="1" applyBorder="1" applyAlignment="1">
      <alignment horizontal="centerContinuous" vertical="center"/>
    </xf>
    <xf numFmtId="3" fontId="10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/>
    <xf numFmtId="0" fontId="23" fillId="0" borderId="0" xfId="0" applyFont="1" applyBorder="1"/>
    <xf numFmtId="0" fontId="10" fillId="0" borderId="0" xfId="0" applyFont="1" applyBorder="1"/>
    <xf numFmtId="3" fontId="24" fillId="0" borderId="0" xfId="0" applyNumberFormat="1" applyFont="1" applyFill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1" fontId="6" fillId="4" borderId="15" xfId="0" applyNumberFormat="1" applyFont="1" applyFill="1" applyBorder="1" applyAlignment="1">
      <alignment horizontal="center" vertical="center"/>
    </xf>
    <xf numFmtId="1" fontId="25" fillId="4" borderId="15" xfId="0" applyNumberFormat="1" applyFont="1" applyFill="1" applyBorder="1" applyAlignment="1">
      <alignment horizontal="center" vertical="center"/>
    </xf>
    <xf numFmtId="1" fontId="26" fillId="0" borderId="15" xfId="1" applyNumberFormat="1" applyFont="1" applyFill="1" applyBorder="1" applyAlignment="1">
      <alignment horizontal="center" vertical="center"/>
    </xf>
    <xf numFmtId="1" fontId="27" fillId="0" borderId="15" xfId="1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25" fillId="4" borderId="15" xfId="0" applyNumberFormat="1" applyFont="1" applyFill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12" fillId="0" borderId="15" xfId="0" applyNumberFormat="1" applyFont="1" applyBorder="1" applyAlignment="1">
      <alignment horizontal="center" vertical="center"/>
    </xf>
    <xf numFmtId="0" fontId="28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26" xfId="0" applyFont="1" applyFill="1" applyBorder="1"/>
    <xf numFmtId="166" fontId="29" fillId="0" borderId="15" xfId="0" applyNumberFormat="1" applyFont="1" applyFill="1" applyBorder="1" applyAlignment="1">
      <alignment horizontal="center"/>
    </xf>
    <xf numFmtId="166" fontId="24" fillId="0" borderId="15" xfId="0" applyNumberFormat="1" applyFont="1" applyFill="1" applyBorder="1" applyAlignment="1">
      <alignment horizontal="center"/>
    </xf>
    <xf numFmtId="3" fontId="26" fillId="0" borderId="15" xfId="0" applyNumberFormat="1" applyFont="1" applyFill="1" applyBorder="1" applyAlignment="1">
      <alignment horizontal="center"/>
    </xf>
    <xf numFmtId="3" fontId="27" fillId="0" borderId="15" xfId="0" applyNumberFormat="1" applyFont="1" applyFill="1" applyBorder="1" applyAlignment="1">
      <alignment horizontal="center"/>
    </xf>
    <xf numFmtId="167" fontId="26" fillId="0" borderId="15" xfId="1" applyNumberFormat="1" applyFont="1" applyFill="1" applyBorder="1" applyAlignment="1">
      <alignment horizontal="center"/>
    </xf>
    <xf numFmtId="167" fontId="27" fillId="0" borderId="15" xfId="1" applyNumberFormat="1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center"/>
    </xf>
    <xf numFmtId="3" fontId="5" fillId="0" borderId="6" xfId="0" applyNumberFormat="1" applyFont="1" applyBorder="1"/>
    <xf numFmtId="166" fontId="29" fillId="0" borderId="15" xfId="0" applyNumberFormat="1" applyFont="1" applyBorder="1" applyAlignment="1">
      <alignment horizontal="center"/>
    </xf>
    <xf numFmtId="166" fontId="24" fillId="0" borderId="15" xfId="0" applyNumberFormat="1" applyFont="1" applyBorder="1" applyAlignment="1">
      <alignment horizontal="center"/>
    </xf>
    <xf numFmtId="167" fontId="2" fillId="0" borderId="15" xfId="0" applyNumberFormat="1" applyFont="1" applyBorder="1" applyAlignment="1">
      <alignment horizontal="center"/>
    </xf>
    <xf numFmtId="167" fontId="31" fillId="0" borderId="15" xfId="0" applyNumberFormat="1" applyFont="1" applyBorder="1" applyAlignment="1">
      <alignment horizontal="center"/>
    </xf>
    <xf numFmtId="3" fontId="0" fillId="0" borderId="15" xfId="0" applyNumberFormat="1" applyBorder="1"/>
    <xf numFmtId="0" fontId="1" fillId="0" borderId="15" xfId="0" applyFont="1" applyBorder="1"/>
    <xf numFmtId="0" fontId="9" fillId="0" borderId="15" xfId="0" applyFont="1" applyBorder="1"/>
    <xf numFmtId="0" fontId="6" fillId="5" borderId="26" xfId="0" applyFont="1" applyFill="1" applyBorder="1"/>
    <xf numFmtId="167" fontId="32" fillId="5" borderId="15" xfId="0" applyNumberFormat="1" applyFont="1" applyFill="1" applyBorder="1" applyAlignment="1">
      <alignment horizontal="center"/>
    </xf>
    <xf numFmtId="167" fontId="33" fillId="5" borderId="15" xfId="0" applyNumberFormat="1" applyFont="1" applyFill="1" applyBorder="1" applyAlignment="1">
      <alignment horizontal="center"/>
    </xf>
    <xf numFmtId="167" fontId="32" fillId="5" borderId="15" xfId="1" applyNumberFormat="1" applyFont="1" applyFill="1" applyBorder="1" applyAlignment="1">
      <alignment horizontal="center"/>
    </xf>
    <xf numFmtId="167" fontId="33" fillId="5" borderId="15" xfId="1" applyNumberFormat="1" applyFont="1" applyFill="1" applyBorder="1" applyAlignment="1">
      <alignment horizontal="center"/>
    </xf>
    <xf numFmtId="167" fontId="32" fillId="0" borderId="0" xfId="0" applyNumberFormat="1" applyFont="1" applyFill="1" applyBorder="1" applyAlignment="1">
      <alignment horizontal="center"/>
    </xf>
    <xf numFmtId="3" fontId="6" fillId="5" borderId="27" xfId="0" applyNumberFormat="1" applyFont="1" applyFill="1" applyBorder="1"/>
    <xf numFmtId="167" fontId="34" fillId="5" borderId="15" xfId="0" applyNumberFormat="1" applyFont="1" applyFill="1" applyBorder="1" applyAlignment="1">
      <alignment horizontal="center"/>
    </xf>
    <xf numFmtId="167" fontId="35" fillId="5" borderId="15" xfId="0" applyNumberFormat="1" applyFont="1" applyFill="1" applyBorder="1" applyAlignment="1">
      <alignment horizontal="center"/>
    </xf>
    <xf numFmtId="167" fontId="34" fillId="5" borderId="15" xfId="1" applyNumberFormat="1" applyFont="1" applyFill="1" applyBorder="1" applyAlignment="1">
      <alignment horizontal="center"/>
    </xf>
    <xf numFmtId="167" fontId="35" fillId="5" borderId="15" xfId="1" applyNumberFormat="1" applyFont="1" applyFill="1" applyBorder="1" applyAlignment="1">
      <alignment horizontal="center"/>
    </xf>
    <xf numFmtId="0" fontId="32" fillId="0" borderId="0" xfId="0" applyFont="1"/>
    <xf numFmtId="0" fontId="6" fillId="0" borderId="26" xfId="0" applyFont="1" applyFill="1" applyBorder="1"/>
    <xf numFmtId="166" fontId="0" fillId="0" borderId="15" xfId="0" applyNumberFormat="1" applyFill="1" applyBorder="1"/>
    <xf numFmtId="167" fontId="26" fillId="0" borderId="15" xfId="0" applyNumberFormat="1" applyFont="1" applyFill="1" applyBorder="1" applyAlignment="1">
      <alignment horizontal="center"/>
    </xf>
    <xf numFmtId="167" fontId="27" fillId="0" borderId="15" xfId="0" applyNumberFormat="1" applyFont="1" applyFill="1" applyBorder="1" applyAlignment="1">
      <alignment horizontal="center"/>
    </xf>
    <xf numFmtId="10" fontId="26" fillId="0" borderId="0" xfId="0" applyNumberFormat="1" applyFont="1" applyFill="1" applyBorder="1" applyAlignment="1">
      <alignment horizontal="center"/>
    </xf>
    <xf numFmtId="3" fontId="5" fillId="0" borderId="27" xfId="0" applyNumberFormat="1" applyFont="1" applyBorder="1"/>
    <xf numFmtId="167" fontId="2" fillId="0" borderId="15" xfId="0" applyNumberFormat="1" applyFont="1" applyFill="1" applyBorder="1" applyAlignment="1">
      <alignment horizontal="center"/>
    </xf>
    <xf numFmtId="167" fontId="31" fillId="0" borderId="15" xfId="0" applyNumberFormat="1" applyFont="1" applyFill="1" applyBorder="1" applyAlignment="1">
      <alignment horizontal="center"/>
    </xf>
    <xf numFmtId="167" fontId="2" fillId="0" borderId="15" xfId="1" applyNumberFormat="1" applyFont="1" applyFill="1" applyBorder="1" applyAlignment="1">
      <alignment horizontal="center"/>
    </xf>
    <xf numFmtId="167" fontId="31" fillId="0" borderId="15" xfId="1" applyNumberFormat="1" applyFont="1" applyFill="1" applyBorder="1" applyAlignment="1">
      <alignment horizontal="center"/>
    </xf>
    <xf numFmtId="167" fontId="26" fillId="0" borderId="0" xfId="0" applyNumberFormat="1" applyFont="1" applyFill="1" applyBorder="1" applyAlignment="1">
      <alignment horizontal="center"/>
    </xf>
    <xf numFmtId="3" fontId="6" fillId="0" borderId="27" xfId="0" applyNumberFormat="1" applyFont="1" applyBorder="1"/>
    <xf numFmtId="10" fontId="32" fillId="0" borderId="0" xfId="0" applyNumberFormat="1" applyFont="1" applyFill="1" applyBorder="1" applyAlignment="1">
      <alignment horizontal="center"/>
    </xf>
    <xf numFmtId="3" fontId="6" fillId="0" borderId="27" xfId="0" applyNumberFormat="1" applyFont="1" applyFill="1" applyBorder="1"/>
    <xf numFmtId="0" fontId="19" fillId="0" borderId="0" xfId="0" applyFont="1"/>
    <xf numFmtId="10" fontId="24" fillId="0" borderId="0" xfId="0" applyNumberFormat="1" applyFont="1" applyFill="1" applyBorder="1" applyAlignment="1">
      <alignment horizontal="center"/>
    </xf>
    <xf numFmtId="0" fontId="24" fillId="0" borderId="0" xfId="0" applyFont="1"/>
    <xf numFmtId="167" fontId="32" fillId="0" borderId="15" xfId="0" applyNumberFormat="1" applyFont="1" applyFill="1" applyBorder="1" applyAlignment="1">
      <alignment horizontal="center"/>
    </xf>
    <xf numFmtId="167" fontId="33" fillId="0" borderId="15" xfId="0" applyNumberFormat="1" applyFont="1" applyFill="1" applyBorder="1" applyAlignment="1">
      <alignment horizontal="center"/>
    </xf>
    <xf numFmtId="167" fontId="32" fillId="0" borderId="15" xfId="1" applyNumberFormat="1" applyFont="1" applyFill="1" applyBorder="1" applyAlignment="1">
      <alignment horizontal="center"/>
    </xf>
    <xf numFmtId="167" fontId="33" fillId="0" borderId="15" xfId="1" applyNumberFormat="1" applyFont="1" applyFill="1" applyBorder="1" applyAlignment="1">
      <alignment horizontal="center"/>
    </xf>
    <xf numFmtId="9" fontId="32" fillId="0" borderId="0" xfId="0" applyNumberFormat="1" applyFont="1" applyFill="1" applyBorder="1" applyAlignment="1">
      <alignment horizontal="center"/>
    </xf>
    <xf numFmtId="0" fontId="0" fillId="0" borderId="0" xfId="0" applyBorder="1"/>
    <xf numFmtId="3" fontId="32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6" fillId="6" borderId="15" xfId="0" applyFont="1" applyFill="1" applyBorder="1"/>
    <xf numFmtId="167" fontId="32" fillId="6" borderId="15" xfId="0" applyNumberFormat="1" applyFont="1" applyFill="1" applyBorder="1" applyAlignment="1">
      <alignment horizontal="center"/>
    </xf>
    <xf numFmtId="167" fontId="33" fillId="6" borderId="15" xfId="0" applyNumberFormat="1" applyFont="1" applyFill="1" applyBorder="1" applyAlignment="1">
      <alignment horizontal="center"/>
    </xf>
    <xf numFmtId="167" fontId="32" fillId="6" borderId="15" xfId="1" applyNumberFormat="1" applyFont="1" applyFill="1" applyBorder="1" applyAlignment="1">
      <alignment horizontal="center"/>
    </xf>
    <xf numFmtId="167" fontId="33" fillId="6" borderId="15" xfId="1" applyNumberFormat="1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166" fontId="25" fillId="4" borderId="15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66" fontId="29" fillId="0" borderId="0" xfId="0" applyNumberFormat="1" applyFont="1" applyFill="1" applyBorder="1" applyAlignment="1">
      <alignment horizontal="center"/>
    </xf>
    <xf numFmtId="166" fontId="24" fillId="0" borderId="0" xfId="0" applyNumberFormat="1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Border="1"/>
    <xf numFmtId="0" fontId="11" fillId="0" borderId="0" xfId="0" applyFont="1" applyFill="1"/>
    <xf numFmtId="0" fontId="17" fillId="0" borderId="0" xfId="0" applyFont="1" applyFill="1"/>
    <xf numFmtId="166" fontId="30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6" fontId="0" fillId="0" borderId="0" xfId="0" applyNumberFormat="1" applyFill="1" applyBorder="1"/>
    <xf numFmtId="166" fontId="11" fillId="0" borderId="0" xfId="0" applyNumberFormat="1" applyFont="1" applyFill="1"/>
    <xf numFmtId="166" fontId="17" fillId="0" borderId="0" xfId="0" applyNumberFormat="1" applyFont="1" applyFill="1"/>
    <xf numFmtId="0" fontId="2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67" fontId="34" fillId="0" borderId="15" xfId="0" applyNumberFormat="1" applyFont="1" applyFill="1" applyBorder="1" applyAlignment="1">
      <alignment horizontal="center"/>
    </xf>
    <xf numFmtId="167" fontId="35" fillId="0" borderId="15" xfId="0" applyNumberFormat="1" applyFont="1" applyFill="1" applyBorder="1" applyAlignment="1">
      <alignment horizontal="center"/>
    </xf>
    <xf numFmtId="167" fontId="34" fillId="0" borderId="15" xfId="1" applyNumberFormat="1" applyFont="1" applyFill="1" applyBorder="1" applyAlignment="1">
      <alignment horizontal="center"/>
    </xf>
    <xf numFmtId="167" fontId="35" fillId="0" borderId="15" xfId="1" applyNumberFormat="1" applyFont="1" applyFill="1" applyBorder="1" applyAlignment="1">
      <alignment horizontal="center"/>
    </xf>
    <xf numFmtId="3" fontId="6" fillId="6" borderId="28" xfId="0" applyNumberFormat="1" applyFont="1" applyFill="1" applyBorder="1"/>
    <xf numFmtId="167" fontId="34" fillId="6" borderId="15" xfId="0" applyNumberFormat="1" applyFont="1" applyFill="1" applyBorder="1" applyAlignment="1">
      <alignment horizontal="center"/>
    </xf>
    <xf numFmtId="167" fontId="34" fillId="6" borderId="15" xfId="1" applyNumberFormat="1" applyFont="1" applyFill="1" applyBorder="1" applyAlignment="1">
      <alignment horizontal="center"/>
    </xf>
    <xf numFmtId="3" fontId="29" fillId="0" borderId="0" xfId="0" applyNumberFormat="1" applyFont="1" applyBorder="1" applyAlignment="1">
      <alignment horizontal="center"/>
    </xf>
    <xf numFmtId="3" fontId="29" fillId="0" borderId="0" xfId="0" applyNumberFormat="1" applyFont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center"/>
    </xf>
    <xf numFmtId="167" fontId="3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9" fillId="0" borderId="0" xfId="0" applyFont="1" applyBorder="1"/>
    <xf numFmtId="3" fontId="5" fillId="0" borderId="0" xfId="0" applyNumberFormat="1" applyFont="1" applyBorder="1"/>
    <xf numFmtId="3" fontId="6" fillId="0" borderId="0" xfId="0" applyNumberFormat="1" applyFont="1" applyBorder="1"/>
    <xf numFmtId="3" fontId="5" fillId="0" borderId="0" xfId="0" applyNumberFormat="1" applyFont="1"/>
    <xf numFmtId="3" fontId="16" fillId="0" borderId="0" xfId="0" applyNumberFormat="1" applyFont="1"/>
    <xf numFmtId="167" fontId="2" fillId="0" borderId="0" xfId="0" applyNumberFormat="1" applyFont="1" applyAlignment="1">
      <alignment horizontal="center"/>
    </xf>
    <xf numFmtId="167" fontId="31" fillId="0" borderId="0" xfId="0" applyNumberFormat="1" applyFont="1" applyAlignment="1">
      <alignment horizontal="center"/>
    </xf>
    <xf numFmtId="0" fontId="1" fillId="0" borderId="0" xfId="0" applyFont="1"/>
    <xf numFmtId="166" fontId="5" fillId="0" borderId="0" xfId="0" applyNumberFormat="1" applyFont="1" applyBorder="1"/>
    <xf numFmtId="167" fontId="5" fillId="0" borderId="0" xfId="0" applyNumberFormat="1" applyFont="1"/>
    <xf numFmtId="3" fontId="0" fillId="0" borderId="0" xfId="0" applyNumberFormat="1"/>
    <xf numFmtId="3" fontId="11" fillId="0" borderId="0" xfId="0" applyNumberFormat="1" applyFont="1"/>
    <xf numFmtId="3" fontId="17" fillId="0" borderId="0" xfId="0" applyNumberFormat="1" applyFont="1"/>
    <xf numFmtId="0" fontId="10" fillId="0" borderId="0" xfId="0" applyFont="1" applyFill="1"/>
    <xf numFmtId="166" fontId="10" fillId="0" borderId="0" xfId="0" applyNumberFormat="1" applyFont="1"/>
    <xf numFmtId="167" fontId="10" fillId="0" borderId="0" xfId="0" applyNumberFormat="1" applyFont="1"/>
    <xf numFmtId="165" fontId="10" fillId="0" borderId="0" xfId="0" applyNumberFormat="1" applyFont="1"/>
    <xf numFmtId="168" fontId="0" fillId="0" borderId="0" xfId="0" applyNumberFormat="1"/>
    <xf numFmtId="166" fontId="3" fillId="0" borderId="30" xfId="0" applyNumberFormat="1" applyFont="1" applyBorder="1" applyAlignment="1">
      <alignment horizontal="right" indent="1"/>
    </xf>
    <xf numFmtId="9" fontId="6" fillId="0" borderId="11" xfId="0" applyNumberFormat="1" applyFont="1" applyBorder="1" applyAlignment="1">
      <alignment horizontal="right" indent="1"/>
    </xf>
    <xf numFmtId="9" fontId="6" fillId="0" borderId="14" xfId="0" applyNumberFormat="1" applyFont="1" applyBorder="1" applyAlignment="1">
      <alignment horizontal="right" indent="1"/>
    </xf>
    <xf numFmtId="166" fontId="30" fillId="0" borderId="15" xfId="0" applyNumberFormat="1" applyFont="1" applyFill="1" applyBorder="1" applyAlignment="1">
      <alignment horizontal="center"/>
    </xf>
    <xf numFmtId="1" fontId="26" fillId="0" borderId="15" xfId="0" applyNumberFormat="1" applyFont="1" applyFill="1" applyBorder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69" fontId="3" fillId="0" borderId="33" xfId="0" applyNumberFormat="1" applyFont="1" applyBorder="1" applyAlignment="1">
      <alignment horizontal="right" indent="1"/>
    </xf>
    <xf numFmtId="169" fontId="3" fillId="0" borderId="34" xfId="0" applyNumberFormat="1" applyFont="1" applyBorder="1" applyAlignment="1">
      <alignment horizontal="right" indent="1"/>
    </xf>
    <xf numFmtId="169" fontId="6" fillId="0" borderId="35" xfId="0" applyNumberFormat="1" applyFont="1" applyBorder="1" applyAlignment="1">
      <alignment horizontal="right" indent="1"/>
    </xf>
    <xf numFmtId="169" fontId="3" fillId="0" borderId="36" xfId="0" applyNumberFormat="1" applyFont="1" applyBorder="1" applyAlignment="1">
      <alignment horizontal="right" indent="1"/>
    </xf>
    <xf numFmtId="169" fontId="6" fillId="0" borderId="25" xfId="0" applyNumberFormat="1" applyFont="1" applyBorder="1" applyAlignment="1">
      <alignment horizontal="right" indent="1"/>
    </xf>
    <xf numFmtId="167" fontId="3" fillId="0" borderId="9" xfId="0" applyNumberFormat="1" applyFont="1" applyBorder="1" applyAlignment="1">
      <alignment horizontal="right" indent="1"/>
    </xf>
    <xf numFmtId="167" fontId="3" fillId="0" borderId="7" xfId="0" applyNumberFormat="1" applyFont="1" applyBorder="1" applyAlignment="1">
      <alignment horizontal="right" indent="1"/>
    </xf>
    <xf numFmtId="167" fontId="3" fillId="0" borderId="27" xfId="0" applyNumberFormat="1" applyFont="1" applyBorder="1" applyAlignment="1">
      <alignment horizontal="right" indent="1"/>
    </xf>
    <xf numFmtId="167" fontId="39" fillId="0" borderId="0" xfId="0" applyNumberFormat="1" applyFont="1"/>
    <xf numFmtId="170" fontId="3" fillId="0" borderId="8" xfId="0" applyNumberFormat="1" applyFont="1" applyBorder="1" applyAlignment="1">
      <alignment horizontal="right" indent="1"/>
    </xf>
    <xf numFmtId="170" fontId="3" fillId="0" borderId="10" xfId="0" applyNumberFormat="1" applyFont="1" applyBorder="1" applyAlignment="1">
      <alignment horizontal="right" indent="1"/>
    </xf>
    <xf numFmtId="170" fontId="6" fillId="0" borderId="13" xfId="0" quotePrefix="1" applyNumberFormat="1" applyFont="1" applyBorder="1" applyAlignment="1">
      <alignment horizontal="right" indent="1"/>
    </xf>
    <xf numFmtId="170" fontId="3" fillId="0" borderId="20" xfId="0" applyNumberFormat="1" applyFont="1" applyBorder="1" applyAlignment="1">
      <alignment horizontal="right" indent="1"/>
    </xf>
    <xf numFmtId="170" fontId="3" fillId="0" borderId="23" xfId="0" applyNumberFormat="1" applyFont="1" applyBorder="1" applyAlignment="1">
      <alignment horizontal="right" indent="1"/>
    </xf>
    <xf numFmtId="166" fontId="0" fillId="0" borderId="15" xfId="0" applyNumberFormat="1" applyBorder="1"/>
    <xf numFmtId="0" fontId="40" fillId="0" borderId="0" xfId="0" applyFont="1"/>
    <xf numFmtId="0" fontId="10" fillId="3" borderId="40" xfId="0" applyFont="1" applyFill="1" applyBorder="1" applyAlignment="1">
      <alignment vertical="center"/>
    </xf>
    <xf numFmtId="0" fontId="10" fillId="3" borderId="41" xfId="0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42" xfId="0" applyFont="1" applyBorder="1" applyAlignment="1">
      <alignment wrapText="1"/>
    </xf>
    <xf numFmtId="0" fontId="1" fillId="0" borderId="44" xfId="0" applyFont="1" applyBorder="1"/>
    <xf numFmtId="3" fontId="3" fillId="9" borderId="29" xfId="0" applyNumberFormat="1" applyFont="1" applyFill="1" applyBorder="1" applyAlignment="1">
      <alignment horizontal="right"/>
    </xf>
    <xf numFmtId="169" fontId="3" fillId="0" borderId="15" xfId="0" applyNumberFormat="1" applyFont="1" applyBorder="1" applyAlignment="1">
      <alignment horizontal="right"/>
    </xf>
    <xf numFmtId="169" fontId="3" fillId="0" borderId="43" xfId="0" applyNumberFormat="1" applyFont="1" applyBorder="1" applyAlignment="1">
      <alignment horizontal="right"/>
    </xf>
    <xf numFmtId="169" fontId="3" fillId="0" borderId="45" xfId="0" applyNumberFormat="1" applyFont="1" applyBorder="1" applyAlignment="1">
      <alignment horizontal="right"/>
    </xf>
    <xf numFmtId="169" fontId="3" fillId="0" borderId="46" xfId="0" applyNumberFormat="1" applyFont="1" applyBorder="1" applyAlignment="1">
      <alignment horizontal="right"/>
    </xf>
    <xf numFmtId="169" fontId="3" fillId="9" borderId="29" xfId="0" applyNumberFormat="1" applyFont="1" applyFill="1" applyBorder="1" applyAlignment="1">
      <alignment horizontal="right"/>
    </xf>
    <xf numFmtId="0" fontId="41" fillId="0" borderId="0" xfId="0" applyFont="1"/>
    <xf numFmtId="0" fontId="41" fillId="0" borderId="0" xfId="0" applyFont="1" applyAlignment="1">
      <alignment horizontal="right"/>
    </xf>
    <xf numFmtId="166" fontId="38" fillId="0" borderId="0" xfId="0" applyNumberFormat="1" applyFont="1"/>
    <xf numFmtId="165" fontId="38" fillId="0" borderId="0" xfId="0" applyNumberFormat="1" applyFont="1"/>
    <xf numFmtId="165" fontId="42" fillId="0" borderId="0" xfId="0" applyNumberFormat="1" applyFont="1"/>
    <xf numFmtId="0" fontId="3" fillId="12" borderId="49" xfId="0" applyFont="1" applyFill="1" applyBorder="1" applyAlignment="1">
      <alignment vertical="center" wrapText="1"/>
    </xf>
    <xf numFmtId="0" fontId="3" fillId="13" borderId="49" xfId="0" applyFont="1" applyFill="1" applyBorder="1" applyAlignment="1">
      <alignment vertical="center" wrapText="1"/>
    </xf>
    <xf numFmtId="0" fontId="6" fillId="11" borderId="49" xfId="0" applyFont="1" applyFill="1" applyBorder="1" applyAlignment="1">
      <alignment horizontal="right" vertical="center" wrapText="1"/>
    </xf>
    <xf numFmtId="169" fontId="3" fillId="12" borderId="47" xfId="0" applyNumberFormat="1" applyFont="1" applyFill="1" applyBorder="1" applyAlignment="1">
      <alignment horizontal="right" vertical="center" wrapText="1"/>
    </xf>
    <xf numFmtId="169" fontId="6" fillId="11" borderId="47" xfId="0" applyNumberFormat="1" applyFont="1" applyFill="1" applyBorder="1" applyAlignment="1">
      <alignment horizontal="right" vertical="center" wrapText="1"/>
    </xf>
    <xf numFmtId="9" fontId="6" fillId="0" borderId="12" xfId="0" applyNumberFormat="1" applyFont="1" applyBorder="1" applyAlignment="1">
      <alignment horizontal="right" indent="1"/>
    </xf>
    <xf numFmtId="0" fontId="1" fillId="0" borderId="0" xfId="0" applyFont="1" applyFill="1"/>
    <xf numFmtId="0" fontId="0" fillId="14" borderId="0" xfId="0" applyFill="1"/>
    <xf numFmtId="0" fontId="44" fillId="0" borderId="60" xfId="0" applyFont="1" applyBorder="1" applyAlignment="1">
      <alignment horizontal="right" indent="1"/>
    </xf>
    <xf numFmtId="0" fontId="3" fillId="0" borderId="18" xfId="0" applyFont="1" applyBorder="1" applyAlignment="1">
      <alignment horizontal="left" indent="1"/>
    </xf>
    <xf numFmtId="0" fontId="43" fillId="0" borderId="60" xfId="0" applyFont="1" applyBorder="1" applyAlignment="1">
      <alignment horizontal="right" indent="1"/>
    </xf>
    <xf numFmtId="172" fontId="0" fillId="0" borderId="0" xfId="0" applyNumberFormat="1"/>
    <xf numFmtId="166" fontId="0" fillId="0" borderId="61" xfId="0" applyNumberFormat="1" applyFill="1" applyBorder="1"/>
    <xf numFmtId="9" fontId="32" fillId="0" borderId="0" xfId="1" applyFont="1" applyFill="1" applyBorder="1" applyAlignment="1">
      <alignment horizontal="center"/>
    </xf>
    <xf numFmtId="172" fontId="0" fillId="0" borderId="61" xfId="0" applyNumberFormat="1" applyFill="1" applyBorder="1"/>
    <xf numFmtId="167" fontId="0" fillId="0" borderId="0" xfId="1" applyNumberFormat="1" applyFont="1"/>
    <xf numFmtId="167" fontId="0" fillId="0" borderId="0" xfId="0" applyNumberFormat="1" applyBorder="1"/>
    <xf numFmtId="0" fontId="46" fillId="0" borderId="0" xfId="0" applyFont="1"/>
    <xf numFmtId="166" fontId="0" fillId="0" borderId="27" xfId="0" applyNumberFormat="1" applyFill="1" applyBorder="1"/>
    <xf numFmtId="0" fontId="46" fillId="0" borderId="61" xfId="0" applyFont="1" applyFill="1" applyBorder="1"/>
    <xf numFmtId="166" fontId="0" fillId="0" borderId="27" xfId="0" applyNumberFormat="1" applyBorder="1"/>
    <xf numFmtId="169" fontId="0" fillId="0" borderId="27" xfId="0" applyNumberFormat="1" applyFill="1" applyBorder="1"/>
    <xf numFmtId="169" fontId="0" fillId="0" borderId="27" xfId="0" applyNumberFormat="1" applyBorder="1"/>
    <xf numFmtId="166" fontId="1" fillId="0" borderId="15" xfId="0" applyNumberFormat="1" applyFont="1" applyFill="1" applyBorder="1"/>
    <xf numFmtId="166" fontId="3" fillId="0" borderId="15" xfId="0" applyNumberFormat="1" applyFont="1" applyFill="1" applyBorder="1"/>
    <xf numFmtId="3" fontId="3" fillId="0" borderId="15" xfId="0" applyNumberFormat="1" applyFont="1" applyFill="1" applyBorder="1"/>
    <xf numFmtId="165" fontId="3" fillId="0" borderId="15" xfId="0" applyNumberFormat="1" applyFont="1" applyFill="1" applyBorder="1"/>
    <xf numFmtId="10" fontId="3" fillId="0" borderId="15" xfId="0" applyNumberFormat="1" applyFont="1" applyFill="1" applyBorder="1"/>
    <xf numFmtId="165" fontId="6" fillId="0" borderId="15" xfId="0" applyNumberFormat="1" applyFont="1" applyFill="1" applyBorder="1"/>
    <xf numFmtId="3" fontId="1" fillId="0" borderId="15" xfId="0" applyNumberFormat="1" applyFont="1" applyFill="1" applyBorder="1"/>
    <xf numFmtId="173" fontId="0" fillId="16" borderId="0" xfId="0" applyNumberFormat="1" applyFill="1" applyAlignment="1">
      <alignment horizontal="left"/>
    </xf>
    <xf numFmtId="170" fontId="6" fillId="11" borderId="47" xfId="2" applyNumberFormat="1" applyFont="1" applyFill="1" applyBorder="1" applyAlignment="1">
      <alignment horizontal="right" vertical="center" wrapText="1"/>
    </xf>
    <xf numFmtId="164" fontId="3" fillId="0" borderId="0" xfId="2" applyFont="1"/>
    <xf numFmtId="165" fontId="46" fillId="0" borderId="0" xfId="0" applyNumberFormat="1" applyFont="1"/>
    <xf numFmtId="166" fontId="25" fillId="8" borderId="15" xfId="0" applyNumberFormat="1" applyFont="1" applyFill="1" applyBorder="1"/>
    <xf numFmtId="166" fontId="25" fillId="17" borderId="15" xfId="0" applyNumberFormat="1" applyFont="1" applyFill="1" applyBorder="1"/>
    <xf numFmtId="0" fontId="51" fillId="0" borderId="0" xfId="0" applyFont="1"/>
    <xf numFmtId="167" fontId="52" fillId="0" borderId="0" xfId="0" applyNumberFormat="1" applyFont="1"/>
    <xf numFmtId="0" fontId="3" fillId="0" borderId="26" xfId="0" applyFont="1" applyFill="1" applyBorder="1"/>
    <xf numFmtId="3" fontId="3" fillId="0" borderId="27" xfId="0" applyNumberFormat="1" applyFont="1" applyBorder="1"/>
    <xf numFmtId="166" fontId="16" fillId="0" borderId="15" xfId="0" applyNumberFormat="1" applyFont="1" applyFill="1" applyBorder="1"/>
    <xf numFmtId="169" fontId="0" fillId="0" borderId="15" xfId="0" applyNumberFormat="1" applyFill="1" applyBorder="1"/>
    <xf numFmtId="169" fontId="0" fillId="0" borderId="15" xfId="0" applyNumberFormat="1" applyBorder="1"/>
    <xf numFmtId="0" fontId="0" fillId="0" borderId="42" xfId="0" applyFill="1" applyBorder="1"/>
    <xf numFmtId="0" fontId="0" fillId="0" borderId="42" xfId="0" applyBorder="1"/>
    <xf numFmtId="0" fontId="10" fillId="0" borderId="44" xfId="0" applyFont="1" applyBorder="1"/>
    <xf numFmtId="169" fontId="10" fillId="0" borderId="45" xfId="0" applyNumberFormat="1" applyFont="1" applyBorder="1"/>
    <xf numFmtId="165" fontId="10" fillId="0" borderId="46" xfId="0" applyNumberFormat="1" applyFont="1" applyBorder="1"/>
    <xf numFmtId="0" fontId="53" fillId="0" borderId="0" xfId="0" applyFont="1" applyAlignment="1">
      <alignment horizontal="right"/>
    </xf>
    <xf numFmtId="166" fontId="1" fillId="0" borderId="15" xfId="0" applyNumberFormat="1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166" fontId="0" fillId="0" borderId="65" xfId="0" applyNumberFormat="1" applyFill="1" applyBorder="1"/>
    <xf numFmtId="166" fontId="0" fillId="0" borderId="66" xfId="0" applyNumberFormat="1" applyFill="1" applyBorder="1"/>
    <xf numFmtId="167" fontId="0" fillId="0" borderId="65" xfId="0" applyNumberFormat="1" applyFill="1" applyBorder="1"/>
    <xf numFmtId="167" fontId="0" fillId="0" borderId="66" xfId="0" applyNumberFormat="1" applyFill="1" applyBorder="1"/>
    <xf numFmtId="169" fontId="0" fillId="0" borderId="65" xfId="0" applyNumberFormat="1" applyFill="1" applyBorder="1"/>
    <xf numFmtId="169" fontId="0" fillId="0" borderId="66" xfId="0" applyNumberFormat="1" applyFill="1" applyBorder="1"/>
    <xf numFmtId="0" fontId="44" fillId="0" borderId="60" xfId="0" applyFont="1" applyBorder="1" applyAlignment="1">
      <alignment horizontal="center"/>
    </xf>
    <xf numFmtId="166" fontId="0" fillId="0" borderId="28" xfId="0" applyNumberFormat="1" applyFill="1" applyBorder="1"/>
    <xf numFmtId="166" fontId="0" fillId="0" borderId="28" xfId="0" applyNumberFormat="1" applyBorder="1"/>
    <xf numFmtId="166" fontId="10" fillId="0" borderId="68" xfId="0" applyNumberFormat="1" applyFont="1" applyBorder="1"/>
    <xf numFmtId="167" fontId="54" fillId="0" borderId="38" xfId="0" applyNumberFormat="1" applyFont="1" applyFill="1" applyBorder="1"/>
    <xf numFmtId="167" fontId="54" fillId="0" borderId="38" xfId="0" applyNumberFormat="1" applyFont="1" applyBorder="1"/>
    <xf numFmtId="167" fontId="54" fillId="0" borderId="69" xfId="0" applyNumberFormat="1" applyFont="1" applyBorder="1"/>
    <xf numFmtId="166" fontId="0" fillId="0" borderId="70" xfId="0" applyNumberFormat="1" applyFill="1" applyBorder="1"/>
    <xf numFmtId="166" fontId="0" fillId="0" borderId="70" xfId="0" applyNumberFormat="1" applyBorder="1"/>
    <xf numFmtId="166" fontId="10" fillId="0" borderId="71" xfId="0" applyNumberFormat="1" applyFont="1" applyBorder="1"/>
    <xf numFmtId="166" fontId="10" fillId="0" borderId="67" xfId="0" applyNumberFormat="1" applyFont="1" applyFill="1" applyBorder="1"/>
    <xf numFmtId="167" fontId="10" fillId="0" borderId="67" xfId="0" applyNumberFormat="1" applyFont="1" applyFill="1" applyBorder="1"/>
    <xf numFmtId="172" fontId="10" fillId="0" borderId="67" xfId="0" applyNumberFormat="1" applyFont="1" applyFill="1" applyBorder="1"/>
    <xf numFmtId="174" fontId="0" fillId="14" borderId="0" xfId="0" applyNumberFormat="1" applyFill="1"/>
    <xf numFmtId="3" fontId="58" fillId="0" borderId="0" xfId="0" applyNumberFormat="1" applyFont="1"/>
    <xf numFmtId="172" fontId="0" fillId="14" borderId="0" xfId="0" applyNumberFormat="1" applyFill="1"/>
    <xf numFmtId="166" fontId="59" fillId="21" borderId="0" xfId="0" applyNumberFormat="1" applyFont="1" applyFill="1"/>
    <xf numFmtId="167" fontId="38" fillId="21" borderId="0" xfId="1" applyNumberFormat="1" applyFont="1" applyFill="1"/>
    <xf numFmtId="165" fontId="0" fillId="0" borderId="43" xfId="0" applyNumberFormat="1" applyFill="1" applyBorder="1"/>
    <xf numFmtId="165" fontId="0" fillId="0" borderId="43" xfId="0" applyNumberFormat="1" applyBorder="1"/>
    <xf numFmtId="173" fontId="0" fillId="0" borderId="0" xfId="0" applyNumberFormat="1"/>
    <xf numFmtId="166" fontId="25" fillId="0" borderId="15" xfId="0" applyNumberFormat="1" applyFont="1" applyFill="1" applyBorder="1"/>
    <xf numFmtId="166" fontId="61" fillId="0" borderId="0" xfId="0" quotePrefix="1" applyNumberFormat="1" applyFont="1" applyFill="1" applyBorder="1" applyAlignment="1">
      <alignment horizontal="centerContinuous" vertical="center"/>
    </xf>
    <xf numFmtId="3" fontId="16" fillId="0" borderId="15" xfId="0" applyNumberFormat="1" applyFont="1" applyFill="1" applyBorder="1"/>
    <xf numFmtId="165" fontId="16" fillId="0" borderId="15" xfId="0" applyNumberFormat="1" applyFont="1" applyFill="1" applyBorder="1"/>
    <xf numFmtId="0" fontId="62" fillId="0" borderId="0" xfId="0" applyFont="1"/>
    <xf numFmtId="166" fontId="9" fillId="0" borderId="15" xfId="0" applyNumberFormat="1" applyFont="1" applyFill="1" applyBorder="1"/>
    <xf numFmtId="167" fontId="63" fillId="0" borderId="15" xfId="0" applyNumberFormat="1" applyFont="1" applyFill="1" applyBorder="1" applyAlignment="1">
      <alignment horizontal="center"/>
    </xf>
    <xf numFmtId="0" fontId="59" fillId="0" borderId="0" xfId="0" applyFont="1"/>
    <xf numFmtId="0" fontId="1" fillId="19" borderId="0" xfId="0" applyFont="1" applyFill="1"/>
    <xf numFmtId="9" fontId="1" fillId="0" borderId="0" xfId="1" applyFont="1"/>
    <xf numFmtId="175" fontId="0" fillId="0" borderId="27" xfId="0" applyNumberFormat="1" applyFill="1" applyBorder="1"/>
    <xf numFmtId="175" fontId="0" fillId="0" borderId="27" xfId="0" applyNumberFormat="1" applyBorder="1"/>
    <xf numFmtId="166" fontId="0" fillId="16" borderId="0" xfId="0" applyNumberFormat="1" applyFill="1" applyBorder="1"/>
    <xf numFmtId="166" fontId="57" fillId="16" borderId="0" xfId="0" applyNumberFormat="1" applyFont="1" applyFill="1" applyBorder="1"/>
    <xf numFmtId="166" fontId="0" fillId="16" borderId="61" xfId="0" applyNumberFormat="1" applyFill="1" applyBorder="1"/>
    <xf numFmtId="166" fontId="0" fillId="16" borderId="66" xfId="0" applyNumberFormat="1" applyFill="1" applyBorder="1"/>
    <xf numFmtId="167" fontId="0" fillId="16" borderId="66" xfId="0" applyNumberFormat="1" applyFill="1" applyBorder="1"/>
    <xf numFmtId="0" fontId="55" fillId="16" borderId="0" xfId="0" applyFont="1" applyFill="1"/>
    <xf numFmtId="166" fontId="55" fillId="16" borderId="0" xfId="0" applyNumberFormat="1" applyFont="1" applyFill="1"/>
    <xf numFmtId="167" fontId="0" fillId="16" borderId="61" xfId="0" applyNumberFormat="1" applyFill="1" applyBorder="1"/>
    <xf numFmtId="172" fontId="0" fillId="16" borderId="61" xfId="0" applyNumberFormat="1" applyFill="1" applyBorder="1"/>
    <xf numFmtId="0" fontId="51" fillId="16" borderId="0" xfId="0" applyFont="1" applyFill="1"/>
    <xf numFmtId="166" fontId="51" fillId="16" borderId="0" xfId="0" applyNumberFormat="1" applyFont="1" applyFill="1"/>
    <xf numFmtId="167" fontId="51" fillId="16" borderId="0" xfId="0" applyNumberFormat="1" applyFont="1" applyFill="1"/>
    <xf numFmtId="169" fontId="51" fillId="16" borderId="62" xfId="0" applyNumberFormat="1" applyFont="1" applyFill="1" applyBorder="1"/>
    <xf numFmtId="165" fontId="51" fillId="16" borderId="63" xfId="0" applyNumberFormat="1" applyFont="1" applyFill="1" applyBorder="1"/>
    <xf numFmtId="0" fontId="1" fillId="16" borderId="0" xfId="0" applyFont="1" applyFill="1"/>
    <xf numFmtId="172" fontId="0" fillId="16" borderId="0" xfId="0" applyNumberFormat="1" applyFill="1"/>
    <xf numFmtId="0" fontId="0" fillId="16" borderId="42" xfId="0" applyFill="1" applyBorder="1"/>
    <xf numFmtId="166" fontId="0" fillId="16" borderId="28" xfId="0" applyNumberFormat="1" applyFill="1" applyBorder="1"/>
    <xf numFmtId="166" fontId="0" fillId="16" borderId="70" xfId="0" applyNumberFormat="1" applyFill="1" applyBorder="1"/>
    <xf numFmtId="167" fontId="54" fillId="16" borderId="38" xfId="0" applyNumberFormat="1" applyFont="1" applyFill="1" applyBorder="1"/>
    <xf numFmtId="169" fontId="0" fillId="16" borderId="15" xfId="0" applyNumberFormat="1" applyFill="1" applyBorder="1"/>
    <xf numFmtId="165" fontId="0" fillId="16" borderId="43" xfId="0" applyNumberFormat="1" applyFill="1" applyBorder="1"/>
    <xf numFmtId="169" fontId="3" fillId="16" borderId="43" xfId="0" applyNumberFormat="1" applyFont="1" applyFill="1" applyBorder="1" applyAlignment="1">
      <alignment horizontal="right"/>
    </xf>
    <xf numFmtId="169" fontId="3" fillId="16" borderId="46" xfId="0" applyNumberFormat="1" applyFont="1" applyFill="1" applyBorder="1" applyAlignment="1">
      <alignment horizontal="right"/>
    </xf>
    <xf numFmtId="169" fontId="65" fillId="22" borderId="32" xfId="0" applyNumberFormat="1" applyFont="1" applyFill="1" applyBorder="1" applyAlignment="1">
      <alignment horizontal="right" indent="1"/>
    </xf>
    <xf numFmtId="170" fontId="3" fillId="22" borderId="8" xfId="0" applyNumberFormat="1" applyFont="1" applyFill="1" applyBorder="1" applyAlignment="1">
      <alignment horizontal="right" indent="1"/>
    </xf>
    <xf numFmtId="169" fontId="65" fillId="22" borderId="33" xfId="0" applyNumberFormat="1" applyFont="1" applyFill="1" applyBorder="1" applyAlignment="1">
      <alignment horizontal="right" indent="1"/>
    </xf>
    <xf numFmtId="170" fontId="3" fillId="22" borderId="59" xfId="0" applyNumberFormat="1" applyFont="1" applyFill="1" applyBorder="1" applyAlignment="1">
      <alignment horizontal="right" indent="1"/>
    </xf>
    <xf numFmtId="170" fontId="3" fillId="22" borderId="55" xfId="0" applyNumberFormat="1" applyFont="1" applyFill="1" applyBorder="1" applyAlignment="1">
      <alignment horizontal="right" indent="1"/>
    </xf>
    <xf numFmtId="170" fontId="3" fillId="22" borderId="10" xfId="0" applyNumberFormat="1" applyFont="1" applyFill="1" applyBorder="1" applyAlignment="1">
      <alignment horizontal="right" indent="1"/>
    </xf>
    <xf numFmtId="0" fontId="4" fillId="18" borderId="5" xfId="0" applyFont="1" applyFill="1" applyBorder="1" applyAlignment="1">
      <alignment horizontal="left" indent="2"/>
    </xf>
    <xf numFmtId="169" fontId="3" fillId="18" borderId="34" xfId="0" applyNumberFormat="1" applyFont="1" applyFill="1" applyBorder="1" applyAlignment="1">
      <alignment horizontal="right" indent="1"/>
    </xf>
    <xf numFmtId="170" fontId="68" fillId="11" borderId="47" xfId="2" applyNumberFormat="1" applyFont="1" applyFill="1" applyBorder="1" applyAlignment="1">
      <alignment horizontal="right" vertical="center" wrapText="1"/>
    </xf>
    <xf numFmtId="169" fontId="3" fillId="0" borderId="43" xfId="0" applyNumberFormat="1" applyFont="1" applyFill="1" applyBorder="1" applyAlignment="1">
      <alignment horizontal="right"/>
    </xf>
    <xf numFmtId="169" fontId="3" fillId="0" borderId="46" xfId="0" applyNumberFormat="1" applyFont="1" applyFill="1" applyBorder="1" applyAlignment="1">
      <alignment horizontal="right"/>
    </xf>
    <xf numFmtId="169" fontId="3" fillId="0" borderId="15" xfId="0" applyNumberFormat="1" applyFont="1" applyFill="1" applyBorder="1" applyAlignment="1">
      <alignment horizontal="right"/>
    </xf>
    <xf numFmtId="0" fontId="1" fillId="16" borderId="73" xfId="0" applyFont="1" applyFill="1" applyBorder="1"/>
    <xf numFmtId="167" fontId="0" fillId="16" borderId="0" xfId="0" applyNumberFormat="1" applyFill="1" applyBorder="1"/>
    <xf numFmtId="165" fontId="0" fillId="16" borderId="74" xfId="0" applyNumberFormat="1" applyFill="1" applyBorder="1"/>
    <xf numFmtId="0" fontId="0" fillId="0" borderId="73" xfId="0" applyFill="1" applyBorder="1"/>
    <xf numFmtId="167" fontId="0" fillId="0" borderId="0" xfId="0" applyNumberFormat="1" applyFill="1" applyBorder="1"/>
    <xf numFmtId="165" fontId="0" fillId="0" borderId="74" xfId="0" applyNumberFormat="1" applyFill="1" applyBorder="1"/>
    <xf numFmtId="0" fontId="0" fillId="16" borderId="73" xfId="0" applyFill="1" applyBorder="1"/>
    <xf numFmtId="0" fontId="10" fillId="0" borderId="75" xfId="0" applyFont="1" applyBorder="1"/>
    <xf numFmtId="166" fontId="10" fillId="0" borderId="76" xfId="0" applyNumberFormat="1" applyFont="1" applyBorder="1"/>
    <xf numFmtId="166" fontId="10" fillId="0" borderId="77" xfId="0" applyNumberFormat="1" applyFont="1" applyBorder="1"/>
    <xf numFmtId="167" fontId="10" fillId="0" borderId="76" xfId="0" applyNumberFormat="1" applyFont="1" applyBorder="1"/>
    <xf numFmtId="167" fontId="55" fillId="0" borderId="76" xfId="0" applyNumberFormat="1" applyFont="1" applyBorder="1"/>
    <xf numFmtId="167" fontId="10" fillId="16" borderId="77" xfId="0" applyNumberFormat="1" applyFont="1" applyFill="1" applyBorder="1"/>
    <xf numFmtId="172" fontId="10" fillId="0" borderId="77" xfId="0" applyNumberFormat="1" applyFont="1" applyBorder="1"/>
    <xf numFmtId="165" fontId="56" fillId="0" borderId="78" xfId="0" applyNumberFormat="1" applyFont="1" applyFill="1" applyBorder="1"/>
    <xf numFmtId="0" fontId="10" fillId="0" borderId="79" xfId="0" applyFont="1" applyBorder="1"/>
    <xf numFmtId="0" fontId="10" fillId="0" borderId="80" xfId="0" applyFont="1" applyBorder="1" applyAlignment="1">
      <alignment horizontal="center" vertical="center"/>
    </xf>
    <xf numFmtId="1" fontId="10" fillId="0" borderId="80" xfId="0" applyNumberFormat="1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82" xfId="0" applyFont="1" applyBorder="1"/>
    <xf numFmtId="0" fontId="10" fillId="0" borderId="83" xfId="0" applyFont="1" applyBorder="1"/>
    <xf numFmtId="170" fontId="0" fillId="0" borderId="74" xfId="0" applyNumberFormat="1" applyFill="1" applyBorder="1"/>
    <xf numFmtId="170" fontId="10" fillId="0" borderId="78" xfId="0" applyNumberFormat="1" applyFont="1" applyBorder="1"/>
    <xf numFmtId="0" fontId="10" fillId="0" borderId="17" xfId="0" applyFont="1" applyBorder="1" applyAlignment="1">
      <alignment horizontal="center" vertical="center"/>
    </xf>
    <xf numFmtId="0" fontId="0" fillId="0" borderId="84" xfId="0" applyFill="1" applyBorder="1"/>
    <xf numFmtId="0" fontId="57" fillId="16" borderId="84" xfId="0" applyFont="1" applyFill="1" applyBorder="1"/>
    <xf numFmtId="0" fontId="1" fillId="0" borderId="84" xfId="0" applyFont="1" applyFill="1" applyBorder="1"/>
    <xf numFmtId="0" fontId="1" fillId="16" borderId="84" xfId="0" applyFont="1" applyFill="1" applyBorder="1"/>
    <xf numFmtId="0" fontId="0" fillId="16" borderId="84" xfId="0" applyFill="1" applyBorder="1"/>
    <xf numFmtId="0" fontId="10" fillId="0" borderId="85" xfId="0" applyFont="1" applyFill="1" applyBorder="1"/>
    <xf numFmtId="166" fontId="57" fillId="16" borderId="66" xfId="0" applyNumberFormat="1" applyFont="1" applyFill="1" applyBorder="1"/>
    <xf numFmtId="166" fontId="10" fillId="0" borderId="67" xfId="0" applyNumberFormat="1" applyFont="1" applyBorder="1"/>
    <xf numFmtId="166" fontId="10" fillId="16" borderId="76" xfId="0" applyNumberFormat="1" applyFont="1" applyFill="1" applyBorder="1"/>
    <xf numFmtId="169" fontId="0" fillId="16" borderId="0" xfId="0" applyNumberFormat="1" applyFill="1" applyBorder="1"/>
    <xf numFmtId="169" fontId="57" fillId="16" borderId="0" xfId="0" applyNumberFormat="1" applyFont="1" applyFill="1" applyBorder="1"/>
    <xf numFmtId="169" fontId="10" fillId="16" borderId="76" xfId="0" applyNumberFormat="1" applyFont="1" applyFill="1" applyBorder="1"/>
    <xf numFmtId="167" fontId="10" fillId="0" borderId="67" xfId="0" applyNumberFormat="1" applyFont="1" applyBorder="1"/>
    <xf numFmtId="170" fontId="10" fillId="0" borderId="67" xfId="0" applyNumberFormat="1" applyFont="1" applyBorder="1"/>
    <xf numFmtId="0" fontId="10" fillId="0" borderId="85" xfId="0" applyFont="1" applyBorder="1"/>
    <xf numFmtId="166" fontId="10" fillId="0" borderId="76" xfId="0" applyNumberFormat="1" applyFont="1" applyFill="1" applyBorder="1"/>
    <xf numFmtId="167" fontId="10" fillId="0" borderId="76" xfId="0" applyNumberFormat="1" applyFont="1" applyFill="1" applyBorder="1"/>
    <xf numFmtId="0" fontId="44" fillId="0" borderId="60" xfId="0" applyFont="1" applyBorder="1" applyAlignment="1">
      <alignment horizontal="center" vertical="center"/>
    </xf>
    <xf numFmtId="165" fontId="0" fillId="0" borderId="87" xfId="0" applyNumberFormat="1" applyFill="1" applyBorder="1"/>
    <xf numFmtId="0" fontId="0" fillId="0" borderId="84" xfId="0" applyBorder="1"/>
    <xf numFmtId="165" fontId="0" fillId="0" borderId="87" xfId="0" applyNumberFormat="1" applyBorder="1"/>
    <xf numFmtId="166" fontId="10" fillId="0" borderId="12" xfId="0" applyNumberFormat="1" applyFont="1" applyBorder="1"/>
    <xf numFmtId="169" fontId="10" fillId="0" borderId="12" xfId="0" applyNumberFormat="1" applyFont="1" applyBorder="1"/>
    <xf numFmtId="165" fontId="10" fillId="0" borderId="13" xfId="0" applyNumberFormat="1" applyFont="1" applyBorder="1"/>
    <xf numFmtId="1" fontId="10" fillId="0" borderId="17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66" fontId="0" fillId="0" borderId="84" xfId="0" applyNumberFormat="1" applyFill="1" applyBorder="1"/>
    <xf numFmtId="166" fontId="0" fillId="0" borderId="84" xfId="0" applyNumberFormat="1" applyBorder="1"/>
    <xf numFmtId="166" fontId="10" fillId="0" borderId="85" xfId="0" applyNumberFormat="1" applyFont="1" applyBorder="1"/>
    <xf numFmtId="0" fontId="10" fillId="0" borderId="17" xfId="0" applyFont="1" applyBorder="1"/>
    <xf numFmtId="165" fontId="0" fillId="0" borderId="66" xfId="0" applyNumberFormat="1" applyFill="1" applyBorder="1"/>
    <xf numFmtId="165" fontId="10" fillId="0" borderId="67" xfId="0" applyNumberFormat="1" applyFont="1" applyBorder="1"/>
    <xf numFmtId="165" fontId="0" fillId="0" borderId="67" xfId="0" applyNumberFormat="1" applyFill="1" applyBorder="1"/>
    <xf numFmtId="166" fontId="60" fillId="0" borderId="66" xfId="0" applyNumberFormat="1" applyFont="1" applyBorder="1"/>
    <xf numFmtId="166" fontId="57" fillId="0" borderId="66" xfId="0" applyNumberFormat="1" applyFont="1" applyBorder="1"/>
    <xf numFmtId="166" fontId="0" fillId="0" borderId="66" xfId="0" applyNumberFormat="1" applyBorder="1"/>
    <xf numFmtId="167" fontId="0" fillId="0" borderId="66" xfId="0" applyNumberFormat="1" applyBorder="1"/>
    <xf numFmtId="167" fontId="57" fillId="0" borderId="66" xfId="0" applyNumberFormat="1" applyFont="1" applyBorder="1"/>
    <xf numFmtId="0" fontId="0" fillId="0" borderId="66" xfId="0" applyBorder="1"/>
    <xf numFmtId="0" fontId="57" fillId="0" borderId="66" xfId="0" applyFont="1" applyFill="1" applyBorder="1"/>
    <xf numFmtId="0" fontId="0" fillId="0" borderId="66" xfId="0" applyFill="1" applyBorder="1"/>
    <xf numFmtId="0" fontId="10" fillId="0" borderId="67" xfId="0" applyFont="1" applyFill="1" applyBorder="1"/>
    <xf numFmtId="169" fontId="0" fillId="19" borderId="66" xfId="0" applyNumberFormat="1" applyFill="1" applyBorder="1"/>
    <xf numFmtId="169" fontId="57" fillId="19" borderId="66" xfId="0" applyNumberFormat="1" applyFont="1" applyFill="1" applyBorder="1"/>
    <xf numFmtId="169" fontId="10" fillId="0" borderId="67" xfId="0" applyNumberFormat="1" applyFont="1" applyBorder="1"/>
    <xf numFmtId="165" fontId="0" fillId="0" borderId="66" xfId="0" applyNumberFormat="1" applyBorder="1"/>
    <xf numFmtId="165" fontId="57" fillId="0" borderId="66" xfId="0" applyNumberFormat="1" applyFont="1" applyBorder="1"/>
    <xf numFmtId="166" fontId="38" fillId="0" borderId="0" xfId="0" applyNumberFormat="1" applyFont="1" applyBorder="1"/>
    <xf numFmtId="1" fontId="10" fillId="0" borderId="17" xfId="0" applyNumberFormat="1" applyFont="1" applyBorder="1" applyAlignment="1">
      <alignment horizontal="center" vertical="center"/>
    </xf>
    <xf numFmtId="0" fontId="0" fillId="16" borderId="88" xfId="0" applyFill="1" applyBorder="1"/>
    <xf numFmtId="166" fontId="0" fillId="16" borderId="89" xfId="0" applyNumberFormat="1" applyFill="1" applyBorder="1"/>
    <xf numFmtId="166" fontId="0" fillId="16" borderId="90" xfId="0" applyNumberFormat="1" applyFill="1" applyBorder="1"/>
    <xf numFmtId="167" fontId="54" fillId="16" borderId="91" xfId="0" applyNumberFormat="1" applyFont="1" applyFill="1" applyBorder="1"/>
    <xf numFmtId="169" fontId="0" fillId="16" borderId="29" xfId="0" applyNumberFormat="1" applyFill="1" applyBorder="1"/>
    <xf numFmtId="165" fontId="0" fillId="16" borderId="92" xfId="0" applyNumberFormat="1" applyFill="1" applyBorder="1"/>
    <xf numFmtId="0" fontId="10" fillId="3" borderId="64" xfId="0" applyFont="1" applyFill="1" applyBorder="1" applyAlignment="1">
      <alignment horizontal="center" vertical="center"/>
    </xf>
    <xf numFmtId="0" fontId="0" fillId="9" borderId="88" xfId="0" applyFill="1" applyBorder="1"/>
    <xf numFmtId="3" fontId="3" fillId="9" borderId="92" xfId="0" applyNumberFormat="1" applyFont="1" applyFill="1" applyBorder="1" applyAlignment="1">
      <alignment horizontal="right"/>
    </xf>
    <xf numFmtId="0" fontId="1" fillId="0" borderId="42" xfId="0" applyFont="1" applyBorder="1" applyAlignment="1">
      <alignment vertical="center" wrapText="1"/>
    </xf>
    <xf numFmtId="169" fontId="3" fillId="9" borderId="92" xfId="0" applyNumberFormat="1" applyFont="1" applyFill="1" applyBorder="1" applyAlignment="1">
      <alignment horizontal="right"/>
    </xf>
    <xf numFmtId="169" fontId="3" fillId="0" borderId="45" xfId="0" applyNumberFormat="1" applyFont="1" applyFill="1" applyBorder="1" applyAlignment="1">
      <alignment horizontal="right"/>
    </xf>
    <xf numFmtId="0" fontId="0" fillId="18" borderId="84" xfId="0" applyFill="1" applyBorder="1"/>
    <xf numFmtId="165" fontId="0" fillId="18" borderId="74" xfId="0" applyNumberFormat="1" applyFill="1" applyBorder="1"/>
    <xf numFmtId="165" fontId="0" fillId="0" borderId="74" xfId="0" applyNumberFormat="1" applyBorder="1"/>
    <xf numFmtId="165" fontId="10" fillId="0" borderId="78" xfId="0" applyNumberFormat="1" applyFont="1" applyBorder="1"/>
    <xf numFmtId="166" fontId="0" fillId="18" borderId="66" xfId="0" applyNumberFormat="1" applyFill="1" applyBorder="1"/>
    <xf numFmtId="167" fontId="0" fillId="18" borderId="66" xfId="0" applyNumberFormat="1" applyFill="1" applyBorder="1"/>
    <xf numFmtId="169" fontId="0" fillId="18" borderId="66" xfId="0" applyNumberFormat="1" applyFill="1" applyBorder="1"/>
    <xf numFmtId="169" fontId="0" fillId="0" borderId="66" xfId="0" applyNumberFormat="1" applyBorder="1"/>
    <xf numFmtId="0" fontId="0" fillId="0" borderId="65" xfId="0" applyFill="1" applyBorder="1"/>
    <xf numFmtId="165" fontId="0" fillId="0" borderId="65" xfId="0" applyNumberFormat="1" applyFill="1" applyBorder="1"/>
    <xf numFmtId="165" fontId="10" fillId="0" borderId="67" xfId="0" applyNumberFormat="1" applyFont="1" applyFill="1" applyBorder="1"/>
    <xf numFmtId="0" fontId="60" fillId="0" borderId="0" xfId="0" applyFont="1"/>
    <xf numFmtId="0" fontId="69" fillId="23" borderId="0" xfId="0" applyFont="1" applyFill="1"/>
    <xf numFmtId="0" fontId="9" fillId="0" borderId="83" xfId="0" applyFont="1" applyBorder="1"/>
    <xf numFmtId="0" fontId="9" fillId="0" borderId="84" xfId="0" applyFont="1" applyBorder="1"/>
    <xf numFmtId="0" fontId="37" fillId="0" borderId="84" xfId="0" applyFont="1" applyBorder="1"/>
    <xf numFmtId="0" fontId="13" fillId="0" borderId="84" xfId="0" applyFont="1" applyBorder="1"/>
    <xf numFmtId="0" fontId="14" fillId="0" borderId="84" xfId="0" applyFont="1" applyBorder="1"/>
    <xf numFmtId="0" fontId="8" fillId="0" borderId="85" xfId="0" applyFont="1" applyBorder="1"/>
    <xf numFmtId="0" fontId="70" fillId="0" borderId="0" xfId="0" applyFont="1" applyAlignment="1">
      <alignment horizontal="right"/>
    </xf>
    <xf numFmtId="0" fontId="70" fillId="0" borderId="0" xfId="0" applyFont="1"/>
    <xf numFmtId="0" fontId="6" fillId="15" borderId="6" xfId="0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center" vertical="center"/>
    </xf>
    <xf numFmtId="0" fontId="6" fillId="15" borderId="16" xfId="0" applyFont="1" applyFill="1" applyBorder="1" applyAlignment="1">
      <alignment horizontal="center" vertical="center"/>
    </xf>
    <xf numFmtId="0" fontId="6" fillId="15" borderId="17" xfId="0" applyFont="1" applyFill="1" applyBorder="1" applyAlignment="1">
      <alignment horizontal="center" vertical="center" wrapText="1"/>
    </xf>
    <xf numFmtId="0" fontId="0" fillId="15" borderId="84" xfId="0" applyFill="1" applyBorder="1"/>
    <xf numFmtId="166" fontId="0" fillId="15" borderId="83" xfId="0" applyNumberFormat="1" applyFill="1" applyBorder="1"/>
    <xf numFmtId="166" fontId="0" fillId="15" borderId="11" xfId="0" applyNumberFormat="1" applyFill="1" applyBorder="1"/>
    <xf numFmtId="167" fontId="0" fillId="15" borderId="72" xfId="0" applyNumberFormat="1" applyFill="1" applyBorder="1"/>
    <xf numFmtId="169" fontId="0" fillId="15" borderId="11" xfId="0" applyNumberFormat="1" applyFill="1" applyBorder="1"/>
    <xf numFmtId="165" fontId="0" fillId="15" borderId="86" xfId="0" applyNumberFormat="1" applyFill="1" applyBorder="1"/>
    <xf numFmtId="166" fontId="0" fillId="15" borderId="84" xfId="0" applyNumberFormat="1" applyFill="1" applyBorder="1"/>
    <xf numFmtId="166" fontId="0" fillId="15" borderId="27" xfId="0" applyNumberFormat="1" applyFill="1" applyBorder="1"/>
    <xf numFmtId="167" fontId="0" fillId="15" borderId="0" xfId="0" applyNumberFormat="1" applyFill="1" applyBorder="1"/>
    <xf numFmtId="169" fontId="0" fillId="15" borderId="27" xfId="0" applyNumberFormat="1" applyFill="1" applyBorder="1"/>
    <xf numFmtId="165" fontId="0" fillId="15" borderId="87" xfId="0" applyNumberFormat="1" applyFill="1" applyBorder="1"/>
    <xf numFmtId="0" fontId="1" fillId="15" borderId="84" xfId="0" applyFont="1" applyFill="1" applyBorder="1"/>
    <xf numFmtId="166" fontId="0" fillId="15" borderId="65" xfId="0" applyNumberFormat="1" applyFill="1" applyBorder="1"/>
    <xf numFmtId="167" fontId="0" fillId="15" borderId="65" xfId="0" applyNumberFormat="1" applyFill="1" applyBorder="1"/>
    <xf numFmtId="165" fontId="0" fillId="15" borderId="65" xfId="0" applyNumberFormat="1" applyFill="1" applyBorder="1"/>
    <xf numFmtId="166" fontId="0" fillId="15" borderId="66" xfId="0" applyNumberFormat="1" applyFill="1" applyBorder="1"/>
    <xf numFmtId="167" fontId="0" fillId="15" borderId="66" xfId="0" applyNumberFormat="1" applyFill="1" applyBorder="1"/>
    <xf numFmtId="165" fontId="0" fillId="15" borderId="66" xfId="0" applyNumberFormat="1" applyFill="1" applyBorder="1"/>
    <xf numFmtId="166" fontId="0" fillId="15" borderId="0" xfId="0" applyNumberFormat="1" applyFill="1" applyBorder="1"/>
    <xf numFmtId="0" fontId="0" fillId="15" borderId="66" xfId="0" applyFill="1" applyBorder="1"/>
    <xf numFmtId="169" fontId="0" fillId="15" borderId="66" xfId="0" applyNumberFormat="1" applyFill="1" applyBorder="1"/>
    <xf numFmtId="170" fontId="0" fillId="15" borderId="74" xfId="0" applyNumberFormat="1" applyFill="1" applyBorder="1"/>
    <xf numFmtId="0" fontId="1" fillId="15" borderId="66" xfId="0" applyFont="1" applyFill="1" applyBorder="1"/>
    <xf numFmtId="170" fontId="3" fillId="0" borderId="47" xfId="2" applyNumberFormat="1" applyFont="1" applyFill="1" applyBorder="1" applyAlignment="1">
      <alignment horizontal="right" vertical="center" wrapText="1"/>
    </xf>
    <xf numFmtId="170" fontId="68" fillId="0" borderId="47" xfId="2" applyNumberFormat="1" applyFont="1" applyFill="1" applyBorder="1" applyAlignment="1">
      <alignment horizontal="right" vertical="center" wrapText="1"/>
    </xf>
    <xf numFmtId="167" fontId="57" fillId="16" borderId="66" xfId="0" applyNumberFormat="1" applyFont="1" applyFill="1" applyBorder="1"/>
    <xf numFmtId="177" fontId="3" fillId="18" borderId="10" xfId="0" applyNumberFormat="1" applyFont="1" applyFill="1" applyBorder="1" applyAlignment="1">
      <alignment horizontal="right" indent="1"/>
    </xf>
    <xf numFmtId="0" fontId="6" fillId="17" borderId="83" xfId="0" applyFont="1" applyFill="1" applyBorder="1" applyAlignment="1">
      <alignment horizontal="center" vertical="center"/>
    </xf>
    <xf numFmtId="0" fontId="6" fillId="17" borderId="17" xfId="0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right" indent="1"/>
    </xf>
    <xf numFmtId="166" fontId="50" fillId="0" borderId="7" xfId="0" applyNumberFormat="1" applyFont="1" applyFill="1" applyBorder="1" applyAlignment="1">
      <alignment horizontal="right" indent="1"/>
    </xf>
    <xf numFmtId="0" fontId="6" fillId="18" borderId="3" xfId="0" applyFont="1" applyFill="1" applyBorder="1"/>
    <xf numFmtId="172" fontId="0" fillId="0" borderId="66" xfId="0" applyNumberFormat="1" applyFill="1" applyBorder="1"/>
    <xf numFmtId="172" fontId="0" fillId="16" borderId="66" xfId="0" applyNumberFormat="1" applyFill="1" applyBorder="1"/>
    <xf numFmtId="170" fontId="0" fillId="0" borderId="65" xfId="0" applyNumberFormat="1" applyFill="1" applyBorder="1"/>
    <xf numFmtId="170" fontId="0" fillId="0" borderId="66" xfId="0" applyNumberFormat="1" applyFill="1" applyBorder="1"/>
    <xf numFmtId="170" fontId="57" fillId="16" borderId="66" xfId="0" applyNumberFormat="1" applyFont="1" applyFill="1" applyBorder="1"/>
    <xf numFmtId="170" fontId="0" fillId="16" borderId="66" xfId="0" applyNumberFormat="1" applyFill="1" applyBorder="1"/>
    <xf numFmtId="166" fontId="50" fillId="0" borderId="87" xfId="0" applyNumberFormat="1" applyFont="1" applyFill="1" applyBorder="1" applyAlignment="1">
      <alignment horizontal="right" indent="1"/>
    </xf>
    <xf numFmtId="166" fontId="3" fillId="0" borderId="95" xfId="0" applyNumberFormat="1" applyFont="1" applyBorder="1" applyAlignment="1">
      <alignment horizontal="right" indent="1"/>
    </xf>
    <xf numFmtId="0" fontId="3" fillId="18" borderId="4" xfId="0" applyFont="1" applyFill="1" applyBorder="1" applyAlignment="1">
      <alignment horizontal="left" indent="1"/>
    </xf>
    <xf numFmtId="166" fontId="50" fillId="0" borderId="94" xfId="0" applyNumberFormat="1" applyFont="1" applyFill="1" applyBorder="1" applyAlignment="1">
      <alignment horizontal="right" indent="1"/>
    </xf>
    <xf numFmtId="166" fontId="72" fillId="0" borderId="11" xfId="0" applyNumberFormat="1" applyFont="1" applyFill="1" applyBorder="1" applyAlignment="1">
      <alignment horizontal="right" indent="1"/>
    </xf>
    <xf numFmtId="166" fontId="65" fillId="22" borderId="7" xfId="0" applyNumberFormat="1" applyFont="1" applyFill="1" applyBorder="1" applyAlignment="1">
      <alignment horizontal="right" indent="1"/>
    </xf>
    <xf numFmtId="0" fontId="65" fillId="22" borderId="1" xfId="0" applyFont="1" applyFill="1" applyBorder="1" applyAlignment="1">
      <alignment horizontal="left" indent="1"/>
    </xf>
    <xf numFmtId="0" fontId="65" fillId="22" borderId="4" xfId="0" applyFont="1" applyFill="1" applyBorder="1" applyAlignment="1">
      <alignment horizontal="left" indent="1"/>
    </xf>
    <xf numFmtId="0" fontId="72" fillId="22" borderId="2" xfId="0" applyFont="1" applyFill="1" applyBorder="1"/>
    <xf numFmtId="0" fontId="73" fillId="22" borderId="56" xfId="0" applyFont="1" applyFill="1" applyBorder="1" applyAlignment="1">
      <alignment horizontal="left" indent="2"/>
    </xf>
    <xf numFmtId="0" fontId="73" fillId="22" borderId="52" xfId="0" applyFont="1" applyFill="1" applyBorder="1" applyAlignment="1">
      <alignment horizontal="left" indent="2"/>
    </xf>
    <xf numFmtId="0" fontId="73" fillId="22" borderId="5" xfId="0" applyFont="1" applyFill="1" applyBorder="1" applyAlignment="1">
      <alignment horizontal="left" indent="2"/>
    </xf>
    <xf numFmtId="0" fontId="74" fillId="0" borderId="0" xfId="0" applyFont="1" applyFill="1" applyBorder="1" applyAlignment="1">
      <alignment horizontal="center"/>
    </xf>
    <xf numFmtId="1" fontId="74" fillId="0" borderId="0" xfId="0" applyNumberFormat="1" applyFont="1" applyFill="1" applyBorder="1" applyAlignment="1">
      <alignment horizontal="center"/>
    </xf>
    <xf numFmtId="166" fontId="74" fillId="0" borderId="0" xfId="0" applyNumberFormat="1" applyFont="1" applyFill="1" applyBorder="1" applyAlignment="1">
      <alignment horizontal="left" indent="1"/>
    </xf>
    <xf numFmtId="0" fontId="75" fillId="0" borderId="0" xfId="0" applyFont="1" applyFill="1" applyBorder="1"/>
    <xf numFmtId="166" fontId="75" fillId="0" borderId="0" xfId="0" applyNumberFormat="1" applyFont="1" applyFill="1" applyBorder="1"/>
    <xf numFmtId="167" fontId="75" fillId="0" borderId="0" xfId="0" applyNumberFormat="1" applyFont="1" applyFill="1"/>
    <xf numFmtId="166" fontId="74" fillId="0" borderId="0" xfId="0" applyNumberFormat="1" applyFont="1" applyFill="1" applyAlignment="1">
      <alignment horizontal="left" indent="1"/>
    </xf>
    <xf numFmtId="176" fontId="69" fillId="22" borderId="0" xfId="2" applyNumberFormat="1" applyFont="1" applyFill="1"/>
    <xf numFmtId="176" fontId="69" fillId="18" borderId="0" xfId="2" applyNumberFormat="1" applyFont="1" applyFill="1"/>
    <xf numFmtId="0" fontId="10" fillId="18" borderId="15" xfId="0" applyFont="1" applyFill="1" applyBorder="1" applyAlignment="1">
      <alignment horizontal="right"/>
    </xf>
    <xf numFmtId="166" fontId="10" fillId="18" borderId="15" xfId="0" applyNumberFormat="1" applyFont="1" applyFill="1" applyBorder="1" applyAlignment="1">
      <alignment horizontal="right"/>
    </xf>
    <xf numFmtId="0" fontId="6" fillId="18" borderId="15" xfId="0" applyFont="1" applyFill="1" applyBorder="1" applyAlignment="1">
      <alignment wrapText="1"/>
    </xf>
    <xf numFmtId="0" fontId="6" fillId="18" borderId="15" xfId="0" applyFont="1" applyFill="1" applyBorder="1" applyAlignment="1">
      <alignment vertical="center"/>
    </xf>
    <xf numFmtId="166" fontId="50" fillId="0" borderId="9" xfId="0" applyNumberFormat="1" applyFont="1" applyBorder="1" applyAlignment="1">
      <alignment horizontal="right" indent="1"/>
    </xf>
    <xf numFmtId="166" fontId="50" fillId="18" borderId="9" xfId="0" applyNumberFormat="1" applyFont="1" applyFill="1" applyBorder="1" applyAlignment="1">
      <alignment horizontal="right" indent="1"/>
    </xf>
    <xf numFmtId="166" fontId="50" fillId="0" borderId="19" xfId="0" applyNumberFormat="1" applyFont="1" applyBorder="1" applyAlignment="1">
      <alignment horizontal="right" indent="1"/>
    </xf>
    <xf numFmtId="166" fontId="50" fillId="0" borderId="31" xfId="0" applyNumberFormat="1" applyFont="1" applyBorder="1" applyAlignment="1">
      <alignment horizontal="right" indent="1"/>
    </xf>
    <xf numFmtId="166" fontId="50" fillId="0" borderId="22" xfId="0" applyNumberFormat="1" applyFont="1" applyBorder="1" applyAlignment="1">
      <alignment horizontal="right" indent="1"/>
    </xf>
    <xf numFmtId="3" fontId="72" fillId="20" borderId="0" xfId="0" applyNumberFormat="1" applyFont="1" applyFill="1"/>
    <xf numFmtId="166" fontId="39" fillId="20" borderId="0" xfId="0" applyNumberFormat="1" applyFont="1" applyFill="1"/>
    <xf numFmtId="3" fontId="3" fillId="0" borderId="0" xfId="0" applyNumberFormat="1" applyFont="1"/>
    <xf numFmtId="166" fontId="3" fillId="0" borderId="15" xfId="0" applyNumberFormat="1" applyFont="1" applyBorder="1"/>
    <xf numFmtId="166" fontId="50" fillId="0" borderId="57" xfId="0" applyNumberFormat="1" applyFont="1" applyFill="1" applyBorder="1" applyAlignment="1">
      <alignment horizontal="right" indent="1"/>
    </xf>
    <xf numFmtId="166" fontId="50" fillId="0" borderId="53" xfId="0" applyNumberFormat="1" applyFont="1" applyFill="1" applyBorder="1" applyAlignment="1">
      <alignment horizontal="right" indent="1"/>
    </xf>
    <xf numFmtId="166" fontId="65" fillId="22" borderId="58" xfId="0" applyNumberFormat="1" applyFont="1" applyFill="1" applyBorder="1" applyAlignment="1">
      <alignment horizontal="right" indent="1"/>
    </xf>
    <xf numFmtId="166" fontId="65" fillId="22" borderId="54" xfId="0" applyNumberFormat="1" applyFont="1" applyFill="1" applyBorder="1" applyAlignment="1">
      <alignment horizontal="right" indent="1"/>
    </xf>
    <xf numFmtId="165" fontId="9" fillId="0" borderId="65" xfId="0" applyNumberFormat="1" applyFont="1" applyFill="1" applyBorder="1"/>
    <xf numFmtId="165" fontId="9" fillId="0" borderId="93" xfId="0" applyNumberFormat="1" applyFont="1" applyFill="1" applyBorder="1"/>
    <xf numFmtId="165" fontId="9" fillId="0" borderId="66" xfId="0" applyNumberFormat="1" applyFont="1" applyFill="1" applyBorder="1"/>
    <xf numFmtId="165" fontId="9" fillId="0" borderId="74" xfId="0" applyNumberFormat="1" applyFont="1" applyFill="1" applyBorder="1"/>
    <xf numFmtId="165" fontId="13" fillId="0" borderId="66" xfId="0" applyNumberFormat="1" applyFont="1" applyFill="1" applyBorder="1"/>
    <xf numFmtId="165" fontId="13" fillId="0" borderId="74" xfId="0" applyNumberFormat="1" applyFont="1" applyFill="1" applyBorder="1"/>
    <xf numFmtId="165" fontId="14" fillId="0" borderId="66" xfId="0" applyNumberFormat="1" applyFont="1" applyFill="1" applyBorder="1"/>
    <xf numFmtId="165" fontId="14" fillId="0" borderId="74" xfId="0" applyNumberFormat="1" applyFont="1" applyFill="1" applyBorder="1"/>
    <xf numFmtId="165" fontId="37" fillId="0" borderId="66" xfId="0" applyNumberFormat="1" applyFont="1" applyFill="1" applyBorder="1"/>
    <xf numFmtId="165" fontId="37" fillId="0" borderId="74" xfId="0" applyNumberFormat="1" applyFont="1" applyFill="1" applyBorder="1"/>
    <xf numFmtId="165" fontId="57" fillId="0" borderId="67" xfId="0" applyNumberFormat="1" applyFont="1" applyFill="1" applyBorder="1"/>
    <xf numFmtId="165" fontId="57" fillId="0" borderId="78" xfId="0" applyNumberFormat="1" applyFont="1" applyFill="1" applyBorder="1"/>
    <xf numFmtId="167" fontId="3" fillId="0" borderId="57" xfId="0" applyNumberFormat="1" applyFont="1" applyBorder="1" applyAlignment="1">
      <alignment horizontal="right"/>
    </xf>
    <xf numFmtId="167" fontId="3" fillId="0" borderId="53" xfId="0" applyNumberFormat="1" applyFont="1" applyBorder="1" applyAlignment="1">
      <alignment horizontal="right"/>
    </xf>
    <xf numFmtId="167" fontId="3" fillId="0" borderId="9" xfId="0" applyNumberFormat="1" applyFont="1" applyBorder="1" applyAlignment="1">
      <alignment horizontal="right"/>
    </xf>
    <xf numFmtId="3" fontId="50" fillId="0" borderId="15" xfId="0" applyNumberFormat="1" applyFont="1" applyFill="1" applyBorder="1" applyAlignment="1">
      <alignment horizontal="right"/>
    </xf>
    <xf numFmtId="3" fontId="50" fillId="0" borderId="43" xfId="0" applyNumberFormat="1" applyFont="1" applyFill="1" applyBorder="1" applyAlignment="1">
      <alignment horizontal="right"/>
    </xf>
    <xf numFmtId="3" fontId="50" fillId="0" borderId="45" xfId="0" applyNumberFormat="1" applyFont="1" applyFill="1" applyBorder="1" applyAlignment="1">
      <alignment horizontal="right"/>
    </xf>
    <xf numFmtId="3" fontId="50" fillId="0" borderId="46" xfId="0" applyNumberFormat="1" applyFont="1" applyFill="1" applyBorder="1" applyAlignment="1">
      <alignment horizontal="right"/>
    </xf>
    <xf numFmtId="3" fontId="50" fillId="0" borderId="15" xfId="0" applyNumberFormat="1" applyFont="1" applyBorder="1" applyAlignment="1">
      <alignment horizontal="right" vertical="center"/>
    </xf>
    <xf numFmtId="3" fontId="50" fillId="14" borderId="15" xfId="0" applyNumberFormat="1" applyFont="1" applyFill="1" applyBorder="1" applyAlignment="1">
      <alignment horizontal="right" vertical="center"/>
    </xf>
    <xf numFmtId="3" fontId="50" fillId="0" borderId="15" xfId="0" applyNumberFormat="1" applyFont="1" applyFill="1" applyBorder="1" applyAlignment="1">
      <alignment horizontal="right" vertical="center"/>
    </xf>
    <xf numFmtId="3" fontId="50" fillId="0" borderId="45" xfId="0" applyNumberFormat="1" applyFont="1" applyBorder="1" applyAlignment="1">
      <alignment horizontal="right"/>
    </xf>
    <xf numFmtId="3" fontId="50" fillId="14" borderId="45" xfId="0" applyNumberFormat="1" applyFont="1" applyFill="1" applyBorder="1" applyAlignment="1">
      <alignment horizontal="right"/>
    </xf>
    <xf numFmtId="3" fontId="50" fillId="16" borderId="43" xfId="0" applyNumberFormat="1" applyFont="1" applyFill="1" applyBorder="1" applyAlignment="1">
      <alignment horizontal="right"/>
    </xf>
    <xf numFmtId="3" fontId="50" fillId="16" borderId="46" xfId="0" applyNumberFormat="1" applyFont="1" applyFill="1" applyBorder="1" applyAlignment="1">
      <alignment horizontal="right"/>
    </xf>
    <xf numFmtId="3" fontId="50" fillId="16" borderId="4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57" fillId="25" borderId="0" xfId="2" applyNumberFormat="1" applyFont="1" applyFill="1"/>
    <xf numFmtId="0" fontId="0" fillId="0" borderId="96" xfId="0" applyBorder="1"/>
    <xf numFmtId="0" fontId="0" fillId="0" borderId="97" xfId="0" applyBorder="1"/>
    <xf numFmtId="17" fontId="77" fillId="0" borderId="98" xfId="0" quotePrefix="1" applyNumberFormat="1" applyFont="1" applyBorder="1" applyAlignment="1">
      <alignment horizontal="right"/>
    </xf>
    <xf numFmtId="0" fontId="0" fillId="26" borderId="0" xfId="0" applyFill="1"/>
    <xf numFmtId="0" fontId="0" fillId="0" borderId="99" xfId="0" applyBorder="1"/>
    <xf numFmtId="0" fontId="0" fillId="0" borderId="100" xfId="0" applyBorder="1"/>
    <xf numFmtId="0" fontId="78" fillId="0" borderId="99" xfId="0" applyFont="1" applyBorder="1"/>
    <xf numFmtId="0" fontId="78" fillId="0" borderId="0" xfId="0" applyFont="1"/>
    <xf numFmtId="0" fontId="78" fillId="0" borderId="100" xfId="0" applyFont="1" applyBorder="1"/>
    <xf numFmtId="0" fontId="79" fillId="0" borderId="99" xfId="0" applyFont="1" applyBorder="1" applyAlignment="1">
      <alignment horizontal="center"/>
    </xf>
    <xf numFmtId="0" fontId="79" fillId="0" borderId="0" xfId="0" applyFont="1" applyAlignment="1">
      <alignment horizontal="center"/>
    </xf>
    <xf numFmtId="0" fontId="79" fillId="0" borderId="100" xfId="0" applyFont="1" applyBorder="1" applyAlignment="1">
      <alignment horizontal="center"/>
    </xf>
    <xf numFmtId="0" fontId="1" fillId="0" borderId="100" xfId="0" applyFont="1" applyBorder="1"/>
    <xf numFmtId="0" fontId="78" fillId="0" borderId="99" xfId="0" applyFont="1" applyBorder="1" applyAlignment="1">
      <alignment vertical="center"/>
    </xf>
    <xf numFmtId="0" fontId="76" fillId="0" borderId="99" xfId="3" applyBorder="1" applyAlignment="1" applyProtection="1">
      <alignment vertical="center"/>
    </xf>
    <xf numFmtId="0" fontId="63" fillId="0" borderId="99" xfId="0" applyFont="1" applyBorder="1" applyAlignment="1">
      <alignment vertical="center"/>
    </xf>
    <xf numFmtId="0" fontId="1" fillId="0" borderId="99" xfId="3" applyFont="1" applyBorder="1" applyAlignment="1" applyProtection="1">
      <alignment vertical="center"/>
    </xf>
    <xf numFmtId="0" fontId="1" fillId="0" borderId="99" xfId="0" applyFont="1" applyBorder="1" applyAlignment="1">
      <alignment vertical="center"/>
    </xf>
    <xf numFmtId="0" fontId="0" fillId="0" borderId="101" xfId="0" applyBorder="1"/>
    <xf numFmtId="0" fontId="0" fillId="0" borderId="102" xfId="0" applyBorder="1"/>
    <xf numFmtId="0" fontId="0" fillId="0" borderId="103" xfId="0" applyBorder="1"/>
    <xf numFmtId="0" fontId="6" fillId="18" borderId="82" xfId="0" applyFont="1" applyFill="1" applyBorder="1" applyAlignment="1">
      <alignment horizontal="center"/>
    </xf>
    <xf numFmtId="0" fontId="6" fillId="18" borderId="25" xfId="0" applyFont="1" applyFill="1" applyBorder="1" applyAlignment="1">
      <alignment horizontal="center"/>
    </xf>
    <xf numFmtId="0" fontId="72" fillId="22" borderId="82" xfId="0" applyFont="1" applyFill="1" applyBorder="1" applyAlignment="1">
      <alignment horizontal="center"/>
    </xf>
    <xf numFmtId="0" fontId="72" fillId="22" borderId="25" xfId="0" applyFont="1" applyFill="1" applyBorder="1" applyAlignment="1">
      <alignment horizontal="center"/>
    </xf>
    <xf numFmtId="0" fontId="10" fillId="24" borderId="28" xfId="0" applyFont="1" applyFill="1" applyBorder="1" applyAlignment="1">
      <alignment horizontal="center" vertical="center"/>
    </xf>
    <xf numFmtId="0" fontId="10" fillId="24" borderId="37" xfId="0" applyFont="1" applyFill="1" applyBorder="1" applyAlignment="1">
      <alignment horizontal="center" vertical="center"/>
    </xf>
    <xf numFmtId="0" fontId="10" fillId="24" borderId="3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166" fontId="10" fillId="4" borderId="28" xfId="0" applyNumberFormat="1" applyFont="1" applyFill="1" applyBorder="1" applyAlignment="1">
      <alignment horizontal="center"/>
    </xf>
    <xf numFmtId="166" fontId="10" fillId="4" borderId="37" xfId="0" applyNumberFormat="1" applyFont="1" applyFill="1" applyBorder="1" applyAlignment="1">
      <alignment horizontal="center"/>
    </xf>
    <xf numFmtId="166" fontId="0" fillId="4" borderId="37" xfId="0" applyNumberFormat="1" applyFill="1" applyBorder="1" applyAlignment="1"/>
    <xf numFmtId="166" fontId="0" fillId="0" borderId="38" xfId="0" applyNumberFormat="1" applyBorder="1" applyAlignment="1"/>
    <xf numFmtId="0" fontId="10" fillId="7" borderId="28" xfId="0" applyFont="1" applyFill="1" applyBorder="1" applyAlignment="1">
      <alignment horizontal="center"/>
    </xf>
    <xf numFmtId="0" fontId="10" fillId="7" borderId="37" xfId="0" applyFont="1" applyFill="1" applyBorder="1" applyAlignment="1">
      <alignment horizontal="center"/>
    </xf>
    <xf numFmtId="0" fontId="10" fillId="7" borderId="38" xfId="0" applyFont="1" applyFill="1" applyBorder="1" applyAlignment="1">
      <alignment horizontal="center"/>
    </xf>
    <xf numFmtId="3" fontId="10" fillId="2" borderId="15" xfId="0" applyNumberFormat="1" applyFont="1" applyFill="1" applyBorder="1" applyAlignment="1">
      <alignment horizontal="center"/>
    </xf>
    <xf numFmtId="3" fontId="10" fillId="2" borderId="16" xfId="0" applyNumberFormat="1" applyFont="1" applyFill="1" applyBorder="1" applyAlignment="1">
      <alignment horizontal="center"/>
    </xf>
    <xf numFmtId="3" fontId="10" fillId="2" borderId="39" xfId="0" applyNumberFormat="1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/>
    </xf>
    <xf numFmtId="0" fontId="0" fillId="0" borderId="37" xfId="0" applyBorder="1" applyAlignment="1"/>
    <xf numFmtId="0" fontId="0" fillId="0" borderId="38" xfId="0" applyBorder="1" applyAlignment="1"/>
    <xf numFmtId="0" fontId="69" fillId="23" borderId="65" xfId="0" applyFont="1" applyFill="1" applyBorder="1" applyAlignment="1">
      <alignment horizontal="center" vertical="center"/>
    </xf>
    <xf numFmtId="0" fontId="69" fillId="23" borderId="66" xfId="0" applyFont="1" applyFill="1" applyBorder="1" applyAlignment="1">
      <alignment horizontal="center" vertical="center"/>
    </xf>
    <xf numFmtId="0" fontId="69" fillId="23" borderId="67" xfId="0" applyFont="1" applyFill="1" applyBorder="1" applyAlignment="1">
      <alignment horizontal="center" vertical="center"/>
    </xf>
    <xf numFmtId="0" fontId="69" fillId="18" borderId="65" xfId="0" applyFont="1" applyFill="1" applyBorder="1" applyAlignment="1">
      <alignment horizontal="center" vertical="center"/>
    </xf>
    <xf numFmtId="0" fontId="69" fillId="18" borderId="66" xfId="0" applyFont="1" applyFill="1" applyBorder="1" applyAlignment="1">
      <alignment horizontal="center" vertical="center"/>
    </xf>
    <xf numFmtId="0" fontId="69" fillId="18" borderId="67" xfId="0" applyFont="1" applyFill="1" applyBorder="1" applyAlignment="1">
      <alignment horizontal="center" vertical="center"/>
    </xf>
    <xf numFmtId="0" fontId="69" fillId="23" borderId="0" xfId="0" applyFont="1" applyFill="1" applyAlignment="1">
      <alignment horizontal="center"/>
    </xf>
    <xf numFmtId="171" fontId="43" fillId="0" borderId="60" xfId="0" applyNumberFormat="1" applyFont="1" applyBorder="1" applyAlignment="1">
      <alignment horizontal="right" vertical="center" indent="1"/>
    </xf>
    <xf numFmtId="172" fontId="43" fillId="0" borderId="60" xfId="0" applyNumberFormat="1" applyFont="1" applyBorder="1" applyAlignment="1">
      <alignment horizontal="right" vertical="center" indent="1"/>
    </xf>
    <xf numFmtId="0" fontId="45" fillId="15" borderId="60" xfId="0" applyFont="1" applyFill="1" applyBorder="1" applyAlignment="1">
      <alignment horizontal="center" vertical="center" wrapText="1"/>
    </xf>
    <xf numFmtId="172" fontId="44" fillId="0" borderId="60" xfId="0" applyNumberFormat="1" applyFont="1" applyBorder="1" applyAlignment="1">
      <alignment horizontal="right" vertical="center" indent="1"/>
    </xf>
    <xf numFmtId="171" fontId="44" fillId="0" borderId="60" xfId="0" applyNumberFormat="1" applyFont="1" applyBorder="1" applyAlignment="1">
      <alignment horizontal="right" vertical="center" indent="1"/>
    </xf>
    <xf numFmtId="0" fontId="43" fillId="0" borderId="48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0" fontId="6" fillId="10" borderId="50" xfId="0" applyFont="1" applyFill="1" applyBorder="1" applyAlignment="1">
      <alignment horizontal="center" vertical="center" wrapText="1"/>
    </xf>
    <xf numFmtId="0" fontId="6" fillId="10" borderId="51" xfId="0" applyFont="1" applyFill="1" applyBorder="1" applyAlignment="1">
      <alignment horizontal="center" vertical="center" wrapText="1"/>
    </xf>
    <xf numFmtId="0" fontId="6" fillId="10" borderId="49" xfId="0" applyFont="1" applyFill="1" applyBorder="1" applyAlignment="1">
      <alignment horizontal="center" vertical="center" wrapText="1"/>
    </xf>
    <xf numFmtId="0" fontId="6" fillId="11" borderId="50" xfId="0" applyFont="1" applyFill="1" applyBorder="1" applyAlignment="1">
      <alignment horizontal="center" vertical="center" wrapText="1"/>
    </xf>
    <xf numFmtId="0" fontId="6" fillId="11" borderId="51" xfId="0" applyFont="1" applyFill="1" applyBorder="1" applyAlignment="1">
      <alignment horizontal="center" vertical="center" wrapText="1"/>
    </xf>
    <xf numFmtId="0" fontId="6" fillId="11" borderId="49" xfId="0" applyFont="1" applyFill="1" applyBorder="1" applyAlignment="1">
      <alignment horizontal="center" vertical="center" wrapText="1"/>
    </xf>
    <xf numFmtId="0" fontId="82" fillId="0" borderId="99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82" fillId="0" borderId="100" xfId="0" applyFont="1" applyBorder="1" applyAlignment="1">
      <alignment horizontal="center"/>
    </xf>
    <xf numFmtId="0" fontId="83" fillId="0" borderId="99" xfId="0" applyFont="1" applyBorder="1" applyAlignment="1">
      <alignment horizontal="center"/>
    </xf>
    <xf numFmtId="0" fontId="83" fillId="0" borderId="0" xfId="0" applyFont="1" applyAlignment="1">
      <alignment horizontal="center"/>
    </xf>
    <xf numFmtId="0" fontId="83" fillId="0" borderId="100" xfId="0" applyFont="1" applyBorder="1" applyAlignment="1">
      <alignment horizontal="center"/>
    </xf>
  </cellXfs>
  <cellStyles count="4">
    <cellStyle name="Lien hypertexte" xfId="3" builtinId="8"/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CC"/>
      <color rgb="FFCC99FF"/>
      <color rgb="FFFFFF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672898648783494E-2"/>
          <c:y val="9.3286167170547746E-2"/>
          <c:w val="0.95065420270243306"/>
          <c:h val="0.906713832829452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'Glossaire et introduction'!$E$22</c:f>
              <c:strCache>
                <c:ptCount val="1"/>
                <c:pt idx="0">
                  <c:v>Retraite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3E-4CF8-8E37-2B1026EA06E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3E-4CF8-8E37-2B1026EA06E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3E-4CF8-8E37-2B1026EA06E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E3E-4CF8-8E37-2B1026EA06E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E3E-4CF8-8E37-2B1026EA06E0}"/>
              </c:ext>
            </c:extLst>
          </c:dPt>
          <c:cat>
            <c:numRef>
              <c:f>'Glossaire et introduction'!$F$22</c:f>
              <c:numCache>
                <c:formatCode>General</c:formatCode>
                <c:ptCount val="1"/>
              </c:numCache>
            </c:numRef>
          </c:cat>
          <c:val>
            <c:numRef>
              <c:f>'Glossaire et introduction'!$D$22</c:f>
              <c:numCache>
                <c:formatCode>_-* #\ ##0.0\ _€_-;\-* #\ ##0.0\ _€_-;_-* "-"??\ _€_-;_-@_-</c:formatCode>
                <c:ptCount val="1"/>
                <c:pt idx="0">
                  <c:v>7974.8638214200037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3E-4CF8-8E37-2B1026EA06E0}"/>
            </c:ext>
          </c:extLst>
        </c:ser>
        <c:ser>
          <c:idx val="1"/>
          <c:order val="1"/>
          <c:tx>
            <c:strRef>
              <c:f>'Glossaire et introduction'!$E$23</c:f>
              <c:strCache>
                <c:ptCount val="1"/>
                <c:pt idx="0">
                  <c:v>Maladie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'Glossaire et introduction'!$F$22</c:f>
              <c:numCache>
                <c:formatCode>General</c:formatCode>
                <c:ptCount val="1"/>
              </c:numCache>
            </c:numRef>
          </c:cat>
          <c:val>
            <c:numRef>
              <c:f>'Glossaire et introduction'!$D$23</c:f>
              <c:numCache>
                <c:formatCode>_-* #\ ##0.0\ _€_-;\-* #\ ##0.0\ _€_-;_-* "-"??\ _€_-;_-@_-</c:formatCode>
                <c:ptCount val="1"/>
                <c:pt idx="0">
                  <c:v>7121.195237320002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E3E-4CF8-8E37-2B1026EA06E0}"/>
            </c:ext>
          </c:extLst>
        </c:ser>
        <c:ser>
          <c:idx val="2"/>
          <c:order val="2"/>
          <c:tx>
            <c:strRef>
              <c:f>'Glossaire et introduction'!$E$24</c:f>
              <c:strCache>
                <c:ptCount val="1"/>
                <c:pt idx="0">
                  <c:v>Famille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'Glossaire et introduction'!$F$22</c:f>
              <c:numCache>
                <c:formatCode>General</c:formatCode>
                <c:ptCount val="1"/>
              </c:numCache>
            </c:numRef>
          </c:cat>
          <c:val>
            <c:numRef>
              <c:f>'Glossaire et introduction'!$D$24</c:f>
              <c:numCache>
                <c:formatCode>_-* #\ ##0.0\ _€_-;\-* #\ ##0.0\ _€_-;_-* "-"??\ _€_-;_-@_-</c:formatCode>
                <c:ptCount val="1"/>
                <c:pt idx="0">
                  <c:v>978.87066527000002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3E-4CF8-8E37-2B1026EA06E0}"/>
            </c:ext>
          </c:extLst>
        </c:ser>
        <c:ser>
          <c:idx val="3"/>
          <c:order val="3"/>
          <c:tx>
            <c:strRef>
              <c:f>'Glossaire et introduction'!$E$25</c:f>
              <c:strCache>
                <c:ptCount val="1"/>
                <c:pt idx="0">
                  <c:v>Accident du travail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E3E-4CF8-8E37-2B1026EA06E0}"/>
              </c:ext>
            </c:extLst>
          </c:dPt>
          <c:cat>
            <c:numRef>
              <c:f>'Glossaire et introduction'!$F$22</c:f>
              <c:numCache>
                <c:formatCode>General</c:formatCode>
                <c:ptCount val="1"/>
              </c:numCache>
            </c:numRef>
          </c:cat>
          <c:val>
            <c:numRef>
              <c:f>'Glossaire et introduction'!$D$25</c:f>
              <c:numCache>
                <c:formatCode>_-* #\ ##0.0\ _€_-;\-* #\ ##0.0\ _€_-;_-* "-"??\ _€_-;_-@_-</c:formatCode>
                <c:ptCount val="1"/>
                <c:pt idx="0">
                  <c:v>833.60329186999979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E3E-4CF8-8E37-2B1026EA06E0}"/>
            </c:ext>
          </c:extLst>
        </c:ser>
        <c:ser>
          <c:idx val="4"/>
          <c:order val="4"/>
          <c:tx>
            <c:strRef>
              <c:f>'Glossaire et introduction'!$E$26</c:f>
              <c:strCache>
                <c:ptCount val="1"/>
                <c:pt idx="0">
                  <c:v>SASPA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E3E-4CF8-8E37-2B1026EA06E0}"/>
              </c:ext>
            </c:extLst>
          </c:dPt>
          <c:cat>
            <c:numRef>
              <c:f>'Glossaire et introduction'!$F$22</c:f>
              <c:numCache>
                <c:formatCode>General</c:formatCode>
                <c:ptCount val="1"/>
              </c:numCache>
            </c:numRef>
          </c:cat>
          <c:val>
            <c:numRef>
              <c:f>'Glossaire et introduction'!$D$26</c:f>
              <c:numCache>
                <c:formatCode>_-* #\ ##0.0\ _€_-;\-* #\ ##0.0\ _€_-;_-* "-"??\ _€_-;_-@_-</c:formatCode>
                <c:ptCount val="1"/>
                <c:pt idx="0">
                  <c:v>752.56916740999998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3E-4CF8-8E37-2B1026EA0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10"/>
        <c:axId val="673189304"/>
        <c:axId val="673194552"/>
      </c:barChart>
      <c:valAx>
        <c:axId val="673194552"/>
        <c:scaling>
          <c:orientation val="minMax"/>
        </c:scaling>
        <c:delete val="1"/>
        <c:axPos val="t"/>
        <c:numFmt formatCode="_-* #\ ##0.0\ _€_-;\-* #\ ##0.0\ _€_-;_-* &quot;-&quot;??\ _€_-;_-@_-" sourceLinked="1"/>
        <c:majorTickMark val="out"/>
        <c:minorTickMark val="none"/>
        <c:tickLblPos val="nextTo"/>
        <c:crossAx val="673189304"/>
        <c:crosses val="autoZero"/>
        <c:crossBetween val="between"/>
      </c:valAx>
      <c:catAx>
        <c:axId val="6731893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67319455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54729907395458"/>
          <c:y val="4.6239662556922551E-2"/>
          <c:w val="0.61991537943003028"/>
          <c:h val="0.95376033744307742"/>
        </c:manualLayout>
      </c:layout>
      <c:doughnutChart>
        <c:varyColors val="1"/>
        <c:ser>
          <c:idx val="0"/>
          <c:order val="0"/>
          <c:tx>
            <c:strRef>
              <c:f>'%charges'!$A$2</c:f>
              <c:strCache>
                <c:ptCount val="1"/>
                <c:pt idx="0">
                  <c:v>CHARGES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78-4F5B-B3C8-D42B88960EA2}"/>
              </c:ext>
            </c:extLst>
          </c:dPt>
          <c:dPt>
            <c:idx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78-4F5B-B3C8-D42B88960EA2}"/>
              </c:ext>
            </c:extLst>
          </c:dPt>
          <c:dPt>
            <c:idx val="2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78-4F5B-B3C8-D42B88960EA2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78-4F5B-B3C8-D42B88960EA2}"/>
              </c:ext>
            </c:extLst>
          </c:dPt>
          <c:dPt>
            <c:idx val="4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78-4F5B-B3C8-D42B88960EA2}"/>
              </c:ext>
            </c:extLst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B78-4F5B-B3C8-D42B88960EA2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B78-4F5B-B3C8-D42B88960EA2}"/>
              </c:ext>
            </c:extLst>
          </c:dPt>
          <c:dLbls>
            <c:dLbl>
              <c:idx val="0"/>
              <c:layout>
                <c:manualLayout>
                  <c:x val="1.7878403464138088E-4"/>
                  <c:y val="4.536780111306394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bg1"/>
                        </a:solidFill>
                      </a:rPr>
                      <a:t>Prestations légales
88,9 %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B78-4F5B-B3C8-D42B88960EA2}"/>
                </c:ext>
              </c:extLst>
            </c:dLbl>
            <c:dLbl>
              <c:idx val="1"/>
              <c:layout>
                <c:manualLayout>
                  <c:x val="0.2356823519372539"/>
                  <c:y val="-0.2313559699182378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Charges techniques
1,8</a:t>
                    </a:r>
                    <a:r>
                      <a:rPr lang="en-US" sz="11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 </a:t>
                    </a:r>
                    <a:r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94899659037366"/>
                      <c:h val="0.2117402250961897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8B78-4F5B-B3C8-D42B88960EA2}"/>
                </c:ext>
              </c:extLst>
            </c:dLbl>
            <c:dLbl>
              <c:idx val="2"/>
              <c:layout>
                <c:manualLayout>
                  <c:x val="0.21598485218384783"/>
                  <c:y val="-8.199083325123714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Dotations aux provisions
4,3</a:t>
                    </a:r>
                    <a:r>
                      <a:rPr lang="en-US" sz="11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 </a:t>
                    </a:r>
                    <a:r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04399219736716"/>
                      <c:h val="0.1870464720082996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8B78-4F5B-B3C8-D42B88960EA2}"/>
                </c:ext>
              </c:extLst>
            </c:dLbl>
            <c:dLbl>
              <c:idx val="3"/>
              <c:layout>
                <c:manualLayout>
                  <c:x val="1.9967744612483199E-2"/>
                  <c:y val="1.7673412032295629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chemeClr val="bg1"/>
                        </a:solidFill>
                      </a:rPr>
                      <a:t>Gestion
4,1%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23651082806797"/>
                      <c:h val="0.1467012746986358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8B78-4F5B-B3C8-D42B88960EA2}"/>
                </c:ext>
              </c:extLst>
            </c:dLbl>
            <c:dLbl>
              <c:idx val="4"/>
              <c:layout>
                <c:manualLayout>
                  <c:x val="0.25299658193887664"/>
                  <c:y val="4.818816640315652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Prestations extra-légales
0,8 %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051786250932176"/>
                      <c:h val="0.1951168511926615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8B78-4F5B-B3C8-D42B88960E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78-4F5B-B3C8-D42B88960EA2}"/>
                </c:ext>
              </c:extLst>
            </c:dLbl>
            <c:dLbl>
              <c:idx val="6"/>
              <c:layout>
                <c:manualLayout>
                  <c:x val="0.13687022488358153"/>
                  <c:y val="0.2162322307199360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Autres charges</a:t>
                    </a:r>
                  </a:p>
                  <a:p>
                    <a:pPr>
                      <a:defRPr sz="1200"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10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(dont</a:t>
                    </a:r>
                    <a:r>
                      <a:rPr lang="en-US" sz="10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 charges financières)</a:t>
                    </a:r>
                    <a:r>
                      <a:rPr lang="en-US" sz="12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
</a:t>
                    </a:r>
                    <a:r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 0,1 %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050265090100949"/>
                      <c:h val="0.2001248061969843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D-8B78-4F5B-B3C8-D42B88960EA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'%charges'!$A$3:$A$9</c:f>
              <c:strCache>
                <c:ptCount val="7"/>
                <c:pt idx="0">
                  <c:v>Prestations légales</c:v>
                </c:pt>
                <c:pt idx="1">
                  <c:v>Charges techniques</c:v>
                </c:pt>
                <c:pt idx="2">
                  <c:v>Dotations aux provisions</c:v>
                </c:pt>
                <c:pt idx="3">
                  <c:v>Gestion</c:v>
                </c:pt>
                <c:pt idx="4">
                  <c:v>Prestations extra-légales</c:v>
                </c:pt>
                <c:pt idx="5">
                  <c:v>Charges financières</c:v>
                </c:pt>
                <c:pt idx="6">
                  <c:v>Autres charges</c:v>
                </c:pt>
              </c:strCache>
            </c:strRef>
          </c:cat>
          <c:val>
            <c:numRef>
              <c:f>'%charges'!$D$3:$D$9</c:f>
              <c:numCache>
                <c:formatCode>0.0%</c:formatCode>
                <c:ptCount val="7"/>
                <c:pt idx="0">
                  <c:v>0.88903002386938756</c:v>
                </c:pt>
                <c:pt idx="1">
                  <c:v>1.8464242452463555E-2</c:v>
                </c:pt>
                <c:pt idx="2">
                  <c:v>4.3222372132145061E-2</c:v>
                </c:pt>
                <c:pt idx="3">
                  <c:v>4.1266187862814011E-2</c:v>
                </c:pt>
                <c:pt idx="4">
                  <c:v>7.8920557484727545E-3</c:v>
                </c:pt>
                <c:pt idx="5">
                  <c:v>1.2511793471704842E-4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78-4F5B-B3C8-D42B88960E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16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07-4FE1-94F4-E8D70699C635}"/>
              </c:ext>
            </c:extLst>
          </c:dPt>
          <c:dPt>
            <c:idx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07-4FE1-94F4-E8D70699C635}"/>
              </c:ext>
            </c:extLst>
          </c:dPt>
          <c:dPt>
            <c:idx val="2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07-4FE1-94F4-E8D70699C635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07-4FE1-94F4-E8D70699C635}"/>
              </c:ext>
            </c:extLst>
          </c:dPt>
          <c:dPt>
            <c:idx val="4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07-4FE1-94F4-E8D70699C635}"/>
              </c:ext>
            </c:extLst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07-4FE1-94F4-E8D70699C635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07-4FE1-94F4-E8D70699C635}"/>
              </c:ext>
            </c:extLst>
          </c:dPt>
          <c:dLbls>
            <c:dLbl>
              <c:idx val="0"/>
              <c:layout>
                <c:manualLayout>
                  <c:x val="-2.7672210831628165E-2"/>
                  <c:y val="1.6439297106662896E-2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4C63CD4-CF2A-4AA5-9495-6D50A7045AE0}" type="CATEGORYNAME">
                      <a:rPr lang="en-US" sz="1100"/>
                      <a:pPr algn="ctr"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r>
                      <a:rPr lang="en-US" sz="1100" baseline="0"/>
                      <a:t>
39,0%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207-4FE1-94F4-E8D70699C635}"/>
                </c:ext>
              </c:extLst>
            </c:dLbl>
            <c:dLbl>
              <c:idx val="1"/>
              <c:layout>
                <c:manualLayout>
                  <c:x val="-0.16144166665413728"/>
                  <c:y val="0.20440281974588984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90A065E-0D0F-4AEE-9C34-83549FB5BE39}" type="CATEGORYNAME"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pPr algn="ctr">
                        <a:defRPr sz="1100" b="1"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sz="11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
14,4 %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122711697574963"/>
                      <c:h val="0.1094260569870436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207-4FE1-94F4-E8D70699C635}"/>
                </c:ext>
              </c:extLst>
            </c:dLbl>
            <c:dLbl>
              <c:idx val="2"/>
              <c:layout>
                <c:manualLayout>
                  <c:x val="-0.17537418047639441"/>
                  <c:y val="6.3771567607923962E-2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B68E4D5-66ED-4A9F-BA24-8D804B2E4492}" type="CATEGORYNAME"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pPr algn="ctr">
                        <a:defRPr sz="1100" b="1"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sz="11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
22,1 %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8909824082561567"/>
                      <c:h val="0.116382576820930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207-4FE1-94F4-E8D70699C635}"/>
                </c:ext>
              </c:extLst>
            </c:dLbl>
            <c:dLbl>
              <c:idx val="3"/>
              <c:layout>
                <c:manualLayout>
                  <c:x val="-0.31899001188044734"/>
                  <c:y val="-0.1313178774764642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A3A1F4-54BD-4BE7-9AE8-6B6A40440BC5}" type="CATEGORYNAME"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pPr algn="ctr">
                        <a:defRPr sz="1100" b="1"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sz="11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
6,9 %</a:t>
                    </a:r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871011448862171"/>
                      <c:h val="0.122108633560463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207-4FE1-94F4-E8D70699C635}"/>
                </c:ext>
              </c:extLst>
            </c:dLbl>
            <c:dLbl>
              <c:idx val="4"/>
              <c:layout>
                <c:manualLayout>
                  <c:x val="0.16992288420201163"/>
                  <c:y val="-0.14476805346989291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B1ACAFF-0D6A-44CF-8FCE-04C3E787A159}" type="CATEGORYNAME"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pPr algn="ctr">
                        <a:defRPr sz="1100" b="1"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sz="11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
7,7 %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32454138728249"/>
                      <c:h val="0.1233390966548177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207-4FE1-94F4-E8D70699C635}"/>
                </c:ext>
              </c:extLst>
            </c:dLbl>
            <c:dLbl>
              <c:idx val="5"/>
              <c:layout>
                <c:manualLayout>
                  <c:x val="0.18077232070589497"/>
                  <c:y val="-6.605270358022497E-2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Prise en charge de cotisations et</a:t>
                    </a:r>
                    <a:r>
                      <a:rPr lang="en-US" sz="11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 prestations</a:t>
                    </a:r>
                    <a:r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
6,7 %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477370695595826"/>
                      <c:h val="0.1593738693943527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B-0207-4FE1-94F4-E8D70699C635}"/>
                </c:ext>
              </c:extLst>
            </c:dLbl>
            <c:dLbl>
              <c:idx val="6"/>
              <c:layout>
                <c:manualLayout>
                  <c:x val="0.2053621381996758"/>
                  <c:y val="8.0647975173440495E-2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Cotisations prises en charge par l'Etat
3,2 %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207-4FE1-94F4-E8D70699C63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sz="11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'%produits'!$A$17:$A$23</c:f>
              <c:strCache>
                <c:ptCount val="7"/>
                <c:pt idx="0">
                  <c:v>Cotisations employeurs</c:v>
                </c:pt>
                <c:pt idx="1">
                  <c:v>Compensation démographique</c:v>
                </c:pt>
                <c:pt idx="2">
                  <c:v>Contributions du régime général</c:v>
                </c:pt>
                <c:pt idx="3">
                  <c:v>Contribution sociale généralisée</c:v>
                </c:pt>
                <c:pt idx="4">
                  <c:v>Autres produits + ITAF</c:v>
                </c:pt>
                <c:pt idx="5">
                  <c:v>Prise en charge de cotisations et prestations</c:v>
                </c:pt>
                <c:pt idx="6">
                  <c:v>Cotisations prises en charge par l'Etat</c:v>
                </c:pt>
              </c:strCache>
            </c:strRef>
          </c:cat>
          <c:val>
            <c:numRef>
              <c:f>'%produits'!$C$17:$C$23</c:f>
              <c:numCache>
                <c:formatCode>#\ ##0.0</c:formatCode>
                <c:ptCount val="7"/>
                <c:pt idx="0">
                  <c:v>6892.7554094400002</c:v>
                </c:pt>
                <c:pt idx="1">
                  <c:v>2538</c:v>
                </c:pt>
                <c:pt idx="2">
                  <c:v>3906.5926283099998</c:v>
                </c:pt>
                <c:pt idx="3">
                  <c:v>1215.7234416700001</c:v>
                </c:pt>
                <c:pt idx="4">
                  <c:v>1373.3156845800017</c:v>
                </c:pt>
                <c:pt idx="5">
                  <c:v>1192.17287351</c:v>
                </c:pt>
                <c:pt idx="6">
                  <c:v>548.16254801000002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207-4FE1-94F4-E8D70699C6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82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'%produits'!$B$55</c:f>
              <c:strCache>
                <c:ptCount val="1"/>
                <c:pt idx="0">
                  <c:v>2024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0000"/>
                    <a:lumOff val="40000"/>
                    <a:shade val="30000"/>
                    <a:satMod val="115000"/>
                  </a:schemeClr>
                </a:gs>
                <a:gs pos="50000">
                  <a:schemeClr val="accent5">
                    <a:lumMod val="60000"/>
                    <a:lumOff val="40000"/>
                    <a:shade val="67500"/>
                    <a:satMod val="115000"/>
                  </a:schemeClr>
                </a:gs>
                <a:gs pos="100000">
                  <a:schemeClr val="accent5">
                    <a:lumMod val="60000"/>
                    <a:lumOff val="40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cat>
            <c:strRef>
              <c:f>'%produits'!$A$56:$A$61</c:f>
              <c:strCache>
                <c:ptCount val="6"/>
                <c:pt idx="0">
                  <c:v>MALADIE</c:v>
                </c:pt>
                <c:pt idx="1">
                  <c:v>AT</c:v>
                </c:pt>
                <c:pt idx="2">
                  <c:v>FAMILLE</c:v>
                </c:pt>
                <c:pt idx="3">
                  <c:v>RETRAITE</c:v>
                </c:pt>
                <c:pt idx="4">
                  <c:v>Saspa</c:v>
                </c:pt>
                <c:pt idx="5">
                  <c:v>Total RECETTES</c:v>
                </c:pt>
              </c:strCache>
            </c:strRef>
          </c:cat>
          <c:val>
            <c:numRef>
              <c:f>'%produits'!$B$56:$B$61</c:f>
              <c:numCache>
                <c:formatCode>#\ ##0.0</c:formatCode>
                <c:ptCount val="6"/>
                <c:pt idx="0">
                  <c:v>6293.6637514799995</c:v>
                </c:pt>
                <c:pt idx="1">
                  <c:v>825.99940177999997</c:v>
                </c:pt>
                <c:pt idx="2">
                  <c:v>990.55856647999997</c:v>
                </c:pt>
                <c:pt idx="3">
                  <c:v>7750.1797332300002</c:v>
                </c:pt>
                <c:pt idx="4">
                  <c:v>753.27455807000001</c:v>
                </c:pt>
                <c:pt idx="5">
                  <c:v>16613.676011039999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0-4149-BE22-869E543BC5A6}"/>
            </c:ext>
          </c:extLst>
        </c:ser>
        <c:ser>
          <c:idx val="1"/>
          <c:order val="1"/>
          <c:tx>
            <c:strRef>
              <c:f>'%produits'!$C$55</c:f>
              <c:strCache>
                <c:ptCount val="1"/>
                <c:pt idx="0">
                  <c:v>2025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75000"/>
                    <a:shade val="30000"/>
                    <a:satMod val="115000"/>
                  </a:schemeClr>
                </a:gs>
                <a:gs pos="50000">
                  <a:schemeClr val="accent5">
                    <a:lumMod val="75000"/>
                    <a:shade val="67500"/>
                    <a:satMod val="115000"/>
                  </a:schemeClr>
                </a:gs>
                <a:gs pos="100000">
                  <a:schemeClr val="accent5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888850911324819E-2"/>
                  <c:y val="-3.952683692020139E-2"/>
                </c:manualLayout>
              </c:layout>
              <c:tx>
                <c:rich>
                  <a:bodyPr/>
                  <a:lstStyle/>
                  <a:p>
                    <a:r>
                      <a:rPr lang="en-US" sz="900" b="1" i="0" u="none" strike="noStrike" baseline="0">
                        <a:effectLst/>
                      </a:rPr>
                      <a:t>7 121,2</a:t>
                    </a:r>
                    <a:r>
                      <a:rPr lang="en-US" sz="900" b="1" i="0" u="none" strike="noStrike" baseline="0"/>
                      <a:t> </a:t>
                    </a:r>
                    <a:r>
                      <a:rPr lang="en-US"/>
                      <a:t>M€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150-4149-BE22-869E543BC5A6}"/>
                </c:ext>
              </c:extLst>
            </c:dLbl>
            <c:dLbl>
              <c:idx val="1"/>
              <c:layout>
                <c:manualLayout>
                  <c:x val="5.5555555555555558E-3"/>
                  <c:y val="-9.25925925925917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50-4149-BE22-869E543BC5A6}"/>
                </c:ext>
              </c:extLst>
            </c:dLbl>
            <c:dLbl>
              <c:idx val="2"/>
              <c:layout>
                <c:manualLayout>
                  <c:x val="-5.0925337632079971E-17"/>
                  <c:y val="-3.24074074074074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50-4149-BE22-869E543BC5A6}"/>
                </c:ext>
              </c:extLst>
            </c:dLbl>
            <c:dLbl>
              <c:idx val="3"/>
              <c:layout>
                <c:manualLayout>
                  <c:x val="-2.6625717428474969E-3"/>
                  <c:y val="-5.5555555555555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50-4149-BE22-869E543BC5A6}"/>
                </c:ext>
              </c:extLst>
            </c:dLbl>
            <c:dLbl>
              <c:idx val="4"/>
              <c:layout>
                <c:manualLayout>
                  <c:x val="-1.0185067526415994E-16"/>
                  <c:y val="-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50-4149-BE22-869E543BC5A6}"/>
                </c:ext>
              </c:extLst>
            </c:dLbl>
            <c:dLbl>
              <c:idx val="5"/>
              <c:layout>
                <c:manualLayout>
                  <c:x val="2.5000000000000001E-2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50-4149-BE22-869E543BC5A6}"/>
                </c:ext>
              </c:extLst>
            </c:dLbl>
            <c:numFmt formatCode="#,##0.0\ &quot;M&quot;&quot;€&quot;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'%produits'!$A$56:$A$61</c:f>
              <c:strCache>
                <c:ptCount val="6"/>
                <c:pt idx="0">
                  <c:v>MALADIE</c:v>
                </c:pt>
                <c:pt idx="1">
                  <c:v>AT</c:v>
                </c:pt>
                <c:pt idx="2">
                  <c:v>FAMILLE</c:v>
                </c:pt>
                <c:pt idx="3">
                  <c:v>RETRAITE</c:v>
                </c:pt>
                <c:pt idx="4">
                  <c:v>Saspa</c:v>
                </c:pt>
                <c:pt idx="5">
                  <c:v>Total RECETTES</c:v>
                </c:pt>
              </c:strCache>
            </c:strRef>
          </c:cat>
          <c:val>
            <c:numRef>
              <c:f>'%produits'!$C$56:$C$61</c:f>
              <c:numCache>
                <c:formatCode>#\ ##0.0</c:formatCode>
                <c:ptCount val="6"/>
                <c:pt idx="0">
                  <c:v>7121.1952373200002</c:v>
                </c:pt>
                <c:pt idx="1">
                  <c:v>839.22369409999988</c:v>
                </c:pt>
                <c:pt idx="2">
                  <c:v>978.87066527000002</c:v>
                </c:pt>
                <c:pt idx="3">
                  <c:v>7974.86382142</c:v>
                </c:pt>
                <c:pt idx="4">
                  <c:v>752.56916741000009</c:v>
                </c:pt>
                <c:pt idx="5">
                  <c:v>17666.722585520001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50-4149-BE22-869E543BC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608704"/>
        <c:axId val="454607136"/>
      </c:barChart>
      <c:catAx>
        <c:axId val="45460870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>
              <a:defRPr b="1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454607136"/>
        <c:crosses val="autoZero"/>
        <c:auto val="1"/>
        <c:lblAlgn val="ctr"/>
        <c:lblOffset val="100"/>
        <c:noMultiLvlLbl val="0"/>
      </c:catAx>
      <c:valAx>
        <c:axId val="454607136"/>
        <c:scaling>
          <c:orientation val="minMax"/>
          <c:max val="18000"/>
        </c:scaling>
        <c:delete val="1"/>
        <c:axPos val="l"/>
        <c:numFmt formatCode="#\ ##0.0" sourceLinked="1"/>
        <c:majorTickMark val="out"/>
        <c:minorTickMark val="none"/>
        <c:tickLblPos val="nextTo"/>
        <c:crossAx val="454608704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>
              <a:solidFill>
                <a:schemeClr val="accent1">
                  <a:lumMod val="75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tretch>
        <a:fillRect/>
      </a:stretch>
    </a:blipFill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solidFill>
                  <a:schemeClr val="accent1">
                    <a:lumMod val="50000"/>
                  </a:schemeClr>
                </a:solidFill>
              </a:defRPr>
            </a:pPr>
            <a:r>
              <a:rPr lang="fr-FR" sz="1050">
                <a:solidFill>
                  <a:schemeClr val="accent1">
                    <a:lumMod val="50000"/>
                  </a:schemeClr>
                </a:solidFill>
              </a:rPr>
              <a:t>Contributions à l'évolution des recettes selon la branche en 2024</a:t>
            </a:r>
          </a:p>
          <a:p>
            <a:pPr>
              <a:defRPr sz="1050">
                <a:solidFill>
                  <a:schemeClr val="accent1">
                    <a:lumMod val="50000"/>
                  </a:schemeClr>
                </a:solidFill>
              </a:defRPr>
            </a:pPr>
            <a:r>
              <a:rPr lang="fr-FR" sz="1050" b="0">
                <a:solidFill>
                  <a:schemeClr val="tx2"/>
                </a:solidFill>
              </a:rPr>
              <a:t>(Total : + 6,3</a:t>
            </a:r>
            <a:r>
              <a:rPr lang="fr-FR" sz="1050" b="0" baseline="0">
                <a:solidFill>
                  <a:schemeClr val="tx2"/>
                </a:solidFill>
              </a:rPr>
              <a:t>  </a:t>
            </a:r>
            <a:r>
              <a:rPr lang="fr-FR" sz="1050" b="0">
                <a:solidFill>
                  <a:schemeClr val="tx2"/>
                </a:solidFill>
              </a:rPr>
              <a:t>points)</a:t>
            </a:r>
          </a:p>
        </c:rich>
      </c:tx>
      <c:layout>
        <c:manualLayout>
          <c:xMode val="edge"/>
          <c:yMode val="edge"/>
          <c:x val="0.14531448629162319"/>
          <c:y val="1.61598784573550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667321652564"/>
          <c:y val="0.21813043080128991"/>
          <c:w val="0.85338222244814399"/>
          <c:h val="0.61904225682095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'%produits'!$A$56</c:f>
              <c:strCache>
                <c:ptCount val="1"/>
                <c:pt idx="0">
                  <c:v>MALADIE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760-4366-817E-25045D3A2D2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760-4366-817E-25045D3A2D2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3-A760-4366-817E-25045D3A2D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5-A760-4366-817E-25045D3A2D2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7-A760-4366-817E-25045D3A2D2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9-A760-4366-817E-25045D3A2D2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B-A760-4366-817E-25045D3A2D25}"/>
              </c:ext>
            </c:extLst>
          </c:dPt>
          <c:dLbls>
            <c:dLbl>
              <c:idx val="0"/>
              <c:layout>
                <c:manualLayout>
                  <c:x val="5.3586656163119471E-3"/>
                  <c:y val="1.58329431313096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60-4366-817E-25045D3A2D25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'%produits'!$F$56</c:f>
              <c:numCache>
                <c:formatCode>\+0.0;\-0.0</c:formatCode>
                <c:ptCount val="1"/>
                <c:pt idx="0">
                  <c:v>4.9810257843603978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60-4366-817E-25045D3A2D25}"/>
            </c:ext>
          </c:extLst>
        </c:ser>
        <c:ser>
          <c:idx val="1"/>
          <c:order val="1"/>
          <c:tx>
            <c:strRef>
              <c:f>'%produits'!$A$57</c:f>
              <c:strCache>
                <c:ptCount val="1"/>
                <c:pt idx="0">
                  <c:v>AT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E-A760-4366-817E-25045D3A2D2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0-A760-4366-817E-25045D3A2D2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2-A760-4366-817E-25045D3A2D2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4-A760-4366-817E-25045D3A2D2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6-A760-4366-817E-25045D3A2D25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'%produits'!$F$57</c:f>
              <c:numCache>
                <c:formatCode>\+0.0;\-0.0</c:formatCode>
                <c:ptCount val="1"/>
                <c:pt idx="0">
                  <c:v>7.9598833582719339E-2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760-4366-817E-25045D3A2D25}"/>
            </c:ext>
          </c:extLst>
        </c:ser>
        <c:ser>
          <c:idx val="4"/>
          <c:order val="2"/>
          <c:tx>
            <c:strRef>
              <c:f>'%produits'!$A$58</c:f>
              <c:strCache>
                <c:ptCount val="1"/>
                <c:pt idx="0">
                  <c:v>FAMILLE</c:v>
                </c:pt>
              </c:strCache>
            </c:strRef>
          </c:tx>
          <c:spPr>
            <a:pattFill prst="pct75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9-A760-4366-817E-25045D3A2D25}"/>
              </c:ext>
            </c:extLst>
          </c:dPt>
          <c:dPt>
            <c:idx val="2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B-A760-4366-817E-25045D3A2D25}"/>
              </c:ext>
            </c:extLst>
          </c:dPt>
          <c:dPt>
            <c:idx val="3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D-A760-4366-817E-25045D3A2D25}"/>
              </c:ext>
            </c:extLst>
          </c:dPt>
          <c:dPt>
            <c:idx val="4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F-A760-4366-817E-25045D3A2D25}"/>
              </c:ext>
            </c:extLst>
          </c:dPt>
          <c:dPt>
            <c:idx val="5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1-A760-4366-817E-25045D3A2D25}"/>
              </c:ext>
            </c:extLst>
          </c:dPt>
          <c:dPt>
            <c:idx val="6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3-A760-4366-817E-25045D3A2D25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'%produits'!$F$58</c:f>
              <c:numCache>
                <c:formatCode>\+0.0;\-0.0</c:formatCode>
                <c:ptCount val="1"/>
                <c:pt idx="0">
                  <c:v>-7.0351084264754185E-2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760-4366-817E-25045D3A2D25}"/>
            </c:ext>
          </c:extLst>
        </c:ser>
        <c:ser>
          <c:idx val="3"/>
          <c:order val="3"/>
          <c:tx>
            <c:strRef>
              <c:f>'%produits'!$A$59</c:f>
              <c:strCache>
                <c:ptCount val="1"/>
                <c:pt idx="0">
                  <c:v>RETRAITE</c:v>
                </c:pt>
              </c:strCache>
            </c:strRef>
          </c:tx>
          <c:spPr>
            <a:pattFill prst="dkVert">
              <a:fgClr>
                <a:schemeClr val="accent1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2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6-A760-4366-817E-25045D3A2D25}"/>
              </c:ext>
            </c:extLst>
          </c:dPt>
          <c:dPt>
            <c:idx val="3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8-A760-4366-817E-25045D3A2D25}"/>
              </c:ext>
            </c:extLst>
          </c:dPt>
          <c:dPt>
            <c:idx val="4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A-A760-4366-817E-25045D3A2D25}"/>
              </c:ext>
            </c:extLst>
          </c:dPt>
          <c:dPt>
            <c:idx val="5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C-A760-4366-817E-25045D3A2D25}"/>
              </c:ext>
            </c:extLst>
          </c:dPt>
          <c:dPt>
            <c:idx val="6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E-A760-4366-817E-25045D3A2D25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'%produits'!$F$59</c:f>
              <c:numCache>
                <c:formatCode>\+0.0;\-0.0</c:formatCode>
                <c:ptCount val="1"/>
                <c:pt idx="0">
                  <c:v>1.3524044169435727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A760-4366-817E-25045D3A2D25}"/>
            </c:ext>
          </c:extLst>
        </c:ser>
        <c:ser>
          <c:idx val="2"/>
          <c:order val="4"/>
          <c:tx>
            <c:strRef>
              <c:f>'%produits'!$A$60</c:f>
              <c:strCache>
                <c:ptCount val="1"/>
                <c:pt idx="0">
                  <c:v>Saspa</c:v>
                </c:pt>
              </c:strCache>
            </c:strRef>
          </c:tx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'%produits'!$F$60</c:f>
              <c:numCache>
                <c:formatCode>\+0.0;\-0.0</c:formatCode>
                <c:ptCount val="1"/>
                <c:pt idx="0">
                  <c:v>-4.2458433614038808E-3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A760-4366-817E-25045D3A2D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4610272"/>
        <c:axId val="454609096"/>
        <c:extLst/>
      </c:barChart>
      <c:catAx>
        <c:axId val="45461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high"/>
        <c:crossAx val="454609096"/>
        <c:crosses val="autoZero"/>
        <c:auto val="1"/>
        <c:lblAlgn val="ctr"/>
        <c:lblOffset val="100"/>
        <c:noMultiLvlLbl val="0"/>
      </c:catAx>
      <c:valAx>
        <c:axId val="454609096"/>
        <c:scaling>
          <c:orientation val="minMax"/>
          <c:max val="6"/>
          <c:min val="-1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4546102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chemeClr val="accent1">
                    <a:lumMod val="50000"/>
                  </a:schemeClr>
                </a:solidFill>
              </a:defRPr>
            </a:pPr>
            <a:r>
              <a:rPr lang="fr-FR" sz="1100">
                <a:solidFill>
                  <a:schemeClr val="accent1">
                    <a:lumMod val="50000"/>
                  </a:schemeClr>
                </a:solidFill>
              </a:rPr>
              <a:t>Principales contributions à l'évolution des recettes en 2025</a:t>
            </a:r>
          </a:p>
          <a:p>
            <a:pPr>
              <a:defRPr sz="1100">
                <a:solidFill>
                  <a:schemeClr val="accent1">
                    <a:lumMod val="50000"/>
                  </a:schemeClr>
                </a:solidFill>
              </a:defRPr>
            </a:pPr>
            <a:r>
              <a:rPr lang="fr-FR" sz="1100" b="0">
                <a:solidFill>
                  <a:schemeClr val="tx2"/>
                </a:solidFill>
              </a:rPr>
              <a:t>(Total : </a:t>
            </a:r>
            <a:r>
              <a:rPr lang="fr-FR" sz="1100" b="0" baseline="0">
                <a:solidFill>
                  <a:schemeClr val="tx2"/>
                </a:solidFill>
              </a:rPr>
              <a:t>+ 6,3 </a:t>
            </a:r>
            <a:r>
              <a:rPr lang="fr-FR" sz="1100" b="0">
                <a:solidFill>
                  <a:schemeClr val="tx2"/>
                </a:solidFill>
              </a:rPr>
              <a:t>points)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75364623048943"/>
          <c:y val="0.18297153466472124"/>
          <c:w val="0.83293229579201333"/>
          <c:h val="0.50684549256659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'%produits'!$I$3</c:f>
              <c:strCache>
                <c:ptCount val="1"/>
                <c:pt idx="0">
                  <c:v>Cotisations employeurs (+3,8%)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110-4DA5-B546-34EB2A1CC16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110-4DA5-B546-34EB2A1CC16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110-4DA5-B546-34EB2A1CC16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110-4DA5-B546-34EB2A1CC16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110-4DA5-B546-34EB2A1CC16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110-4DA5-B546-34EB2A1CC16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110-4DA5-B546-34EB2A1CC169}"/>
              </c:ext>
            </c:extLst>
          </c:dPt>
          <c:dLbls>
            <c:dLbl>
              <c:idx val="0"/>
              <c:layout>
                <c:manualLayout>
                  <c:x val="-1.7026904869519709E-3"/>
                  <c:y val="-3.7011843721866861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10-4DA5-B546-34EB2A1CC169}"/>
                </c:ext>
              </c:extLst>
            </c:dLbl>
            <c:spPr>
              <a:solidFill>
                <a:srgbClr val="4F81BD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ctr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'%produits'!$J$3</c:f>
              <c:numCache>
                <c:formatCode>\+0.0;\-0.0</c:formatCode>
                <c:ptCount val="1"/>
                <c:pt idx="0">
                  <c:v>1.518543831553911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10-4DA5-B546-34EB2A1CC169}"/>
            </c:ext>
          </c:extLst>
        </c:ser>
        <c:ser>
          <c:idx val="1"/>
          <c:order val="1"/>
          <c:tx>
            <c:strRef>
              <c:f>'%produits'!$I$4</c:f>
              <c:strCache>
                <c:ptCount val="1"/>
                <c:pt idx="0">
                  <c:v>Contribution Sociale Généralisée  (+11,4%)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9-C110-4DA5-B546-34EB2A1CC16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B-C110-4DA5-B546-34EB2A1CC16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D-C110-4DA5-B546-34EB2A1CC16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F-C110-4DA5-B546-34EB2A1CC169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1-C110-4DA5-B546-34EB2A1CC169}"/>
              </c:ext>
            </c:extLst>
          </c:dPt>
          <c:dLbls>
            <c:dLbl>
              <c:idx val="0"/>
              <c:layout>
                <c:manualLayout>
                  <c:x val="2.6773254250705915E-3"/>
                  <c:y val="-9.091228604567383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110-4DA5-B546-34EB2A1CC169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'%produits'!$J$4</c:f>
              <c:numCache>
                <c:formatCode>\+0.0;\-0.0</c:formatCode>
                <c:ptCount val="1"/>
                <c:pt idx="0">
                  <c:v>0.7469694962603971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110-4DA5-B546-34EB2A1CC169}"/>
            </c:ext>
          </c:extLst>
        </c:ser>
        <c:ser>
          <c:idx val="2"/>
          <c:order val="2"/>
          <c:tx>
            <c:strRef>
              <c:f>'%produits'!$I$5</c:f>
              <c:strCache>
                <c:ptCount val="1"/>
                <c:pt idx="0">
                  <c:v>Compensation démographique (-2,2%)</c:v>
                </c:pt>
              </c:strCache>
              <c:extLst xmlns:c15="http://schemas.microsoft.com/office/drawing/2012/chart"/>
            </c:strRef>
          </c:tx>
          <c:spPr>
            <a:pattFill prst="pct75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2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5-C110-4DA5-B546-34EB2A1CC169}"/>
              </c:ext>
            </c:extLst>
          </c:dPt>
          <c:dPt>
            <c:idx val="3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7-C110-4DA5-B546-34EB2A1CC169}"/>
              </c:ext>
            </c:extLst>
          </c:dPt>
          <c:dPt>
            <c:idx val="4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9-C110-4DA5-B546-34EB2A1CC169}"/>
              </c:ext>
            </c:extLst>
          </c:dPt>
          <c:dPt>
            <c:idx val="5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B-C110-4DA5-B546-34EB2A1CC169}"/>
              </c:ext>
            </c:extLst>
          </c:dPt>
          <c:dPt>
            <c:idx val="6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D-C110-4DA5-B546-34EB2A1CC169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'%produits'!$J$5</c:f>
              <c:numCache>
                <c:formatCode>\+0.0;\-0.0</c:formatCode>
                <c:ptCount val="1"/>
                <c:pt idx="0">
                  <c:v>-0.3487319962270834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1E-C110-4DA5-B546-34EB2A1CC169}"/>
            </c:ext>
          </c:extLst>
        </c:ser>
        <c:ser>
          <c:idx val="4"/>
          <c:order val="3"/>
          <c:tx>
            <c:strRef>
              <c:f>'%produits'!$I$6</c:f>
              <c:strCache>
                <c:ptCount val="1"/>
                <c:pt idx="0">
                  <c:v>Cotisations prises en charges par l'Etat (+9,0%)</c:v>
                </c:pt>
              </c:strCache>
              <c:extLst xmlns:c15="http://schemas.microsoft.com/office/drawing/2012/chart"/>
            </c:strRef>
          </c:tx>
          <c:spPr>
            <a:pattFill prst="pct50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0-C110-4DA5-B546-34EB2A1CC169}"/>
              </c:ext>
            </c:extLst>
          </c:dPt>
          <c:dPt>
            <c:idx val="2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2-C110-4DA5-B546-34EB2A1CC169}"/>
              </c:ext>
            </c:extLst>
          </c:dPt>
          <c:dPt>
            <c:idx val="3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4-C110-4DA5-B546-34EB2A1CC169}"/>
              </c:ext>
            </c:extLst>
          </c:dPt>
          <c:dPt>
            <c:idx val="4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6-C110-4DA5-B546-34EB2A1CC169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8-C110-4DA5-B546-34EB2A1CC169}"/>
              </c:ext>
            </c:extLst>
          </c:dPt>
          <c:dPt>
            <c:idx val="6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A-C110-4DA5-B546-34EB2A1CC169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'%produits'!$J$6</c:f>
              <c:numCache>
                <c:formatCode>\+0.0;\-0.0</c:formatCode>
                <c:ptCount val="1"/>
                <c:pt idx="0">
                  <c:v>0.1275264860463218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2B-C110-4DA5-B546-34EB2A1CC169}"/>
            </c:ext>
          </c:extLst>
        </c:ser>
        <c:ser>
          <c:idx val="3"/>
          <c:order val="4"/>
          <c:tx>
            <c:strRef>
              <c:f>'%produits'!$I$7</c:f>
              <c:strCache>
                <c:ptCount val="1"/>
                <c:pt idx="0">
                  <c:v>ITAF (+4,0%)</c:v>
                </c:pt>
              </c:strCache>
              <c:extLst xmlns:c15="http://schemas.microsoft.com/office/drawing/2012/chart"/>
            </c:strRef>
          </c:tx>
          <c:spPr>
            <a:pattFill prst="dkVert">
              <a:fgClr>
                <a:schemeClr val="accent1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2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D-C110-4DA5-B546-34EB2A1CC169}"/>
              </c:ext>
            </c:extLst>
          </c:dPt>
          <c:dPt>
            <c:idx val="3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F-C110-4DA5-B546-34EB2A1CC169}"/>
              </c:ext>
            </c:extLst>
          </c:dPt>
          <c:dPt>
            <c:idx val="4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1-C110-4DA5-B546-34EB2A1CC169}"/>
              </c:ext>
            </c:extLst>
          </c:dPt>
          <c:dPt>
            <c:idx val="5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3-C110-4DA5-B546-34EB2A1CC169}"/>
              </c:ext>
            </c:extLst>
          </c:dPt>
          <c:dPt>
            <c:idx val="6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5-C110-4DA5-B546-34EB2A1CC169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'%produits'!$J$7</c:f>
              <c:numCache>
                <c:formatCode>\+0.0;\-0.0</c:formatCode>
                <c:ptCount val="1"/>
                <c:pt idx="0">
                  <c:v>-1.42039228309971E-2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6-C110-4DA5-B546-34EB2A1CC169}"/>
            </c:ext>
          </c:extLst>
        </c:ser>
        <c:ser>
          <c:idx val="6"/>
          <c:order val="5"/>
          <c:tx>
            <c:strRef>
              <c:f>'%produits'!$I$8</c:f>
              <c:strCache>
                <c:ptCount val="1"/>
                <c:pt idx="0">
                  <c:v>Prise en charge de cotisations (-11,3%)</c:v>
                </c:pt>
              </c:strCache>
            </c:strRef>
          </c:tx>
          <c:spPr>
            <a:pattFill prst="pct25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'%produits'!$J$8</c:f>
              <c:numCache>
                <c:formatCode>\+0.0;\-0.0</c:formatCode>
                <c:ptCount val="1"/>
                <c:pt idx="0">
                  <c:v>-0.16991972993358526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C110-4DA5-B546-34EB2A1CC169}"/>
            </c:ext>
          </c:extLst>
        </c:ser>
        <c:ser>
          <c:idx val="5"/>
          <c:order val="6"/>
          <c:tx>
            <c:strRef>
              <c:f>'%produits'!$I$9</c:f>
              <c:strCache>
                <c:ptCount val="1"/>
                <c:pt idx="0">
                  <c:v>Prise en charge de prestations (+3,8%)</c:v>
                </c:pt>
              </c:strCache>
              <c:extLst xmlns:c15="http://schemas.microsoft.com/office/drawing/2012/chart"/>
            </c:strRef>
          </c:tx>
          <c:spPr>
            <a:pattFill prst="zigZag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'%produits'!$J$9</c:f>
              <c:numCache>
                <c:formatCode>\+0.0;\-0.0</c:formatCode>
                <c:ptCount val="1"/>
                <c:pt idx="0">
                  <c:v>0.21578729912740049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8-C110-4DA5-B546-34EB2A1CC169}"/>
            </c:ext>
          </c:extLst>
        </c:ser>
        <c:ser>
          <c:idx val="7"/>
          <c:order val="7"/>
          <c:tx>
            <c:strRef>
              <c:f>'%produits'!$I$10</c:f>
              <c:strCache>
                <c:ptCount val="1"/>
                <c:pt idx="0">
                  <c:v>Contributions Régime général (+23,0%)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'%produits'!$J$10</c:f>
              <c:numCache>
                <c:formatCode>\+0.0;\-0.0</c:formatCode>
                <c:ptCount val="1"/>
                <c:pt idx="0">
                  <c:v>4.4043177052674158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C110-4DA5-B546-34EB2A1CC169}"/>
            </c:ext>
          </c:extLst>
        </c:ser>
        <c:ser>
          <c:idx val="8"/>
          <c:order val="8"/>
          <c:tx>
            <c:strRef>
              <c:f>'%produits'!$I$11</c:f>
              <c:strCache>
                <c:ptCount val="1"/>
                <c:pt idx="0">
                  <c:v>Autres produits (-1,7%)</c:v>
                </c:pt>
              </c:strCache>
              <c:extLst xmlns:c15="http://schemas.microsoft.com/office/drawing/2012/chart"/>
            </c:strRef>
          </c:tx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'%produits'!$J$11</c:f>
              <c:numCache>
                <c:formatCode>\+0.0;\-0.0</c:formatCode>
                <c:ptCount val="1"/>
                <c:pt idx="0">
                  <c:v>-0.14185706200323453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A-C110-4DA5-B546-34EB2A1CC1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4609880"/>
        <c:axId val="454606744"/>
        <c:extLst/>
      </c:barChart>
      <c:catAx>
        <c:axId val="454609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high"/>
        <c:crossAx val="454606744"/>
        <c:crosses val="autoZero"/>
        <c:auto val="1"/>
        <c:lblAlgn val="ctr"/>
        <c:lblOffset val="100"/>
        <c:noMultiLvlLbl val="0"/>
      </c:catAx>
      <c:valAx>
        <c:axId val="454606744"/>
        <c:scaling>
          <c:orientation val="minMax"/>
          <c:max val="4"/>
          <c:min val="-2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454609880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4.4149134609774337E-3"/>
          <c:y val="0.77299651541923253"/>
          <c:w val="0.99558508653902256"/>
          <c:h val="0.22435263419668688"/>
        </c:manualLayout>
      </c:layout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4729907395458"/>
          <c:y val="4.6239662556922551E-2"/>
          <c:w val="0.61991537943003028"/>
          <c:h val="0.95376033744307742"/>
        </c:manualLayout>
      </c:layout>
      <c:pieChart>
        <c:varyColors val="1"/>
        <c:ser>
          <c:idx val="0"/>
          <c:order val="0"/>
          <c:explosion val="22"/>
          <c:dPt>
            <c:idx val="0"/>
            <c:bubble3D val="0"/>
            <c:explosion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38-4117-AC5A-D006E6158E80}"/>
              </c:ext>
            </c:extLst>
          </c:dPt>
          <c:dPt>
            <c:idx val="1"/>
            <c:bubble3D val="0"/>
            <c:explosion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38-4117-AC5A-D006E6158E80}"/>
              </c:ext>
            </c:extLst>
          </c:dPt>
          <c:dPt>
            <c:idx val="2"/>
            <c:bubble3D val="0"/>
            <c:explosion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38-4117-AC5A-D006E6158E80}"/>
              </c:ext>
            </c:extLst>
          </c:dPt>
          <c:dPt>
            <c:idx val="3"/>
            <c:bubble3D val="0"/>
            <c:explosion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38-4117-AC5A-D006E6158E80}"/>
              </c:ext>
            </c:extLst>
          </c:dPt>
          <c:dPt>
            <c:idx val="4"/>
            <c:bubble3D val="0"/>
            <c:explosion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38-4117-AC5A-D006E6158E80}"/>
              </c:ext>
            </c:extLst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138-4117-AC5A-D006E6158E80}"/>
              </c:ext>
            </c:extLst>
          </c:dPt>
          <c:dPt>
            <c:idx val="6"/>
            <c:bubble3D val="0"/>
            <c:explosion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138-4117-AC5A-D006E6158E80}"/>
              </c:ext>
            </c:extLst>
          </c:dPt>
          <c:dLbls>
            <c:dLbl>
              <c:idx val="0"/>
              <c:layout>
                <c:manualLayout>
                  <c:x val="0.24492603618893927"/>
                  <c:y val="2.556877742501202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Prestations légales
94,1%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38-4117-AC5A-D006E6158E80}"/>
                </c:ext>
              </c:extLst>
            </c:dLbl>
            <c:dLbl>
              <c:idx val="1"/>
              <c:layout>
                <c:manualLayout>
                  <c:x val="-1.1653265073314698E-2"/>
                  <c:y val="-0.2007460467492328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Charges techniques*
1,6%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787995140183445"/>
                      <c:h val="0.1163212610200175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B138-4117-AC5A-D006E6158E80}"/>
                </c:ext>
              </c:extLst>
            </c:dLbl>
            <c:dLbl>
              <c:idx val="2"/>
              <c:layout>
                <c:manualLayout>
                  <c:x val="4.9579774259666212E-2"/>
                  <c:y val="-0.1153811806602711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Dotations aux provisions
2,6%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79967168414903"/>
                      <c:h val="0.1529066151633649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B138-4117-AC5A-D006E6158E80}"/>
                </c:ext>
              </c:extLst>
            </c:dLbl>
            <c:dLbl>
              <c:idx val="3"/>
              <c:layout>
                <c:manualLayout>
                  <c:x val="4.9334186583567516E-2"/>
                  <c:y val="-3.43563042198629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Gestion
1,6%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524146054181389"/>
                      <c:h val="0.123617846611021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B138-4117-AC5A-D006E6158E80}"/>
                </c:ext>
              </c:extLst>
            </c:dLbl>
            <c:dLbl>
              <c:idx val="4"/>
              <c:layout>
                <c:manualLayout>
                  <c:x val="3.1892267883475607E-2"/>
                  <c:y val="4.3699333045473084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Prestations extra-légales
0,1%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799764428739693"/>
                      <c:h val="0.161036693861886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B138-4117-AC5A-D006E6158E8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38-4117-AC5A-D006E6158E80}"/>
                </c:ext>
              </c:extLst>
            </c:dLbl>
            <c:dLbl>
              <c:idx val="6"/>
              <c:layout>
                <c:manualLayout>
                  <c:x val="-1.0204409077840537E-2"/>
                  <c:y val="0.2151574114469587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Autres charges</a:t>
                    </a:r>
                  </a:p>
                  <a:p>
                    <a:pPr>
                      <a:defRPr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10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(dont</a:t>
                    </a:r>
                    <a:r>
                      <a:rPr lang="en-US" sz="10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 charges financières)</a:t>
                    </a:r>
                    <a:r>
                      <a:rPr lang="en-US" sz="10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
&lt;</a:t>
                    </a:r>
                    <a:r>
                      <a:rPr lang="en-US" sz="10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 à 0,1</a:t>
                    </a:r>
                    <a:r>
                      <a:rPr lang="en-US" sz="10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992589707205326"/>
                      <c:h val="0.1781300242846090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D-B138-4117-AC5A-D006E6158E8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'%chargesRetraite'!$A$2:$A$8</c:f>
              <c:strCache>
                <c:ptCount val="7"/>
                <c:pt idx="0">
                  <c:v>Prestations légales</c:v>
                </c:pt>
                <c:pt idx="1">
                  <c:v>Charges techniques</c:v>
                </c:pt>
                <c:pt idx="2">
                  <c:v>Dotations aux provisions</c:v>
                </c:pt>
                <c:pt idx="3">
                  <c:v>Gestion</c:v>
                </c:pt>
                <c:pt idx="4">
                  <c:v>Prestations extra-légales</c:v>
                </c:pt>
                <c:pt idx="5">
                  <c:v>Charges financières</c:v>
                </c:pt>
                <c:pt idx="6">
                  <c:v>Autres charges</c:v>
                </c:pt>
              </c:strCache>
            </c:strRef>
          </c:cat>
          <c:val>
            <c:numRef>
              <c:f>'%chargesRetraite'!$C$2:$C$8</c:f>
              <c:numCache>
                <c:formatCode>#\ ##0.0</c:formatCode>
                <c:ptCount val="7"/>
                <c:pt idx="0">
                  <c:v>7607.3031293200029</c:v>
                </c:pt>
                <c:pt idx="1">
                  <c:v>58.049565290000004</c:v>
                </c:pt>
                <c:pt idx="2">
                  <c:v>173.97667737999998</c:v>
                </c:pt>
                <c:pt idx="3">
                  <c:v>126.05513855999999</c:v>
                </c:pt>
                <c:pt idx="4">
                  <c:v>9.0560985100000835</c:v>
                </c:pt>
                <c:pt idx="5">
                  <c:v>0.42321235999999995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38-4117-AC5A-D006E6158E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'%chargesRetraite'!$C$33</c:f>
              <c:strCache>
                <c:ptCount val="1"/>
                <c:pt idx="0">
                  <c:v>2024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0000"/>
                    <a:lumOff val="40000"/>
                    <a:shade val="30000"/>
                    <a:satMod val="115000"/>
                  </a:schemeClr>
                </a:gs>
                <a:gs pos="50000">
                  <a:schemeClr val="accent5">
                    <a:lumMod val="60000"/>
                    <a:lumOff val="40000"/>
                    <a:shade val="67500"/>
                    <a:satMod val="115000"/>
                  </a:schemeClr>
                </a:gs>
                <a:gs pos="100000">
                  <a:schemeClr val="accent5">
                    <a:lumMod val="60000"/>
                    <a:lumOff val="40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cat>
            <c:strRef>
              <c:f>'%chargesRetraite'!$A$34:$A$38</c:f>
              <c:strCache>
                <c:ptCount val="5"/>
                <c:pt idx="0">
                  <c:v>MALADIE</c:v>
                </c:pt>
                <c:pt idx="1">
                  <c:v>AT</c:v>
                </c:pt>
                <c:pt idx="2">
                  <c:v>FAMILLE</c:v>
                </c:pt>
                <c:pt idx="3">
                  <c:v>RETRAITE</c:v>
                </c:pt>
                <c:pt idx="4">
                  <c:v>SASPA</c:v>
                </c:pt>
              </c:strCache>
            </c:strRef>
          </c:cat>
          <c:val>
            <c:numRef>
              <c:f>'%chargesRetraite'!$C$34:$C$38</c:f>
              <c:numCache>
                <c:formatCode>#\ ##0.0</c:formatCode>
                <c:ptCount val="5"/>
                <c:pt idx="0">
                  <c:v>6293.6637514799995</c:v>
                </c:pt>
                <c:pt idx="1">
                  <c:v>789.59321995000005</c:v>
                </c:pt>
                <c:pt idx="2">
                  <c:v>990.55856647999997</c:v>
                </c:pt>
                <c:pt idx="3">
                  <c:v>7750.1797332300011</c:v>
                </c:pt>
                <c:pt idx="4">
                  <c:v>846.18290284999978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D-4D40-B578-CF3AFA5BADAB}"/>
            </c:ext>
          </c:extLst>
        </c:ser>
        <c:ser>
          <c:idx val="1"/>
          <c:order val="1"/>
          <c:tx>
            <c:strRef>
              <c:f>'%chargesRetraite'!$D$33</c:f>
              <c:strCache>
                <c:ptCount val="1"/>
                <c:pt idx="0">
                  <c:v>2025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75000"/>
                    <a:shade val="30000"/>
                    <a:satMod val="115000"/>
                  </a:schemeClr>
                </a:gs>
                <a:gs pos="50000">
                  <a:schemeClr val="accent5">
                    <a:lumMod val="75000"/>
                    <a:shade val="67500"/>
                    <a:satMod val="115000"/>
                  </a:schemeClr>
                </a:gs>
                <a:gs pos="100000">
                  <a:schemeClr val="accent5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3.5496515310436419E-2"/>
                  <c:y val="-2.13238500966919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0D-4D40-B578-CF3AFA5BADAB}"/>
                </c:ext>
              </c:extLst>
            </c:dLbl>
            <c:dLbl>
              <c:idx val="3"/>
              <c:layout>
                <c:manualLayout>
                  <c:x val="3.2894435849686439E-2"/>
                  <c:y val="8.13622414220826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0D-4D40-B578-CF3AFA5BAD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'%chargesRetraite'!$A$34:$A$38</c:f>
              <c:strCache>
                <c:ptCount val="5"/>
                <c:pt idx="0">
                  <c:v>MALADIE</c:v>
                </c:pt>
                <c:pt idx="1">
                  <c:v>AT</c:v>
                </c:pt>
                <c:pt idx="2">
                  <c:v>FAMILLE</c:v>
                </c:pt>
                <c:pt idx="3">
                  <c:v>RETRAITE</c:v>
                </c:pt>
                <c:pt idx="4">
                  <c:v>SASPA</c:v>
                </c:pt>
              </c:strCache>
            </c:strRef>
          </c:cat>
          <c:val>
            <c:numRef>
              <c:f>'%chargesRetraite'!$D$34:$D$38</c:f>
              <c:numCache>
                <c:formatCode>#\ ##0.0</c:formatCode>
                <c:ptCount val="5"/>
                <c:pt idx="0">
                  <c:v>7121.195237320002</c:v>
                </c:pt>
                <c:pt idx="1">
                  <c:v>833.60329186999979</c:v>
                </c:pt>
                <c:pt idx="2">
                  <c:v>978.87066527000002</c:v>
                </c:pt>
                <c:pt idx="3">
                  <c:v>7974.8638214200037</c:v>
                </c:pt>
                <c:pt idx="4">
                  <c:v>752.56916740999998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0D-4D40-B578-CF3AFA5BA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613016"/>
        <c:axId val="454611056"/>
      </c:barChart>
      <c:catAx>
        <c:axId val="454613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454611056"/>
        <c:crosses val="autoZero"/>
        <c:auto val="1"/>
        <c:lblAlgn val="ctr"/>
        <c:lblOffset val="100"/>
        <c:noMultiLvlLbl val="0"/>
      </c:catAx>
      <c:valAx>
        <c:axId val="454611056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454613016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tretch>
        <a:fillRect/>
      </a:stretch>
    </a:blipFill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588762391962151"/>
          <c:y val="0.1000105792374142"/>
          <c:w val="0.49807613220321983"/>
          <c:h val="0.799978841525171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98-4BE9-9A02-0FD1EE049BF0}"/>
              </c:ext>
            </c:extLst>
          </c:dPt>
          <c:dPt>
            <c:idx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98-4BE9-9A02-0FD1EE049BF0}"/>
              </c:ext>
            </c:extLst>
          </c:dPt>
          <c:dPt>
            <c:idx val="2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98-4BE9-9A02-0FD1EE049BF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98-4BE9-9A02-0FD1EE049BF0}"/>
              </c:ext>
            </c:extLst>
          </c:dPt>
          <c:dPt>
            <c:idx val="4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98-4BE9-9A02-0FD1EE049BF0}"/>
              </c:ext>
            </c:extLst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98-4BE9-9A02-0FD1EE049BF0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98-4BE9-9A02-0FD1EE049BF0}"/>
              </c:ext>
            </c:extLst>
          </c:dPt>
          <c:dLbls>
            <c:dLbl>
              <c:idx val="0"/>
              <c:layout>
                <c:manualLayout>
                  <c:x val="-0.1816961733286524"/>
                  <c:y val="0.219292957879598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C706E98-02C4-4AB2-86F4-372669C4EC6A}" type="CATEGORYNAME">
                      <a:rPr lang="en-US" sz="1000" b="0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r>
                      <a:rPr lang="en-US" sz="1000" b="0" baseline="0">
                        <a:solidFill>
                          <a:schemeClr val="bg1"/>
                        </a:solidFill>
                      </a:rPr>
                      <a:t>
(46,3%)</a:t>
                    </a:r>
                  </a:p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sz="1000" b="1" baseline="0">
                        <a:solidFill>
                          <a:schemeClr val="bg1"/>
                        </a:solidFill>
                      </a:rPr>
                      <a:t>3,4 Mds €</a:t>
                    </a:r>
                  </a:p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sz="1000" b="0" baseline="0">
                        <a:solidFill>
                          <a:schemeClr val="bg1"/>
                        </a:solidFill>
                      </a:rPr>
                      <a:t>(+7,0% par rapport à 2022)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903388668773094"/>
                      <c:h val="0.2710314702777129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598-4BE9-9A02-0FD1EE049BF0}"/>
                </c:ext>
              </c:extLst>
            </c:dLbl>
            <c:dLbl>
              <c:idx val="1"/>
              <c:layout>
                <c:manualLayout>
                  <c:x val="6.3227297997260984E-2"/>
                  <c:y val="-0.1831112617726663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C40878-28B2-4233-AAB4-E51854212AE8}" type="CATEGORYNAME">
                      <a:rPr lang="en-US" sz="100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r>
                      <a:rPr lang="en-US" sz="1000" baseline="0">
                        <a:solidFill>
                          <a:schemeClr val="bg1"/>
                        </a:solidFill>
                      </a:rPr>
                      <a:t>
(</a:t>
                    </a:r>
                    <a:fld id="{5D887737-ACFA-4687-A6E7-C965C71BCFC4}" type="PERCENTAGE">
                      <a:rPr lang="en-US" sz="1000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[POURCENTAGE]</a:t>
                    </a:fld>
                    <a:r>
                      <a:rPr lang="en-US" sz="1000" baseline="0">
                        <a:solidFill>
                          <a:schemeClr val="bg1"/>
                        </a:solidFill>
                      </a:rPr>
                      <a:t>)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 sz="1000" b="1" baseline="0">
                        <a:solidFill>
                          <a:schemeClr val="bg1"/>
                        </a:solidFill>
                      </a:rPr>
                      <a:t>2,6 Mds €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 sz="1000" baseline="0">
                        <a:solidFill>
                          <a:schemeClr val="bg1"/>
                        </a:solidFill>
                      </a:rPr>
                      <a:t>(+4,0 % par rapport à 2022)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endParaRPr lang="fr-FR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69882981464154"/>
                      <c:h val="0.242736708704162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598-4BE9-9A02-0FD1EE049BF0}"/>
                </c:ext>
              </c:extLst>
            </c:dLbl>
            <c:dLbl>
              <c:idx val="2"/>
              <c:layout>
                <c:manualLayout>
                  <c:x val="0.16225499667792107"/>
                  <c:y val="0.2719861560214048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8BBD1A-B206-485D-9507-73A591ECD131}" type="CATEGORYNAME">
                      <a:rPr lang="en-US" sz="12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[NOM DE CATÉGORIE]</a:t>
                    </a:fld>
                    <a:endParaRPr lang="en-US" sz="12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  <a:p>
                    <a:pPr>
                      <a:defRPr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12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(2,0%)</a:t>
                    </a:r>
                  </a:p>
                  <a:p>
                    <a:pPr>
                      <a:defRPr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12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0,1 Md €</a:t>
                    </a:r>
                  </a:p>
                  <a:p>
                    <a:pPr>
                      <a:defRPr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8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(Absence de montants en 2022)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792607357387895"/>
                      <c:h val="0.1868467104721632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598-4BE9-9A02-0FD1EE049B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98-4BE9-9A02-0FD1EE049BF0}"/>
                </c:ext>
              </c:extLst>
            </c:dLbl>
            <c:dLbl>
              <c:idx val="4"/>
              <c:layout>
                <c:manualLayout>
                  <c:x val="-2.3833374011851007E-2"/>
                  <c:y val="0.222938270486521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8BBD1A-B206-485D-9507-73A591ECD131}" type="CATEGORYNAME">
                      <a:rPr lang="en-US" sz="12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[NOM DE CATÉGORIE]</a:t>
                    </a:fld>
                    <a:endParaRPr lang="en-US" sz="1200" baseline="0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  <a:p>
                    <a:pPr>
                      <a:defRPr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12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(6,3%)</a:t>
                    </a:r>
                  </a:p>
                  <a:p>
                    <a:pPr>
                      <a:defRPr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1200" b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0,5 Md €</a:t>
                    </a:r>
                  </a:p>
                  <a:p>
                    <a:pPr>
                      <a:defRPr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8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(-3,0 % par rapport à 2022)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651808838085941"/>
                      <c:h val="0.247936480568799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598-4BE9-9A02-0FD1EE049BF0}"/>
                </c:ext>
              </c:extLst>
            </c:dLbl>
            <c:dLbl>
              <c:idx val="5"/>
              <c:layout>
                <c:manualLayout>
                  <c:x val="-2.2016315475464072E-2"/>
                  <c:y val="0.1370174710581263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Prise en charge de cotisations et</a:t>
                    </a:r>
                    <a:r>
                      <a:rPr lang="en-US" sz="12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 prestations*</a:t>
                    </a:r>
                    <a:r>
                      <a:rPr lang="en-US" sz="12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
(6,2%)</a:t>
                    </a:r>
                  </a:p>
                  <a:p>
                    <a:pPr>
                      <a:defRPr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1200" b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0,4 Md €</a:t>
                    </a:r>
                  </a:p>
                  <a:p>
                    <a:pPr>
                      <a:defRPr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8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(-</a:t>
                    </a:r>
                    <a:r>
                      <a:rPr lang="en-US" sz="800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15,7 </a:t>
                    </a:r>
                    <a:r>
                      <a:rPr lang="en-US" sz="8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% par rapport à 2022)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684721734623931"/>
                      <c:h val="0.2723954937818786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B-7598-4BE9-9A02-0FD1EE049BF0}"/>
                </c:ext>
              </c:extLst>
            </c:dLbl>
            <c:dLbl>
              <c:idx val="6"/>
              <c:layout>
                <c:manualLayout>
                  <c:x val="-5.5255833977409866E-2"/>
                  <c:y val="-3.391553146918881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Compensations des exonérations (Etat, ITAF)
(3,3%)</a:t>
                    </a:r>
                  </a:p>
                  <a:p>
                    <a:pPr>
                      <a:defRPr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1200" b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0,2 Md €</a:t>
                    </a:r>
                  </a:p>
                  <a:p>
                    <a:pPr>
                      <a:defRPr>
                        <a:solidFill>
                          <a:schemeClr val="accent5">
                            <a:lumMod val="50000"/>
                          </a:schemeClr>
                        </a:solidFill>
                      </a:defRPr>
                    </a:pPr>
                    <a:r>
                      <a:rPr lang="en-US" sz="8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(-10,3% par rapport à 2022)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549893842887472"/>
                      <c:h val="0.2651320686221966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D-7598-4BE9-9A02-0FD1EE049B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'%produitsRetraite'!$A$16:$A$22</c:f>
              <c:strCache>
                <c:ptCount val="7"/>
                <c:pt idx="0">
                  <c:v>Cotisations sociales</c:v>
                </c:pt>
                <c:pt idx="1">
                  <c:v>Compensation démographique</c:v>
                </c:pt>
                <c:pt idx="2">
                  <c:v>Contributions Régime général</c:v>
                </c:pt>
                <c:pt idx="3">
                  <c:v>Contribution Sociale Généralisée</c:v>
                </c:pt>
                <c:pt idx="4">
                  <c:v>Autres produits**</c:v>
                </c:pt>
                <c:pt idx="5">
                  <c:v>Prise en charge de cotisations et prestations*</c:v>
                </c:pt>
                <c:pt idx="6">
                  <c:v>Compensations des exonérations (Etat, ITAF)</c:v>
                </c:pt>
              </c:strCache>
            </c:strRef>
          </c:cat>
          <c:val>
            <c:numRef>
              <c:f>'%produitsRetraite'!$C$16:$C$22</c:f>
              <c:numCache>
                <c:formatCode>#\ ##0.0</c:formatCode>
                <c:ptCount val="7"/>
                <c:pt idx="0">
                  <c:v>3647.6776922999998</c:v>
                </c:pt>
                <c:pt idx="1">
                  <c:v>2538</c:v>
                </c:pt>
                <c:pt idx="2">
                  <c:v>630.60514078000006</c:v>
                </c:pt>
                <c:pt idx="3">
                  <c:v>0</c:v>
                </c:pt>
                <c:pt idx="4">
                  <c:v>478.85322974999963</c:v>
                </c:pt>
                <c:pt idx="5">
                  <c:v>390.22397168999998</c:v>
                </c:pt>
                <c:pt idx="6">
                  <c:v>289.50378690000002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598-4BE9-9A02-0FD1EE049B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1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'%charges'!$C$37</c:f>
              <c:strCache>
                <c:ptCount val="1"/>
                <c:pt idx="0">
                  <c:v>2024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0000"/>
                    <a:lumOff val="40000"/>
                    <a:shade val="30000"/>
                    <a:satMod val="115000"/>
                  </a:schemeClr>
                </a:gs>
                <a:gs pos="50000">
                  <a:schemeClr val="accent5">
                    <a:lumMod val="60000"/>
                    <a:lumOff val="40000"/>
                    <a:shade val="67500"/>
                    <a:satMod val="115000"/>
                  </a:schemeClr>
                </a:gs>
                <a:gs pos="100000">
                  <a:schemeClr val="accent5">
                    <a:lumMod val="60000"/>
                    <a:lumOff val="40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cat>
            <c:strRef>
              <c:f>'%charges'!$A$38:$A$41</c:f>
              <c:strCache>
                <c:ptCount val="4"/>
                <c:pt idx="0">
                  <c:v>MALADIE</c:v>
                </c:pt>
                <c:pt idx="1">
                  <c:v>AT</c:v>
                </c:pt>
                <c:pt idx="2">
                  <c:v>FAMILLE</c:v>
                </c:pt>
                <c:pt idx="3">
                  <c:v>RETRAITE</c:v>
                </c:pt>
              </c:strCache>
            </c:strRef>
          </c:cat>
          <c:val>
            <c:numRef>
              <c:f>'%produitsRetraite'!$B$29:$B$32</c:f>
              <c:numCache>
                <c:formatCode>#\ ##0.0</c:formatCode>
                <c:ptCount val="4"/>
                <c:pt idx="0">
                  <c:v>6293.6637514799995</c:v>
                </c:pt>
                <c:pt idx="1">
                  <c:v>825.99940177999997</c:v>
                </c:pt>
                <c:pt idx="2">
                  <c:v>990.55856647999997</c:v>
                </c:pt>
                <c:pt idx="3">
                  <c:v>7329.45973366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6-43C2-952D-DB4DB7C3F018}"/>
            </c:ext>
          </c:extLst>
        </c:ser>
        <c:ser>
          <c:idx val="1"/>
          <c:order val="1"/>
          <c:tx>
            <c:strRef>
              <c:f>'%charges'!$D$37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75000"/>
                      <a:shade val="30000"/>
                      <a:satMod val="115000"/>
                    </a:schemeClr>
                  </a:gs>
                  <a:gs pos="50000">
                    <a:schemeClr val="accent5">
                      <a:lumMod val="75000"/>
                      <a:shade val="67500"/>
                      <a:satMod val="115000"/>
                    </a:schemeClr>
                  </a:gs>
                  <a:gs pos="100000">
                    <a:schemeClr val="accent5">
                      <a:lumMod val="75000"/>
                      <a:shade val="100000"/>
                      <a:satMod val="115000"/>
                    </a:schemeClr>
                  </a:gs>
                </a:gsLst>
                <a:lin ang="18900000" scaled="1"/>
                <a:tileRect/>
              </a:gra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6F96-43C2-952D-DB4DB7C3F018}"/>
              </c:ext>
            </c:extLst>
          </c:dPt>
          <c:dLbls>
            <c:dLbl>
              <c:idx val="0"/>
              <c:layout>
                <c:manualLayout>
                  <c:x val="1.66666666666666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96-43C2-952D-DB4DB7C3F018}"/>
                </c:ext>
              </c:extLst>
            </c:dLbl>
            <c:dLbl>
              <c:idx val="3"/>
              <c:layout>
                <c:manualLayout>
                  <c:x val="1.9444444444444445E-2"/>
                  <c:y val="-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96-43C2-952D-DB4DB7C3F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'%charges'!$A$38:$A$41</c:f>
              <c:strCache>
                <c:ptCount val="4"/>
                <c:pt idx="0">
                  <c:v>MALADIE</c:v>
                </c:pt>
                <c:pt idx="1">
                  <c:v>AT</c:v>
                </c:pt>
                <c:pt idx="2">
                  <c:v>FAMILLE</c:v>
                </c:pt>
                <c:pt idx="3">
                  <c:v>RETRAITE</c:v>
                </c:pt>
              </c:strCache>
            </c:strRef>
          </c:cat>
          <c:val>
            <c:numRef>
              <c:f>'%produitsRetraite'!$C$29:$C$32</c:f>
              <c:numCache>
                <c:formatCode>#\ ##0.0</c:formatCode>
                <c:ptCount val="4"/>
                <c:pt idx="0">
                  <c:v>7121.1952373200002</c:v>
                </c:pt>
                <c:pt idx="1">
                  <c:v>839.22369409999988</c:v>
                </c:pt>
                <c:pt idx="2">
                  <c:v>978.87066527000002</c:v>
                </c:pt>
                <c:pt idx="3">
                  <c:v>7344.2586806400004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6-43C2-952D-DB4DB7C3F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612624"/>
        <c:axId val="454607528"/>
      </c:barChart>
      <c:catAx>
        <c:axId val="45461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454607528"/>
        <c:crosses val="autoZero"/>
        <c:auto val="1"/>
        <c:lblAlgn val="ctr"/>
        <c:lblOffset val="100"/>
        <c:noMultiLvlLbl val="0"/>
      </c:catAx>
      <c:valAx>
        <c:axId val="454607528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454612624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91588943503654E-2"/>
          <c:y val="7.2727272727272724E-2"/>
          <c:w val="0.899065414618613"/>
          <c:h val="0.882251082251082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'Glossaire et introduction'!$E$28</c:f>
              <c:strCache>
                <c:ptCount val="1"/>
                <c:pt idx="0">
                  <c:v>Cotisations sociales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28-400D-8197-801006BCEA5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28-400D-8197-801006BCEA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28-400D-8197-801006BCEA5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428-400D-8197-801006BCEA5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428-400D-8197-801006BCEA53}"/>
              </c:ext>
            </c:extLst>
          </c:dPt>
          <c:val>
            <c:numRef>
              <c:f>'Glossaire et introduction'!$D$28</c:f>
              <c:numCache>
                <c:formatCode>_-* #\ ##0.0\ _€_-;\-* #\ ##0.0\ _€_-;_-* "-"??\ _€_-;_-@_-</c:formatCode>
                <c:ptCount val="1"/>
                <c:pt idx="0">
                  <c:v>6892.7554094400002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28-400D-8197-801006BCEA53}"/>
            </c:ext>
          </c:extLst>
        </c:ser>
        <c:ser>
          <c:idx val="1"/>
          <c:order val="1"/>
          <c:tx>
            <c:strRef>
              <c:f>'Glossaire et introduction'!$E$29</c:f>
              <c:strCache>
                <c:ptCount val="1"/>
                <c:pt idx="0">
                  <c:v>Contributions du régime général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val>
            <c:numRef>
              <c:f>'Glossaire et introduction'!$D$29</c:f>
              <c:numCache>
                <c:formatCode>_-* #\ ##0.0\ _€_-;\-* #\ ##0.0\ _€_-;_-* "-"??\ _€_-;_-@_-</c:formatCode>
                <c:ptCount val="1"/>
                <c:pt idx="0">
                  <c:v>3906.5926283099998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428-400D-8197-801006BCEA53}"/>
            </c:ext>
          </c:extLst>
        </c:ser>
        <c:ser>
          <c:idx val="2"/>
          <c:order val="2"/>
          <c:tx>
            <c:strRef>
              <c:f>'Glossaire et introduction'!$E$30</c:f>
              <c:strCache>
                <c:ptCount val="1"/>
                <c:pt idx="0">
                  <c:v>Compensation démographique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val>
            <c:numRef>
              <c:f>'Glossaire et introduction'!$D$30</c:f>
              <c:numCache>
                <c:formatCode>_-* #\ ##0.0\ _€_-;\-* #\ ##0.0\ _€_-;_-* "-"??\ _€_-;_-@_-</c:formatCode>
                <c:ptCount val="1"/>
                <c:pt idx="0">
                  <c:v>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428-400D-8197-801006BCEA53}"/>
            </c:ext>
          </c:extLst>
        </c:ser>
        <c:ser>
          <c:idx val="3"/>
          <c:order val="3"/>
          <c:tx>
            <c:strRef>
              <c:f>'Glossaire et introduction'!$E$31</c:f>
              <c:strCache>
                <c:ptCount val="1"/>
                <c:pt idx="0">
                  <c:v>Autres produits + ITAF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B428-400D-8197-801006BCEA53}"/>
              </c:ext>
            </c:extLst>
          </c:dPt>
          <c:val>
            <c:numRef>
              <c:f>'Glossaire et introduction'!$D$31</c:f>
              <c:numCache>
                <c:formatCode>_-* #\ ##0.0\ _€_-;\-* #\ ##0.0\ _€_-;_-* "-"??\ _€_-;_-@_-</c:formatCode>
                <c:ptCount val="1"/>
                <c:pt idx="0">
                  <c:v>1373.3156845800017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428-400D-8197-801006BCEA53}"/>
            </c:ext>
          </c:extLst>
        </c:ser>
        <c:ser>
          <c:idx val="4"/>
          <c:order val="4"/>
          <c:tx>
            <c:strRef>
              <c:f>'Glossaire et introduction'!$E$32</c:f>
              <c:strCache>
                <c:ptCount val="1"/>
                <c:pt idx="0">
                  <c:v>Prise en charge de cotisations et prestations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428-400D-8197-801006BCEA53}"/>
              </c:ext>
            </c:extLst>
          </c:dPt>
          <c:val>
            <c:numRef>
              <c:f>'Glossaire et introduction'!$D$32</c:f>
              <c:numCache>
                <c:formatCode>_-* #\ ##0.0\ _€_-;\-* #\ ##0.0\ _€_-;_-* "-"??\ _€_-;_-@_-</c:formatCode>
                <c:ptCount val="1"/>
                <c:pt idx="0">
                  <c:v>1192.17287351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28-400D-8197-801006BCEA53}"/>
            </c:ext>
          </c:extLst>
        </c:ser>
        <c:ser>
          <c:idx val="5"/>
          <c:order val="5"/>
          <c:tx>
            <c:strRef>
              <c:f>'Glossaire et introduction'!$E$33</c:f>
              <c:strCache>
                <c:ptCount val="1"/>
                <c:pt idx="0">
                  <c:v>Contribution sociale généralisée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'Glossaire et introduction'!$D$33</c:f>
              <c:numCache>
                <c:formatCode>_-* #\ ##0.0\ _€_-;\-* #\ ##0.0\ _€_-;_-* "-"??\ _€_-;_-@_-</c:formatCode>
                <c:ptCount val="1"/>
                <c:pt idx="0">
                  <c:v>1215.7234416700001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428-400D-8197-801006BCEA53}"/>
            </c:ext>
          </c:extLst>
        </c:ser>
        <c:ser>
          <c:idx val="6"/>
          <c:order val="6"/>
          <c:tx>
            <c:strRef>
              <c:f>'Glossaire et introduction'!$E$34</c:f>
              <c:strCache>
                <c:ptCount val="1"/>
                <c:pt idx="0">
                  <c:v>Cotisations prises en charge par l'Etat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val>
            <c:numRef>
              <c:f>'Glossaire et introduction'!$D$34</c:f>
              <c:numCache>
                <c:formatCode>_-* #\ ##0.0\ _€_-;\-* #\ ##0.0\ _€_-;_-* "-"??\ _€_-;_-@_-</c:formatCode>
                <c:ptCount val="1"/>
                <c:pt idx="0">
                  <c:v>548.16254801000002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28-400D-8197-801006BC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10"/>
        <c:axId val="673189304"/>
        <c:axId val="673194552"/>
      </c:barChart>
      <c:valAx>
        <c:axId val="673194552"/>
        <c:scaling>
          <c:orientation val="minMax"/>
        </c:scaling>
        <c:delete val="1"/>
        <c:axPos val="t"/>
        <c:numFmt formatCode="_-* #\ ##0.0\ _€_-;\-* #\ ##0.0\ _€_-;_-* &quot;-&quot;??\ _€_-;_-@_-" sourceLinked="1"/>
        <c:majorTickMark val="out"/>
        <c:minorTickMark val="none"/>
        <c:tickLblPos val="nextTo"/>
        <c:crossAx val="673189304"/>
        <c:crosses val="autoZero"/>
        <c:crossBetween val="between"/>
      </c:valAx>
      <c:catAx>
        <c:axId val="6731893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67319455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83F-45ED-AC11-F7811FED9100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3F-45ED-AC11-F7811FED9100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3F-45ED-AC11-F7811FED9100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3F-45ED-AC11-F7811FED9100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83F-45ED-AC11-F7811FED9100}"/>
              </c:ext>
            </c:extLst>
          </c:dPt>
          <c:dLbls>
            <c:dLbl>
              <c:idx val="0"/>
              <c:layout>
                <c:manualLayout>
                  <c:x val="-0.14375896762904636"/>
                  <c:y val="-0.2229965156794425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bg1"/>
                        </a:solidFill>
                      </a:rPr>
                      <a:t>retraite
</a:t>
                    </a:r>
                    <a:r>
                      <a:rPr lang="en-US" sz="1200" b="1">
                        <a:solidFill>
                          <a:schemeClr val="bg1"/>
                        </a:solidFill>
                      </a:rPr>
                      <a:t>48,4%</a:t>
                    </a:r>
                    <a:endParaRPr lang="en-US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83F-45ED-AC11-F7811FED9100}"/>
                </c:ext>
              </c:extLst>
            </c:dLbl>
            <c:dLbl>
              <c:idx val="1"/>
              <c:layout>
                <c:manualLayout>
                  <c:x val="0.1579595363079615"/>
                  <c:y val="0.2227387617360991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bg1"/>
                        </a:solidFill>
                      </a:rPr>
                      <a:t>maladie
</a:t>
                    </a:r>
                    <a:r>
                      <a:rPr lang="en-US" sz="1200" b="1">
                        <a:solidFill>
                          <a:schemeClr val="bg1"/>
                        </a:solidFill>
                      </a:rPr>
                      <a:t>38,7%</a:t>
                    </a:r>
                    <a:endParaRPr lang="en-US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83F-45ED-AC11-F7811FED9100}"/>
                </c:ext>
              </c:extLst>
            </c:dLbl>
            <c:dLbl>
              <c:idx val="2"/>
              <c:layout>
                <c:manualLayout>
                  <c:x val="7.7180664916884373E-3"/>
                  <c:y val="3.807727917505457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famille
</a:t>
                    </a:r>
                    <a:r>
                      <a:rPr lang="en-US" sz="1200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4,1%</a:t>
                    </a:r>
                    <a:endParaRPr lang="en-US" b="1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83F-45ED-AC11-F7811FED9100}"/>
                </c:ext>
              </c:extLst>
            </c:dLbl>
            <c:dLbl>
              <c:idx val="3"/>
              <c:layout>
                <c:manualLayout>
                  <c:x val="0.11636461067366589"/>
                  <c:y val="7.992525206193885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ATMP
</a:t>
                    </a:r>
                    <a:r>
                      <a:rPr lang="en-US" sz="1200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4,1%</a:t>
                    </a:r>
                    <a:endParaRPr lang="en-US" b="1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83F-45ED-AC11-F7811FED9100}"/>
                </c:ext>
              </c:extLst>
            </c:dLbl>
            <c:dLbl>
              <c:idx val="4"/>
              <c:layout>
                <c:manualLayout>
                  <c:x val="0.10771478565179342"/>
                  <c:y val="0.19253811720136924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 rtl="0">
                      <a:defRPr lang="en-US" sz="1200" b="1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rPr>
                      <a:t>SASPA</a:t>
                    </a:r>
                    <a:r>
                      <a:rPr lang="en-US" sz="1200" b="1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rPr>
                      <a:t>
</a:t>
                    </a:r>
                    <a:fld id="{739CF371-8C12-44C1-8B3A-D315A911ED5E}" type="VALUE">
                      <a:rPr lang="en-US" sz="1200" b="1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200" b="1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[VALEUR]</a:t>
                    </a:fld>
                    <a:endParaRPr lang="en-US" sz="12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83F-45ED-AC11-F7811FED91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'SA1'!$B$5:$B$9</c:f>
              <c:strCache>
                <c:ptCount val="5"/>
                <c:pt idx="0">
                  <c:v>ü retraite</c:v>
                </c:pt>
                <c:pt idx="1">
                  <c:v>ü maladie-maternité-invalidité-décès</c:v>
                </c:pt>
                <c:pt idx="2">
                  <c:v>ü famille</c:v>
                </c:pt>
                <c:pt idx="3">
                  <c:v>ü accident du travail et maladie professionnelle</c:v>
                </c:pt>
                <c:pt idx="4">
                  <c:v>ü SASPA</c:v>
                </c:pt>
              </c:strCache>
            </c:strRef>
          </c:cat>
          <c:val>
            <c:numRef>
              <c:f>'SA1'!$E$5:$E$9</c:f>
              <c:numCache>
                <c:formatCode>0.0%</c:formatCode>
                <c:ptCount val="5"/>
                <c:pt idx="0">
                  <c:v>0.48450302256291994</c:v>
                </c:pt>
                <c:pt idx="1">
                  <c:v>0.38704141869026043</c:v>
                </c:pt>
                <c:pt idx="2">
                  <c:v>4.1091669300397676E-2</c:v>
                </c:pt>
                <c:pt idx="3">
                  <c:v>4.0793261388831319E-2</c:v>
                </c:pt>
                <c:pt idx="4">
                  <c:v>4.6570628057590623E-2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3F-45ED-AC11-F7811FED9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5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006-4EAA-A3AB-333CBE98C8C6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006-4EAA-A3AB-333CBE98C8C6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006-4EAA-A3AB-333CBE98C8C6}"/>
              </c:ext>
            </c:extLst>
          </c:dPt>
          <c:dLbls>
            <c:dLbl>
              <c:idx val="0"/>
              <c:layout>
                <c:manualLayout>
                  <c:x val="8.9574365704286965E-2"/>
                  <c:y val="-0.13090113735783035"/>
                </c:manualLayout>
              </c:layout>
              <c:tx>
                <c:rich>
                  <a:bodyPr/>
                  <a:lstStyle/>
                  <a:p>
                    <a:pPr>
                      <a:defRPr sz="1200"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sz="120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maladie
</a:t>
                    </a:r>
                    <a:r>
                      <a:rPr lang="en-US" sz="1200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28,2%</a:t>
                    </a:r>
                    <a:endParaRPr lang="en-US" b="1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006-4EAA-A3AB-333CBE98C8C6}"/>
                </c:ext>
              </c:extLst>
            </c:dLbl>
            <c:dLbl>
              <c:idx val="1"/>
              <c:layout>
                <c:manualLayout>
                  <c:x val="0.166634995260248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200"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sz="120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ATMP
</a:t>
                    </a:r>
                    <a:r>
                      <a:rPr lang="en-US" sz="1200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7,8%</a:t>
                    </a:r>
                    <a:endParaRPr lang="en-US" b="1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006-4EAA-A3AB-333CBE98C8C6}"/>
                </c:ext>
              </c:extLst>
            </c:dLbl>
            <c:dLbl>
              <c:idx val="2"/>
              <c:layout>
                <c:manualLayout>
                  <c:x val="-2.5620516185476814E-2"/>
                  <c:y val="-4.1666666666666669E-4"/>
                </c:manualLayout>
              </c:layout>
              <c:tx>
                <c:rich>
                  <a:bodyPr/>
                  <a:lstStyle/>
                  <a:p>
                    <a:pPr>
                      <a:defRPr sz="1200"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sz="120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famille
</a:t>
                    </a:r>
                    <a:r>
                      <a:rPr lang="en-US" sz="1200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11,1%</a:t>
                    </a:r>
                    <a:endParaRPr lang="en-US" b="1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006-4EAA-A3AB-333CBE98C8C6}"/>
                </c:ext>
              </c:extLst>
            </c:dLbl>
            <c:dLbl>
              <c:idx val="3"/>
              <c:layout>
                <c:manualLayout>
                  <c:x val="0.14764902821385323"/>
                  <c:y val="0.19979986876640415"/>
                </c:manualLayout>
              </c:layout>
              <c:tx>
                <c:rich>
                  <a:bodyPr/>
                  <a:lstStyle/>
                  <a:p>
                    <a:pPr>
                      <a:defRPr sz="1200"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sz="120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retraite
</a:t>
                    </a:r>
                    <a:r>
                      <a:rPr lang="en-US" sz="1200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52,9%</a:t>
                    </a:r>
                    <a:endParaRPr lang="en-US" b="1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solidFill>
                  <a:schemeClr val="accent1">
                    <a:lumMod val="20000"/>
                    <a:lumOff val="80000"/>
                  </a:schemeClr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006-4EAA-A3AB-333CBE98C8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'SA1'!$B$5:$B$8</c:f>
              <c:strCache>
                <c:ptCount val="4"/>
                <c:pt idx="0">
                  <c:v>ü retraite</c:v>
                </c:pt>
                <c:pt idx="1">
                  <c:v>ü maladie-maternité-invalidité-décès</c:v>
                </c:pt>
                <c:pt idx="2">
                  <c:v>ü famille</c:v>
                </c:pt>
                <c:pt idx="3">
                  <c:v>ü accident du travail et maladie professionnelle</c:v>
                </c:pt>
              </c:strCache>
            </c:strRef>
          </c:cat>
          <c:val>
            <c:numRef>
              <c:f>'SA1'!$E$12:$E$15</c:f>
              <c:numCache>
                <c:formatCode>0.0%</c:formatCode>
                <c:ptCount val="4"/>
                <c:pt idx="0">
                  <c:v>0.28209635997195115</c:v>
                </c:pt>
                <c:pt idx="1">
                  <c:v>7.7583871248007474E-2</c:v>
                </c:pt>
                <c:pt idx="2">
                  <c:v>0.11111519446650792</c:v>
                </c:pt>
                <c:pt idx="3">
                  <c:v>0.5292045743135334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06-4EAA-A3AB-333CBE98C8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9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64-497F-BC40-9F4B2691849E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64-497F-BC40-9F4B2691849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64-497F-BC40-9F4B2691849E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64-497F-BC40-9F4B2691849E}"/>
              </c:ext>
            </c:extLst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64-497F-BC40-9F4B2691849E}"/>
              </c:ext>
            </c:extLst>
          </c:dPt>
          <c:dLbls>
            <c:dLbl>
              <c:idx val="0"/>
              <c:layout>
                <c:manualLayout>
                  <c:x val="-5.5206876755469023E-2"/>
                  <c:y val="2.270728182789168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chemeClr val="bg1"/>
                        </a:solidFill>
                      </a:rPr>
                      <a:t>Retraite
48,4%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4-497F-BC40-9F4B2691849E}"/>
                </c:ext>
              </c:extLst>
            </c:dLbl>
            <c:dLbl>
              <c:idx val="1"/>
              <c:layout>
                <c:manualLayout>
                  <c:x val="1.0737314085739283E-2"/>
                  <c:y val="-9.8022415981526608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chemeClr val="bg1"/>
                        </a:solidFill>
                      </a:rPr>
                      <a:t>Maladie
38,7 %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4-497F-BC40-9F4B2691849E}"/>
                </c:ext>
              </c:extLst>
            </c:dLbl>
            <c:dLbl>
              <c:idx val="2"/>
              <c:layout>
                <c:manualLayout>
                  <c:x val="-0.18117082239720034"/>
                  <c:y val="-0.14536945741329715"/>
                </c:manualLayout>
              </c:layout>
              <c:tx>
                <c:rich>
                  <a:bodyPr/>
                  <a:lstStyle/>
                  <a:p>
                    <a:r>
                      <a:rPr lang="en-US" sz="1100" b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Famille
4,1 %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4-497F-BC40-9F4B2691849E}"/>
                </c:ext>
              </c:extLst>
            </c:dLbl>
            <c:dLbl>
              <c:idx val="3"/>
              <c:layout>
                <c:manualLayout>
                  <c:x val="0.14136461067366579"/>
                  <c:y val="-0.1043526056972052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ATMP
4,1 %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4-497F-BC40-9F4B2691849E}"/>
                </c:ext>
              </c:extLst>
            </c:dLbl>
            <c:dLbl>
              <c:idx val="4"/>
              <c:layout>
                <c:manualLayout>
                  <c:x val="0.19531982756578686"/>
                  <c:y val="-5.4427734419811684E-3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 rtl="0">
                      <a:defRPr lang="en-US" sz="11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rPr>
                      <a:t>Saspa
4,7 %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935658631336464"/>
                      <c:h val="0.139413346232190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E664-497F-BC40-9F4B269184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'SA1'!$B$5:$B$9</c:f>
              <c:strCache>
                <c:ptCount val="5"/>
                <c:pt idx="0">
                  <c:v>ü retraite</c:v>
                </c:pt>
                <c:pt idx="1">
                  <c:v>ü maladie-maternité-invalidité-décès</c:v>
                </c:pt>
                <c:pt idx="2">
                  <c:v>ü famille</c:v>
                </c:pt>
                <c:pt idx="3">
                  <c:v>ü accident du travail et maladie professionnelle</c:v>
                </c:pt>
                <c:pt idx="4">
                  <c:v>ü SASPA</c:v>
                </c:pt>
              </c:strCache>
            </c:strRef>
          </c:cat>
          <c:val>
            <c:numRef>
              <c:f>'SA1'!$E$5:$E$9</c:f>
              <c:numCache>
                <c:formatCode>0.0%</c:formatCode>
                <c:ptCount val="5"/>
                <c:pt idx="0">
                  <c:v>0.48450302256291994</c:v>
                </c:pt>
                <c:pt idx="1">
                  <c:v>0.38704141869026043</c:v>
                </c:pt>
                <c:pt idx="2">
                  <c:v>4.1091669300397676E-2</c:v>
                </c:pt>
                <c:pt idx="3">
                  <c:v>4.0793261388831319E-2</c:v>
                </c:pt>
                <c:pt idx="4">
                  <c:v>4.6570628057590623E-2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64-497F-BC40-9F4B269184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59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CF-4557-939F-7AC7CA6604C3}"/>
              </c:ext>
            </c:extLst>
          </c:dPt>
          <c:dPt>
            <c:idx val="1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CF-4557-939F-7AC7CA6604C3}"/>
              </c:ext>
            </c:extLst>
          </c:dPt>
          <c:dPt>
            <c:idx val="2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1CF-4557-939F-7AC7CA6604C3}"/>
              </c:ext>
            </c:extLst>
          </c:dPt>
          <c:dPt>
            <c:idx val="3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1CF-4557-939F-7AC7CA6604C3}"/>
              </c:ext>
            </c:extLst>
          </c:dPt>
          <c:dLbls>
            <c:dLbl>
              <c:idx val="0"/>
              <c:layout>
                <c:manualLayout>
                  <c:x val="6.1444699332648374E-3"/>
                  <c:y val="4.1200704342336178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Maladie
</a:t>
                    </a:r>
                    <a:r>
                      <a:rPr lang="en-US" sz="1200" b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28,2%</a:t>
                    </a:r>
                    <a:endParaRPr lang="en-US" b="1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1CF-4557-939F-7AC7CA6604C3}"/>
                </c:ext>
              </c:extLst>
            </c:dLbl>
            <c:dLbl>
              <c:idx val="1"/>
              <c:layout>
                <c:manualLayout>
                  <c:x val="-2.2488847546202491E-4"/>
                  <c:y val="0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bg1"/>
                        </a:solidFill>
                      </a:rPr>
                      <a:t>ATMP
</a:t>
                    </a:r>
                    <a:r>
                      <a:rPr lang="en-US" sz="1200" b="1">
                        <a:solidFill>
                          <a:schemeClr val="bg1"/>
                        </a:solidFill>
                      </a:rPr>
                      <a:t>7,8%</a:t>
                    </a:r>
                    <a:endParaRPr lang="en-US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1CF-4557-939F-7AC7CA6604C3}"/>
                </c:ext>
              </c:extLst>
            </c:dLbl>
            <c:dLbl>
              <c:idx val="2"/>
              <c:layout>
                <c:manualLayout>
                  <c:x val="-6.1534479541936991E-3"/>
                  <c:y val="-4.1662513704774246E-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bg1"/>
                        </a:solidFill>
                      </a:rPr>
                      <a:t>Famille
</a:t>
                    </a:r>
                    <a:r>
                      <a:rPr lang="en-US" sz="1200" b="1">
                        <a:solidFill>
                          <a:schemeClr val="bg1"/>
                        </a:solidFill>
                      </a:rPr>
                      <a:t>11,1%</a:t>
                    </a:r>
                    <a:endParaRPr lang="en-US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1CF-4557-939F-7AC7CA6604C3}"/>
                </c:ext>
              </c:extLst>
            </c:dLbl>
            <c:dLbl>
              <c:idx val="3"/>
              <c:layout>
                <c:manualLayout>
                  <c:x val="6.4219126775786853E-2"/>
                  <c:y val="-1.5389880062460604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bg1"/>
                        </a:solidFill>
                      </a:rPr>
                      <a:t>Retraite
</a:t>
                    </a:r>
                    <a:r>
                      <a:rPr lang="en-US" sz="1200" b="1">
                        <a:solidFill>
                          <a:schemeClr val="bg1"/>
                        </a:solidFill>
                      </a:rPr>
                      <a:t>52,9%</a:t>
                    </a:r>
                    <a:endParaRPr lang="en-US" b="1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1CF-4557-939F-7AC7CA660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'SA1'!$B$5:$B$8</c:f>
              <c:strCache>
                <c:ptCount val="4"/>
                <c:pt idx="0">
                  <c:v>ü retraite</c:v>
                </c:pt>
                <c:pt idx="1">
                  <c:v>ü maladie-maternité-invalidité-décès</c:v>
                </c:pt>
                <c:pt idx="2">
                  <c:v>ü famille</c:v>
                </c:pt>
                <c:pt idx="3">
                  <c:v>ü accident du travail et maladie professionnelle</c:v>
                </c:pt>
              </c:strCache>
            </c:strRef>
          </c:cat>
          <c:val>
            <c:numRef>
              <c:f>'SA1'!$E$12:$E$15</c:f>
              <c:numCache>
                <c:formatCode>0.0%</c:formatCode>
                <c:ptCount val="4"/>
                <c:pt idx="0">
                  <c:v>0.28209635997195115</c:v>
                </c:pt>
                <c:pt idx="1">
                  <c:v>7.7583871248007474E-2</c:v>
                </c:pt>
                <c:pt idx="2">
                  <c:v>0.11111519446650792</c:v>
                </c:pt>
                <c:pt idx="3">
                  <c:v>0.5292045743135334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CF-4557-939F-7AC7CA6604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9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'%charges'!$C$37</c:f>
              <c:strCache>
                <c:ptCount val="1"/>
                <c:pt idx="0">
                  <c:v>2024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0000"/>
                    <a:lumOff val="40000"/>
                    <a:shade val="30000"/>
                    <a:satMod val="115000"/>
                  </a:schemeClr>
                </a:gs>
                <a:gs pos="50000">
                  <a:schemeClr val="accent5">
                    <a:lumMod val="60000"/>
                    <a:lumOff val="40000"/>
                    <a:shade val="67500"/>
                    <a:satMod val="115000"/>
                  </a:schemeClr>
                </a:gs>
                <a:gs pos="100000">
                  <a:schemeClr val="accent5">
                    <a:lumMod val="60000"/>
                    <a:lumOff val="40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'%charges'!$A$38:$A$43</c:f>
              <c:strCache>
                <c:ptCount val="6"/>
                <c:pt idx="0">
                  <c:v>MALADIE</c:v>
                </c:pt>
                <c:pt idx="1">
                  <c:v>AT</c:v>
                </c:pt>
                <c:pt idx="2">
                  <c:v>FAMILLE</c:v>
                </c:pt>
                <c:pt idx="3">
                  <c:v>RETRAITE</c:v>
                </c:pt>
                <c:pt idx="4">
                  <c:v>Saspa</c:v>
                </c:pt>
                <c:pt idx="5">
                  <c:v>Total DEPENSES</c:v>
                </c:pt>
              </c:strCache>
            </c:strRef>
          </c:cat>
          <c:val>
            <c:numRef>
              <c:f>'%charges'!$C$38:$C$43</c:f>
              <c:numCache>
                <c:formatCode>#\ ##0.0</c:formatCode>
                <c:ptCount val="6"/>
                <c:pt idx="0">
                  <c:v>6293.6637514799995</c:v>
                </c:pt>
                <c:pt idx="1">
                  <c:v>789.59321995000005</c:v>
                </c:pt>
                <c:pt idx="2">
                  <c:v>990.55856647999997</c:v>
                </c:pt>
                <c:pt idx="3">
                  <c:v>7750.1797332300011</c:v>
                </c:pt>
                <c:pt idx="4">
                  <c:v>753.27455806999978</c:v>
                </c:pt>
                <c:pt idx="5">
                  <c:v>16577.269829209999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B-4A00-98A4-44938F180926}"/>
            </c:ext>
          </c:extLst>
        </c:ser>
        <c:ser>
          <c:idx val="1"/>
          <c:order val="1"/>
          <c:tx>
            <c:strRef>
              <c:f>'%charges'!$D$37</c:f>
              <c:strCache>
                <c:ptCount val="1"/>
                <c:pt idx="0">
                  <c:v>2025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75000"/>
                    <a:shade val="30000"/>
                    <a:satMod val="115000"/>
                  </a:schemeClr>
                </a:gs>
                <a:gs pos="50000">
                  <a:schemeClr val="accent5">
                    <a:lumMod val="75000"/>
                    <a:shade val="67500"/>
                    <a:satMod val="115000"/>
                  </a:schemeClr>
                </a:gs>
                <a:gs pos="100000">
                  <a:schemeClr val="accent5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888888888888888E-2"/>
                  <c:y val="-2.3148148148148192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1" i="0" u="none" strike="noStrike" baseline="0">
                        <a:effectLst/>
                      </a:rPr>
                      <a:t>7 121,2</a:t>
                    </a:r>
                    <a:r>
                      <a:rPr lang="en-US" sz="1000" b="1" i="0" u="none" strike="noStrike" baseline="0"/>
                      <a:t> </a:t>
                    </a:r>
                    <a:r>
                      <a:rPr lang="en-US"/>
                      <a:t>M€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33B-4A00-98A4-44938F180926}"/>
                </c:ext>
              </c:extLst>
            </c:dLbl>
            <c:dLbl>
              <c:idx val="1"/>
              <c:layout>
                <c:manualLayout>
                  <c:x val="5.5555555555555558E-3"/>
                  <c:y val="-9.25925925925917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3B-4A00-98A4-44938F180926}"/>
                </c:ext>
              </c:extLst>
            </c:dLbl>
            <c:dLbl>
              <c:idx val="2"/>
              <c:layout>
                <c:manualLayout>
                  <c:x val="-5.0925337632079971E-17"/>
                  <c:y val="-3.24074074074074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3B-4A00-98A4-44938F180926}"/>
                </c:ext>
              </c:extLst>
            </c:dLbl>
            <c:dLbl>
              <c:idx val="3"/>
              <c:layout>
                <c:manualLayout>
                  <c:x val="-1.9260082116291582E-2"/>
                  <c:y val="-4.16666666666667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3B-4A00-98A4-44938F180926}"/>
                </c:ext>
              </c:extLst>
            </c:dLbl>
            <c:dLbl>
              <c:idx val="4"/>
              <c:layout>
                <c:manualLayout>
                  <c:x val="-1.0185067526415994E-16"/>
                  <c:y val="-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3B-4A00-98A4-44938F180926}"/>
                </c:ext>
              </c:extLst>
            </c:dLbl>
            <c:dLbl>
              <c:idx val="5"/>
              <c:layout>
                <c:manualLayout>
                  <c:x val="-8.5791430469755015E-2"/>
                  <c:y val="-2.5540223313669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3B-4A00-98A4-44938F180926}"/>
                </c:ext>
              </c:extLst>
            </c:dLbl>
            <c:numFmt formatCode="#,##0.0\ &quot;M&quot;&quot;€&quot;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'%charges'!$A$38:$A$43</c:f>
              <c:strCache>
                <c:ptCount val="6"/>
                <c:pt idx="0">
                  <c:v>MALADIE</c:v>
                </c:pt>
                <c:pt idx="1">
                  <c:v>AT</c:v>
                </c:pt>
                <c:pt idx="2">
                  <c:v>FAMILLE</c:v>
                </c:pt>
                <c:pt idx="3">
                  <c:v>RETRAITE</c:v>
                </c:pt>
                <c:pt idx="4">
                  <c:v>Saspa</c:v>
                </c:pt>
                <c:pt idx="5">
                  <c:v>Total DEPENSES</c:v>
                </c:pt>
              </c:strCache>
            </c:strRef>
          </c:cat>
          <c:val>
            <c:numRef>
              <c:f>'%charges'!$D$38:$D$43</c:f>
              <c:numCache>
                <c:formatCode>#\ ##0.0</c:formatCode>
                <c:ptCount val="6"/>
                <c:pt idx="0">
                  <c:v>7121.195237320002</c:v>
                </c:pt>
                <c:pt idx="1">
                  <c:v>833.60329186999979</c:v>
                </c:pt>
                <c:pt idx="2">
                  <c:v>978.87066527000002</c:v>
                </c:pt>
                <c:pt idx="3">
                  <c:v>7974.8638214200037</c:v>
                </c:pt>
                <c:pt idx="4">
                  <c:v>752.56916740999998</c:v>
                </c:pt>
                <c:pt idx="5">
                  <c:v>17661.102183290008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3B-4A00-98A4-44938F180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02640"/>
        <c:axId val="127358336"/>
      </c:barChart>
      <c:catAx>
        <c:axId val="118702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358336"/>
        <c:crosses val="autoZero"/>
        <c:auto val="1"/>
        <c:lblAlgn val="ctr"/>
        <c:lblOffset val="100"/>
        <c:noMultiLvlLbl val="0"/>
      </c:catAx>
      <c:valAx>
        <c:axId val="127358336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118702640"/>
        <c:crosses val="autoZero"/>
        <c:crossBetween val="between"/>
        <c:majorUnit val="2000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>
        <a:extLst>
          <a:ext uri="{28A0092B-C50C-407E-A947-70E740481C1C}">
            <a14:useLocalDpi xmlns:a14="http://schemas.microsoft.com/office/drawing/2010/main" val="0"/>
          </a:ext>
        </a:extLst>
      </a:blip>
      <a:stretch>
        <a:fillRect/>
      </a:stretch>
    </a:blip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solidFill>
                  <a:schemeClr val="accent1">
                    <a:lumMod val="50000"/>
                  </a:schemeClr>
                </a:solidFill>
              </a:defRPr>
            </a:pPr>
            <a:r>
              <a:rPr lang="fr-FR" sz="1050">
                <a:solidFill>
                  <a:schemeClr val="accent1">
                    <a:lumMod val="50000"/>
                  </a:schemeClr>
                </a:solidFill>
              </a:rPr>
              <a:t>Contributions à l'évolution des dépenses selon la branche en 2025</a:t>
            </a:r>
            <a:r>
              <a:rPr lang="fr-FR" sz="1050" baseline="0">
                <a:solidFill>
                  <a:schemeClr val="accent1">
                    <a:lumMod val="50000"/>
                  </a:schemeClr>
                </a:solidFill>
              </a:rPr>
              <a:t> </a:t>
            </a:r>
            <a:r>
              <a:rPr lang="fr-FR" sz="1050" b="0">
                <a:solidFill>
                  <a:schemeClr val="tx2"/>
                </a:solidFill>
              </a:rPr>
              <a:t>(Total : +6,5 points)</a:t>
            </a:r>
          </a:p>
        </c:rich>
      </c:tx>
      <c:layout>
        <c:manualLayout>
          <c:xMode val="edge"/>
          <c:yMode val="edge"/>
          <c:x val="0.14531448629162319"/>
          <c:y val="1.615987845735509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'%charges'!$A$38</c:f>
              <c:strCache>
                <c:ptCount val="1"/>
                <c:pt idx="0">
                  <c:v>MALADIE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2C-4341-BFB8-ECDD20536B3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12C-4341-BFB8-ECDD20536B3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3-112C-4341-BFB8-ECDD20536B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5-112C-4341-BFB8-ECDD20536B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7-112C-4341-BFB8-ECDD20536B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9-112C-4341-BFB8-ECDD20536B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B-112C-4341-BFB8-ECDD20536B35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'%charges'!$H$38</c:f>
              <c:numCache>
                <c:formatCode>\+0.0;\-0.0</c:formatCode>
                <c:ptCount val="1"/>
                <c:pt idx="0">
                  <c:v>4.9919648673501644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2C-4341-BFB8-ECDD20536B35}"/>
            </c:ext>
          </c:extLst>
        </c:ser>
        <c:ser>
          <c:idx val="1"/>
          <c:order val="1"/>
          <c:tx>
            <c:strRef>
              <c:f>'%charges'!$A$39</c:f>
              <c:strCache>
                <c:ptCount val="1"/>
                <c:pt idx="0">
                  <c:v>AT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E-112C-4341-BFB8-ECDD20536B3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0-112C-4341-BFB8-ECDD20536B3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2-112C-4341-BFB8-ECDD20536B3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4-112C-4341-BFB8-ECDD20536B3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6-112C-4341-BFB8-ECDD20536B35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/>
                      <a:t>+0,1</a:t>
                    </a:r>
                  </a:p>
                </c:rich>
              </c:tx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8.2492471015705407E-2"/>
                      <c:h val="8.190386271992386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7-112C-4341-BFB8-ECDD20536B35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'%charges'!$H$39</c:f>
              <c:numCache>
                <c:formatCode>\+0.0;\-0.0</c:formatCode>
                <c:ptCount val="1"/>
                <c:pt idx="0">
                  <c:v>0.26548443967806878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12C-4341-BFB8-ECDD20536B35}"/>
            </c:ext>
          </c:extLst>
        </c:ser>
        <c:ser>
          <c:idx val="4"/>
          <c:order val="2"/>
          <c:tx>
            <c:strRef>
              <c:f>'%charges'!$A$40</c:f>
              <c:strCache>
                <c:ptCount val="1"/>
                <c:pt idx="0">
                  <c:v>FAMILLE</c:v>
                </c:pt>
              </c:strCache>
            </c:strRef>
          </c:tx>
          <c:spPr>
            <a:pattFill prst="pct75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A-112C-4341-BFB8-ECDD20536B35}"/>
              </c:ext>
            </c:extLst>
          </c:dPt>
          <c:dPt>
            <c:idx val="2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C-112C-4341-BFB8-ECDD20536B35}"/>
              </c:ext>
            </c:extLst>
          </c:dPt>
          <c:dPt>
            <c:idx val="3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E-112C-4341-BFB8-ECDD20536B35}"/>
              </c:ext>
            </c:extLst>
          </c:dPt>
          <c:dPt>
            <c:idx val="4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0-112C-4341-BFB8-ECDD20536B35}"/>
              </c:ext>
            </c:extLst>
          </c:dPt>
          <c:dPt>
            <c:idx val="5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2-112C-4341-BFB8-ECDD20536B35}"/>
              </c:ext>
            </c:extLst>
          </c:dPt>
          <c:dPt>
            <c:idx val="6"/>
            <c:invertIfNegative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4-112C-4341-BFB8-ECDD20536B35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'%charges'!$H$40</c:f>
              <c:numCache>
                <c:formatCode>\+0.0;\-0.0</c:formatCode>
                <c:ptCount val="1"/>
                <c:pt idx="0">
                  <c:v>-7.0505585843848181E-2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112C-4341-BFB8-ECDD20536B35}"/>
            </c:ext>
          </c:extLst>
        </c:ser>
        <c:ser>
          <c:idx val="3"/>
          <c:order val="3"/>
          <c:tx>
            <c:strRef>
              <c:f>'%charges'!$A$41</c:f>
              <c:strCache>
                <c:ptCount val="1"/>
                <c:pt idx="0">
                  <c:v>RETRAITE</c:v>
                </c:pt>
              </c:strCache>
            </c:strRef>
          </c:tx>
          <c:spPr>
            <a:pattFill prst="dkVert">
              <a:fgClr>
                <a:schemeClr val="accent1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2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7-112C-4341-BFB8-ECDD20536B35}"/>
              </c:ext>
            </c:extLst>
          </c:dPt>
          <c:dPt>
            <c:idx val="3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9-112C-4341-BFB8-ECDD20536B35}"/>
              </c:ext>
            </c:extLst>
          </c:dPt>
          <c:dPt>
            <c:idx val="4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B-112C-4341-BFB8-ECDD20536B35}"/>
              </c:ext>
            </c:extLst>
          </c:dPt>
          <c:dPt>
            <c:idx val="5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D-112C-4341-BFB8-ECDD20536B35}"/>
              </c:ext>
            </c:extLst>
          </c:dPt>
          <c:dPt>
            <c:idx val="6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F-112C-4341-BFB8-ECDD20536B35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'%charges'!$H$41</c:f>
              <c:numCache>
                <c:formatCode>\+0.0;\-0.0</c:formatCode>
                <c:ptCount val="1"/>
                <c:pt idx="0">
                  <c:v>1.3553745007763478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12C-4341-BFB8-ECDD20536B35}"/>
            </c:ext>
          </c:extLst>
        </c:ser>
        <c:ser>
          <c:idx val="2"/>
          <c:order val="4"/>
          <c:tx>
            <c:strRef>
              <c:f>'%charges'!$A$42</c:f>
              <c:strCache>
                <c:ptCount val="1"/>
                <c:pt idx="0">
                  <c:v>Saspa</c:v>
                </c:pt>
              </c:strCache>
            </c:strRef>
          </c:tx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'%charges'!$H$42</c:f>
              <c:numCache>
                <c:formatCode>\+0.0;\-0.0</c:formatCode>
                <c:ptCount val="1"/>
                <c:pt idx="0">
                  <c:v>-4.2551678730406656E-3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12C-4341-BFB8-ECDD20536B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9702760"/>
        <c:axId val="129203040"/>
        <c:extLst/>
      </c:barChart>
      <c:catAx>
        <c:axId val="129702760"/>
        <c:scaling>
          <c:orientation val="minMax"/>
        </c:scaling>
        <c:delete val="1"/>
        <c:axPos val="b"/>
        <c:majorGridlines/>
        <c:numFmt formatCode="General" sourceLinked="1"/>
        <c:majorTickMark val="out"/>
        <c:minorTickMark val="none"/>
        <c:tickLblPos val="high"/>
        <c:crossAx val="129203040"/>
        <c:crosses val="autoZero"/>
        <c:auto val="1"/>
        <c:lblAlgn val="ctr"/>
        <c:lblOffset val="100"/>
        <c:noMultiLvlLbl val="0"/>
      </c:catAx>
      <c:valAx>
        <c:axId val="129203040"/>
        <c:scaling>
          <c:orientation val="minMax"/>
          <c:max val="5"/>
          <c:min val="-1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12970276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029037368368077"/>
          <c:y val="0.86292054387110106"/>
          <c:w val="0.65227984038616604"/>
          <c:h val="9.7405894156613396E-2"/>
        </c:manualLayout>
      </c:layout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chemeClr val="accent1">
                    <a:lumMod val="50000"/>
                  </a:schemeClr>
                </a:solidFill>
              </a:defRPr>
            </a:pPr>
            <a:r>
              <a:rPr lang="fr-FR" sz="1100">
                <a:solidFill>
                  <a:schemeClr val="accent1">
                    <a:lumMod val="50000"/>
                  </a:schemeClr>
                </a:solidFill>
              </a:rPr>
              <a:t>Principales contributions à l'évolution des dépenses en 2025</a:t>
            </a:r>
          </a:p>
          <a:p>
            <a:pPr>
              <a:defRPr sz="1100">
                <a:solidFill>
                  <a:schemeClr val="accent1">
                    <a:lumMod val="50000"/>
                  </a:schemeClr>
                </a:solidFill>
              </a:defRPr>
            </a:pPr>
            <a:r>
              <a:rPr lang="fr-FR" sz="1100" b="0">
                <a:solidFill>
                  <a:schemeClr val="tx2"/>
                </a:solidFill>
              </a:rPr>
              <a:t>(Total : + 6,5 points)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40481537492165"/>
          <c:y val="0.21928289705432266"/>
          <c:w val="0.84677119753940122"/>
          <c:h val="0.51530503232597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'%charges'!$H$11</c:f>
              <c:strCache>
                <c:ptCount val="1"/>
                <c:pt idx="0">
                  <c:v>Prestations légales (+7,6%)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D10-4EE0-9DFC-9B70B737124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10-4EE0-9DFC-9B70B737124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3-8D10-4EE0-9DFC-9B70B737124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5-8D10-4EE0-9DFC-9B70B737124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7-8D10-4EE0-9DFC-9B70B737124E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9-8D10-4EE0-9DFC-9B70B737124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B-8D10-4EE0-9DFC-9B70B737124E}"/>
              </c:ext>
            </c:extLst>
          </c:dPt>
          <c:dLbls>
            <c:dLbl>
              <c:idx val="0"/>
              <c:layout>
                <c:manualLayout>
                  <c:x val="-2.3782566667028709E-3"/>
                  <c:y val="5.97773434042307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10-4EE0-9DFC-9B70B737124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Contri croiss</c:v>
              </c:pt>
            </c:strLit>
          </c:cat>
          <c:val>
            <c:numRef>
              <c:f>'%charges'!$I$11</c:f>
              <c:numCache>
                <c:formatCode>\+0.0;\-0.0</c:formatCode>
                <c:ptCount val="1"/>
                <c:pt idx="0">
                  <c:v>6.702129725078823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D10-4EE0-9DFC-9B70B737124E}"/>
            </c:ext>
          </c:extLst>
        </c:ser>
        <c:ser>
          <c:idx val="1"/>
          <c:order val="1"/>
          <c:tx>
            <c:strRef>
              <c:f>'%charges'!$H$12</c:f>
              <c:strCache>
                <c:ptCount val="1"/>
                <c:pt idx="0">
                  <c:v>Charges techniques (-11,6%)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E-8D10-4EE0-9DFC-9B70B737124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0-8D10-4EE0-9DFC-9B70B737124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2-8D10-4EE0-9DFC-9B70B737124E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4-8D10-4EE0-9DFC-9B70B737124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6-8D10-4EE0-9DFC-9B70B737124E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Contri croiss</c:v>
              </c:pt>
            </c:strLit>
          </c:cat>
          <c:val>
            <c:numRef>
              <c:f>'%charges'!$I$12</c:f>
              <c:numCache>
                <c:formatCode>\+0.0;\-0.0</c:formatCode>
                <c:ptCount val="1"/>
                <c:pt idx="0">
                  <c:v>-0.25897878608667046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D10-4EE0-9DFC-9B70B737124E}"/>
            </c:ext>
          </c:extLst>
        </c:ser>
        <c:ser>
          <c:idx val="4"/>
          <c:order val="2"/>
          <c:tx>
            <c:strRef>
              <c:f>'%charges'!$H$13</c:f>
              <c:strCache>
                <c:ptCount val="1"/>
                <c:pt idx="0">
                  <c:v>Dotations aux provisions (+2,6%)</c:v>
                </c:pt>
              </c:strCache>
            </c:strRef>
          </c:tx>
          <c:spPr>
            <a:pattFill prst="pct50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9-8D10-4EE0-9DFC-9B70B737124E}"/>
              </c:ext>
            </c:extLst>
          </c:dPt>
          <c:dPt>
            <c:idx val="2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B-8D10-4EE0-9DFC-9B70B737124E}"/>
              </c:ext>
            </c:extLst>
          </c:dPt>
          <c:dPt>
            <c:idx val="3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D-8D10-4EE0-9DFC-9B70B737124E}"/>
              </c:ext>
            </c:extLst>
          </c:dPt>
          <c:dPt>
            <c:idx val="4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F-8D10-4EE0-9DFC-9B70B737124E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1-8D10-4EE0-9DFC-9B70B737124E}"/>
              </c:ext>
            </c:extLst>
          </c:dPt>
          <c:dPt>
            <c:idx val="6"/>
            <c:invertIfNegative val="0"/>
            <c:bubble3D val="0"/>
            <c:spPr>
              <a:pattFill prst="pct5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3-8D10-4EE0-9DFC-9B70B737124E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Contri croiss</c:v>
              </c:pt>
            </c:strLit>
          </c:cat>
          <c:val>
            <c:numRef>
              <c:f>'%charges'!$I$13</c:f>
              <c:numCache>
                <c:formatCode>\+0.0;\-0.0</c:formatCode>
                <c:ptCount val="1"/>
                <c:pt idx="0">
                  <c:v>0.1163696295514746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D10-4EE0-9DFC-9B70B737124E}"/>
            </c:ext>
          </c:extLst>
        </c:ser>
        <c:ser>
          <c:idx val="3"/>
          <c:order val="3"/>
          <c:tx>
            <c:strRef>
              <c:f>'%charges'!$H$14</c:f>
              <c:strCache>
                <c:ptCount val="1"/>
                <c:pt idx="0">
                  <c:v>Prestations extra-légales (-1,7%)</c:v>
                </c:pt>
              </c:strCache>
              <c:extLst xmlns:c15="http://schemas.microsoft.com/office/drawing/2012/chart"/>
            </c:strRef>
          </c:tx>
          <c:spPr>
            <a:pattFill prst="dkVert">
              <a:fgClr>
                <a:schemeClr val="accent1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2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6-8D10-4EE0-9DFC-9B70B737124E}"/>
              </c:ext>
            </c:extLst>
          </c:dPt>
          <c:dPt>
            <c:idx val="3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8-8D10-4EE0-9DFC-9B70B737124E}"/>
              </c:ext>
            </c:extLst>
          </c:dPt>
          <c:dPt>
            <c:idx val="4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A-8D10-4EE0-9DFC-9B70B737124E}"/>
              </c:ext>
            </c:extLst>
          </c:dPt>
          <c:dPt>
            <c:idx val="5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C-8D10-4EE0-9DFC-9B70B737124E}"/>
              </c:ext>
            </c:extLst>
          </c:dPt>
          <c:dPt>
            <c:idx val="6"/>
            <c:invertIfNegative val="0"/>
            <c:bubble3D val="0"/>
            <c:spPr>
              <a:pattFill prst="dkVert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E-8D10-4EE0-9DFC-9B70B737124E}"/>
              </c:ext>
            </c:extLst>
          </c:dPt>
          <c:dLbls>
            <c:dLbl>
              <c:idx val="0"/>
              <c:layout>
                <c:manualLayout>
                  <c:x val="1.190476413662611E-2"/>
                  <c:y val="-2.00715809204999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D10-4EE0-9DFC-9B70B737124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Contri croiss</c:v>
              </c:pt>
            </c:strLit>
          </c:cat>
          <c:val>
            <c:numRef>
              <c:f>'%charges'!$I$14</c:f>
              <c:numCache>
                <c:formatCode>\+0.0;\-0.0</c:formatCode>
                <c:ptCount val="1"/>
                <c:pt idx="0">
                  <c:v>-1.4728662591360998E-2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0-8D10-4EE0-9DFC-9B70B737124E}"/>
            </c:ext>
          </c:extLst>
        </c:ser>
        <c:ser>
          <c:idx val="2"/>
          <c:order val="4"/>
          <c:tx>
            <c:strRef>
              <c:f>'%charges'!$H$16</c:f>
              <c:strCache>
                <c:ptCount val="1"/>
                <c:pt idx="0">
                  <c:v>Charges financières (+8,5%)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2-8D10-4EE0-9DFC-9B70B737124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4-8D10-4EE0-9DFC-9B70B737124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6-8D10-4EE0-9DFC-9B70B737124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8-8D10-4EE0-9DFC-9B70B737124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A-8D10-4EE0-9DFC-9B70B737124E}"/>
              </c:ext>
            </c:extLst>
          </c:dPt>
          <c:dLbls>
            <c:dLbl>
              <c:idx val="0"/>
              <c:layout>
                <c:manualLayout>
                  <c:x val="-4.7619056546504791E-3"/>
                  <c:y val="3.9512541675853332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D10-4EE0-9DFC-9B70B737124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Contri croiss</c:v>
              </c:pt>
            </c:strLit>
          </c:cat>
          <c:val>
            <c:numLit>
              <c:formatCode>\+0.0;\-0.0</c:formatCode>
              <c:ptCount val="1"/>
              <c:pt idx="0">
                <c:v>-2.3363477713870644E-3</c:v>
              </c:pt>
            </c:numLit>
          </c:val>
          <c:extLst>
            <c:ext xmlns:c16="http://schemas.microsoft.com/office/drawing/2014/chart" uri="{C3380CC4-5D6E-409C-BE32-E72D297353CC}">
              <c16:uniqueId val="{0000003C-8D10-4EE0-9DFC-9B70B737124E}"/>
            </c:ext>
          </c:extLst>
        </c:ser>
        <c:ser>
          <c:idx val="6"/>
          <c:order val="5"/>
          <c:tx>
            <c:strRef>
              <c:f>'%charges'!$H$15</c:f>
              <c:strCache>
                <c:ptCount val="1"/>
                <c:pt idx="0">
                  <c:v>Gestion (-0,2%)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Contri croiss</c:v>
              </c:pt>
            </c:strLit>
          </c:cat>
          <c:val>
            <c:numRef>
              <c:f>'%charges'!$I$15</c:f>
              <c:numCache>
                <c:formatCode>\+0.0;\-0.0</c:formatCode>
                <c:ptCount val="1"/>
                <c:pt idx="0">
                  <c:v>-7.7676986214646263E-3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D-8D10-4EE0-9DFC-9B70B737124E}"/>
            </c:ext>
          </c:extLst>
        </c:ser>
        <c:ser>
          <c:idx val="5"/>
          <c:order val="6"/>
          <c:tx>
            <c:strRef>
              <c:f>'%charges'!$H$17</c:f>
              <c:strCache>
                <c:ptCount val="1"/>
                <c:pt idx="0">
                  <c:v>Autres charges (-%)</c:v>
                </c:pt>
              </c:strCache>
              <c:extLst xmlns:c15="http://schemas.microsoft.com/office/drawing/2012/chart"/>
            </c:strRef>
          </c:tx>
          <c:invertIfNegative val="0"/>
          <c:dLbls>
            <c:dLbl>
              <c:idx val="0"/>
              <c:layout>
                <c:manualLayout>
                  <c:x val="0"/>
                  <c:y val="3.9512541675853332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D10-4EE0-9DFC-9B70B737124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\+0.0;\-0.0</c:formatCode>
              <c:ptCount val="1"/>
              <c:pt idx="0">
                <c:v>-8.7306411314768957E-4</c:v>
              </c:pt>
            </c:numLit>
          </c:val>
          <c:extLst>
            <c:ext xmlns:c16="http://schemas.microsoft.com/office/drawing/2014/chart" uri="{C3380CC4-5D6E-409C-BE32-E72D297353CC}">
              <c16:uniqueId val="{0000003F-8D10-4EE0-9DFC-9B70B73712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971144"/>
        <c:axId val="454724568"/>
        <c:extLst/>
      </c:barChart>
      <c:catAx>
        <c:axId val="36971144"/>
        <c:scaling>
          <c:orientation val="minMax"/>
        </c:scaling>
        <c:delete val="1"/>
        <c:axPos val="b"/>
        <c:majorGridlines/>
        <c:numFmt formatCode="General" sourceLinked="1"/>
        <c:majorTickMark val="out"/>
        <c:minorTickMark val="none"/>
        <c:tickLblPos val="high"/>
        <c:crossAx val="454724568"/>
        <c:crosses val="autoZero"/>
        <c:auto val="1"/>
        <c:lblAlgn val="ctr"/>
        <c:lblOffset val="100"/>
        <c:noMultiLvlLbl val="0"/>
      </c:catAx>
      <c:valAx>
        <c:axId val="454724568"/>
        <c:scaling>
          <c:orientation val="minMax"/>
          <c:max val="7"/>
          <c:min val="-2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36971144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3.3181362108116673E-3"/>
          <c:y val="0.78728647694144682"/>
          <c:w val="0.97735183376493651"/>
          <c:h val="0.21222275317209938"/>
        </c:manualLayout>
      </c:layout>
      <c:overlay val="0"/>
      <c:txPr>
        <a:bodyPr/>
        <a:lstStyle/>
        <a:p>
          <a:pPr>
            <a:defRPr sz="900">
              <a:solidFill>
                <a:schemeClr val="accent1">
                  <a:lumMod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650875</xdr:colOff>
      <xdr:row>2</xdr:row>
      <xdr:rowOff>1</xdr:rowOff>
    </xdr:from>
    <xdr:to>
      <xdr:col>10</xdr:col>
      <xdr:colOff>121708</xdr:colOff>
      <xdr:row>19</xdr:row>
      <xdr:rowOff>127002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51E2E9BF-D7EE-4B30-9265-1E9FBA9D4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505355</xdr:colOff>
      <xdr:row>34</xdr:row>
      <xdr:rowOff>130967</xdr:rowOff>
    </xdr:from>
    <xdr:to>
      <xdr:col>9</xdr:col>
      <xdr:colOff>738188</xdr:colOff>
      <xdr:row>56</xdr:row>
      <xdr:rowOff>130967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64261964-158D-45AB-8799-2ECE99606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201083</xdr:colOff>
      <xdr:row>34</xdr:row>
      <xdr:rowOff>10583</xdr:rowOff>
    </xdr:from>
    <xdr:to>
      <xdr:col>13</xdr:col>
      <xdr:colOff>158750</xdr:colOff>
      <xdr:row>46</xdr:row>
      <xdr:rowOff>105833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1325EB1-8DD2-46D2-87E8-E28853875A09}"/>
            </a:ext>
          </a:extLst>
        </xdr:cNvPr>
        <xdr:cNvSpPr txBox="1"/>
      </xdr:nvSpPr>
      <xdr:spPr>
        <a:xfrm>
          <a:off x="10403416" y="6223000"/>
          <a:ext cx="2243667" cy="2000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</a:t>
          </a:r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exécution budgétaire </a:t>
          </a: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régime des salariés agricoles aboutit à un </a:t>
          </a:r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excédent</a:t>
          </a: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</a:t>
          </a:r>
          <a:r>
            <a:rPr lang="fr-FR" sz="1200" b="1" i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5,6</a:t>
          </a: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millions d’euros après transferts d’équilibrage avec le régime général, qui correspond au solde de la branche </a:t>
          </a:r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ATMP</a:t>
          </a: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r-FR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endParaRPr lang="fr-FR" sz="1100"/>
        </a:p>
      </xdr:txBody>
    </xdr:sp>
    <xdr:clientData/>
  </xdr:twoCellAnchor>
  <xdr:twoCellAnchor>
    <xdr:from>
      <xdr:col>10</xdr:col>
      <xdr:colOff>285751</xdr:colOff>
      <xdr:row>19</xdr:row>
      <xdr:rowOff>52915</xdr:rowOff>
    </xdr:from>
    <xdr:to>
      <xdr:col>13</xdr:col>
      <xdr:colOff>95251</xdr:colOff>
      <xdr:row>34</xdr:row>
      <xdr:rowOff>21166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740CAF6B-7792-459D-B75B-6A6DD87B1F59}"/>
            </a:ext>
          </a:extLst>
        </xdr:cNvPr>
        <xdr:cNvSpPr txBox="1"/>
      </xdr:nvSpPr>
      <xdr:spPr>
        <a:xfrm>
          <a:off x="10488084" y="3884082"/>
          <a:ext cx="2095500" cy="2349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lang="fr-FR" sz="1200" b="1" i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populations de bénéficiaires </a:t>
          </a:r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maladie </a:t>
          </a: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 d’actifs cotisants sont en augmentation au régime des salariés agricoles. Le nombre de </a:t>
          </a:r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familles</a:t>
          </a: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bénéficiaires de prestations familiales poursuit son recul. L’évolution des effectifs de </a:t>
          </a:r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retraités</a:t>
          </a: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 affectée par la mise en place de la liquidation unique des régimes alignés (Lura) depuis le 1er juillet 2017. </a:t>
          </a:r>
          <a:endParaRPr lang="fr-FR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407748</xdr:colOff>
      <xdr:row>0</xdr:row>
      <xdr:rowOff>105833</xdr:rowOff>
    </xdr:from>
    <xdr:to>
      <xdr:col>14</xdr:col>
      <xdr:colOff>486834</xdr:colOff>
      <xdr:row>26</xdr:row>
      <xdr:rowOff>63500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27</xdr:row>
      <xdr:rowOff>10584</xdr:rowOff>
    </xdr:from>
    <xdr:to>
      <xdr:col>13</xdr:col>
      <xdr:colOff>254000</xdr:colOff>
      <xdr:row>42</xdr:row>
      <xdr:rowOff>127000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0.7475</cdr:x>
      <cdr:y>0.17993</cdr:y>
    </cdr:from>
    <cdr:to>
      <cdr:x>0.89389</cdr:x>
      <cdr:y>0.26816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5E2F676C-A9C4-4421-8061-0CC4772DA540}"/>
            </a:ext>
          </a:extLst>
        </cdr:cNvPr>
        <cdr:cNvSpPr txBox="1"/>
      </cdr:nvSpPr>
      <cdr:spPr>
        <a:xfrm xmlns:a="http://schemas.openxmlformats.org/drawingml/2006/main">
          <a:off x="4232416" y="538896"/>
          <a:ext cx="828872" cy="264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0.65714</cdr:x>
      <cdr:y>0.33273</cdr:y>
    </cdr:from>
    <cdr:to>
      <cdr:x>0.7944</cdr:x>
      <cdr:y>0.41116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1721A048-6867-45ED-8E1C-BC861269A66A}"/>
            </a:ext>
          </a:extLst>
        </cdr:cNvPr>
        <cdr:cNvSpPr txBox="1"/>
      </cdr:nvSpPr>
      <cdr:spPr>
        <a:xfrm xmlns:a="http://schemas.openxmlformats.org/drawingml/2006/main">
          <a:off x="3720783" y="996555"/>
          <a:ext cx="777178" cy="234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Maladie</a:t>
          </a:r>
        </a:p>
      </cdr:txBody>
    </cdr:sp>
  </cdr:relSizeAnchor>
  <cdr:relSizeAnchor xmlns:cdr="http://schemas.openxmlformats.org/drawingml/2006/chartDrawing">
    <cdr:from>
      <cdr:x>0.56542</cdr:x>
      <cdr:y>0.33561</cdr:y>
    </cdr:from>
    <cdr:to>
      <cdr:x>0.68212</cdr:x>
      <cdr:y>0.42403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C284188C-D19E-4BF2-87DF-531F837A0C20}"/>
            </a:ext>
          </a:extLst>
        </cdr:cNvPr>
        <cdr:cNvSpPr txBox="1"/>
      </cdr:nvSpPr>
      <cdr:spPr>
        <a:xfrm xmlns:a="http://schemas.openxmlformats.org/drawingml/2006/main">
          <a:off x="3201439" y="1005170"/>
          <a:ext cx="660765" cy="264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200" b="1">
              <a:solidFill>
                <a:schemeClr val="tx2">
                  <a:lumMod val="50000"/>
                </a:schemeClr>
              </a:solidFill>
            </a:rPr>
            <a:t>7 121,2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0.20875</cdr:x>
      <cdr:y>0.09739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C284188C-D19E-4BF2-87DF-531F837A0C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111250" cy="264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0.62336</cdr:x>
      <cdr:y>0.17875</cdr:y>
    </cdr:from>
    <cdr:to>
      <cdr:x>0.76249</cdr:x>
      <cdr:y>0.26502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7CC0A6C8-7B25-4239-B29E-BD172695FCEA}"/>
            </a:ext>
          </a:extLst>
        </cdr:cNvPr>
        <cdr:cNvSpPr txBox="1"/>
      </cdr:nvSpPr>
      <cdr:spPr>
        <a:xfrm xmlns:a="http://schemas.openxmlformats.org/drawingml/2006/main">
          <a:off x="3529521" y="535362"/>
          <a:ext cx="787765" cy="258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200" b="1">
              <a:solidFill>
                <a:schemeClr val="tx2">
                  <a:lumMod val="50000"/>
                </a:schemeClr>
              </a:solidFill>
            </a:rPr>
            <a:t>7 974,9</a:t>
          </a:r>
        </a:p>
      </cdr:txBody>
    </cdr:sp>
  </cdr:relSizeAnchor>
  <cdr:relSizeAnchor xmlns:cdr="http://schemas.openxmlformats.org/drawingml/2006/chartDrawing">
    <cdr:from>
      <cdr:x>0.02607</cdr:x>
      <cdr:y>0.50419</cdr:y>
    </cdr:from>
    <cdr:to>
      <cdr:x>0.12616</cdr:x>
      <cdr:y>0.58657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96976EE3-FD18-4066-9852-EEC4C4848013}"/>
            </a:ext>
          </a:extLst>
        </cdr:cNvPr>
        <cdr:cNvSpPr txBox="1"/>
      </cdr:nvSpPr>
      <cdr:spPr>
        <a:xfrm xmlns:a="http://schemas.openxmlformats.org/drawingml/2006/main">
          <a:off x="147634" y="1510083"/>
          <a:ext cx="566718" cy="246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2">
                  <a:lumMod val="50000"/>
                </a:schemeClr>
              </a:solidFill>
            </a:rPr>
            <a:t>978,9</a:t>
          </a:r>
        </a:p>
      </cdr:txBody>
    </cdr:sp>
  </cdr:relSizeAnchor>
  <cdr:relSizeAnchor xmlns:cdr="http://schemas.openxmlformats.org/drawingml/2006/chartDrawing">
    <cdr:from>
      <cdr:x>0.02231</cdr:x>
      <cdr:y>0.65726</cdr:y>
    </cdr:from>
    <cdr:to>
      <cdr:x>0.11775</cdr:x>
      <cdr:y>0.73307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933E9DD4-C0ED-413C-B24F-33BD39728A5C}"/>
            </a:ext>
          </a:extLst>
        </cdr:cNvPr>
        <cdr:cNvSpPr txBox="1"/>
      </cdr:nvSpPr>
      <cdr:spPr>
        <a:xfrm xmlns:a="http://schemas.openxmlformats.org/drawingml/2006/main">
          <a:off x="126307" y="1968539"/>
          <a:ext cx="540389" cy="227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2">
                  <a:lumMod val="50000"/>
                </a:schemeClr>
              </a:solidFill>
            </a:rPr>
            <a:t>833,6</a:t>
          </a:r>
        </a:p>
      </cdr:txBody>
    </cdr:sp>
  </cdr:relSizeAnchor>
  <cdr:relSizeAnchor xmlns:cdr="http://schemas.openxmlformats.org/drawingml/2006/chartDrawing">
    <cdr:from>
      <cdr:x>0.02047</cdr:x>
      <cdr:y>0.81022</cdr:y>
    </cdr:from>
    <cdr:to>
      <cdr:x>0.11781</cdr:x>
      <cdr:y>0.88604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081E490A-6A84-41E9-8B8C-9AE71D5DE018}"/>
            </a:ext>
          </a:extLst>
        </cdr:cNvPr>
        <cdr:cNvSpPr txBox="1"/>
      </cdr:nvSpPr>
      <cdr:spPr>
        <a:xfrm xmlns:a="http://schemas.openxmlformats.org/drawingml/2006/main">
          <a:off x="115913" y="2426672"/>
          <a:ext cx="551147" cy="227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2">
                  <a:lumMod val="50000"/>
                </a:schemeClr>
              </a:solidFill>
            </a:rPr>
            <a:t>752,6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0.15551</cdr:x>
      <cdr:y>0.10392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7F4F2CD5-5C79-4361-8EE2-7D841A01B4D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14916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0.15551</cdr:x>
      <cdr:y>0.10392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7F4F2CD5-5C79-4361-8EE2-7D841A01B4D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14916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0.12223</cdr:x>
      <cdr:y>0.50703</cdr:y>
    </cdr:from>
    <cdr:to>
      <cdr:x>0.23645</cdr:x>
      <cdr:y>0.60424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7F4F2CD5-5C79-4361-8EE2-7D841A01B4DC}"/>
            </a:ext>
          </a:extLst>
        </cdr:cNvPr>
        <cdr:cNvSpPr txBox="1"/>
      </cdr:nvSpPr>
      <cdr:spPr>
        <a:xfrm xmlns:a="http://schemas.openxmlformats.org/drawingml/2006/main">
          <a:off x="692071" y="1518591"/>
          <a:ext cx="646723" cy="291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1"/>
              </a:solidFill>
            </a:rPr>
            <a:t>Famille</a:t>
          </a:r>
        </a:p>
      </cdr:txBody>
    </cdr:sp>
  </cdr:relSizeAnchor>
  <cdr:relSizeAnchor xmlns:cdr="http://schemas.openxmlformats.org/drawingml/2006/chartDrawing">
    <cdr:from>
      <cdr:x>0.10538</cdr:x>
      <cdr:y>0.65441</cdr:y>
    </cdr:from>
    <cdr:to>
      <cdr:x>0.37572</cdr:x>
      <cdr:y>0.7335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44793AD9-BB3A-4D9F-B926-7C3ED44F45EE}"/>
            </a:ext>
          </a:extLst>
        </cdr:cNvPr>
        <cdr:cNvSpPr txBox="1"/>
      </cdr:nvSpPr>
      <cdr:spPr>
        <a:xfrm xmlns:a="http://schemas.openxmlformats.org/drawingml/2006/main">
          <a:off x="596651" y="1960014"/>
          <a:ext cx="1530687" cy="236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1"/>
              </a:solidFill>
            </a:rPr>
            <a:t>Accident du travail</a:t>
          </a:r>
        </a:p>
      </cdr:txBody>
    </cdr:sp>
  </cdr:relSizeAnchor>
  <cdr:relSizeAnchor xmlns:cdr="http://schemas.openxmlformats.org/drawingml/2006/chartDrawing">
    <cdr:from>
      <cdr:x>0.09155</cdr:x>
      <cdr:y>0.80969</cdr:y>
    </cdr:from>
    <cdr:to>
      <cdr:x>0.22149</cdr:x>
      <cdr:y>0.89792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00862075-EB91-4244-BB03-2B6B7D24E7E8}"/>
            </a:ext>
          </a:extLst>
        </cdr:cNvPr>
        <cdr:cNvSpPr txBox="1"/>
      </cdr:nvSpPr>
      <cdr:spPr>
        <a:xfrm xmlns:a="http://schemas.openxmlformats.org/drawingml/2006/main">
          <a:off x="518383" y="2425084"/>
          <a:ext cx="735731" cy="264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1"/>
              </a:solidFill>
            </a:rPr>
            <a:t>SASPA</a:t>
          </a:r>
        </a:p>
      </cdr:txBody>
    </cdr:sp>
  </cdr:relSizeAnchor>
  <cdr:relSizeAnchor xmlns:cdr="http://schemas.openxmlformats.org/drawingml/2006/chartDrawing">
    <cdr:from>
      <cdr:x>0.01308</cdr:x>
      <cdr:y>0.00707</cdr:y>
    </cdr:from>
    <cdr:to>
      <cdr:x>0.89719</cdr:x>
      <cdr:y>0.15194</cdr:y>
    </cdr:to>
    <cdr:sp macro="" textlink="">
      <cdr:nvSpPr>
        <cdr:cNvPr id="18" name="ZoneTexte 1">
          <a:extLst xmlns:a="http://schemas.openxmlformats.org/drawingml/2006/main">
            <a:ext uri="{FF2B5EF4-FFF2-40B4-BE49-F238E27FC236}">
              <a16:creationId xmlns:a16="http://schemas.microsoft.com/office/drawing/2014/main" id="{FB518968-3950-4E98-8B1B-41D1B4182D8F}"/>
            </a:ext>
          </a:extLst>
        </cdr:cNvPr>
        <cdr:cNvSpPr txBox="1"/>
      </cdr:nvSpPr>
      <cdr:spPr>
        <a:xfrm xmlns:a="http://schemas.openxmlformats.org/drawingml/2006/main">
          <a:off x="74079" y="21175"/>
          <a:ext cx="5005905" cy="433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400" b="1" i="1">
              <a:solidFill>
                <a:schemeClr val="accent1">
                  <a:lumMod val="50000"/>
                </a:schemeClr>
              </a:solidFill>
            </a:rPr>
            <a:t>Dépenses par branche (en millions d'€)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i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Evolution</a:t>
          </a:r>
          <a:r>
            <a:rPr lang="fr-FR" sz="1100" b="1" i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(en %) sur 1 an</a:t>
          </a:r>
          <a:endParaRPr lang="fr-FR" sz="1400">
            <a:solidFill>
              <a:srgbClr val="C00000"/>
            </a:solidFill>
            <a:effectLst/>
          </a:endParaRPr>
        </a:p>
        <a:p xmlns:a="http://schemas.openxmlformats.org/drawingml/2006/main">
          <a:pPr algn="l"/>
          <a:endParaRPr lang="fr-FR" sz="1400" b="1" i="1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0.71308</cdr:x>
      <cdr:y>0.51237</cdr:y>
    </cdr:from>
    <cdr:to>
      <cdr:x>0.97509</cdr:x>
      <cdr:y>1</cdr:y>
    </cdr:to>
    <cdr:pic>
      <cdr:nvPicPr>
        <cdr:cNvPr id="21" name="Image 20">
          <a:extLst xmlns:a="http://schemas.openxmlformats.org/drawingml/2006/main">
            <a:ext uri="{FF2B5EF4-FFF2-40B4-BE49-F238E27FC236}">
              <a16:creationId xmlns:a16="http://schemas.microsoft.com/office/drawing/2014/main" id="{7D77FC64-AD96-4026-8CFC-EDD358E6CB91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85318" t="30334" r="3439" b="51324"/>
        <a:stretch xmlns:a="http://schemas.openxmlformats.org/drawingml/2006/main"/>
      </cdr:blipFill>
      <cdr:spPr bwMode="auto">
        <a:xfrm xmlns:a="http://schemas.openxmlformats.org/drawingml/2006/main">
          <a:off x="4037541" y="1534583"/>
          <a:ext cx="1483493" cy="146050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  <cdr:relSizeAnchor xmlns:cdr="http://schemas.openxmlformats.org/drawingml/2006/chartDrawing">
    <cdr:from>
      <cdr:x>0.84448</cdr:x>
      <cdr:y>0.76678</cdr:y>
    </cdr:from>
    <cdr:to>
      <cdr:x>0.98785</cdr:x>
      <cdr:y>0.89046</cdr:y>
    </cdr:to>
    <cdr:sp macro="" textlink="">
      <cdr:nvSpPr>
        <cdr:cNvPr id="22" name="ZoneTexte 1">
          <a:extLst xmlns:a="http://schemas.openxmlformats.org/drawingml/2006/main">
            <a:ext uri="{FF2B5EF4-FFF2-40B4-BE49-F238E27FC236}">
              <a16:creationId xmlns:a16="http://schemas.microsoft.com/office/drawing/2014/main" id="{88C51CD7-3231-4F7C-BDE3-6879787EB57D}"/>
            </a:ext>
          </a:extLst>
        </cdr:cNvPr>
        <cdr:cNvSpPr txBox="1"/>
      </cdr:nvSpPr>
      <cdr:spPr>
        <a:xfrm xmlns:a="http://schemas.openxmlformats.org/drawingml/2006/main">
          <a:off x="4781541" y="2296573"/>
          <a:ext cx="811751" cy="3704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 b="1">
              <a:solidFill>
                <a:srgbClr val="C00000"/>
              </a:solidFill>
            </a:rPr>
            <a:t>Prestations sociales</a:t>
          </a:r>
        </a:p>
      </cdr:txBody>
    </cdr:sp>
  </cdr:relSizeAnchor>
  <cdr:relSizeAnchor xmlns:cdr="http://schemas.openxmlformats.org/drawingml/2006/chartDrawing">
    <cdr:from>
      <cdr:x>0.66636</cdr:x>
      <cdr:y>0.53357</cdr:y>
    </cdr:from>
    <cdr:to>
      <cdr:x>0.92804</cdr:x>
      <cdr:y>0.61131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04515782-186F-41BC-8771-5D78B2D68236}"/>
            </a:ext>
          </a:extLst>
        </cdr:cNvPr>
        <cdr:cNvSpPr txBox="1"/>
      </cdr:nvSpPr>
      <cdr:spPr>
        <a:xfrm xmlns:a="http://schemas.openxmlformats.org/drawingml/2006/main">
          <a:off x="3772960" y="1598082"/>
          <a:ext cx="1481666" cy="2328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 b="1">
              <a:solidFill>
                <a:srgbClr val="002060"/>
              </a:solidFill>
            </a:rPr>
            <a:t>soit 17,7</a:t>
          </a:r>
          <a:r>
            <a:rPr lang="fr-FR" sz="1000" b="1" baseline="0">
              <a:solidFill>
                <a:srgbClr val="002060"/>
              </a:solidFill>
            </a:rPr>
            <a:t>  milliards d'€</a:t>
          </a:r>
        </a:p>
        <a:p xmlns:a="http://schemas.openxmlformats.org/drawingml/2006/main">
          <a:endParaRPr lang="fr-FR" sz="1400" b="1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0.72859</cdr:x>
      <cdr:y>0.64664</cdr:y>
    </cdr:from>
    <cdr:to>
      <cdr:x>0.84205</cdr:x>
      <cdr:y>0.72438</cdr:y>
    </cdr:to>
    <cdr:sp macro="" textlink="">
      <cdr:nvSpPr>
        <cdr:cNvPr id="26" name="ZoneTexte 1">
          <a:extLst xmlns:a="http://schemas.openxmlformats.org/drawingml/2006/main">
            <a:ext uri="{FF2B5EF4-FFF2-40B4-BE49-F238E27FC236}">
              <a16:creationId xmlns:a16="http://schemas.microsoft.com/office/drawing/2014/main" id="{D627C31B-A7A7-42DD-88A8-0D18BC42C962}"/>
            </a:ext>
          </a:extLst>
        </cdr:cNvPr>
        <cdr:cNvSpPr txBox="1"/>
      </cdr:nvSpPr>
      <cdr:spPr>
        <a:xfrm xmlns:a="http://schemas.openxmlformats.org/drawingml/2006/main">
          <a:off x="4125361" y="1936736"/>
          <a:ext cx="642419" cy="23283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1">
              <a:solidFill>
                <a:schemeClr val="tx2"/>
              </a:solidFill>
            </a:rPr>
            <a:t>+ 6,5 %</a:t>
          </a:r>
        </a:p>
      </cdr:txBody>
    </cdr:sp>
  </cdr:relSizeAnchor>
  <cdr:relSizeAnchor xmlns:cdr="http://schemas.openxmlformats.org/drawingml/2006/chartDrawing">
    <cdr:from>
      <cdr:x>0.82767</cdr:x>
      <cdr:y>0.64594</cdr:y>
    </cdr:from>
    <cdr:to>
      <cdr:x>0.96542</cdr:x>
      <cdr:y>0.71378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EC6C031F-CD9A-4DD8-9A66-475B5E01FD5D}"/>
            </a:ext>
          </a:extLst>
        </cdr:cNvPr>
        <cdr:cNvSpPr txBox="1"/>
      </cdr:nvSpPr>
      <cdr:spPr>
        <a:xfrm xmlns:a="http://schemas.openxmlformats.org/drawingml/2006/main">
          <a:off x="4686317" y="1934632"/>
          <a:ext cx="779952" cy="20318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1">
              <a:solidFill>
                <a:srgbClr val="C00000"/>
              </a:solidFill>
            </a:rPr>
            <a:t>+ 7,6 %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0.58528</cdr:x>
      <cdr:y>0.1368</cdr:y>
    </cdr:from>
    <cdr:to>
      <cdr:x>0.83762</cdr:x>
      <cdr:y>0.22503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5E2F676C-A9C4-4421-8061-0CC4772DA540}"/>
            </a:ext>
          </a:extLst>
        </cdr:cNvPr>
        <cdr:cNvSpPr txBox="1"/>
      </cdr:nvSpPr>
      <cdr:spPr>
        <a:xfrm xmlns:a="http://schemas.openxmlformats.org/drawingml/2006/main">
          <a:off x="3313877" y="477775"/>
          <a:ext cx="1428770" cy="30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50" b="1">
              <a:solidFill>
                <a:schemeClr val="bg1"/>
              </a:solidFill>
            </a:rPr>
            <a:t>Cotisations</a:t>
          </a:r>
          <a:r>
            <a:rPr lang="fr-FR" sz="1050" b="1" baseline="0">
              <a:solidFill>
                <a:schemeClr val="bg1"/>
              </a:solidFill>
            </a:rPr>
            <a:t> sociales</a:t>
          </a:r>
          <a:endParaRPr lang="fr-FR" sz="105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0.53004</cdr:x>
      <cdr:y>0.29739</cdr:y>
    </cdr:from>
    <cdr:to>
      <cdr:x>0.6673</cdr:x>
      <cdr:y>0.37582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1721A048-6867-45ED-8E1C-BC861269A66A}"/>
            </a:ext>
          </a:extLst>
        </cdr:cNvPr>
        <cdr:cNvSpPr txBox="1"/>
      </cdr:nvSpPr>
      <cdr:spPr>
        <a:xfrm xmlns:a="http://schemas.openxmlformats.org/drawingml/2006/main">
          <a:off x="2950659" y="963091"/>
          <a:ext cx="764104" cy="253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Maladie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0.20875</cdr:x>
      <cdr:y>0.09739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C284188C-D19E-4BF2-87DF-531F837A0C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111250" cy="264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0.48647</cdr:x>
      <cdr:y>0.13338</cdr:y>
    </cdr:from>
    <cdr:to>
      <cdr:x>0.64019</cdr:x>
      <cdr:y>0.21508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7CC0A6C8-7B25-4239-B29E-BD172695FCEA}"/>
            </a:ext>
          </a:extLst>
        </cdr:cNvPr>
        <cdr:cNvSpPr txBox="1"/>
      </cdr:nvSpPr>
      <cdr:spPr>
        <a:xfrm xmlns:a="http://schemas.openxmlformats.org/drawingml/2006/main">
          <a:off x="2754426" y="465832"/>
          <a:ext cx="870375" cy="28533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6 892,8</a:t>
          </a:r>
        </a:p>
      </cdr:txBody>
    </cdr:sp>
  </cdr:relSizeAnchor>
  <cdr:relSizeAnchor xmlns:cdr="http://schemas.openxmlformats.org/drawingml/2006/chartDrawing">
    <cdr:from>
      <cdr:x>0.01272</cdr:x>
      <cdr:y>0.81932</cdr:y>
    </cdr:from>
    <cdr:to>
      <cdr:x>0.10816</cdr:x>
      <cdr:y>0.89513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933E9DD4-C0ED-413C-B24F-33BD39728A5C}"/>
            </a:ext>
          </a:extLst>
        </cdr:cNvPr>
        <cdr:cNvSpPr txBox="1"/>
      </cdr:nvSpPr>
      <cdr:spPr>
        <a:xfrm xmlns:a="http://schemas.openxmlformats.org/drawingml/2006/main">
          <a:off x="72037" y="3004536"/>
          <a:ext cx="540390" cy="2780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548,2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0.15551</cdr:x>
      <cdr:y>0.10392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7F4F2CD5-5C79-4361-8EE2-7D841A01B4D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14916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0.15551</cdr:x>
      <cdr:y>0.10392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7F4F2CD5-5C79-4361-8EE2-7D841A01B4D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14916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0.01668</cdr:x>
      <cdr:y>0</cdr:y>
    </cdr:from>
    <cdr:to>
      <cdr:x>0.83224</cdr:x>
      <cdr:y>0.07029</cdr:y>
    </cdr:to>
    <cdr:sp macro="" textlink="">
      <cdr:nvSpPr>
        <cdr:cNvPr id="21" name="ZoneTexte 1">
          <a:extLst xmlns:a="http://schemas.openxmlformats.org/drawingml/2006/main">
            <a:ext uri="{FF2B5EF4-FFF2-40B4-BE49-F238E27FC236}">
              <a16:creationId xmlns:a16="http://schemas.microsoft.com/office/drawing/2014/main" id="{454DEE24-05D5-4200-AB13-DEA22FB98024}"/>
            </a:ext>
          </a:extLst>
        </cdr:cNvPr>
        <cdr:cNvSpPr txBox="1"/>
      </cdr:nvSpPr>
      <cdr:spPr>
        <a:xfrm xmlns:a="http://schemas.openxmlformats.org/drawingml/2006/main">
          <a:off x="94429" y="0"/>
          <a:ext cx="4617800" cy="245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400" b="1" i="1">
              <a:solidFill>
                <a:schemeClr val="accent1">
                  <a:lumMod val="50000"/>
                </a:schemeClr>
              </a:solidFill>
            </a:rPr>
            <a:t>Recettes</a:t>
          </a:r>
          <a:r>
            <a:rPr lang="fr-FR" sz="1400" b="1" i="1" baseline="0">
              <a:solidFill>
                <a:schemeClr val="accent1">
                  <a:lumMod val="50000"/>
                </a:schemeClr>
              </a:solidFill>
            </a:rPr>
            <a:t> par poste (</a:t>
          </a:r>
          <a:r>
            <a:rPr lang="fr-FR" sz="1400" b="1" i="1">
              <a:solidFill>
                <a:schemeClr val="accent1">
                  <a:lumMod val="50000"/>
                </a:schemeClr>
              </a:solidFill>
            </a:rPr>
            <a:t>en millions d'€ )</a:t>
          </a:r>
        </a:p>
        <a:p xmlns:a="http://schemas.openxmlformats.org/drawingml/2006/main">
          <a:pPr algn="l"/>
          <a:r>
            <a:rPr lang="fr-FR" sz="1100" b="1" i="1">
              <a:solidFill>
                <a:srgbClr val="C00000"/>
              </a:solidFill>
            </a:rPr>
            <a:t>Evolution</a:t>
          </a:r>
          <a:r>
            <a:rPr lang="fr-FR" sz="1100" b="1" i="1" baseline="0">
              <a:solidFill>
                <a:srgbClr val="C00000"/>
              </a:solidFill>
            </a:rPr>
            <a:t> (en %) sur 1 an</a:t>
          </a:r>
          <a:endParaRPr lang="fr-FR" sz="1100" b="1" i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0.68832</cdr:x>
      <cdr:y>0.52917</cdr:y>
    </cdr:from>
    <cdr:to>
      <cdr:x>0.98014</cdr:x>
      <cdr:y>1</cdr:y>
    </cdr:to>
    <cdr:pic>
      <cdr:nvPicPr>
        <cdr:cNvPr id="22" name="Image 21">
          <a:extLst xmlns:a="http://schemas.openxmlformats.org/drawingml/2006/main">
            <a:ext uri="{FF2B5EF4-FFF2-40B4-BE49-F238E27FC236}">
              <a16:creationId xmlns:a16="http://schemas.microsoft.com/office/drawing/2014/main" id="{B3D1A1BF-8433-49E8-8130-F1DB15383161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85318" t="30334" r="3439" b="51324"/>
        <a:stretch xmlns:a="http://schemas.openxmlformats.org/drawingml/2006/main"/>
      </cdr:blipFill>
      <cdr:spPr bwMode="auto">
        <a:xfrm xmlns:a="http://schemas.openxmlformats.org/drawingml/2006/main">
          <a:off x="3897312" y="1848116"/>
          <a:ext cx="1652322" cy="164438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  <cdr:relSizeAnchor xmlns:cdr="http://schemas.openxmlformats.org/drawingml/2006/chartDrawing">
    <cdr:from>
      <cdr:x>0.32439</cdr:x>
      <cdr:y>0.23853</cdr:y>
    </cdr:from>
    <cdr:to>
      <cdr:x>0.44533</cdr:x>
      <cdr:y>0.32023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FF0CA47B-A291-44BC-890A-F8906BCA6C16}"/>
            </a:ext>
          </a:extLst>
        </cdr:cNvPr>
        <cdr:cNvSpPr txBox="1"/>
      </cdr:nvSpPr>
      <cdr:spPr>
        <a:xfrm xmlns:a="http://schemas.openxmlformats.org/drawingml/2006/main">
          <a:off x="1836744" y="833063"/>
          <a:ext cx="684735" cy="28533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3 906,6</a:t>
          </a:r>
        </a:p>
      </cdr:txBody>
    </cdr:sp>
  </cdr:relSizeAnchor>
  <cdr:relSizeAnchor xmlns:cdr="http://schemas.openxmlformats.org/drawingml/2006/chartDrawing">
    <cdr:from>
      <cdr:x>0.20267</cdr:x>
      <cdr:y>0.35217</cdr:y>
    </cdr:from>
    <cdr:to>
      <cdr:x>0.3257</cdr:x>
      <cdr:y>0.43387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BBA93B55-6CD7-4753-A880-ED947BBC9033}"/>
            </a:ext>
          </a:extLst>
        </cdr:cNvPr>
        <cdr:cNvSpPr txBox="1"/>
      </cdr:nvSpPr>
      <cdr:spPr>
        <a:xfrm xmlns:a="http://schemas.openxmlformats.org/drawingml/2006/main">
          <a:off x="1147545" y="1229953"/>
          <a:ext cx="696606" cy="28533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2</a:t>
          </a:r>
          <a:r>
            <a:rPr lang="fr-FR" sz="1200" b="1" baseline="0">
              <a:solidFill>
                <a:srgbClr val="002060"/>
              </a:solidFill>
            </a:rPr>
            <a:t> 538,0</a:t>
          </a:r>
          <a:endParaRPr lang="fr-FR" sz="1200" b="1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0.07369</cdr:x>
      <cdr:y>0.46883</cdr:y>
    </cdr:from>
    <cdr:to>
      <cdr:x>0.18925</cdr:x>
      <cdr:y>0.55053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16DF6A4A-1795-4F2A-B29D-61DA587983C0}"/>
            </a:ext>
          </a:extLst>
        </cdr:cNvPr>
        <cdr:cNvSpPr txBox="1"/>
      </cdr:nvSpPr>
      <cdr:spPr>
        <a:xfrm xmlns:a="http://schemas.openxmlformats.org/drawingml/2006/main">
          <a:off x="417259" y="1637389"/>
          <a:ext cx="654310" cy="28533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1 373,3</a:t>
          </a:r>
        </a:p>
      </cdr:txBody>
    </cdr:sp>
  </cdr:relSizeAnchor>
  <cdr:relSizeAnchor xmlns:cdr="http://schemas.openxmlformats.org/drawingml/2006/chartDrawing">
    <cdr:from>
      <cdr:x>0.05476</cdr:x>
      <cdr:y>0.58572</cdr:y>
    </cdr:from>
    <cdr:to>
      <cdr:x>0.17617</cdr:x>
      <cdr:y>0.66741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95F0773E-10E0-4CB0-BA01-7016F2271770}"/>
            </a:ext>
          </a:extLst>
        </cdr:cNvPr>
        <cdr:cNvSpPr txBox="1"/>
      </cdr:nvSpPr>
      <cdr:spPr>
        <a:xfrm xmlns:a="http://schemas.openxmlformats.org/drawingml/2006/main">
          <a:off x="310047" y="2045629"/>
          <a:ext cx="687433" cy="28530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1 192,2</a:t>
          </a:r>
        </a:p>
      </cdr:txBody>
    </cdr:sp>
  </cdr:relSizeAnchor>
  <cdr:relSizeAnchor xmlns:cdr="http://schemas.openxmlformats.org/drawingml/2006/chartDrawing">
    <cdr:from>
      <cdr:x>0.05687</cdr:x>
      <cdr:y>0.6961</cdr:y>
    </cdr:from>
    <cdr:to>
      <cdr:x>0.17056</cdr:x>
      <cdr:y>0.7778</cdr:y>
    </cdr:to>
    <cdr:sp macro="" textlink="">
      <cdr:nvSpPr>
        <cdr:cNvPr id="17" name="ZoneTexte 1">
          <a:extLst xmlns:a="http://schemas.openxmlformats.org/drawingml/2006/main">
            <a:ext uri="{FF2B5EF4-FFF2-40B4-BE49-F238E27FC236}">
              <a16:creationId xmlns:a16="http://schemas.microsoft.com/office/drawing/2014/main" id="{A5715526-92CA-441B-8E30-30A89D2E5163}"/>
            </a:ext>
          </a:extLst>
        </cdr:cNvPr>
        <cdr:cNvSpPr txBox="1"/>
      </cdr:nvSpPr>
      <cdr:spPr>
        <a:xfrm xmlns:a="http://schemas.openxmlformats.org/drawingml/2006/main">
          <a:off x="322018" y="2431129"/>
          <a:ext cx="643712" cy="28533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1 215,7</a:t>
          </a:r>
        </a:p>
      </cdr:txBody>
    </cdr:sp>
  </cdr:relSizeAnchor>
  <cdr:relSizeAnchor xmlns:cdr="http://schemas.openxmlformats.org/drawingml/2006/chartDrawing">
    <cdr:from>
      <cdr:x>0.45594</cdr:x>
      <cdr:y>0.24588</cdr:y>
    </cdr:from>
    <cdr:to>
      <cdr:x>0.81169</cdr:x>
      <cdr:y>0.34735</cdr:y>
    </cdr:to>
    <cdr:sp macro="" textlink="">
      <cdr:nvSpPr>
        <cdr:cNvPr id="18" name="ZoneTexte 1">
          <a:extLst xmlns:a="http://schemas.openxmlformats.org/drawingml/2006/main">
            <a:ext uri="{FF2B5EF4-FFF2-40B4-BE49-F238E27FC236}">
              <a16:creationId xmlns:a16="http://schemas.microsoft.com/office/drawing/2014/main" id="{471F9F39-72D8-476B-AE77-7B6D447A2B46}"/>
            </a:ext>
          </a:extLst>
        </cdr:cNvPr>
        <cdr:cNvSpPr txBox="1"/>
      </cdr:nvSpPr>
      <cdr:spPr>
        <a:xfrm xmlns:a="http://schemas.openxmlformats.org/drawingml/2006/main">
          <a:off x="2581546" y="858736"/>
          <a:ext cx="2014286" cy="354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 b="1">
              <a:solidFill>
                <a:schemeClr val="accent5">
                  <a:lumMod val="50000"/>
                </a:schemeClr>
              </a:solidFill>
            </a:rPr>
            <a:t>Contribution du régime général</a:t>
          </a:r>
        </a:p>
      </cdr:txBody>
    </cdr:sp>
  </cdr:relSizeAnchor>
  <cdr:relSizeAnchor xmlns:cdr="http://schemas.openxmlformats.org/drawingml/2006/chartDrawing">
    <cdr:from>
      <cdr:x>0.30664</cdr:x>
      <cdr:y>0.35866</cdr:y>
    </cdr:from>
    <cdr:to>
      <cdr:x>0.73084</cdr:x>
      <cdr:y>0.42598</cdr:y>
    </cdr:to>
    <cdr:sp macro="" textlink="">
      <cdr:nvSpPr>
        <cdr:cNvPr id="19" name="ZoneTexte 1">
          <a:extLst xmlns:a="http://schemas.openxmlformats.org/drawingml/2006/main">
            <a:ext uri="{FF2B5EF4-FFF2-40B4-BE49-F238E27FC236}">
              <a16:creationId xmlns:a16="http://schemas.microsoft.com/office/drawing/2014/main" id="{7D2EF6F4-5534-45F1-9E4C-78AB2C5BDB52}"/>
            </a:ext>
          </a:extLst>
        </cdr:cNvPr>
        <cdr:cNvSpPr txBox="1"/>
      </cdr:nvSpPr>
      <cdr:spPr>
        <a:xfrm xmlns:a="http://schemas.openxmlformats.org/drawingml/2006/main">
          <a:off x="1736217" y="1252620"/>
          <a:ext cx="2401856" cy="235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 b="1">
              <a:solidFill>
                <a:schemeClr val="accent1">
                  <a:lumMod val="50000"/>
                </a:schemeClr>
              </a:solidFill>
            </a:rPr>
            <a:t>Compensation démographique</a:t>
          </a:r>
        </a:p>
      </cdr:txBody>
    </cdr:sp>
  </cdr:relSizeAnchor>
  <cdr:relSizeAnchor xmlns:cdr="http://schemas.openxmlformats.org/drawingml/2006/chartDrawing">
    <cdr:from>
      <cdr:x>0.17416</cdr:x>
      <cdr:y>0.47792</cdr:y>
    </cdr:from>
    <cdr:to>
      <cdr:x>0.49743</cdr:x>
      <cdr:y>0.54848</cdr:y>
    </cdr:to>
    <cdr:sp macro="" textlink="">
      <cdr:nvSpPr>
        <cdr:cNvPr id="20" name="ZoneTexte 1">
          <a:extLst xmlns:a="http://schemas.openxmlformats.org/drawingml/2006/main">
            <a:ext uri="{FF2B5EF4-FFF2-40B4-BE49-F238E27FC236}">
              <a16:creationId xmlns:a16="http://schemas.microsoft.com/office/drawing/2014/main" id="{17289936-4E30-48B7-B8B0-54E6F1E3E145}"/>
            </a:ext>
          </a:extLst>
        </cdr:cNvPr>
        <cdr:cNvSpPr txBox="1"/>
      </cdr:nvSpPr>
      <cdr:spPr>
        <a:xfrm xmlns:a="http://schemas.openxmlformats.org/drawingml/2006/main">
          <a:off x="986119" y="1669136"/>
          <a:ext cx="1830382" cy="246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 b="1">
              <a:solidFill>
                <a:schemeClr val="accent1">
                  <a:lumMod val="50000"/>
                </a:schemeClr>
              </a:solidFill>
            </a:rPr>
            <a:t>Autres poduits + ITAF</a:t>
          </a:r>
        </a:p>
      </cdr:txBody>
    </cdr:sp>
  </cdr:relSizeAnchor>
  <cdr:relSizeAnchor xmlns:cdr="http://schemas.openxmlformats.org/drawingml/2006/chartDrawing">
    <cdr:from>
      <cdr:x>0.15967</cdr:x>
      <cdr:y>0.59156</cdr:y>
    </cdr:from>
    <cdr:to>
      <cdr:x>0.72687</cdr:x>
      <cdr:y>0.66212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FF6F6C6F-52A9-4DAD-A8E9-64F148C82297}"/>
            </a:ext>
          </a:extLst>
        </cdr:cNvPr>
        <cdr:cNvSpPr txBox="1"/>
      </cdr:nvSpPr>
      <cdr:spPr>
        <a:xfrm xmlns:a="http://schemas.openxmlformats.org/drawingml/2006/main">
          <a:off x="904093" y="2066024"/>
          <a:ext cx="3211477" cy="246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 b="1">
              <a:solidFill>
                <a:schemeClr val="accent1">
                  <a:lumMod val="50000"/>
                </a:schemeClr>
              </a:solidFill>
            </a:rPr>
            <a:t>Prise en charge de</a:t>
          </a:r>
          <a:r>
            <a:rPr lang="fr-FR" sz="1050" b="1" baseline="0">
              <a:solidFill>
                <a:schemeClr val="accent1">
                  <a:lumMod val="50000"/>
                </a:schemeClr>
              </a:solidFill>
            </a:rPr>
            <a:t> cotisations et prestations</a:t>
          </a:r>
          <a:endParaRPr lang="fr-FR" sz="1050" b="1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0.1585</cdr:x>
      <cdr:y>0.69957</cdr:y>
    </cdr:from>
    <cdr:to>
      <cdr:x>0.56168</cdr:x>
      <cdr:y>0.77013</cdr:y>
    </cdr:to>
    <cdr:sp macro="" textlink="">
      <cdr:nvSpPr>
        <cdr:cNvPr id="74" name="ZoneTexte 1">
          <a:extLst xmlns:a="http://schemas.openxmlformats.org/drawingml/2006/main">
            <a:ext uri="{FF2B5EF4-FFF2-40B4-BE49-F238E27FC236}">
              <a16:creationId xmlns:a16="http://schemas.microsoft.com/office/drawing/2014/main" id="{D5006FC0-73CB-4B64-B02F-5CCE138F1F74}"/>
            </a:ext>
          </a:extLst>
        </cdr:cNvPr>
        <cdr:cNvSpPr txBox="1"/>
      </cdr:nvSpPr>
      <cdr:spPr>
        <a:xfrm xmlns:a="http://schemas.openxmlformats.org/drawingml/2006/main">
          <a:off x="897444" y="2443245"/>
          <a:ext cx="2282839" cy="246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 b="1">
              <a:solidFill>
                <a:schemeClr val="accent1">
                  <a:lumMod val="50000"/>
                </a:schemeClr>
              </a:solidFill>
            </a:rPr>
            <a:t>Contribution sociale généralisée</a:t>
          </a:r>
        </a:p>
      </cdr:txBody>
    </cdr:sp>
  </cdr:relSizeAnchor>
  <cdr:relSizeAnchor xmlns:cdr="http://schemas.openxmlformats.org/drawingml/2006/chartDrawing">
    <cdr:from>
      <cdr:x>0.08163</cdr:x>
      <cdr:y>0.81905</cdr:y>
    </cdr:from>
    <cdr:to>
      <cdr:x>0.53948</cdr:x>
      <cdr:y>0.8961</cdr:y>
    </cdr:to>
    <cdr:sp macro="" textlink="">
      <cdr:nvSpPr>
        <cdr:cNvPr id="113" name="ZoneTexte 1">
          <a:extLst xmlns:a="http://schemas.openxmlformats.org/drawingml/2006/main">
            <a:ext uri="{FF2B5EF4-FFF2-40B4-BE49-F238E27FC236}">
              <a16:creationId xmlns:a16="http://schemas.microsoft.com/office/drawing/2014/main" id="{894C5C47-2E51-42EA-9647-0D5B6C76C08F}"/>
            </a:ext>
          </a:extLst>
        </cdr:cNvPr>
        <cdr:cNvSpPr txBox="1"/>
      </cdr:nvSpPr>
      <cdr:spPr>
        <a:xfrm xmlns:a="http://schemas.openxmlformats.org/drawingml/2006/main">
          <a:off x="462219" y="2860532"/>
          <a:ext cx="2592385" cy="269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 b="1">
              <a:solidFill>
                <a:schemeClr val="accent1">
                  <a:lumMod val="50000"/>
                </a:schemeClr>
              </a:solidFill>
            </a:rPr>
            <a:t>Cotisations prises en charge par l'état</a:t>
          </a:r>
        </a:p>
      </cdr:txBody>
    </cdr:sp>
  </cdr:relSizeAnchor>
  <cdr:relSizeAnchor xmlns:cdr="http://schemas.openxmlformats.org/drawingml/2006/chartDrawing">
    <cdr:from>
      <cdr:x>0.62664</cdr:x>
      <cdr:y>0.4928</cdr:y>
    </cdr:from>
    <cdr:to>
      <cdr:x>0.8771</cdr:x>
      <cdr:y>0.60795</cdr:y>
    </cdr:to>
    <cdr:sp macro="" textlink="">
      <cdr:nvSpPr>
        <cdr:cNvPr id="24" name="ZoneTexte 1">
          <a:extLst xmlns:a="http://schemas.openxmlformats.org/drawingml/2006/main">
            <a:ext uri="{FF2B5EF4-FFF2-40B4-BE49-F238E27FC236}">
              <a16:creationId xmlns:a16="http://schemas.microsoft.com/office/drawing/2014/main" id="{9FE99FA3-2CD3-4F9B-B236-F5DCC2EC7EF9}"/>
            </a:ext>
          </a:extLst>
        </cdr:cNvPr>
        <cdr:cNvSpPr txBox="1"/>
      </cdr:nvSpPr>
      <cdr:spPr>
        <a:xfrm xmlns:a="http://schemas.openxmlformats.org/drawingml/2006/main">
          <a:off x="3548063" y="1721117"/>
          <a:ext cx="1418146" cy="40215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200" b="1">
              <a:solidFill>
                <a:srgbClr val="002060"/>
              </a:solidFill>
            </a:rPr>
            <a:t>soit</a:t>
          </a:r>
        </a:p>
        <a:p xmlns:a="http://schemas.openxmlformats.org/drawingml/2006/main">
          <a:pPr algn="ctr"/>
          <a:r>
            <a:rPr lang="fr-FR" sz="1200" b="1">
              <a:solidFill>
                <a:srgbClr val="002060"/>
              </a:solidFill>
            </a:rPr>
            <a:t>17,7</a:t>
          </a:r>
          <a:r>
            <a:rPr lang="fr-FR" sz="1200" b="1" baseline="0">
              <a:solidFill>
                <a:srgbClr val="002060"/>
              </a:solidFill>
            </a:rPr>
            <a:t> milliards d'€</a:t>
          </a:r>
        </a:p>
        <a:p xmlns:a="http://schemas.openxmlformats.org/drawingml/2006/main">
          <a:endParaRPr lang="fr-FR" sz="1200" b="1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0.79402</cdr:x>
      <cdr:y>0.13523</cdr:y>
    </cdr:from>
    <cdr:to>
      <cdr:x>0.91262</cdr:x>
      <cdr:y>0.22008</cdr:y>
    </cdr:to>
    <cdr:sp macro="" textlink="">
      <cdr:nvSpPr>
        <cdr:cNvPr id="26" name="ZoneTexte 1">
          <a:extLst xmlns:a="http://schemas.openxmlformats.org/drawingml/2006/main">
            <a:ext uri="{FF2B5EF4-FFF2-40B4-BE49-F238E27FC236}">
              <a16:creationId xmlns:a16="http://schemas.microsoft.com/office/drawing/2014/main" id="{628689E0-7B3C-4AFD-B663-DB6CA93DAD63}"/>
            </a:ext>
          </a:extLst>
        </cdr:cNvPr>
        <cdr:cNvSpPr txBox="1"/>
      </cdr:nvSpPr>
      <cdr:spPr>
        <a:xfrm xmlns:a="http://schemas.openxmlformats.org/drawingml/2006/main">
          <a:off x="4495785" y="472289"/>
          <a:ext cx="671523" cy="2963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rgbClr val="C00000"/>
              </a:solidFill>
            </a:rPr>
            <a:t>+ 5,3 %</a:t>
          </a:r>
        </a:p>
      </cdr:txBody>
    </cdr:sp>
  </cdr:relSizeAnchor>
  <cdr:relSizeAnchor xmlns:cdr="http://schemas.openxmlformats.org/drawingml/2006/chartDrawing">
    <cdr:from>
      <cdr:x>0.71178</cdr:x>
      <cdr:y>0.6625</cdr:y>
    </cdr:from>
    <cdr:to>
      <cdr:x>0.84533</cdr:x>
      <cdr:y>0.75091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4B28293C-4D0C-4714-AAAB-0E59B1A7D93C}"/>
            </a:ext>
          </a:extLst>
        </cdr:cNvPr>
        <cdr:cNvSpPr txBox="1"/>
      </cdr:nvSpPr>
      <cdr:spPr>
        <a:xfrm xmlns:a="http://schemas.openxmlformats.org/drawingml/2006/main">
          <a:off x="4030133" y="2313783"/>
          <a:ext cx="756179" cy="3087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C00000"/>
              </a:solidFill>
            </a:rPr>
            <a:t>+ 6,3%</a:t>
          </a:r>
        </a:p>
      </cdr:txBody>
    </cdr:sp>
  </cdr:relSizeAnchor>
  <cdr:relSizeAnchor xmlns:cdr="http://schemas.openxmlformats.org/drawingml/2006/chartDrawing">
    <cdr:from>
      <cdr:x>0.84449</cdr:x>
      <cdr:y>0.79333</cdr:y>
    </cdr:from>
    <cdr:to>
      <cdr:x>0.97804</cdr:x>
      <cdr:y>0.88174</cdr:y>
    </cdr:to>
    <cdr:sp macro="" textlink="">
      <cdr:nvSpPr>
        <cdr:cNvPr id="28" name="ZoneTexte 1">
          <a:extLst xmlns:a="http://schemas.openxmlformats.org/drawingml/2006/main">
            <a:ext uri="{FF2B5EF4-FFF2-40B4-BE49-F238E27FC236}">
              <a16:creationId xmlns:a16="http://schemas.microsoft.com/office/drawing/2014/main" id="{FE99B667-B16F-4C84-8DDD-D7E9A2BB746C}"/>
            </a:ext>
          </a:extLst>
        </cdr:cNvPr>
        <cdr:cNvSpPr txBox="1"/>
      </cdr:nvSpPr>
      <cdr:spPr>
        <a:xfrm xmlns:a="http://schemas.openxmlformats.org/drawingml/2006/main">
          <a:off x="4781563" y="2770708"/>
          <a:ext cx="756171" cy="3087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C00000"/>
              </a:solidFill>
            </a:rPr>
            <a:t>(+ 4,5%)</a:t>
          </a:r>
        </a:p>
      </cdr:txBody>
    </cdr:sp>
  </cdr:relSizeAnchor>
  <cdr:relSizeAnchor xmlns:cdr="http://schemas.openxmlformats.org/drawingml/2006/chartDrawing">
    <cdr:from>
      <cdr:x>0.8229</cdr:x>
      <cdr:y>0.59886</cdr:y>
    </cdr:from>
    <cdr:to>
      <cdr:x>0.96449</cdr:x>
      <cdr:y>0.72061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E38AF83F-1B15-427D-9DBD-1B023D2EFF51}"/>
            </a:ext>
          </a:extLst>
        </cdr:cNvPr>
        <cdr:cNvSpPr txBox="1"/>
      </cdr:nvSpPr>
      <cdr:spPr>
        <a:xfrm xmlns:a="http://schemas.openxmlformats.org/drawingml/2006/main">
          <a:off x="4659312" y="2091533"/>
          <a:ext cx="801688" cy="42518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200" b="1">
              <a:solidFill>
                <a:schemeClr val="bg1">
                  <a:lumMod val="50000"/>
                </a:schemeClr>
              </a:solidFill>
            </a:rPr>
            <a:t>Masse salariale</a:t>
          </a:r>
          <a:endParaRPr lang="fr-FR" sz="1200" b="1" baseline="0">
            <a:solidFill>
              <a:schemeClr val="bg1">
                <a:lumMod val="50000"/>
              </a:schemeClr>
            </a:solidFill>
          </a:endParaRPr>
        </a:p>
        <a:p xmlns:a="http://schemas.openxmlformats.org/drawingml/2006/main">
          <a:endParaRPr lang="fr-FR" sz="1200" b="1" baseline="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0.85009</cdr:x>
      <cdr:y>0.51098</cdr:y>
    </cdr:from>
    <cdr:to>
      <cdr:x>0.94065</cdr:x>
      <cdr:y>0.62242</cdr:y>
    </cdr:to>
    <cdr:pic>
      <cdr:nvPicPr>
        <cdr:cNvPr id="30" name="Image 29">
          <a:extLst xmlns:a="http://schemas.openxmlformats.org/drawingml/2006/main">
            <a:ext uri="{FF2B5EF4-FFF2-40B4-BE49-F238E27FC236}">
              <a16:creationId xmlns:a16="http://schemas.microsoft.com/office/drawing/2014/main" id="{EE16DE71-406B-47B6-8C21-A7CEF5AB1398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2"/>
        <a:srcRect xmlns:a="http://schemas.openxmlformats.org/drawingml/2006/main" l="38389" t="47930" r="58058" b="47807"/>
        <a:stretch xmlns:a="http://schemas.openxmlformats.org/drawingml/2006/main"/>
      </cdr:blipFill>
      <cdr:spPr bwMode="auto">
        <a:xfrm xmlns:a="http://schemas.openxmlformats.org/drawingml/2006/main">
          <a:off x="4813300" y="1784615"/>
          <a:ext cx="512762" cy="38920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</xdr:colOff>
      <xdr:row>3</xdr:row>
      <xdr:rowOff>138112</xdr:rowOff>
    </xdr:from>
    <xdr:to>
      <xdr:col>14</xdr:col>
      <xdr:colOff>33337</xdr:colOff>
      <xdr:row>21</xdr:row>
      <xdr:rowOff>90487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6614</xdr:colOff>
      <xdr:row>24</xdr:row>
      <xdr:rowOff>149490</xdr:rowOff>
    </xdr:from>
    <xdr:to>
      <xdr:col>13</xdr:col>
      <xdr:colOff>509323</xdr:colOff>
      <xdr:row>43</xdr:row>
      <xdr:rowOff>143140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214311</xdr:colOff>
      <xdr:row>3</xdr:row>
      <xdr:rowOff>75407</xdr:rowOff>
    </xdr:from>
    <xdr:to>
      <xdr:col>20</xdr:col>
      <xdr:colOff>179916</xdr:colOff>
      <xdr:row>21</xdr:row>
      <xdr:rowOff>130968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6993761-3513-4CAE-8323-09CE29AC3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619125</xdr:colOff>
      <xdr:row>24</xdr:row>
      <xdr:rowOff>17199</xdr:rowOff>
    </xdr:from>
    <xdr:to>
      <xdr:col>20</xdr:col>
      <xdr:colOff>138906</xdr:colOff>
      <xdr:row>43</xdr:row>
      <xdr:rowOff>130968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86E0A2B3-2287-4DF3-8F0E-89B7F5B4A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347925</xdr:colOff>
      <xdr:row>8</xdr:row>
      <xdr:rowOff>153587</xdr:rowOff>
    </xdr:from>
    <xdr:to>
      <xdr:col>18</xdr:col>
      <xdr:colOff>39802</xdr:colOff>
      <xdr:row>16</xdr:row>
      <xdr:rowOff>50007</xdr:rowOff>
    </xdr:to>
    <xdr:pic>
      <xdr:nvPicPr>
        <xdr:cNvPr id="6" name="Image 5" descr="icon-cotisation-entreprendre-portugal • Entreprendre.pt">
          <a:extLst>
            <a:ext uri="{FF2B5EF4-FFF2-40B4-BE49-F238E27FC236}">
              <a16:creationId xmlns:a16="http://schemas.microsoft.com/office/drawing/2014/main" id="{75EAD8B9-3A6A-475F-8472-B69A8B5F6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5925" y="2132670"/>
          <a:ext cx="1215877" cy="1187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119062</xdr:colOff>
      <xdr:row>29</xdr:row>
      <xdr:rowOff>160994</xdr:rowOff>
    </xdr:from>
    <xdr:to>
      <xdr:col>17</xdr:col>
      <xdr:colOff>635921</xdr:colOff>
      <xdr:row>37</xdr:row>
      <xdr:rowOff>142874</xdr:rowOff>
    </xdr:to>
    <xdr:pic>
      <xdr:nvPicPr>
        <xdr:cNvPr id="7" name="Image 6" descr="icon-cotisation-entreprendre-portugal • Entreprendre.pt">
          <a:extLst>
            <a:ext uri="{FF2B5EF4-FFF2-40B4-BE49-F238E27FC236}">
              <a16:creationId xmlns:a16="http://schemas.microsoft.com/office/drawing/2014/main" id="{284C36DE-00BE-4C67-8F44-8BA06DD7D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9187" y="5614057"/>
          <a:ext cx="1278859" cy="131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608542</xdr:colOff>
      <xdr:row>35</xdr:row>
      <xdr:rowOff>55035</xdr:rowOff>
    </xdr:from>
    <xdr:to>
      <xdr:col>18</xdr:col>
      <xdr:colOff>211667</xdr:colOff>
      <xdr:row>50</xdr:row>
      <xdr:rowOff>74085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9525</xdr:rowOff>
    </xdr:from>
    <xdr:to>
      <xdr:col>3</xdr:col>
      <xdr:colOff>414337</xdr:colOff>
      <xdr:row>61</xdr:row>
      <xdr:rowOff>100266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1090084</xdr:colOff>
      <xdr:row>17</xdr:row>
      <xdr:rowOff>96763</xdr:rowOff>
    </xdr:from>
    <xdr:to>
      <xdr:col>11</xdr:col>
      <xdr:colOff>355297</xdr:colOff>
      <xdr:row>33</xdr:row>
      <xdr:rowOff>19569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</xdr:row>
      <xdr:rowOff>116417</xdr:rowOff>
    </xdr:from>
    <xdr:to>
      <xdr:col>4</xdr:col>
      <xdr:colOff>300037</xdr:colOff>
      <xdr:row>33</xdr:row>
      <xdr:rowOff>156105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6BD8C015-E9AA-49F7-A3CC-FA2F02466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0.30588</cdr:x>
      <cdr:y>0.28329</cdr:y>
    </cdr:from>
    <cdr:to>
      <cdr:x>0.5831</cdr:x>
      <cdr:y>0.76271</cdr:y>
    </cdr:to>
    <cdr:pic>
      <cdr:nvPicPr>
        <cdr:cNvPr id="2" name="Image 1" descr="icon-cotisation-entreprendre-portugal • Entreprendre.pt">
          <a:extLst xmlns:a="http://schemas.openxmlformats.org/drawingml/2006/main">
            <a:ext uri="{FF2B5EF4-FFF2-40B4-BE49-F238E27FC236}">
              <a16:creationId xmlns:a16="http://schemas.microsoft.com/office/drawing/2014/main" id="{75EAD8B9-3A6A-475F-8472-B69A8B5F6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648883" y="865717"/>
          <a:ext cx="1494367" cy="146506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59267</xdr:rowOff>
    </xdr:from>
    <xdr:to>
      <xdr:col>5</xdr:col>
      <xdr:colOff>218017</xdr:colOff>
      <xdr:row>50</xdr:row>
      <xdr:rowOff>59268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761999</xdr:colOff>
      <xdr:row>40</xdr:row>
      <xdr:rowOff>76200</xdr:rowOff>
    </xdr:from>
    <xdr:to>
      <xdr:col>13</xdr:col>
      <xdr:colOff>666750</xdr:colOff>
      <xdr:row>55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99483</xdr:rowOff>
    </xdr:from>
    <xdr:to>
      <xdr:col>3</xdr:col>
      <xdr:colOff>503767</xdr:colOff>
      <xdr:row>77</xdr:row>
      <xdr:rowOff>31474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693208</xdr:colOff>
      <xdr:row>14</xdr:row>
      <xdr:rowOff>133349</xdr:rowOff>
    </xdr:from>
    <xdr:to>
      <xdr:col>13</xdr:col>
      <xdr:colOff>221288</xdr:colOff>
      <xdr:row>35</xdr:row>
      <xdr:rowOff>126037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0.37076</cdr:x>
      <cdr:y>0.29756</cdr:y>
    </cdr:from>
    <cdr:to>
      <cdr:x>0.62457</cdr:x>
      <cdr:y>0.70551</cdr:y>
    </cdr:to>
    <cdr:pic>
      <cdr:nvPicPr>
        <cdr:cNvPr id="2" name="Image 1" descr="icon-cotisation-entreprendre-portugal • Entreprendre.pt">
          <a:extLst xmlns:a="http://schemas.openxmlformats.org/drawingml/2006/main">
            <a:ext uri="{FF2B5EF4-FFF2-40B4-BE49-F238E27FC236}">
              <a16:creationId xmlns:a16="http://schemas.microsoft.com/office/drawing/2014/main" id="{C1BE0DB2-786D-494D-A7D4-E22B953183C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247904" y="1125974"/>
          <a:ext cx="1538825" cy="154369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85724</xdr:rowOff>
    </xdr:from>
    <xdr:to>
      <xdr:col>4</xdr:col>
      <xdr:colOff>304800</xdr:colOff>
      <xdr:row>30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714375</xdr:colOff>
      <xdr:row>14</xdr:row>
      <xdr:rowOff>69849</xdr:rowOff>
    </xdr:from>
    <xdr:to>
      <xdr:col>8</xdr:col>
      <xdr:colOff>1259416</xdr:colOff>
      <xdr:row>29</xdr:row>
      <xdr:rowOff>70908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CHANGES\MEFC_SDFT\TCDC\Pr&#233;visions_2026-2030\TCDC_PREVISIONS_2026-2030_SA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5/3%20-%20MAQUETTES/3%20-%20MAQUETTES%20VALIDEES%20NJ/Maquette_R&#233;alisations_2025_COTISATIONS%20S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1_TCDC/Exercices%202025/6%20-Publications/1%20-%20R&#233;alisations%202024/2%20-%20NSA/Donn&#233;es_R&#233;alisationsNSA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3/4%20-%20EFFECTIFS/TCDC_REALISATIONS_EFFECTIFS_2023_SA_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4/4%20-%20EFFECTIFS/TCDC_REALISATIONS_EFFECTIFS_2024_SA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5/4%20-%20EFFECTIFS/TCDC_REALISATIONS_EFFECTIFS_2025_SA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3/3%20-%20MAQUETTES/2%20-%20Maquettes%20compl&#233;t&#233;es%20et%20valid&#233;es_Sharepoint/2_SA/Maquette_R&#233;alisations2023_FAMILLE%20S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4/3%20-%20MAQUETTES/3%20-%20MAQUETTES%20VALIDEES%20NJ/2%20-%20SA/Maquette_R&#233;alisations_2024_FAMILLE%20S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5/3%20-%20MAQUETTES/3%20-%20MAQUETTES%20VALIDEES%20NJ/Maquette_R&#233;alisations_2025_FAMILLE%20S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2_PREVISIONS/Exercice%202024_2024-2028/3%20-%20EFFECTIFS/1%20-%20AVRIL/TCDC_PREVISIONS_EFFECTIFS_2024-2028_SA_AVRIL_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2_PREVISIONS/Exercice%202025_2025-2029/3%20-%20EFFECTIFS/1%20-%20AVRIL/TCDC_PREVISIONS_EFFECTIFS_2025-2029_SA_AVRIL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égende prévisions DCF"/>
      <sheetName val="Maladie"/>
      <sheetName val="AT"/>
      <sheetName val="Famille"/>
      <sheetName val="Vieillesse"/>
      <sheetName val="SASPA"/>
      <sheetName val="Feuil1"/>
      <sheetName val="Prev Cot Exo 2025"/>
      <sheetName val="Prev Cot Exo 2024"/>
      <sheetName val="Prev Cot Exo (2)"/>
      <sheetName val="Prev Cot Exo"/>
      <sheetName val="Solde Cot Exo"/>
      <sheetName val="allégts gén 2025"/>
      <sheetName val="allégts gén 2024"/>
      <sheetName val="allégts généraux 2021"/>
      <sheetName val="allégts généraux 2020"/>
      <sheetName val="allégts généraux 2019"/>
      <sheetName val="PàR2021"/>
      <sheetName val="PàR2020"/>
      <sheetName val="PàR2019"/>
      <sheetName val="PàR2018"/>
      <sheetName val="allégts généraux 2018"/>
      <sheetName val="allégts généraux 2017"/>
      <sheetName val="Hypotheses"/>
      <sheetName val="recettes"/>
      <sheetName val="compens"/>
      <sheetName val="Contribution RG"/>
      <sheetName val="Synthese"/>
      <sheetName val="Soldes Tech Gest"/>
      <sheetName val="Resultat NSA+SA"/>
      <sheetName val="Commentaire"/>
      <sheetName val="CPSS"/>
    </sheetNames>
    <sheetDataSet>
      <sheetData sheetId="0"/>
      <sheetData sheetId="1">
        <row r="10">
          <cell r="E10">
            <v>4816.3181431499997</v>
          </cell>
        </row>
        <row r="11">
          <cell r="H11">
            <v>5278.0033860999984</v>
          </cell>
          <cell r="I11">
            <v>6077.0341122000018</v>
          </cell>
        </row>
        <row r="255">
          <cell r="H255">
            <v>74.648523460000007</v>
          </cell>
          <cell r="I255">
            <v>74.590574950000004</v>
          </cell>
        </row>
        <row r="259">
          <cell r="H259">
            <v>2677.45939438</v>
          </cell>
          <cell r="I259">
            <v>3235.1708201299998</v>
          </cell>
        </row>
      </sheetData>
      <sheetData sheetId="2">
        <row r="10">
          <cell r="E10">
            <v>572.89877344000001</v>
          </cell>
        </row>
        <row r="11">
          <cell r="H11">
            <v>604.94549303000008</v>
          </cell>
          <cell r="I11">
            <v>640.50519927999994</v>
          </cell>
        </row>
        <row r="208">
          <cell r="H208">
            <v>142.99025399999999</v>
          </cell>
          <cell r="I208">
            <v>155.78548900000001</v>
          </cell>
        </row>
        <row r="209">
          <cell r="H209">
            <v>0</v>
          </cell>
          <cell r="I209">
            <v>0</v>
          </cell>
        </row>
      </sheetData>
      <sheetData sheetId="3">
        <row r="10">
          <cell r="E10">
            <v>688.32126192999999</v>
          </cell>
        </row>
        <row r="11">
          <cell r="H11">
            <v>653.57270899000002</v>
          </cell>
          <cell r="I11">
            <v>645.19057653000004</v>
          </cell>
        </row>
        <row r="171">
          <cell r="H171">
            <v>76.694160310000001</v>
          </cell>
          <cell r="I171">
            <v>40.8166674</v>
          </cell>
        </row>
      </sheetData>
      <sheetData sheetId="4">
        <row r="10">
          <cell r="E10">
            <v>6213.4170283700005</v>
          </cell>
        </row>
        <row r="11">
          <cell r="H11">
            <v>7339.8304457100012</v>
          </cell>
          <cell r="I11">
            <v>7607.3031293200029</v>
          </cell>
        </row>
        <row r="204">
          <cell r="F204">
            <v>2497</v>
          </cell>
          <cell r="G204">
            <v>2596.6026350000002</v>
          </cell>
          <cell r="H204">
            <v>2595.9372039999998</v>
          </cell>
          <cell r="I204">
            <v>2538</v>
          </cell>
        </row>
        <row r="207">
          <cell r="H207">
            <v>250.36151698999998</v>
          </cell>
          <cell r="I207">
            <v>222.13160357999999</v>
          </cell>
        </row>
        <row r="211">
          <cell r="H211">
            <v>420.71999957000003</v>
          </cell>
          <cell r="I211">
            <v>630.60514078000006</v>
          </cell>
        </row>
        <row r="212">
          <cell r="H212">
            <v>154.03795819000001</v>
          </cell>
          <cell r="I212">
            <v>168.09236811</v>
          </cell>
        </row>
      </sheetData>
      <sheetData sheetId="5">
        <row r="10">
          <cell r="G10">
            <v>675.39227533999997</v>
          </cell>
        </row>
        <row r="11">
          <cell r="H11">
            <v>713.86793290999992</v>
          </cell>
          <cell r="I11">
            <v>731.21707823999998</v>
          </cell>
        </row>
        <row r="205">
          <cell r="H205">
            <v>0</v>
          </cell>
          <cell r="I205">
            <v>0</v>
          </cell>
        </row>
        <row r="209">
          <cell r="H209">
            <v>0</v>
          </cell>
          <cell r="I209">
            <v>0</v>
          </cell>
        </row>
        <row r="210">
          <cell r="H210">
            <v>705.50458552999999</v>
          </cell>
          <cell r="I210">
            <v>727.35832687000004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sations SA - Tableaux 1à4"/>
      <sheetName val="Cotisations SA - Tableau 5"/>
      <sheetName val="Cotisations SA - Tableau 6"/>
      <sheetName val="Cotisations SA - Ecarts1"/>
      <sheetName val="Cotisations SA - Ecarts2"/>
      <sheetName val="Chiffrage des mesures 2025"/>
    </sheetNames>
    <sheetDataSet>
      <sheetData sheetId="0">
        <row r="5">
          <cell r="C5">
            <v>766965.52564102563</v>
          </cell>
          <cell r="E5">
            <v>787199.77944375528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saire et introduction"/>
      <sheetName val="Introduction KO"/>
      <sheetName val="COMPTES NSA (Chiffres Utiles)"/>
      <sheetName val="NSA1"/>
      <sheetName val="Effectifs"/>
      <sheetName val="%charges"/>
      <sheetName val="%produits"/>
      <sheetName val="%produitsRetraite"/>
      <sheetName val="%produitsRCO"/>
      <sheetName val="Résultat net"/>
      <sheetName val="Charges techniques"/>
    </sheetNames>
    <sheetDataSet>
      <sheetData sheetId="0" refreshError="1"/>
      <sheetData sheetId="1" refreshError="1"/>
      <sheetData sheetId="2">
        <row r="75">
          <cell r="Q75">
            <v>16797.685627760002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9">
          <cell r="B29">
            <v>4389.4364763200001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</sheetNames>
    <sheetDataSet>
      <sheetData sheetId="0">
        <row r="10">
          <cell r="J10">
            <v>1866434</v>
          </cell>
          <cell r="L10">
            <v>1900888</v>
          </cell>
          <cell r="N10">
            <v>1914251</v>
          </cell>
          <cell r="P10">
            <v>1934245</v>
          </cell>
          <cell r="R10">
            <v>1942318</v>
          </cell>
          <cell r="T10">
            <v>1945441</v>
          </cell>
        </row>
        <row r="16">
          <cell r="J16">
            <v>2483695</v>
          </cell>
          <cell r="L16">
            <v>2442126</v>
          </cell>
          <cell r="N16">
            <v>2396398</v>
          </cell>
          <cell r="P16">
            <v>2335989</v>
          </cell>
          <cell r="R16">
            <v>2288162</v>
          </cell>
          <cell r="T16">
            <v>2243317</v>
          </cell>
        </row>
        <row r="20">
          <cell r="J20">
            <v>29405</v>
          </cell>
          <cell r="L20">
            <v>29804</v>
          </cell>
          <cell r="N20">
            <v>29784</v>
          </cell>
          <cell r="P20">
            <v>29893</v>
          </cell>
          <cell r="R20">
            <v>29805</v>
          </cell>
          <cell r="T20">
            <v>30268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</sheetNames>
    <sheetDataSet>
      <sheetData sheetId="0">
        <row r="10">
          <cell r="V10">
            <v>1952742</v>
          </cell>
        </row>
        <row r="16">
          <cell r="V16">
            <v>2199236</v>
          </cell>
        </row>
        <row r="20">
          <cell r="V20">
            <v>31039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</sheetNames>
    <sheetDataSet>
      <sheetData sheetId="0">
        <row r="10">
          <cell r="X10">
            <v>1955146</v>
          </cell>
        </row>
        <row r="16">
          <cell r="X16">
            <v>2157692</v>
          </cell>
        </row>
        <row r="20">
          <cell r="X20">
            <v>31349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ille SA - Tableau 1"/>
      <sheetName val="Famille SA - Tableau 2"/>
      <sheetName val="Famille SA - Tableaux 3&amp;4"/>
      <sheetName val="Famille SA - Ecarts1"/>
      <sheetName val="Famille SA - Ecarts2"/>
      <sheetName val="Chiffrage des mesures 2023"/>
    </sheetNames>
    <sheetDataSet>
      <sheetData sheetId="0">
        <row r="31">
          <cell r="C31">
            <v>148998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ille SA - Tableau 1"/>
      <sheetName val="Famille SA - Tableaux 3&amp;4"/>
      <sheetName val="Famille SA - Tableau 2"/>
      <sheetName val="Famille SA - Ecarts1"/>
      <sheetName val="Famille SA - Ecarts2"/>
      <sheetName val="Chiffrage des mesures 2024"/>
    </sheetNames>
    <sheetDataSet>
      <sheetData sheetId="0">
        <row r="12">
          <cell r="C12">
            <v>145416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ille SA - Tableau 1"/>
      <sheetName val="Famille SA - Tableau 2"/>
      <sheetName val="Famille SA - Tableaux 3&amp;4"/>
      <sheetName val="Famille SA - Ecarts1"/>
      <sheetName val="Famille SA - Ecarts2"/>
      <sheetName val="Chiffrage des mesures 2025"/>
    </sheetNames>
    <sheetDataSet>
      <sheetData sheetId="0">
        <row r="12">
          <cell r="C12">
            <v>141732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</sheetNames>
    <sheetDataSet>
      <sheetData sheetId="0">
        <row r="22">
          <cell r="F22">
            <v>682728.17837898235</v>
          </cell>
          <cell r="H22">
            <v>702791.35812315706</v>
          </cell>
          <cell r="J22">
            <v>685102.42205866345</v>
          </cell>
          <cell r="L22">
            <v>714686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</sheetNames>
    <sheetDataSet>
      <sheetData sheetId="0">
        <row r="22">
          <cell r="N22">
            <v>737934</v>
          </cell>
          <cell r="P22">
            <v>758344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umanoir.newten@ccmsa.msa.fr" TargetMode="External"/><Relationship Id="rId2" Type="http://schemas.openxmlformats.org/officeDocument/2006/relationships/hyperlink" Target="mailto:foucaud.david@ccmsa.msa.fr" TargetMode="External"/><Relationship Id="rId1" Type="http://schemas.openxmlformats.org/officeDocument/2006/relationships/hyperlink" Target="mailto:joubert.nadia@ccmsa.msa.fr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2BA5-98CB-471D-86B3-D1802DC0E5C4}">
  <dimension ref="A1:AE243"/>
  <sheetViews>
    <sheetView showGridLines="0" tabSelected="1" workbookViewId="0">
      <selection activeCell="A6" sqref="A6:G6"/>
    </sheetView>
  </sheetViews>
  <sheetFormatPr baseColWidth="10" defaultRowHeight="12.5" x14ac:dyDescent="0.25"/>
  <cols>
    <col min="7" max="7" width="26.26953125" customWidth="1"/>
    <col min="8" max="31" width="11.453125" style="543"/>
  </cols>
  <sheetData>
    <row r="1" spans="1:7" ht="16" thickTop="1" x14ac:dyDescent="0.35">
      <c r="A1" s="540"/>
      <c r="B1" s="541"/>
      <c r="C1" s="541"/>
      <c r="D1" s="541"/>
      <c r="E1" s="541"/>
      <c r="F1" s="541"/>
      <c r="G1" s="542" t="s">
        <v>253</v>
      </c>
    </row>
    <row r="2" spans="1:7" x14ac:dyDescent="0.25">
      <c r="A2" s="544"/>
      <c r="G2" s="545"/>
    </row>
    <row r="3" spans="1:7" ht="19.5" customHeight="1" x14ac:dyDescent="0.25">
      <c r="A3" s="544"/>
      <c r="G3" s="545"/>
    </row>
    <row r="4" spans="1:7" x14ac:dyDescent="0.25">
      <c r="A4" s="546"/>
      <c r="B4" s="547"/>
      <c r="C4" s="547"/>
      <c r="D4" s="547"/>
      <c r="E4" s="547"/>
      <c r="F4" s="547"/>
      <c r="G4" s="548"/>
    </row>
    <row r="5" spans="1:7" x14ac:dyDescent="0.25">
      <c r="A5" s="546"/>
      <c r="B5" s="547"/>
      <c r="C5" s="547"/>
      <c r="D5" s="547"/>
      <c r="E5" s="547"/>
      <c r="F5" s="547"/>
      <c r="G5" s="548"/>
    </row>
    <row r="6" spans="1:7" ht="28.5" x14ac:dyDescent="0.65">
      <c r="A6" s="605" t="s">
        <v>242</v>
      </c>
      <c r="B6" s="606"/>
      <c r="C6" s="606"/>
      <c r="D6" s="606"/>
      <c r="E6" s="606"/>
      <c r="F6" s="606"/>
      <c r="G6" s="607"/>
    </row>
    <row r="7" spans="1:7" ht="7" customHeight="1" x14ac:dyDescent="0.65">
      <c r="A7" s="608"/>
      <c r="B7" s="609"/>
      <c r="C7" s="609"/>
      <c r="D7" s="609"/>
      <c r="E7" s="609"/>
      <c r="F7" s="609"/>
      <c r="G7" s="610"/>
    </row>
    <row r="8" spans="1:7" ht="28.5" x14ac:dyDescent="0.65">
      <c r="A8" s="605" t="s">
        <v>252</v>
      </c>
      <c r="B8" s="606"/>
      <c r="C8" s="606"/>
      <c r="D8" s="606"/>
      <c r="E8" s="606"/>
      <c r="F8" s="606"/>
      <c r="G8" s="607"/>
    </row>
    <row r="9" spans="1:7" ht="23.5" x14ac:dyDescent="0.55000000000000004">
      <c r="A9" s="549"/>
      <c r="B9" s="550"/>
      <c r="C9" s="550"/>
      <c r="D9" s="550"/>
      <c r="E9" s="550"/>
      <c r="F9" s="550"/>
      <c r="G9" s="551"/>
    </row>
    <row r="10" spans="1:7" ht="24.75" customHeight="1" x14ac:dyDescent="0.25">
      <c r="A10" s="544"/>
      <c r="G10" s="545"/>
    </row>
    <row r="11" spans="1:7" x14ac:dyDescent="0.25">
      <c r="A11" s="544"/>
      <c r="G11" s="552" t="s">
        <v>243</v>
      </c>
    </row>
    <row r="12" spans="1:7" x14ac:dyDescent="0.25">
      <c r="A12" s="544" t="s">
        <v>244</v>
      </c>
      <c r="G12" s="545"/>
    </row>
    <row r="13" spans="1:7" ht="13" x14ac:dyDescent="0.25">
      <c r="A13" s="553" t="s">
        <v>245</v>
      </c>
      <c r="G13" s="545"/>
    </row>
    <row r="14" spans="1:7" x14ac:dyDescent="0.25">
      <c r="A14" s="554" t="s">
        <v>246</v>
      </c>
      <c r="G14" s="545"/>
    </row>
    <row r="15" spans="1:7" x14ac:dyDescent="0.25">
      <c r="A15" s="555"/>
      <c r="G15" s="545"/>
    </row>
    <row r="16" spans="1:7" x14ac:dyDescent="0.25">
      <c r="A16" s="553" t="s">
        <v>247</v>
      </c>
      <c r="G16" s="545"/>
    </row>
    <row r="17" spans="1:7" x14ac:dyDescent="0.25">
      <c r="A17" s="553" t="s">
        <v>248</v>
      </c>
      <c r="G17" s="545"/>
    </row>
    <row r="18" spans="1:7" x14ac:dyDescent="0.25">
      <c r="A18" s="554" t="s">
        <v>249</v>
      </c>
      <c r="G18" s="545"/>
    </row>
    <row r="19" spans="1:7" x14ac:dyDescent="0.25">
      <c r="A19" s="554"/>
      <c r="G19" s="545"/>
    </row>
    <row r="20" spans="1:7" x14ac:dyDescent="0.25">
      <c r="A20" s="556" t="s">
        <v>254</v>
      </c>
      <c r="G20" s="545"/>
    </row>
    <row r="21" spans="1:7" x14ac:dyDescent="0.25">
      <c r="A21" s="557" t="s">
        <v>250</v>
      </c>
      <c r="G21" s="545"/>
    </row>
    <row r="22" spans="1:7" x14ac:dyDescent="0.25">
      <c r="A22" s="554" t="s">
        <v>251</v>
      </c>
      <c r="G22" s="545"/>
    </row>
    <row r="23" spans="1:7" ht="13" thickBot="1" x14ac:dyDescent="0.3">
      <c r="A23" s="558"/>
      <c r="B23" s="559"/>
      <c r="C23" s="559"/>
      <c r="D23" s="559"/>
      <c r="E23" s="559"/>
      <c r="F23" s="559"/>
      <c r="G23" s="560"/>
    </row>
    <row r="24" spans="1:7" s="543" customFormat="1" ht="13" thickTop="1" x14ac:dyDescent="0.25"/>
    <row r="25" spans="1:7" s="543" customFormat="1" x14ac:dyDescent="0.25"/>
    <row r="26" spans="1:7" s="543" customFormat="1" x14ac:dyDescent="0.25"/>
    <row r="27" spans="1:7" s="543" customFormat="1" x14ac:dyDescent="0.25"/>
    <row r="28" spans="1:7" s="543" customFormat="1" x14ac:dyDescent="0.25"/>
    <row r="29" spans="1:7" s="543" customFormat="1" x14ac:dyDescent="0.25"/>
    <row r="30" spans="1:7" s="543" customFormat="1" x14ac:dyDescent="0.25"/>
    <row r="31" spans="1:7" s="543" customFormat="1" x14ac:dyDescent="0.25"/>
    <row r="32" spans="1:7" s="543" customFormat="1" x14ac:dyDescent="0.25"/>
    <row r="33" s="543" customFormat="1" x14ac:dyDescent="0.25"/>
    <row r="34" s="543" customFormat="1" x14ac:dyDescent="0.25"/>
    <row r="35" s="543" customFormat="1" x14ac:dyDescent="0.25"/>
    <row r="36" s="543" customFormat="1" x14ac:dyDescent="0.25"/>
    <row r="37" s="543" customFormat="1" x14ac:dyDescent="0.25"/>
    <row r="38" s="543" customFormat="1" x14ac:dyDescent="0.25"/>
    <row r="39" s="543" customFormat="1" x14ac:dyDescent="0.25"/>
    <row r="40" s="543" customFormat="1" x14ac:dyDescent="0.25"/>
    <row r="41" s="543" customFormat="1" x14ac:dyDescent="0.25"/>
    <row r="42" s="543" customFormat="1" x14ac:dyDescent="0.25"/>
    <row r="43" s="543" customFormat="1" x14ac:dyDescent="0.25"/>
    <row r="44" s="543" customFormat="1" x14ac:dyDescent="0.25"/>
    <row r="45" s="543" customFormat="1" x14ac:dyDescent="0.25"/>
    <row r="46" s="543" customFormat="1" x14ac:dyDescent="0.25"/>
    <row r="47" s="543" customFormat="1" x14ac:dyDescent="0.25"/>
    <row r="48" s="543" customFormat="1" x14ac:dyDescent="0.25"/>
    <row r="49" s="543" customFormat="1" x14ac:dyDescent="0.25"/>
    <row r="50" s="543" customFormat="1" x14ac:dyDescent="0.25"/>
    <row r="51" s="543" customFormat="1" x14ac:dyDescent="0.25"/>
    <row r="52" s="543" customFormat="1" x14ac:dyDescent="0.25"/>
    <row r="53" s="543" customFormat="1" x14ac:dyDescent="0.25"/>
    <row r="54" s="543" customFormat="1" x14ac:dyDescent="0.25"/>
    <row r="55" s="543" customFormat="1" x14ac:dyDescent="0.25"/>
    <row r="56" s="543" customFormat="1" x14ac:dyDescent="0.25"/>
    <row r="57" s="543" customFormat="1" x14ac:dyDescent="0.25"/>
    <row r="58" s="543" customFormat="1" x14ac:dyDescent="0.25"/>
    <row r="59" s="543" customFormat="1" x14ac:dyDescent="0.25"/>
    <row r="60" s="543" customFormat="1" x14ac:dyDescent="0.25"/>
    <row r="61" s="543" customFormat="1" x14ac:dyDescent="0.25"/>
    <row r="62" s="543" customFormat="1" x14ac:dyDescent="0.25"/>
    <row r="63" s="543" customFormat="1" x14ac:dyDescent="0.25"/>
    <row r="64" s="543" customFormat="1" x14ac:dyDescent="0.25"/>
    <row r="65" s="543" customFormat="1" x14ac:dyDescent="0.25"/>
    <row r="66" s="543" customFormat="1" x14ac:dyDescent="0.25"/>
    <row r="67" s="543" customFormat="1" x14ac:dyDescent="0.25"/>
    <row r="68" s="543" customFormat="1" x14ac:dyDescent="0.25"/>
    <row r="69" s="543" customFormat="1" x14ac:dyDescent="0.25"/>
    <row r="70" s="543" customFormat="1" x14ac:dyDescent="0.25"/>
    <row r="71" s="543" customFormat="1" x14ac:dyDescent="0.25"/>
    <row r="72" s="543" customFormat="1" x14ac:dyDescent="0.25"/>
    <row r="73" s="543" customFormat="1" x14ac:dyDescent="0.25"/>
    <row r="74" s="543" customFormat="1" x14ac:dyDescent="0.25"/>
    <row r="75" s="543" customFormat="1" x14ac:dyDescent="0.25"/>
    <row r="76" s="543" customFormat="1" x14ac:dyDescent="0.25"/>
    <row r="77" s="543" customFormat="1" x14ac:dyDescent="0.25"/>
    <row r="78" s="543" customFormat="1" x14ac:dyDescent="0.25"/>
    <row r="79" s="543" customFormat="1" x14ac:dyDescent="0.25"/>
    <row r="80" s="543" customFormat="1" x14ac:dyDescent="0.25"/>
    <row r="81" s="543" customFormat="1" x14ac:dyDescent="0.25"/>
    <row r="82" s="543" customFormat="1" x14ac:dyDescent="0.25"/>
    <row r="83" s="543" customFormat="1" x14ac:dyDescent="0.25"/>
    <row r="84" s="543" customFormat="1" x14ac:dyDescent="0.25"/>
    <row r="85" s="543" customFormat="1" x14ac:dyDescent="0.25"/>
    <row r="86" s="543" customFormat="1" x14ac:dyDescent="0.25"/>
    <row r="87" s="543" customFormat="1" x14ac:dyDescent="0.25"/>
    <row r="88" s="543" customFormat="1" x14ac:dyDescent="0.25"/>
    <row r="89" s="543" customFormat="1" x14ac:dyDescent="0.25"/>
    <row r="90" s="543" customFormat="1" x14ac:dyDescent="0.25"/>
    <row r="91" s="543" customFormat="1" x14ac:dyDescent="0.25"/>
    <row r="92" s="543" customFormat="1" x14ac:dyDescent="0.25"/>
    <row r="93" s="543" customFormat="1" x14ac:dyDescent="0.25"/>
    <row r="94" s="543" customFormat="1" x14ac:dyDescent="0.25"/>
    <row r="95" s="543" customFormat="1" x14ac:dyDescent="0.25"/>
    <row r="96" s="543" customFormat="1" x14ac:dyDescent="0.25"/>
    <row r="97" s="543" customFormat="1" x14ac:dyDescent="0.25"/>
    <row r="98" s="543" customFormat="1" x14ac:dyDescent="0.25"/>
    <row r="99" s="543" customFormat="1" x14ac:dyDescent="0.25"/>
    <row r="100" s="543" customFormat="1" x14ac:dyDescent="0.25"/>
    <row r="101" s="543" customFormat="1" x14ac:dyDescent="0.25"/>
    <row r="102" s="543" customFormat="1" x14ac:dyDescent="0.25"/>
    <row r="103" s="543" customFormat="1" x14ac:dyDescent="0.25"/>
    <row r="104" s="543" customFormat="1" x14ac:dyDescent="0.25"/>
    <row r="105" s="543" customFormat="1" x14ac:dyDescent="0.25"/>
    <row r="106" s="543" customFormat="1" x14ac:dyDescent="0.25"/>
    <row r="107" s="543" customFormat="1" x14ac:dyDescent="0.25"/>
    <row r="108" s="543" customFormat="1" x14ac:dyDescent="0.25"/>
    <row r="109" s="543" customFormat="1" x14ac:dyDescent="0.25"/>
    <row r="110" s="543" customFormat="1" x14ac:dyDescent="0.25"/>
    <row r="111" s="543" customFormat="1" x14ac:dyDescent="0.25"/>
    <row r="112" s="543" customFormat="1" x14ac:dyDescent="0.25"/>
    <row r="113" s="543" customFormat="1" x14ac:dyDescent="0.25"/>
    <row r="114" s="543" customFormat="1" x14ac:dyDescent="0.25"/>
    <row r="115" s="543" customFormat="1" x14ac:dyDescent="0.25"/>
    <row r="116" s="543" customFormat="1" x14ac:dyDescent="0.25"/>
    <row r="117" s="543" customFormat="1" x14ac:dyDescent="0.25"/>
    <row r="118" s="543" customFormat="1" x14ac:dyDescent="0.25"/>
    <row r="119" s="543" customFormat="1" x14ac:dyDescent="0.25"/>
    <row r="120" s="543" customFormat="1" x14ac:dyDescent="0.25"/>
    <row r="121" s="543" customFormat="1" x14ac:dyDescent="0.25"/>
    <row r="122" s="543" customFormat="1" x14ac:dyDescent="0.25"/>
    <row r="123" s="543" customFormat="1" x14ac:dyDescent="0.25"/>
    <row r="124" s="543" customFormat="1" x14ac:dyDescent="0.25"/>
    <row r="125" s="543" customFormat="1" x14ac:dyDescent="0.25"/>
    <row r="126" s="543" customFormat="1" x14ac:dyDescent="0.25"/>
    <row r="127" s="543" customFormat="1" x14ac:dyDescent="0.25"/>
    <row r="128" s="543" customFormat="1" x14ac:dyDescent="0.25"/>
    <row r="129" s="543" customFormat="1" x14ac:dyDescent="0.25"/>
    <row r="130" s="543" customFormat="1" x14ac:dyDescent="0.25"/>
    <row r="131" s="543" customFormat="1" x14ac:dyDescent="0.25"/>
    <row r="132" s="543" customFormat="1" x14ac:dyDescent="0.25"/>
    <row r="133" s="543" customFormat="1" x14ac:dyDescent="0.25"/>
    <row r="134" s="543" customFormat="1" x14ac:dyDescent="0.25"/>
    <row r="135" s="543" customFormat="1" x14ac:dyDescent="0.25"/>
    <row r="136" s="543" customFormat="1" x14ac:dyDescent="0.25"/>
    <row r="137" s="543" customFormat="1" x14ac:dyDescent="0.25"/>
    <row r="138" s="543" customFormat="1" x14ac:dyDescent="0.25"/>
    <row r="139" s="543" customFormat="1" x14ac:dyDescent="0.25"/>
    <row r="140" s="543" customFormat="1" x14ac:dyDescent="0.25"/>
    <row r="141" s="543" customFormat="1" x14ac:dyDescent="0.25"/>
    <row r="142" s="543" customFormat="1" x14ac:dyDescent="0.25"/>
    <row r="143" s="543" customFormat="1" x14ac:dyDescent="0.25"/>
    <row r="144" s="543" customFormat="1" x14ac:dyDescent="0.25"/>
    <row r="145" s="543" customFormat="1" x14ac:dyDescent="0.25"/>
    <row r="146" s="543" customFormat="1" x14ac:dyDescent="0.25"/>
    <row r="147" s="543" customFormat="1" x14ac:dyDescent="0.25"/>
    <row r="148" s="543" customFormat="1" x14ac:dyDescent="0.25"/>
    <row r="149" s="543" customFormat="1" x14ac:dyDescent="0.25"/>
    <row r="150" s="543" customFormat="1" x14ac:dyDescent="0.25"/>
    <row r="151" s="543" customFormat="1" x14ac:dyDescent="0.25"/>
    <row r="152" s="543" customFormat="1" x14ac:dyDescent="0.25"/>
    <row r="153" s="543" customFormat="1" x14ac:dyDescent="0.25"/>
    <row r="154" s="543" customFormat="1" x14ac:dyDescent="0.25"/>
    <row r="155" s="543" customFormat="1" x14ac:dyDescent="0.25"/>
    <row r="156" s="543" customFormat="1" x14ac:dyDescent="0.25"/>
    <row r="157" s="543" customFormat="1" x14ac:dyDescent="0.25"/>
    <row r="158" s="543" customFormat="1" x14ac:dyDescent="0.25"/>
    <row r="159" s="543" customFormat="1" x14ac:dyDescent="0.25"/>
    <row r="160" s="543" customFormat="1" x14ac:dyDescent="0.25"/>
    <row r="161" s="543" customFormat="1" x14ac:dyDescent="0.25"/>
    <row r="162" s="543" customFormat="1" x14ac:dyDescent="0.25"/>
    <row r="163" s="543" customFormat="1" x14ac:dyDescent="0.25"/>
    <row r="164" s="543" customFormat="1" x14ac:dyDescent="0.25"/>
    <row r="165" s="543" customFormat="1" x14ac:dyDescent="0.25"/>
    <row r="166" s="543" customFormat="1" x14ac:dyDescent="0.25"/>
    <row r="167" s="543" customFormat="1" x14ac:dyDescent="0.25"/>
    <row r="168" s="543" customFormat="1" x14ac:dyDescent="0.25"/>
    <row r="169" s="543" customFormat="1" x14ac:dyDescent="0.25"/>
    <row r="170" s="543" customFormat="1" x14ac:dyDescent="0.25"/>
    <row r="171" s="543" customFormat="1" x14ac:dyDescent="0.25"/>
    <row r="172" s="543" customFormat="1" x14ac:dyDescent="0.25"/>
    <row r="173" s="543" customFormat="1" x14ac:dyDescent="0.25"/>
    <row r="174" s="543" customFormat="1" x14ac:dyDescent="0.25"/>
    <row r="175" s="543" customFormat="1" x14ac:dyDescent="0.25"/>
    <row r="176" s="543" customFormat="1" x14ac:dyDescent="0.25"/>
    <row r="177" s="543" customFormat="1" x14ac:dyDescent="0.25"/>
    <row r="178" s="543" customFormat="1" x14ac:dyDescent="0.25"/>
    <row r="179" s="543" customFormat="1" x14ac:dyDescent="0.25"/>
    <row r="180" s="543" customFormat="1" x14ac:dyDescent="0.25"/>
    <row r="181" s="543" customFormat="1" x14ac:dyDescent="0.25"/>
    <row r="182" s="543" customFormat="1" x14ac:dyDescent="0.25"/>
    <row r="183" s="543" customFormat="1" x14ac:dyDescent="0.25"/>
    <row r="184" s="543" customFormat="1" x14ac:dyDescent="0.25"/>
    <row r="185" s="543" customFormat="1" x14ac:dyDescent="0.25"/>
    <row r="186" s="543" customFormat="1" x14ac:dyDescent="0.25"/>
    <row r="187" s="543" customFormat="1" x14ac:dyDescent="0.25"/>
    <row r="188" s="543" customFormat="1" x14ac:dyDescent="0.25"/>
    <row r="189" s="543" customFormat="1" x14ac:dyDescent="0.25"/>
    <row r="190" s="543" customFormat="1" x14ac:dyDescent="0.25"/>
    <row r="191" s="543" customFormat="1" x14ac:dyDescent="0.25"/>
    <row r="192" s="543" customFormat="1" x14ac:dyDescent="0.25"/>
    <row r="193" s="543" customFormat="1" x14ac:dyDescent="0.25"/>
    <row r="194" s="543" customFormat="1" x14ac:dyDescent="0.25"/>
    <row r="195" s="543" customFormat="1" x14ac:dyDescent="0.25"/>
    <row r="196" s="543" customFormat="1" x14ac:dyDescent="0.25"/>
    <row r="197" s="543" customFormat="1" x14ac:dyDescent="0.25"/>
    <row r="198" s="543" customFormat="1" x14ac:dyDescent="0.25"/>
    <row r="199" s="543" customFormat="1" x14ac:dyDescent="0.25"/>
    <row r="200" s="543" customFormat="1" x14ac:dyDescent="0.25"/>
    <row r="201" s="543" customFormat="1" x14ac:dyDescent="0.25"/>
    <row r="202" s="543" customFormat="1" x14ac:dyDescent="0.25"/>
    <row r="203" s="543" customFormat="1" x14ac:dyDescent="0.25"/>
    <row r="204" s="543" customFormat="1" x14ac:dyDescent="0.25"/>
    <row r="205" s="543" customFormat="1" x14ac:dyDescent="0.25"/>
    <row r="206" s="543" customFormat="1" x14ac:dyDescent="0.25"/>
    <row r="207" s="543" customFormat="1" x14ac:dyDescent="0.25"/>
    <row r="208" s="543" customFormat="1" x14ac:dyDescent="0.25"/>
    <row r="209" s="543" customFormat="1" x14ac:dyDescent="0.25"/>
    <row r="210" s="543" customFormat="1" x14ac:dyDescent="0.25"/>
    <row r="211" s="543" customFormat="1" x14ac:dyDescent="0.25"/>
    <row r="212" s="543" customFormat="1" x14ac:dyDescent="0.25"/>
    <row r="213" s="543" customFormat="1" x14ac:dyDescent="0.25"/>
    <row r="214" s="543" customFormat="1" x14ac:dyDescent="0.25"/>
    <row r="215" s="543" customFormat="1" x14ac:dyDescent="0.25"/>
    <row r="216" s="543" customFormat="1" x14ac:dyDescent="0.25"/>
    <row r="217" s="543" customFormat="1" x14ac:dyDescent="0.25"/>
    <row r="218" s="543" customFormat="1" x14ac:dyDescent="0.25"/>
    <row r="219" s="543" customFormat="1" x14ac:dyDescent="0.25"/>
    <row r="220" s="543" customFormat="1" x14ac:dyDescent="0.25"/>
    <row r="221" s="543" customFormat="1" x14ac:dyDescent="0.25"/>
    <row r="222" s="543" customFormat="1" x14ac:dyDescent="0.25"/>
    <row r="223" s="543" customFormat="1" x14ac:dyDescent="0.25"/>
    <row r="224" s="543" customFormat="1" x14ac:dyDescent="0.25"/>
    <row r="225" s="543" customFormat="1" x14ac:dyDescent="0.25"/>
    <row r="226" s="543" customFormat="1" x14ac:dyDescent="0.25"/>
    <row r="227" s="543" customFormat="1" x14ac:dyDescent="0.25"/>
    <row r="228" s="543" customFormat="1" x14ac:dyDescent="0.25"/>
    <row r="229" s="543" customFormat="1" x14ac:dyDescent="0.25"/>
    <row r="230" s="543" customFormat="1" x14ac:dyDescent="0.25"/>
    <row r="231" s="543" customFormat="1" x14ac:dyDescent="0.25"/>
    <row r="232" s="543" customFormat="1" x14ac:dyDescent="0.25"/>
    <row r="233" s="543" customFormat="1" x14ac:dyDescent="0.25"/>
    <row r="234" s="543" customFormat="1" x14ac:dyDescent="0.25"/>
    <row r="235" s="543" customFormat="1" x14ac:dyDescent="0.25"/>
    <row r="236" s="543" customFormat="1" x14ac:dyDescent="0.25"/>
    <row r="237" s="543" customFormat="1" x14ac:dyDescent="0.25"/>
    <row r="238" s="543" customFormat="1" x14ac:dyDescent="0.25"/>
    <row r="239" s="543" customFormat="1" x14ac:dyDescent="0.25"/>
    <row r="240" s="543" customFormat="1" x14ac:dyDescent="0.25"/>
    <row r="241" s="543" customFormat="1" x14ac:dyDescent="0.25"/>
    <row r="242" s="543" customFormat="1" x14ac:dyDescent="0.25"/>
    <row r="243" s="543" customFormat="1" x14ac:dyDescent="0.25"/>
  </sheetData>
  <mergeCells count="3">
    <mergeCell ref="A6:G6"/>
    <mergeCell ref="A7:G7"/>
    <mergeCell ref="A8:G8"/>
  </mergeCells>
  <hyperlinks>
    <hyperlink ref="A14" r:id="rId1" display="mailto:joubert.nadia@ccmsa.msa.fr" xr:uid="{75D19CF5-FA5A-466A-BD12-E729370F746D}"/>
    <hyperlink ref="A18" r:id="rId2" xr:uid="{50F0DBBB-2B81-4788-81A2-0657B43FAC7E}"/>
    <hyperlink ref="A22" r:id="rId3" xr:uid="{6535DA1E-D108-423B-801E-6A2A75FB3F70}"/>
  </hyperlinks>
  <pageMargins left="0.7" right="0.7" top="0.75" bottom="0.75" header="0.3" footer="0.3"/>
  <pageSetup paperSize="9" orientation="portrait" horizontalDpi="1200" verticalDpi="1200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99FF"/>
  </sheetPr>
  <dimension ref="A1:E33"/>
  <sheetViews>
    <sheetView zoomScaleNormal="100" workbookViewId="0"/>
  </sheetViews>
  <sheetFormatPr baseColWidth="10" defaultColWidth="46" defaultRowHeight="12.5" x14ac:dyDescent="0.25"/>
  <cols>
    <col min="1" max="1" width="28.81640625" bestFit="1" customWidth="1"/>
    <col min="2" max="3" width="14.453125" bestFit="1" customWidth="1"/>
    <col min="4" max="4" width="16.1796875" customWidth="1"/>
    <col min="5" max="5" width="6.7265625" bestFit="1" customWidth="1"/>
  </cols>
  <sheetData>
    <row r="1" spans="1:3" ht="13" x14ac:dyDescent="0.3">
      <c r="A1" s="422" t="s">
        <v>202</v>
      </c>
    </row>
    <row r="2" spans="1:3" ht="23" x14ac:dyDescent="0.25">
      <c r="A2" s="496" t="s">
        <v>10</v>
      </c>
      <c r="B2" s="497" t="str">
        <f>'SA1'!C2</f>
        <v>Réalisation 2024</v>
      </c>
      <c r="C2" s="497" t="str">
        <f>'SA1'!D2</f>
        <v>Réalisation 2025</v>
      </c>
    </row>
    <row r="3" spans="1:3" x14ac:dyDescent="0.25">
      <c r="A3" s="14" t="s">
        <v>86</v>
      </c>
      <c r="B3" s="180">
        <f>'%charges'!C38</f>
        <v>6293.6637514799995</v>
      </c>
      <c r="C3" s="180">
        <f>'%charges'!D38</f>
        <v>7121.195237320002</v>
      </c>
    </row>
    <row r="4" spans="1:3" x14ac:dyDescent="0.25">
      <c r="A4" s="14" t="s">
        <v>87</v>
      </c>
      <c r="B4" s="180">
        <f>'%produits'!B56</f>
        <v>6293.6637514799995</v>
      </c>
      <c r="C4" s="180">
        <f>'%produits'!C56</f>
        <v>7121.1952373200002</v>
      </c>
    </row>
    <row r="5" spans="1:3" ht="13" x14ac:dyDescent="0.3">
      <c r="A5" s="494" t="s">
        <v>89</v>
      </c>
      <c r="B5" s="495">
        <f>B4-B3</f>
        <v>0</v>
      </c>
      <c r="C5" s="495">
        <f>C4-C3</f>
        <v>0</v>
      </c>
    </row>
    <row r="6" spans="1:3" x14ac:dyDescent="0.25">
      <c r="A6" s="14" t="s">
        <v>88</v>
      </c>
      <c r="B6" s="180">
        <f>'COMPTES SA (Chiffres utiles)'!D10+'COMPTES SA (Chiffres utiles)'!D17+'COMPTES SA (Chiffres utiles)'!D23+'COMPTES SA (Chiffres utiles)'!D31+'COMPTES SA (Chiffres utiles)'!D37+'COMPTES SA (Chiffres utiles)'!D43+'COMPTES SA (Chiffres utiles)'!D49</f>
        <v>7750.1797332300011</v>
      </c>
      <c r="C6" s="180">
        <f>'COMPTES SA (Chiffres utiles)'!E10+'COMPTES SA (Chiffres utiles)'!E17+'COMPTES SA (Chiffres utiles)'!E23+'COMPTES SA (Chiffres utiles)'!E31+'COMPTES SA (Chiffres utiles)'!E37+'COMPTES SA (Chiffres utiles)'!E43+'COMPTES SA (Chiffres utiles)'!E49</f>
        <v>7974.8638214200037</v>
      </c>
    </row>
    <row r="7" spans="1:3" x14ac:dyDescent="0.25">
      <c r="A7" s="14" t="s">
        <v>90</v>
      </c>
      <c r="B7" s="83">
        <f>'COMPTES SA (Chiffres utiles)'!Q9+'COMPTES SA (Chiffres utiles)'!Q16+'COMPTES SA (Chiffres utiles)'!Q22+'COMPTES SA (Chiffres utiles)'!Q28+'COMPTES SA (Chiffres utiles)'!Q40+'COMPTES SA (Chiffres utiles)'!Q46+'COMPTES SA (Chiffres utiles)'!Q52+'COMPTES SA (Chiffres utiles)'!Q58+'COMPTES SA (Chiffres utiles)'!Q64+'COMPTES SA (Chiffres utiles)'!Q34</f>
        <v>7750.1797332300002</v>
      </c>
      <c r="C7" s="83">
        <f>'COMPTES SA (Chiffres utiles)'!R9+'COMPTES SA (Chiffres utiles)'!R16+'COMPTES SA (Chiffres utiles)'!R22+'COMPTES SA (Chiffres utiles)'!R28+'COMPTES SA (Chiffres utiles)'!R40+'COMPTES SA (Chiffres utiles)'!R46+'COMPTES SA (Chiffres utiles)'!R52+'COMPTES SA (Chiffres utiles)'!R58+'COMPTES SA (Chiffres utiles)'!R64+'COMPTES SA (Chiffres utiles)'!R34</f>
        <v>7974.86382142</v>
      </c>
    </row>
    <row r="8" spans="1:3" ht="13" x14ac:dyDescent="0.3">
      <c r="A8" s="494" t="s">
        <v>91</v>
      </c>
      <c r="B8" s="495">
        <f>B7-B6</f>
        <v>0</v>
      </c>
      <c r="C8" s="495">
        <f>C7-C6</f>
        <v>0</v>
      </c>
    </row>
    <row r="9" spans="1:3" x14ac:dyDescent="0.25">
      <c r="A9" s="14" t="s">
        <v>92</v>
      </c>
      <c r="B9" s="180">
        <f>'COMPTES SA (Chiffres utiles)'!D8+'COMPTES SA (Chiffres utiles)'!D15+'COMPTES SA (Chiffres utiles)'!D21+'COMPTES SA (Chiffres utiles)'!D29+'COMPTES SA (Chiffres utiles)'!D35+'COMPTES SA (Chiffres utiles)'!D41+'COMPTES SA (Chiffres utiles)'!D47</f>
        <v>789.59321995000005</v>
      </c>
      <c r="C9" s="180">
        <f>'COMPTES SA (Chiffres utiles)'!E8+'COMPTES SA (Chiffres utiles)'!E15+'COMPTES SA (Chiffres utiles)'!E21+'COMPTES SA (Chiffres utiles)'!E29+'COMPTES SA (Chiffres utiles)'!E35+'COMPTES SA (Chiffres utiles)'!E41+'COMPTES SA (Chiffres utiles)'!E47</f>
        <v>833.60329186999979</v>
      </c>
    </row>
    <row r="10" spans="1:3" x14ac:dyDescent="0.25">
      <c r="A10" s="14" t="s">
        <v>93</v>
      </c>
      <c r="B10" s="180">
        <f>'COMPTES SA (Chiffres utiles)'!Q8+'COMPTES SA (Chiffres utiles)'!Q15+'COMPTES SA (Chiffres utiles)'!Q21++'COMPTES SA (Chiffres utiles)'!Q27+'COMPTES SA (Chiffres utiles)'!Q39+'COMPTES SA (Chiffres utiles)'!Q45+'COMPTES SA (Chiffres utiles)'!Q51+'COMPTES SA (Chiffres utiles)'!Q57+'COMPTES SA (Chiffres utiles)'!Q63</f>
        <v>825.99940177999997</v>
      </c>
      <c r="C10" s="180">
        <f>'COMPTES SA (Chiffres utiles)'!R8+'COMPTES SA (Chiffres utiles)'!R15+'COMPTES SA (Chiffres utiles)'!R21++'COMPTES SA (Chiffres utiles)'!R27+'COMPTES SA (Chiffres utiles)'!R39+'COMPTES SA (Chiffres utiles)'!R45+'COMPTES SA (Chiffres utiles)'!R51+'COMPTES SA (Chiffres utiles)'!R57+'COMPTES SA (Chiffres utiles)'!R63</f>
        <v>839.22369409999988</v>
      </c>
    </row>
    <row r="11" spans="1:3" ht="13" x14ac:dyDescent="0.3">
      <c r="A11" s="494" t="s">
        <v>94</v>
      </c>
      <c r="B11" s="495">
        <f>B10-B9</f>
        <v>36.406181829999923</v>
      </c>
      <c r="C11" s="495">
        <f>C10-C9</f>
        <v>5.6204022300000815</v>
      </c>
    </row>
    <row r="12" spans="1:3" x14ac:dyDescent="0.25">
      <c r="A12" s="14" t="s">
        <v>95</v>
      </c>
      <c r="B12" s="180">
        <f>'%charges'!C40</f>
        <v>990.55856647999997</v>
      </c>
      <c r="C12" s="180">
        <f>'%charges'!D40</f>
        <v>978.87066527000002</v>
      </c>
    </row>
    <row r="13" spans="1:3" x14ac:dyDescent="0.25">
      <c r="A13" s="14" t="s">
        <v>96</v>
      </c>
      <c r="B13" s="180">
        <f>'%produits'!B58</f>
        <v>990.55856647999997</v>
      </c>
      <c r="C13" s="180">
        <f>'%produits'!C58</f>
        <v>978.87066527000002</v>
      </c>
    </row>
    <row r="14" spans="1:3" ht="13" x14ac:dyDescent="0.3">
      <c r="A14" s="494" t="s">
        <v>97</v>
      </c>
      <c r="B14" s="495">
        <f>B13-B12</f>
        <v>0</v>
      </c>
      <c r="C14" s="495">
        <f>C13-C12</f>
        <v>0</v>
      </c>
    </row>
    <row r="15" spans="1:3" x14ac:dyDescent="0.25">
      <c r="A15" s="248" t="s">
        <v>139</v>
      </c>
      <c r="B15" s="247">
        <f>+'COMPTES SA (Chiffres utiles)'!D11+'COMPTES SA (Chiffres utiles)'!D18+'COMPTES SA (Chiffres utiles)'!D24+'COMPTES SA (Chiffres utiles)'!D32+'COMPTES SA (Chiffres utiles)'!D38+'COMPTES SA (Chiffres utiles)'!D44+'COMPTES SA (Chiffres utiles)'!D50</f>
        <v>753.27455806999978</v>
      </c>
      <c r="C15" s="247">
        <f>+'COMPTES SA (Chiffres utiles)'!E11+'COMPTES SA (Chiffres utiles)'!E18+'COMPTES SA (Chiffres utiles)'!E24+'COMPTES SA (Chiffres utiles)'!E32+'COMPTES SA (Chiffres utiles)'!E38+'COMPTES SA (Chiffres utiles)'!E44+'COMPTES SA (Chiffres utiles)'!E50</f>
        <v>752.56916740999998</v>
      </c>
    </row>
    <row r="16" spans="1:3" x14ac:dyDescent="0.25">
      <c r="A16" s="248" t="s">
        <v>140</v>
      </c>
      <c r="B16" s="247">
        <f>+'COMPTES SA (Chiffres utiles)'!Q41+'COMPTES SA (Chiffres utiles)'!Q65</f>
        <v>753.27455807000001</v>
      </c>
      <c r="C16" s="247">
        <f>+'COMPTES SA (Chiffres utiles)'!R41+'COMPTES SA (Chiffres utiles)'!R65</f>
        <v>752.56916741000009</v>
      </c>
    </row>
    <row r="17" spans="1:5" ht="13" x14ac:dyDescent="0.3">
      <c r="A17" s="494" t="s">
        <v>141</v>
      </c>
      <c r="B17" s="495">
        <v>0</v>
      </c>
      <c r="C17" s="495">
        <v>0</v>
      </c>
    </row>
    <row r="18" spans="1:5" ht="13" x14ac:dyDescent="0.3">
      <c r="A18" s="14" t="s">
        <v>98</v>
      </c>
      <c r="B18" s="180">
        <f>B3+B6+B9+B12+B15</f>
        <v>16577.269829209999</v>
      </c>
      <c r="C18" s="180">
        <f>C3+C6+C9+C12+C15</f>
        <v>17661.102183290008</v>
      </c>
      <c r="D18" s="181"/>
    </row>
    <row r="19" spans="1:5" ht="13" x14ac:dyDescent="0.3">
      <c r="A19" s="14" t="s">
        <v>99</v>
      </c>
      <c r="B19" s="180">
        <f>B4+B7+B10+B13+B16</f>
        <v>16613.676011039999</v>
      </c>
      <c r="C19" s="180">
        <f>C4+C7+C10+C13+C16</f>
        <v>17666.722585520001</v>
      </c>
      <c r="D19" s="181"/>
    </row>
    <row r="20" spans="1:5" ht="13" x14ac:dyDescent="0.3">
      <c r="A20" s="494" t="s">
        <v>100</v>
      </c>
      <c r="B20" s="495">
        <f>B19-B18</f>
        <v>36.406181829999696</v>
      </c>
      <c r="C20" s="495">
        <f>C19-C18</f>
        <v>5.6204022299934877</v>
      </c>
      <c r="D20" s="20"/>
    </row>
    <row r="21" spans="1:5" x14ac:dyDescent="0.25">
      <c r="B21" s="196">
        <f>'COMPTES SA (Chiffres utiles)'!D52</f>
        <v>36.406181829999696</v>
      </c>
      <c r="C21" s="196">
        <f>'COMPTES SA (Chiffres utiles)'!E52</f>
        <v>5.6204022299971257</v>
      </c>
    </row>
    <row r="22" spans="1:5" x14ac:dyDescent="0.25">
      <c r="B22" s="2"/>
    </row>
    <row r="23" spans="1:5" ht="13.5" thickBot="1" x14ac:dyDescent="0.35">
      <c r="A23" s="422" t="s">
        <v>172</v>
      </c>
    </row>
    <row r="24" spans="1:5" ht="24" customHeight="1" x14ac:dyDescent="0.25">
      <c r="A24" s="597" t="s">
        <v>112</v>
      </c>
      <c r="B24" s="599">
        <v>2024</v>
      </c>
      <c r="C24" s="602">
        <v>2025</v>
      </c>
      <c r="D24" s="602" t="s">
        <v>217</v>
      </c>
    </row>
    <row r="25" spans="1:5" x14ac:dyDescent="0.25">
      <c r="A25" s="597"/>
      <c r="B25" s="600"/>
      <c r="C25" s="603"/>
      <c r="D25" s="603"/>
    </row>
    <row r="26" spans="1:5" ht="27.75" customHeight="1" thickBot="1" x14ac:dyDescent="0.3">
      <c r="A26" s="598"/>
      <c r="B26" s="601"/>
      <c r="C26" s="604"/>
      <c r="D26" s="604"/>
    </row>
    <row r="27" spans="1:5" ht="13" thickBot="1" x14ac:dyDescent="0.3">
      <c r="A27" s="198" t="s">
        <v>108</v>
      </c>
      <c r="B27" s="458">
        <f>[1]Maladie!$H$259</f>
        <v>2677.45939438</v>
      </c>
      <c r="C27" s="459">
        <f>[1]Maladie!$I$259</f>
        <v>3235.1708201299998</v>
      </c>
      <c r="D27" s="201">
        <f>C27/B27-1</f>
        <v>0.20829874280096972</v>
      </c>
      <c r="E27" s="228">
        <f>C27-B27</f>
        <v>557.71142574999976</v>
      </c>
    </row>
    <row r="28" spans="1:5" ht="13" thickBot="1" x14ac:dyDescent="0.3">
      <c r="A28" s="198" t="s">
        <v>109</v>
      </c>
      <c r="B28" s="458">
        <f>[1]Vieillesse!$H$211</f>
        <v>420.71999957000003</v>
      </c>
      <c r="C28" s="459">
        <f>[1]Vieillesse!$I$211</f>
        <v>630.60514078000006</v>
      </c>
      <c r="D28" s="201">
        <f>C28/B28-1</f>
        <v>0.49887131922541039</v>
      </c>
      <c r="E28" s="228">
        <f t="shared" ref="E28:E29" si="0">C28-B28</f>
        <v>209.88514121000003</v>
      </c>
    </row>
    <row r="29" spans="1:5" ht="13" thickBot="1" x14ac:dyDescent="0.3">
      <c r="A29" s="199" t="s">
        <v>110</v>
      </c>
      <c r="B29" s="458">
        <f>[1]Famille!$H$171</f>
        <v>76.694160310000001</v>
      </c>
      <c r="C29" s="459">
        <f>[1]Famille!$I$171</f>
        <v>40.8166674</v>
      </c>
      <c r="D29" s="201">
        <f t="shared" ref="D29" si="1">C29/B29-1</f>
        <v>-0.46779953995170087</v>
      </c>
      <c r="E29" s="228">
        <f t="shared" si="0"/>
        <v>-35.877492910000001</v>
      </c>
    </row>
    <row r="30" spans="1:5" ht="13" thickBot="1" x14ac:dyDescent="0.3">
      <c r="A30" s="200" t="s">
        <v>111</v>
      </c>
      <c r="B30" s="229">
        <f>SUM(B27:B29)</f>
        <v>3174.8735542600002</v>
      </c>
      <c r="C30" s="320">
        <f>SUM(C27:C29)</f>
        <v>3906.5926283099998</v>
      </c>
      <c r="D30" s="202">
        <f>C30/B30-1</f>
        <v>0.23047187912985989</v>
      </c>
      <c r="E30" s="228">
        <f>C30-B30</f>
        <v>731.71907404999956</v>
      </c>
    </row>
    <row r="32" spans="1:5" x14ac:dyDescent="0.25">
      <c r="C32" s="275">
        <f>E30-C21</f>
        <v>726.09867182000244</v>
      </c>
    </row>
    <row r="33" spans="1:3" x14ac:dyDescent="0.25">
      <c r="A33" s="539">
        <f>'[11]COMPTES NSA (Chiffres Utiles)'!$Q$75+'COMPTES SA (Chiffres utiles)'!Q66</f>
        <v>33411.361638800001</v>
      </c>
      <c r="B33" s="539">
        <f>'[11]Résultat net'!$B$29+B30</f>
        <v>7564.3100305799999</v>
      </c>
      <c r="C33" s="213">
        <f>B33/A33</f>
        <v>0.22639933422514891</v>
      </c>
    </row>
  </sheetData>
  <mergeCells count="4">
    <mergeCell ref="A24:A26"/>
    <mergeCell ref="B24:B26"/>
    <mergeCell ref="C24:C26"/>
    <mergeCell ref="D24:D26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1F123-1167-43F2-BA17-4742107E91CF}">
  <dimension ref="A1:J34"/>
  <sheetViews>
    <sheetView topLeftCell="C19" zoomScale="90" zoomScaleNormal="90" workbookViewId="0">
      <selection activeCell="H25" sqref="H25"/>
    </sheetView>
  </sheetViews>
  <sheetFormatPr baseColWidth="10" defaultRowHeight="12.5" x14ac:dyDescent="0.25"/>
  <cols>
    <col min="1" max="1" width="42.1796875" customWidth="1"/>
    <col min="2" max="2" width="17.81640625" bestFit="1" customWidth="1"/>
    <col min="4" max="4" width="12.81640625" bestFit="1" customWidth="1"/>
  </cols>
  <sheetData>
    <row r="1" spans="1:10" ht="62.25" customHeight="1" thickBot="1" x14ac:dyDescent="0.3">
      <c r="A1" s="431" t="s">
        <v>178</v>
      </c>
      <c r="B1" s="432" t="s">
        <v>177</v>
      </c>
      <c r="D1" s="565" t="s">
        <v>191</v>
      </c>
      <c r="E1" s="566"/>
      <c r="F1" s="566"/>
      <c r="G1" s="566"/>
      <c r="H1" s="566"/>
      <c r="I1" s="566"/>
      <c r="J1" s="567"/>
    </row>
    <row r="2" spans="1:10" ht="13" thickBot="1" x14ac:dyDescent="0.3">
      <c r="A2" s="563" t="s">
        <v>175</v>
      </c>
      <c r="B2" s="564"/>
    </row>
    <row r="3" spans="1:10" ht="13" thickBot="1" x14ac:dyDescent="0.3">
      <c r="A3" s="479" t="s">
        <v>179</v>
      </c>
      <c r="B3" s="476" t="s">
        <v>192</v>
      </c>
    </row>
    <row r="4" spans="1:10" ht="13" thickBot="1" x14ac:dyDescent="0.3">
      <c r="A4" s="479" t="s">
        <v>180</v>
      </c>
      <c r="B4" s="476" t="s">
        <v>193</v>
      </c>
    </row>
    <row r="5" spans="1:10" ht="13" thickBot="1" x14ac:dyDescent="0.3">
      <c r="A5" s="479" t="s">
        <v>181</v>
      </c>
      <c r="B5" s="476" t="s">
        <v>193</v>
      </c>
    </row>
    <row r="6" spans="1:10" ht="13" thickBot="1" x14ac:dyDescent="0.3">
      <c r="A6" s="479" t="s">
        <v>182</v>
      </c>
      <c r="B6" s="476" t="s">
        <v>194</v>
      </c>
    </row>
    <row r="7" spans="1:10" ht="13" thickBot="1" x14ac:dyDescent="0.3">
      <c r="A7" s="479" t="s">
        <v>183</v>
      </c>
      <c r="B7" s="476" t="s">
        <v>195</v>
      </c>
    </row>
    <row r="8" spans="1:10" ht="13" thickBot="1" x14ac:dyDescent="0.3">
      <c r="A8" s="480" t="s">
        <v>184</v>
      </c>
      <c r="B8" s="473" t="s">
        <v>195</v>
      </c>
    </row>
    <row r="9" spans="1:10" ht="13" thickBot="1" x14ac:dyDescent="0.3">
      <c r="A9" s="480" t="s">
        <v>198</v>
      </c>
      <c r="B9" s="476" t="s">
        <v>194</v>
      </c>
    </row>
    <row r="10" spans="1:10" ht="13" thickBot="1" x14ac:dyDescent="0.3">
      <c r="A10" s="480" t="s">
        <v>199</v>
      </c>
      <c r="B10" s="476" t="s">
        <v>201</v>
      </c>
    </row>
    <row r="11" spans="1:10" ht="13" thickBot="1" x14ac:dyDescent="0.3">
      <c r="A11" s="480" t="s">
        <v>200</v>
      </c>
      <c r="B11" s="476" t="s">
        <v>201</v>
      </c>
    </row>
    <row r="12" spans="1:10" ht="13" thickBot="1" x14ac:dyDescent="0.3">
      <c r="A12" s="561" t="s">
        <v>176</v>
      </c>
      <c r="B12" s="562"/>
    </row>
    <row r="13" spans="1:10" ht="13" thickBot="1" x14ac:dyDescent="0.3">
      <c r="A13" s="475" t="s">
        <v>185</v>
      </c>
      <c r="B13" s="474" t="s">
        <v>193</v>
      </c>
    </row>
    <row r="14" spans="1:10" ht="13" thickBot="1" x14ac:dyDescent="0.3">
      <c r="A14" s="475" t="s">
        <v>186</v>
      </c>
      <c r="B14" s="474" t="s">
        <v>193</v>
      </c>
    </row>
    <row r="15" spans="1:10" ht="13" thickBot="1" x14ac:dyDescent="0.3">
      <c r="A15" s="475" t="s">
        <v>187</v>
      </c>
      <c r="B15" s="474" t="s">
        <v>194</v>
      </c>
    </row>
    <row r="16" spans="1:10" ht="13" thickBot="1" x14ac:dyDescent="0.3">
      <c r="A16" s="475" t="s">
        <v>188</v>
      </c>
      <c r="B16" s="474" t="s">
        <v>195</v>
      </c>
    </row>
    <row r="17" spans="1:5" ht="13" thickBot="1" x14ac:dyDescent="0.3">
      <c r="A17" s="475" t="s">
        <v>189</v>
      </c>
      <c r="B17" s="474" t="s">
        <v>195</v>
      </c>
    </row>
    <row r="18" spans="1:5" ht="13" thickBot="1" x14ac:dyDescent="0.3">
      <c r="A18" s="475" t="s">
        <v>190</v>
      </c>
      <c r="B18" s="474" t="s">
        <v>194</v>
      </c>
    </row>
    <row r="22" spans="1:5" ht="13" x14ac:dyDescent="0.3">
      <c r="D22" s="492">
        <f>'%charges'!D41</f>
        <v>7974.8638214200037</v>
      </c>
      <c r="E22" s="421" t="s">
        <v>109</v>
      </c>
    </row>
    <row r="23" spans="1:5" ht="13" x14ac:dyDescent="0.3">
      <c r="D23" s="492">
        <f>'%charges'!D38</f>
        <v>7121.195237320002</v>
      </c>
      <c r="E23" s="421" t="s">
        <v>108</v>
      </c>
    </row>
    <row r="24" spans="1:5" ht="13" x14ac:dyDescent="0.3">
      <c r="D24" s="492">
        <f>'%charges'!D40</f>
        <v>978.87066527000002</v>
      </c>
      <c r="E24" s="421" t="s">
        <v>110</v>
      </c>
    </row>
    <row r="25" spans="1:5" ht="13" x14ac:dyDescent="0.3">
      <c r="D25" s="492">
        <f>'%charges'!D39</f>
        <v>833.60329186999979</v>
      </c>
      <c r="E25" s="421" t="s">
        <v>158</v>
      </c>
    </row>
    <row r="26" spans="1:5" ht="13" x14ac:dyDescent="0.3">
      <c r="D26" s="492">
        <f>'%charges'!D42</f>
        <v>752.56916740999998</v>
      </c>
      <c r="E26" s="421" t="s">
        <v>138</v>
      </c>
    </row>
    <row r="28" spans="1:5" ht="13" x14ac:dyDescent="0.3">
      <c r="D28" s="493">
        <f>'%produits'!C17</f>
        <v>6892.7554094400002</v>
      </c>
      <c r="E28" s="421" t="s">
        <v>21</v>
      </c>
    </row>
    <row r="29" spans="1:5" ht="13" x14ac:dyDescent="0.3">
      <c r="D29" s="493">
        <f>'%produits'!C19</f>
        <v>3906.5926283099998</v>
      </c>
      <c r="E29" s="421" t="s">
        <v>130</v>
      </c>
    </row>
    <row r="30" spans="1:5" ht="13" x14ac:dyDescent="0.3">
      <c r="D30" s="493">
        <f>'%produits'!C18</f>
        <v>2538</v>
      </c>
      <c r="E30" s="421" t="s">
        <v>25</v>
      </c>
    </row>
    <row r="31" spans="1:5" ht="13" x14ac:dyDescent="0.3">
      <c r="D31" s="493">
        <f>'%produits'!C21</f>
        <v>1373.3156845800017</v>
      </c>
      <c r="E31" s="421" t="s">
        <v>149</v>
      </c>
    </row>
    <row r="32" spans="1:5" ht="13" x14ac:dyDescent="0.3">
      <c r="D32" s="493">
        <f>'%produits'!C22</f>
        <v>1192.17287351</v>
      </c>
      <c r="E32" s="421" t="s">
        <v>143</v>
      </c>
    </row>
    <row r="33" spans="4:5" ht="13" x14ac:dyDescent="0.3">
      <c r="D33" s="493">
        <f>'%produits'!C20</f>
        <v>1215.7234416700001</v>
      </c>
      <c r="E33" s="421" t="s">
        <v>129</v>
      </c>
    </row>
    <row r="34" spans="4:5" ht="13" x14ac:dyDescent="0.3">
      <c r="D34" s="493">
        <f>'%produits'!C23</f>
        <v>548.16254801000002</v>
      </c>
      <c r="E34" s="421" t="s">
        <v>128</v>
      </c>
    </row>
  </sheetData>
  <mergeCells count="3">
    <mergeCell ref="A12:B12"/>
    <mergeCell ref="A2:B2"/>
    <mergeCell ref="D1:J1"/>
  </mergeCells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2060"/>
  </sheetPr>
  <dimension ref="A1:Y106"/>
  <sheetViews>
    <sheetView zoomScale="90" zoomScaleNormal="90" workbookViewId="0"/>
  </sheetViews>
  <sheetFormatPr baseColWidth="10" defaultRowHeight="12.5" x14ac:dyDescent="0.25"/>
  <cols>
    <col min="1" max="1" width="46.453125" style="122" customWidth="1"/>
    <col min="2" max="3" width="9.26953125" style="22" bestFit="1" customWidth="1"/>
    <col min="4" max="4" width="8.54296875" style="124" customWidth="1"/>
    <col min="5" max="5" width="8.54296875" style="125" customWidth="1"/>
    <col min="6" max="6" width="7.7265625" style="126" bestFit="1" customWidth="1"/>
    <col min="7" max="8" width="6.1796875" style="126" customWidth="1"/>
    <col min="9" max="9" width="6.1796875" style="127" customWidth="1"/>
    <col min="10" max="10" width="8" style="21" bestFit="1" customWidth="1"/>
    <col min="11" max="11" width="8" style="119" bestFit="1" customWidth="1"/>
    <col min="12" max="12" width="8.453125" style="120" bestFit="1" customWidth="1"/>
    <col min="13" max="13" width="5.26953125" style="106" customWidth="1"/>
    <col min="14" max="14" width="43.1796875" customWidth="1"/>
    <col min="15" max="15" width="9.81640625" style="152" bestFit="1" customWidth="1"/>
    <col min="16" max="16" width="7.81640625" style="152" bestFit="1" customWidth="1"/>
    <col min="17" max="17" width="7.81640625" style="153" bestFit="1" customWidth="1"/>
    <col min="18" max="18" width="7.81640625" style="154" customWidth="1"/>
    <col min="19" max="19" width="8" style="147" bestFit="1" customWidth="1"/>
    <col min="20" max="21" width="6.26953125" style="147" customWidth="1"/>
    <col min="22" max="22" width="6.26953125" style="148" customWidth="1"/>
    <col min="23" max="23" width="8.26953125" style="152" customWidth="1"/>
    <col min="24" max="24" width="8.26953125" style="149" bestFit="1" customWidth="1"/>
    <col min="25" max="25" width="8.26953125" style="6" customWidth="1"/>
  </cols>
  <sheetData>
    <row r="1" spans="1:25" s="39" customFormat="1" ht="13" x14ac:dyDescent="0.3">
      <c r="A1" s="23"/>
      <c r="B1" s="277"/>
      <c r="C1" s="277"/>
      <c r="D1" s="277"/>
      <c r="E1" s="277"/>
      <c r="F1" s="24"/>
      <c r="G1" s="25"/>
      <c r="H1" s="25"/>
      <c r="I1" s="26"/>
      <c r="J1" s="27"/>
      <c r="K1" s="28"/>
      <c r="L1" s="29"/>
      <c r="M1" s="30"/>
      <c r="N1" s="31"/>
      <c r="O1" s="32"/>
      <c r="P1" s="32"/>
      <c r="Q1" s="32"/>
      <c r="R1" s="33"/>
      <c r="S1" s="34"/>
      <c r="T1" s="34"/>
      <c r="U1" s="35"/>
      <c r="V1" s="36"/>
      <c r="W1" s="32"/>
      <c r="X1" s="37"/>
      <c r="Y1" s="38"/>
    </row>
    <row r="2" spans="1:25" ht="11.25" customHeight="1" x14ac:dyDescent="0.3">
      <c r="A2" s="568" t="s">
        <v>0</v>
      </c>
      <c r="B2" s="570" t="s">
        <v>33</v>
      </c>
      <c r="C2" s="571"/>
      <c r="D2" s="572"/>
      <c r="E2" s="573"/>
      <c r="F2" s="577" t="s">
        <v>34</v>
      </c>
      <c r="G2" s="577"/>
      <c r="H2" s="577"/>
      <c r="I2" s="577"/>
      <c r="J2" s="580" t="s">
        <v>35</v>
      </c>
      <c r="K2" s="580"/>
      <c r="L2" s="580"/>
      <c r="M2" s="40"/>
      <c r="N2" s="41"/>
      <c r="O2" s="581" t="s">
        <v>33</v>
      </c>
      <c r="P2" s="582"/>
      <c r="Q2" s="583"/>
      <c r="R2" s="584"/>
      <c r="S2" s="578" t="s">
        <v>34</v>
      </c>
      <c r="T2" s="579"/>
      <c r="U2" s="579"/>
      <c r="V2" s="579"/>
      <c r="W2" s="574" t="s">
        <v>35</v>
      </c>
      <c r="X2" s="575"/>
      <c r="Y2" s="576"/>
    </row>
    <row r="3" spans="1:25" s="53" customFormat="1" ht="13" x14ac:dyDescent="0.25">
      <c r="A3" s="569"/>
      <c r="B3" s="42">
        <v>2022</v>
      </c>
      <c r="C3" s="42">
        <f>B3+1</f>
        <v>2023</v>
      </c>
      <c r="D3" s="42">
        <f>C3+1</f>
        <v>2024</v>
      </c>
      <c r="E3" s="43">
        <f>D3+1</f>
        <v>2025</v>
      </c>
      <c r="F3" s="164">
        <f>B3</f>
        <v>2022</v>
      </c>
      <c r="G3" s="164">
        <f t="shared" ref="G3:H3" si="0">C3</f>
        <v>2023</v>
      </c>
      <c r="H3" s="164">
        <f t="shared" si="0"/>
        <v>2024</v>
      </c>
      <c r="I3" s="165">
        <f>E3</f>
        <v>2025</v>
      </c>
      <c r="J3" s="44">
        <f>G3</f>
        <v>2023</v>
      </c>
      <c r="K3" s="44">
        <f>H3</f>
        <v>2024</v>
      </c>
      <c r="L3" s="45">
        <f>I3</f>
        <v>2025</v>
      </c>
      <c r="M3" s="46"/>
      <c r="N3" s="47" t="s">
        <v>2</v>
      </c>
      <c r="O3" s="42">
        <f>B3</f>
        <v>2022</v>
      </c>
      <c r="P3" s="48">
        <f>C3</f>
        <v>2023</v>
      </c>
      <c r="Q3" s="48">
        <f>D3</f>
        <v>2024</v>
      </c>
      <c r="R3" s="49">
        <f>E3</f>
        <v>2025</v>
      </c>
      <c r="S3" s="50">
        <f>O3</f>
        <v>2022</v>
      </c>
      <c r="T3" s="50">
        <f>P3</f>
        <v>2023</v>
      </c>
      <c r="U3" s="51">
        <f>Q3</f>
        <v>2024</v>
      </c>
      <c r="V3" s="52">
        <f>R3</f>
        <v>2025</v>
      </c>
      <c r="W3" s="50">
        <f>T3</f>
        <v>2023</v>
      </c>
      <c r="X3" s="51">
        <f>U3</f>
        <v>2024</v>
      </c>
      <c r="Y3" s="52">
        <f>V3</f>
        <v>2025</v>
      </c>
    </row>
    <row r="4" spans="1:25" ht="10" customHeight="1" x14ac:dyDescent="0.25">
      <c r="A4" s="54"/>
      <c r="B4" s="55"/>
      <c r="C4" s="56"/>
      <c r="D4" s="56"/>
      <c r="E4" s="163"/>
      <c r="F4" s="57"/>
      <c r="G4" s="57"/>
      <c r="H4" s="57"/>
      <c r="I4" s="58"/>
      <c r="J4" s="59"/>
      <c r="K4" s="59"/>
      <c r="L4" s="60"/>
      <c r="M4" s="61"/>
      <c r="N4" s="62"/>
      <c r="O4" s="63"/>
      <c r="P4" s="64"/>
      <c r="Q4" s="56"/>
      <c r="R4" s="163"/>
      <c r="S4" s="65"/>
      <c r="T4" s="65"/>
      <c r="U4" s="65"/>
      <c r="V4" s="66"/>
      <c r="W4" s="67"/>
      <c r="X4" s="68"/>
      <c r="Y4" s="69"/>
    </row>
    <row r="5" spans="1:25" s="81" customFormat="1" ht="11.5" x14ac:dyDescent="0.25">
      <c r="A5" s="70" t="s">
        <v>36</v>
      </c>
      <c r="B5" s="233">
        <f t="shared" ref="B5" si="1">SUM(B7:B10)</f>
        <v>12892.267044390002</v>
      </c>
      <c r="C5" s="233">
        <f>SUM(C7:C11)</f>
        <v>13957.312436729999</v>
      </c>
      <c r="D5" s="233">
        <f>SUM(D7:D11)</f>
        <v>14732.043979890001</v>
      </c>
      <c r="E5" s="233">
        <f>SUM(E7:E11)</f>
        <v>15840.632498580004</v>
      </c>
      <c r="F5" s="71">
        <f>B5/$B$51</f>
        <v>0.87317401087592605</v>
      </c>
      <c r="G5" s="71">
        <f>C5/$C$51</f>
        <v>0.88255041366108822</v>
      </c>
      <c r="H5" s="71">
        <f>D5/$D$51</f>
        <v>0.88868940010443598</v>
      </c>
      <c r="I5" s="72">
        <f>E5/$E$51</f>
        <v>0.8969220796178603</v>
      </c>
      <c r="J5" s="73">
        <f>C5/B5-1</f>
        <v>8.2611179916835864E-2</v>
      </c>
      <c r="K5" s="73">
        <f>D5/C5-1</f>
        <v>5.5507215065360382E-2</v>
      </c>
      <c r="L5" s="74">
        <f>E5/D5-1</f>
        <v>7.5250149959047441E-2</v>
      </c>
      <c r="M5" s="75"/>
      <c r="N5" s="76" t="s">
        <v>214</v>
      </c>
      <c r="O5" s="233">
        <f t="shared" ref="O5" si="2">SUM(O6:O9)</f>
        <v>5944.3958786200001</v>
      </c>
      <c r="P5" s="233">
        <f>SUM(P6:P9)</f>
        <v>6303.9853344099993</v>
      </c>
      <c r="Q5" s="233">
        <f>SUM(Q6:Q9)</f>
        <v>6640.4694571800001</v>
      </c>
      <c r="R5" s="233">
        <f>SUM(R6:R9)</f>
        <v>6892.7554094400002</v>
      </c>
      <c r="S5" s="71">
        <f>O5/$O$66</f>
        <v>0.40098632454692612</v>
      </c>
      <c r="T5" s="71">
        <f>P5/$P$66</f>
        <v>0.39709261658421457</v>
      </c>
      <c r="U5" s="77">
        <f>Q5/$Q$66</f>
        <v>0.39969898611043841</v>
      </c>
      <c r="V5" s="78">
        <f>R5/$R$66</f>
        <v>0.3901547316472519</v>
      </c>
      <c r="W5" s="73">
        <f t="shared" ref="W5:Y9" si="3">P5/O5-1</f>
        <v>6.0492178369768723E-2</v>
      </c>
      <c r="X5" s="79">
        <f t="shared" si="3"/>
        <v>5.3376412685054664E-2</v>
      </c>
      <c r="Y5" s="80">
        <f t="shared" si="3"/>
        <v>3.7992186228221536E-2</v>
      </c>
    </row>
    <row r="6" spans="1:25" x14ac:dyDescent="0.25">
      <c r="A6" s="82" t="s">
        <v>37</v>
      </c>
      <c r="B6" s="221"/>
      <c r="C6" s="221"/>
      <c r="D6" s="221"/>
      <c r="E6" s="281"/>
      <c r="F6" s="84"/>
      <c r="G6" s="84"/>
      <c r="H6" s="84"/>
      <c r="I6" s="85"/>
      <c r="J6" s="59"/>
      <c r="K6" s="59"/>
      <c r="L6" s="60"/>
      <c r="M6" s="86"/>
      <c r="N6" s="87" t="s">
        <v>38</v>
      </c>
      <c r="O6" s="222">
        <v>1627.74614486</v>
      </c>
      <c r="P6" s="222">
        <v>1718.7206791599999</v>
      </c>
      <c r="Q6" s="222">
        <v>1816.51448605</v>
      </c>
      <c r="R6" s="222">
        <v>1944.42121118</v>
      </c>
      <c r="S6" s="84">
        <f>O6/$O$5</f>
        <v>0.27382869144271788</v>
      </c>
      <c r="T6" s="84">
        <f>P6/$P$5</f>
        <v>0.27264033591233883</v>
      </c>
      <c r="U6" s="88">
        <f>Q6/$Q$5</f>
        <v>0.27355211822951703</v>
      </c>
      <c r="V6" s="89">
        <f>R6/$R$5</f>
        <v>0.28209635997195115</v>
      </c>
      <c r="W6" s="59">
        <f t="shared" si="3"/>
        <v>5.5889878521459879E-2</v>
      </c>
      <c r="X6" s="90">
        <f t="shared" si="3"/>
        <v>5.6899185583660694E-2</v>
      </c>
      <c r="Y6" s="91">
        <f t="shared" si="3"/>
        <v>7.0413270090750713E-2</v>
      </c>
    </row>
    <row r="7" spans="1:25" x14ac:dyDescent="0.25">
      <c r="A7" s="54" t="s">
        <v>39</v>
      </c>
      <c r="B7" s="506">
        <v>5028.3106068300012</v>
      </c>
      <c r="C7" s="506">
        <v>5134.0496223500004</v>
      </c>
      <c r="D7" s="506">
        <v>5306.8196092999988</v>
      </c>
      <c r="E7" s="506">
        <v>6106.8845582900012</v>
      </c>
      <c r="F7" s="84">
        <f>B7/$B$5</f>
        <v>0.39002532211881558</v>
      </c>
      <c r="G7" s="84">
        <f>C7/$C$5</f>
        <v>0.36783941361370254</v>
      </c>
      <c r="H7" s="84">
        <f>D7/$D$5</f>
        <v>0.36022290026720538</v>
      </c>
      <c r="I7" s="85">
        <f>E7/$E$5</f>
        <v>0.38552024730309464</v>
      </c>
      <c r="J7" s="59">
        <f>(C7-B7)/B7</f>
        <v>2.1028735849446704E-2</v>
      </c>
      <c r="K7" s="59">
        <f t="shared" ref="K7:L10" si="4">D7/C7-1</f>
        <v>3.3651795299733944E-2</v>
      </c>
      <c r="L7" s="60">
        <f t="shared" si="4"/>
        <v>0.15076166289653403</v>
      </c>
      <c r="M7" s="92"/>
      <c r="N7" s="87" t="s">
        <v>40</v>
      </c>
      <c r="O7" s="222">
        <v>667.18409943999995</v>
      </c>
      <c r="P7" s="222">
        <v>705.25293506999992</v>
      </c>
      <c r="Q7" s="222">
        <v>742.87408088999996</v>
      </c>
      <c r="R7" s="222">
        <v>765.88985773000002</v>
      </c>
      <c r="S7" s="84">
        <f>O7/$O$5</f>
        <v>0.11223749445080493</v>
      </c>
      <c r="T7" s="84">
        <f>P7/$P$5</f>
        <v>0.11187413955746547</v>
      </c>
      <c r="U7" s="88">
        <f>Q7/$Q$5</f>
        <v>0.11187071722568774</v>
      </c>
      <c r="V7" s="89">
        <f>R7/$R$5</f>
        <v>0.11111519446650792</v>
      </c>
      <c r="W7" s="59">
        <f t="shared" si="3"/>
        <v>5.7058967175556141E-2</v>
      </c>
      <c r="X7" s="90">
        <f t="shared" si="3"/>
        <v>5.3344188941611304E-2</v>
      </c>
      <c r="Y7" s="91">
        <f t="shared" si="3"/>
        <v>3.098207008706777E-2</v>
      </c>
    </row>
    <row r="8" spans="1:25" x14ac:dyDescent="0.25">
      <c r="A8" s="54" t="s">
        <v>41</v>
      </c>
      <c r="B8" s="506">
        <v>593.00804479999999</v>
      </c>
      <c r="C8" s="506">
        <v>617.05188923999992</v>
      </c>
      <c r="D8" s="506">
        <v>625.26974294000001</v>
      </c>
      <c r="E8" s="506">
        <v>664.50804827999991</v>
      </c>
      <c r="F8" s="84">
        <f>B8/$B$5</f>
        <v>4.5997189071416582E-2</v>
      </c>
      <c r="G8" s="84">
        <f>C8/$C$5</f>
        <v>4.42099359770846E-2</v>
      </c>
      <c r="H8" s="84">
        <f>D8/$D$5</f>
        <v>4.2442837110283231E-2</v>
      </c>
      <c r="I8" s="85">
        <f>E8/$E$5</f>
        <v>4.1949590607544752E-2</v>
      </c>
      <c r="J8" s="59">
        <f>(C8-B8)/B8</f>
        <v>4.0545561988301594E-2</v>
      </c>
      <c r="K8" s="59">
        <f t="shared" si="4"/>
        <v>1.3317929728927203E-2</v>
      </c>
      <c r="L8" s="60">
        <f t="shared" si="4"/>
        <v>6.2754204538192582E-2</v>
      </c>
      <c r="M8" s="92"/>
      <c r="N8" s="87" t="s">
        <v>42</v>
      </c>
      <c r="O8" s="222">
        <v>517.04956264000009</v>
      </c>
      <c r="P8" s="222">
        <v>527.6335978699999</v>
      </c>
      <c r="Q8" s="222">
        <v>537.76405104999992</v>
      </c>
      <c r="R8" s="222">
        <v>534.76664822999999</v>
      </c>
      <c r="S8" s="84">
        <f>O8/$O$5</f>
        <v>8.698101088786063E-2</v>
      </c>
      <c r="T8" s="84">
        <f>P8/$P$5</f>
        <v>8.3698417727899432E-2</v>
      </c>
      <c r="U8" s="88">
        <f>Q8/$Q$5</f>
        <v>8.0982836306632375E-2</v>
      </c>
      <c r="V8" s="89">
        <f>R8/$R$5</f>
        <v>7.7583871248007474E-2</v>
      </c>
      <c r="W8" s="59">
        <f t="shared" si="3"/>
        <v>2.0470059342007518E-2</v>
      </c>
      <c r="X8" s="90">
        <f t="shared" si="3"/>
        <v>1.9199787922709266E-2</v>
      </c>
      <c r="Y8" s="91">
        <f t="shared" si="3"/>
        <v>-5.5738252011219291E-3</v>
      </c>
    </row>
    <row r="9" spans="1:25" x14ac:dyDescent="0.25">
      <c r="A9" s="54" t="s">
        <v>43</v>
      </c>
      <c r="B9" s="506">
        <v>771.56760064000002</v>
      </c>
      <c r="C9" s="506">
        <v>715.24798183999997</v>
      </c>
      <c r="D9" s="506">
        <v>736.26927056</v>
      </c>
      <c r="E9" s="506">
        <v>720.96627545000001</v>
      </c>
      <c r="F9" s="84">
        <f>B9/$B$5</f>
        <v>5.984731761942081E-2</v>
      </c>
      <c r="G9" s="84">
        <f>C9/$C$5</f>
        <v>5.1245394489970481E-2</v>
      </c>
      <c r="H9" s="84">
        <f>D9/$D$5</f>
        <v>4.997740106973924E-2</v>
      </c>
      <c r="I9" s="85">
        <f>E9/$E$5</f>
        <v>4.5513730308094032E-2</v>
      </c>
      <c r="J9" s="59">
        <f>(C9-B9)/B9</f>
        <v>-7.2993758101408165E-2</v>
      </c>
      <c r="K9" s="59">
        <f t="shared" si="4"/>
        <v>2.9390210463680067E-2</v>
      </c>
      <c r="L9" s="60">
        <f t="shared" si="4"/>
        <v>-2.0784508768593168E-2</v>
      </c>
      <c r="M9" s="92"/>
      <c r="N9" s="87" t="s">
        <v>44</v>
      </c>
      <c r="O9" s="222">
        <v>3132.4160716800002</v>
      </c>
      <c r="P9" s="222">
        <v>3352.37812231</v>
      </c>
      <c r="Q9" s="222">
        <v>3543.3168391900003</v>
      </c>
      <c r="R9" s="222">
        <v>3647.6776922999998</v>
      </c>
      <c r="S9" s="84">
        <f>O9/$O$5</f>
        <v>0.52695280321861659</v>
      </c>
      <c r="T9" s="84">
        <f>P9/$P$5</f>
        <v>0.53178710680229635</v>
      </c>
      <c r="U9" s="88">
        <f>Q9/$Q$5</f>
        <v>0.53359432823816288</v>
      </c>
      <c r="V9" s="89">
        <f>R9/$R$5</f>
        <v>0.5292045743135334</v>
      </c>
      <c r="W9" s="59">
        <f t="shared" si="3"/>
        <v>7.0221211230099501E-2</v>
      </c>
      <c r="X9" s="90">
        <f t="shared" si="3"/>
        <v>5.695619942431529E-2</v>
      </c>
      <c r="Y9" s="91">
        <f t="shared" si="3"/>
        <v>2.9452870811817133E-2</v>
      </c>
    </row>
    <row r="10" spans="1:25" ht="12.75" customHeight="1" x14ac:dyDescent="0.25">
      <c r="A10" s="54" t="s">
        <v>45</v>
      </c>
      <c r="B10" s="506">
        <v>6499.3807921200005</v>
      </c>
      <c r="C10" s="506">
        <v>6815.5706679599989</v>
      </c>
      <c r="D10" s="506">
        <v>7349.1206674400009</v>
      </c>
      <c r="E10" s="506">
        <v>7616.359227830003</v>
      </c>
      <c r="F10" s="84">
        <f>B10/$B$5</f>
        <v>0.50413017119034698</v>
      </c>
      <c r="G10" s="84">
        <f>C10/$C$5</f>
        <v>0.48831540447745331</v>
      </c>
      <c r="H10" s="84">
        <f>D10/$D$5</f>
        <v>0.49885275101485776</v>
      </c>
      <c r="I10" s="85">
        <f>E10/$E$5</f>
        <v>0.4808115603030847</v>
      </c>
      <c r="J10" s="59">
        <f>(C10-B10)/B10</f>
        <v>4.8649230742620023E-2</v>
      </c>
      <c r="K10" s="59">
        <f t="shared" si="4"/>
        <v>7.8283980237813466E-2</v>
      </c>
      <c r="L10" s="60">
        <f t="shared" si="4"/>
        <v>3.6363338211875096E-2</v>
      </c>
      <c r="M10" s="92"/>
      <c r="N10" s="93"/>
      <c r="O10" s="223"/>
      <c r="P10" s="223"/>
      <c r="Q10" s="223"/>
      <c r="R10" s="278"/>
      <c r="S10" s="84"/>
      <c r="T10" s="84"/>
      <c r="U10" s="88"/>
      <c r="V10" s="89"/>
      <c r="W10" s="59"/>
      <c r="X10" s="90"/>
      <c r="Y10" s="91"/>
    </row>
    <row r="11" spans="1:25" ht="12.75" customHeight="1" x14ac:dyDescent="0.25">
      <c r="A11" s="236" t="s">
        <v>135</v>
      </c>
      <c r="B11" s="506"/>
      <c r="C11" s="506">
        <v>675.39227533999997</v>
      </c>
      <c r="D11" s="506">
        <v>714.56468964999988</v>
      </c>
      <c r="E11" s="506">
        <v>731.91438872999993</v>
      </c>
      <c r="F11" s="84"/>
      <c r="G11" s="84"/>
      <c r="H11" s="84"/>
      <c r="I11" s="85"/>
      <c r="J11" s="59"/>
      <c r="K11" s="59"/>
      <c r="L11" s="60"/>
      <c r="M11" s="92"/>
      <c r="N11" s="93"/>
      <c r="O11" s="223"/>
      <c r="P11" s="223"/>
      <c r="Q11" s="223"/>
      <c r="R11" s="278"/>
      <c r="S11" s="84"/>
      <c r="T11" s="84"/>
      <c r="U11" s="88"/>
      <c r="V11" s="89"/>
      <c r="W11" s="59"/>
      <c r="X11" s="90"/>
      <c r="Y11" s="91"/>
    </row>
    <row r="12" spans="1:25" s="81" customFormat="1" ht="11.5" x14ac:dyDescent="0.25">
      <c r="A12" s="54"/>
      <c r="B12" s="223"/>
      <c r="C12" s="223"/>
      <c r="D12" s="223"/>
      <c r="E12" s="238"/>
      <c r="F12" s="84"/>
      <c r="G12" s="84"/>
      <c r="H12" s="84"/>
      <c r="I12" s="85"/>
      <c r="J12" s="59"/>
      <c r="K12" s="59"/>
      <c r="L12" s="60"/>
      <c r="M12" s="86"/>
      <c r="N12" s="76" t="s">
        <v>46</v>
      </c>
      <c r="O12" s="233">
        <f t="shared" ref="O12" si="5">SUM(O13:O16)</f>
        <v>525.67262819000007</v>
      </c>
      <c r="P12" s="233">
        <f>SUM(P13:P16)</f>
        <v>483.45788569000001</v>
      </c>
      <c r="Q12" s="233">
        <f>SUM(Q13:Q16)</f>
        <v>526.97571078999999</v>
      </c>
      <c r="R12" s="233">
        <f>SUM(R13:R16)</f>
        <v>548.16254801000002</v>
      </c>
      <c r="S12" s="71">
        <f>O12/$O$66</f>
        <v>3.5459875048188351E-2</v>
      </c>
      <c r="T12" s="71">
        <f>P12/$P$66</f>
        <v>3.0453363491982445E-2</v>
      </c>
      <c r="U12" s="77">
        <f>Q12/$Q$66</f>
        <v>3.171939253178032E-2</v>
      </c>
      <c r="V12" s="78">
        <f>R12/$R$66</f>
        <v>3.1027970544988633E-2</v>
      </c>
      <c r="W12" s="73">
        <f t="shared" ref="W12:Y16" si="6">P12/O12-1</f>
        <v>-8.0306145376741744E-2</v>
      </c>
      <c r="X12" s="79">
        <f t="shared" si="6"/>
        <v>9.0013683483289419E-2</v>
      </c>
      <c r="Y12" s="80">
        <f t="shared" si="6"/>
        <v>4.0204580184992622E-2</v>
      </c>
    </row>
    <row r="13" spans="1:25" ht="12.75" customHeight="1" x14ac:dyDescent="0.25">
      <c r="A13" s="70" t="s">
        <v>47</v>
      </c>
      <c r="B13" s="233">
        <f t="shared" ref="B13" si="7">SUM(B14:B17)</f>
        <v>431.83460754999999</v>
      </c>
      <c r="C13" s="233">
        <f>SUM(C14:C17)</f>
        <v>334.55363017000002</v>
      </c>
      <c r="D13" s="233">
        <f>SUM(D14:D17)</f>
        <v>332.70429154999999</v>
      </c>
      <c r="E13" s="233">
        <f>SUM(E14:E17)</f>
        <v>286.81372187000005</v>
      </c>
      <c r="F13" s="71">
        <f>B13/$B$51</f>
        <v>2.9247513646061454E-2</v>
      </c>
      <c r="G13" s="71">
        <f>C13/$C$51</f>
        <v>2.1154534301413661E-2</v>
      </c>
      <c r="H13" s="71">
        <f>D13/$D$51</f>
        <v>2.0069908674814351E-2</v>
      </c>
      <c r="I13" s="72">
        <f>E13/$E$51</f>
        <v>1.6239854052900952E-2</v>
      </c>
      <c r="J13" s="73">
        <f t="shared" ref="J13:L17" si="8">C13/B13-1</f>
        <v>-0.22527369432459465</v>
      </c>
      <c r="K13" s="73">
        <f t="shared" si="8"/>
        <v>-5.5277792653461999E-3</v>
      </c>
      <c r="L13" s="74">
        <f t="shared" si="8"/>
        <v>-0.13793200402136485</v>
      </c>
      <c r="M13" s="75"/>
      <c r="N13" s="87" t="s">
        <v>38</v>
      </c>
      <c r="O13" s="222">
        <v>158.14943690000001</v>
      </c>
      <c r="P13" s="222">
        <v>144.67077606999999</v>
      </c>
      <c r="Q13" s="222">
        <v>150.64253909999999</v>
      </c>
      <c r="R13" s="222">
        <v>160.63749702999999</v>
      </c>
      <c r="S13" s="84">
        <f>O13/$O$12</f>
        <v>0.30085157266898477</v>
      </c>
      <c r="T13" s="84">
        <f>P13/$P$12</f>
        <v>0.29924173408304883</v>
      </c>
      <c r="U13" s="88">
        <f>Q13/$Q$12</f>
        <v>0.28586239558208232</v>
      </c>
      <c r="V13" s="89">
        <f>R13/$R$12</f>
        <v>0.29304719487524988</v>
      </c>
      <c r="W13" s="59">
        <f t="shared" si="6"/>
        <v>-8.5227371618924908E-2</v>
      </c>
      <c r="X13" s="90">
        <f t="shared" si="6"/>
        <v>4.127829539747907E-2</v>
      </c>
      <c r="Y13" s="91">
        <f t="shared" si="6"/>
        <v>6.6348841367876332E-2</v>
      </c>
    </row>
    <row r="14" spans="1:25" x14ac:dyDescent="0.25">
      <c r="A14" s="54" t="s">
        <v>39</v>
      </c>
      <c r="B14" s="224">
        <v>315.41880156000002</v>
      </c>
      <c r="C14" s="224">
        <v>227.24444053000002</v>
      </c>
      <c r="D14" s="224">
        <v>222.51970777999998</v>
      </c>
      <c r="E14" s="222">
        <v>222.76983571000002</v>
      </c>
      <c r="F14" s="84">
        <f>B14/$B$13</f>
        <v>0.73041575650807289</v>
      </c>
      <c r="G14" s="84">
        <f>C14/$C$13</f>
        <v>0.67924667388761584</v>
      </c>
      <c r="H14" s="84">
        <f>D14/$D$13</f>
        <v>0.66882127291874416</v>
      </c>
      <c r="I14" s="85">
        <f>E14/$E$13</f>
        <v>0.77670564106054774</v>
      </c>
      <c r="J14" s="59">
        <f t="shared" si="8"/>
        <v>-0.27954694074641961</v>
      </c>
      <c r="K14" s="59">
        <f t="shared" si="8"/>
        <v>-2.0791411833797069E-2</v>
      </c>
      <c r="L14" s="60">
        <f>E14/D14-1</f>
        <v>1.1240709081252742E-3</v>
      </c>
      <c r="M14" s="86"/>
      <c r="N14" s="87" t="s">
        <v>40</v>
      </c>
      <c r="O14" s="222">
        <v>77.597631250000006</v>
      </c>
      <c r="P14" s="222">
        <v>75.800326829999989</v>
      </c>
      <c r="Q14" s="222">
        <v>74.299346509999992</v>
      </c>
      <c r="R14" s="222">
        <v>78.315823350000002</v>
      </c>
      <c r="S14" s="84">
        <f>O14/$O$12</f>
        <v>0.14761588693933855</v>
      </c>
      <c r="T14" s="84">
        <f>P14/$P$12</f>
        <v>0.15678785903309109</v>
      </c>
      <c r="U14" s="88">
        <f>Q14/$Q$12</f>
        <v>0.14099197550986994</v>
      </c>
      <c r="V14" s="89">
        <f>R14/$R$12</f>
        <v>0.14286970832704773</v>
      </c>
      <c r="W14" s="59">
        <f t="shared" si="6"/>
        <v>-2.3161846451337564E-2</v>
      </c>
      <c r="X14" s="90">
        <f t="shared" si="6"/>
        <v>-1.9801765807241134E-2</v>
      </c>
      <c r="Y14" s="91">
        <f t="shared" si="6"/>
        <v>5.405803723266156E-2</v>
      </c>
    </row>
    <row r="15" spans="1:25" ht="12.75" customHeight="1" x14ac:dyDescent="0.25">
      <c r="A15" s="54" t="s">
        <v>41</v>
      </c>
      <c r="B15" s="224">
        <v>7.8779610400000006</v>
      </c>
      <c r="C15" s="224">
        <v>9.2331422300000003</v>
      </c>
      <c r="D15" s="224">
        <v>16.636238989999999</v>
      </c>
      <c r="E15" s="222">
        <v>17.874426410000002</v>
      </c>
      <c r="F15" s="84">
        <f>B15/$B$13</f>
        <v>1.8243005313296597E-2</v>
      </c>
      <c r="G15" s="84">
        <f>C15/$C$13</f>
        <v>2.7598391998640916E-2</v>
      </c>
      <c r="H15" s="84">
        <f>D15/$D$13</f>
        <v>5.0003079048049626E-2</v>
      </c>
      <c r="I15" s="85">
        <f>E15/$E$13</f>
        <v>6.2320680800975373E-2</v>
      </c>
      <c r="J15" s="59">
        <f t="shared" si="8"/>
        <v>0.17202181923966453</v>
      </c>
      <c r="K15" s="59">
        <f t="shared" si="8"/>
        <v>0.80179602735308442</v>
      </c>
      <c r="L15" s="60">
        <f t="shared" si="8"/>
        <v>7.4427123867616629E-2</v>
      </c>
      <c r="M15" s="86"/>
      <c r="N15" s="87" t="s">
        <v>42</v>
      </c>
      <c r="O15" s="222">
        <v>21.758339149999998</v>
      </c>
      <c r="P15" s="222">
        <v>22.429495890000002</v>
      </c>
      <c r="Q15" s="222">
        <v>18.595659779999998</v>
      </c>
      <c r="R15" s="222">
        <v>19.705440729999999</v>
      </c>
      <c r="S15" s="84">
        <f>O15/$O$12</f>
        <v>4.1391424972836183E-2</v>
      </c>
      <c r="T15" s="84">
        <f>P15/$P$12</f>
        <v>4.6393898111700485E-2</v>
      </c>
      <c r="U15" s="88">
        <f>Q15/$Q$12</f>
        <v>3.5287508322011399E-2</v>
      </c>
      <c r="V15" s="89">
        <f>R15/$R$12</f>
        <v>3.5948170486175782E-2</v>
      </c>
      <c r="W15" s="59">
        <f t="shared" si="6"/>
        <v>3.0845954526818931E-2</v>
      </c>
      <c r="X15" s="90">
        <f t="shared" si="6"/>
        <v>-0.1709283226338264</v>
      </c>
      <c r="Y15" s="91">
        <f t="shared" si="6"/>
        <v>5.9679568411635131E-2</v>
      </c>
    </row>
    <row r="16" spans="1:25" x14ac:dyDescent="0.25">
      <c r="A16" s="54" t="s">
        <v>43</v>
      </c>
      <c r="B16" s="224">
        <v>0.61799999999999999</v>
      </c>
      <c r="C16" s="224">
        <v>0.64</v>
      </c>
      <c r="D16" s="224">
        <v>0.64</v>
      </c>
      <c r="E16" s="222">
        <v>0.63600000000000001</v>
      </c>
      <c r="F16" s="84">
        <f>B16/$B$13</f>
        <v>1.4311034576552433E-3</v>
      </c>
      <c r="G16" s="84">
        <f>C16/$C$13</f>
        <v>1.912996728431225E-3</v>
      </c>
      <c r="H16" s="84">
        <f>D16/$D$13</f>
        <v>1.9236301311845823E-3</v>
      </c>
      <c r="I16" s="85">
        <f>E16/$E$13</f>
        <v>2.2174671276302136E-3</v>
      </c>
      <c r="J16" s="59">
        <f t="shared" si="8"/>
        <v>3.5598705501618255E-2</v>
      </c>
      <c r="K16" s="59">
        <f t="shared" si="8"/>
        <v>0</v>
      </c>
      <c r="L16" s="60">
        <f t="shared" si="8"/>
        <v>-6.2499999999999778E-3</v>
      </c>
      <c r="M16" s="86"/>
      <c r="N16" s="87" t="s">
        <v>44</v>
      </c>
      <c r="O16" s="222">
        <v>268.16722089000001</v>
      </c>
      <c r="P16" s="222">
        <v>240.55728690000001</v>
      </c>
      <c r="Q16" s="222">
        <v>283.4381654</v>
      </c>
      <c r="R16" s="222">
        <v>289.50378690000002</v>
      </c>
      <c r="S16" s="84">
        <f>O16/$O$12</f>
        <v>0.51014111541884044</v>
      </c>
      <c r="T16" s="84">
        <f>P16/$P$12</f>
        <v>0.49757650877215959</v>
      </c>
      <c r="U16" s="88">
        <f>Q16/$Q$12</f>
        <v>0.53785812058603633</v>
      </c>
      <c r="V16" s="89">
        <f>R16/$R$12</f>
        <v>0.52813492631152659</v>
      </c>
      <c r="W16" s="59">
        <f t="shared" si="6"/>
        <v>-0.10295790029209184</v>
      </c>
      <c r="X16" s="90">
        <f t="shared" si="6"/>
        <v>0.17825641057311081</v>
      </c>
      <c r="Y16" s="91">
        <f t="shared" si="6"/>
        <v>2.1400157919594154E-2</v>
      </c>
    </row>
    <row r="17" spans="1:25" ht="12.75" customHeight="1" x14ac:dyDescent="0.25">
      <c r="A17" s="54" t="s">
        <v>45</v>
      </c>
      <c r="B17" s="224">
        <v>107.91984495</v>
      </c>
      <c r="C17" s="224">
        <v>97.43604741</v>
      </c>
      <c r="D17" s="224">
        <v>92.908344780000007</v>
      </c>
      <c r="E17" s="222">
        <v>45.533459749999999</v>
      </c>
      <c r="F17" s="84">
        <f>B17/$B$13</f>
        <v>0.24991013472097531</v>
      </c>
      <c r="G17" s="84">
        <f>C17/$C$13</f>
        <v>0.29124193738531207</v>
      </c>
      <c r="H17" s="84">
        <f>D17/$D$13</f>
        <v>0.27925201790202159</v>
      </c>
      <c r="I17" s="85">
        <f>E17/$E$13</f>
        <v>0.15875621101084661</v>
      </c>
      <c r="J17" s="59">
        <f t="shared" si="8"/>
        <v>-9.714429764847432E-2</v>
      </c>
      <c r="K17" s="59">
        <f t="shared" si="8"/>
        <v>-4.6468455467491676E-2</v>
      </c>
      <c r="L17" s="60">
        <f>E17/D17-1</f>
        <v>-0.50990990251930746</v>
      </c>
      <c r="M17" s="94"/>
      <c r="N17" s="95"/>
      <c r="O17" s="224"/>
      <c r="P17" s="224"/>
      <c r="Q17" s="224"/>
      <c r="R17" s="279"/>
      <c r="S17" s="84"/>
      <c r="T17" s="84"/>
      <c r="U17" s="88"/>
      <c r="V17" s="89"/>
      <c r="W17" s="59"/>
      <c r="X17" s="90"/>
      <c r="Y17" s="91"/>
    </row>
    <row r="18" spans="1:25" s="81" customFormat="1" ht="11.5" x14ac:dyDescent="0.25">
      <c r="A18" s="54"/>
      <c r="B18" s="225"/>
      <c r="C18" s="225"/>
      <c r="D18" s="225"/>
      <c r="E18" s="238"/>
      <c r="F18" s="84"/>
      <c r="G18" s="84"/>
      <c r="H18" s="84"/>
      <c r="I18" s="85"/>
      <c r="J18" s="59"/>
      <c r="K18" s="59"/>
      <c r="L18" s="60"/>
      <c r="M18" s="86"/>
      <c r="N18" s="76" t="s">
        <v>48</v>
      </c>
      <c r="O18" s="233">
        <f t="shared" ref="O18" si="9">SUM(O19:O22)</f>
        <v>1078.72517984</v>
      </c>
      <c r="P18" s="233">
        <f>SUM(P19:P22)</f>
        <v>1134.8043451599999</v>
      </c>
      <c r="Q18" s="233">
        <f>SUM(Q19:Q22)</f>
        <v>1091.62434966</v>
      </c>
      <c r="R18" s="233">
        <f>SUM(R19:R22)</f>
        <v>1215.7234416700001</v>
      </c>
      <c r="S18" s="71">
        <f>O18/$O$66</f>
        <v>7.2766695538568599E-2</v>
      </c>
      <c r="T18" s="71">
        <f>P18/$P$66</f>
        <v>7.1482150231381381E-2</v>
      </c>
      <c r="U18" s="77">
        <f>Q18/$Q$66</f>
        <v>6.5706370398375513E-2</v>
      </c>
      <c r="V18" s="78">
        <f>R18/$R$66</f>
        <v>6.8814316621829519E-2</v>
      </c>
      <c r="W18" s="73">
        <f t="shared" ref="W18:Y22" si="10">P18/O18-1</f>
        <v>5.1986517389273956E-2</v>
      </c>
      <c r="X18" s="79">
        <f t="shared" si="10"/>
        <v>-3.8050608181194323E-2</v>
      </c>
      <c r="Y18" s="80">
        <f t="shared" si="10"/>
        <v>0.1136829643353523</v>
      </c>
    </row>
    <row r="19" spans="1:25" s="96" customFormat="1" ht="11.5" x14ac:dyDescent="0.25">
      <c r="A19" s="70" t="s">
        <v>49</v>
      </c>
      <c r="B19" s="233">
        <f t="shared" ref="B19" si="11">SUM(B20:B23)</f>
        <v>35.39294658</v>
      </c>
      <c r="C19" s="233">
        <f>SUM(C20:C24)</f>
        <v>43.513574119999994</v>
      </c>
      <c r="D19" s="233">
        <f>SUM(D20:D24)</f>
        <v>36.326193309999987</v>
      </c>
      <c r="E19" s="233">
        <f>SUM(E20:E24)</f>
        <v>39.285150819999998</v>
      </c>
      <c r="F19" s="71">
        <f>B19/$B$51</f>
        <v>2.3971114634507807E-3</v>
      </c>
      <c r="G19" s="71">
        <f>C19/$C$51</f>
        <v>2.7514554118898606E-3</v>
      </c>
      <c r="H19" s="71">
        <f>D19/$D$51</f>
        <v>2.1913254525176016E-3</v>
      </c>
      <c r="I19" s="72">
        <f>E19/$E$51</f>
        <v>2.2243883995626003E-3</v>
      </c>
      <c r="J19" s="73">
        <f t="shared" ref="J19:L23" si="12">C19/B19-1</f>
        <v>0.22944197431102942</v>
      </c>
      <c r="K19" s="73">
        <f t="shared" si="12"/>
        <v>-0.16517560221964156</v>
      </c>
      <c r="L19" s="74">
        <f>E19/D19-1</f>
        <v>8.1455204643902546E-2</v>
      </c>
      <c r="M19" s="94"/>
      <c r="N19" s="87" t="s">
        <v>38</v>
      </c>
      <c r="O19" s="222">
        <v>1078.72517984</v>
      </c>
      <c r="P19" s="222">
        <v>1134.8043451599999</v>
      </c>
      <c r="Q19" s="222">
        <v>1091.62434966</v>
      </c>
      <c r="R19" s="222">
        <v>1215.7234416700001</v>
      </c>
      <c r="S19" s="84">
        <f>O19/$O$18</f>
        <v>1</v>
      </c>
      <c r="T19" s="84">
        <f>P19/$P$18</f>
        <v>1</v>
      </c>
      <c r="U19" s="88">
        <f>Q19/$Q$18</f>
        <v>1</v>
      </c>
      <c r="V19" s="89">
        <f>R19/$R$18</f>
        <v>1</v>
      </c>
      <c r="W19" s="59">
        <f>P19/O19-1</f>
        <v>5.1986517389273956E-2</v>
      </c>
      <c r="X19" s="90">
        <f t="shared" si="10"/>
        <v>-3.8050608181194323E-2</v>
      </c>
      <c r="Y19" s="91">
        <f t="shared" si="10"/>
        <v>0.1136829643353523</v>
      </c>
    </row>
    <row r="20" spans="1:25" s="96" customFormat="1" ht="11.5" x14ac:dyDescent="0.25">
      <c r="A20" s="54" t="s">
        <v>39</v>
      </c>
      <c r="B20" s="224">
        <v>11.770554090000001</v>
      </c>
      <c r="C20" s="224">
        <v>14.642937279999998</v>
      </c>
      <c r="D20" s="224">
        <v>10.67649915</v>
      </c>
      <c r="E20" s="222">
        <v>16.552780240000001</v>
      </c>
      <c r="F20" s="84">
        <f>B20/$B$19</f>
        <v>0.33256779181678409</v>
      </c>
      <c r="G20" s="84">
        <f>C20/$C$19</f>
        <v>0.33651423897329813</v>
      </c>
      <c r="H20" s="84">
        <f>D20/$D$19</f>
        <v>0.29390635729125353</v>
      </c>
      <c r="I20" s="85">
        <f>E20/$E$19</f>
        <v>0.42134954033504718</v>
      </c>
      <c r="J20" s="59">
        <f t="shared" si="12"/>
        <v>0.24403126378224704</v>
      </c>
      <c r="K20" s="59">
        <f t="shared" si="12"/>
        <v>-0.2708772191094162</v>
      </c>
      <c r="L20" s="60">
        <f t="shared" si="12"/>
        <v>0.5503940015768185</v>
      </c>
      <c r="M20" s="86"/>
      <c r="N20" s="87" t="s">
        <v>40</v>
      </c>
      <c r="O20" s="222">
        <v>0</v>
      </c>
      <c r="P20" s="222">
        <v>0</v>
      </c>
      <c r="Q20" s="222">
        <v>0</v>
      </c>
      <c r="R20" s="222">
        <v>0</v>
      </c>
      <c r="S20" s="84">
        <f>O20/$O$18</f>
        <v>0</v>
      </c>
      <c r="T20" s="84">
        <f>P20/$P$18</f>
        <v>0</v>
      </c>
      <c r="U20" s="88">
        <f>Q20/$Q$18</f>
        <v>0</v>
      </c>
      <c r="V20" s="89">
        <f>R20/$R$18</f>
        <v>0</v>
      </c>
      <c r="W20" s="59" t="e">
        <f t="shared" si="10"/>
        <v>#DIV/0!</v>
      </c>
      <c r="X20" s="90" t="e">
        <f t="shared" si="10"/>
        <v>#DIV/0!</v>
      </c>
      <c r="Y20" s="91" t="e">
        <f t="shared" si="10"/>
        <v>#DIV/0!</v>
      </c>
    </row>
    <row r="21" spans="1:25" s="98" customFormat="1" ht="12.75" customHeight="1" x14ac:dyDescent="0.25">
      <c r="A21" s="54" t="s">
        <v>41</v>
      </c>
      <c r="B21" s="224">
        <v>4.1528955300000003</v>
      </c>
      <c r="C21" s="224">
        <v>6.1640813000000003</v>
      </c>
      <c r="D21" s="224">
        <v>4.3827734000000005</v>
      </c>
      <c r="E21" s="222">
        <v>3.4034632499999997</v>
      </c>
      <c r="F21" s="84">
        <f>B21/$B$19</f>
        <v>0.11733681231126251</v>
      </c>
      <c r="G21" s="84">
        <f>C21/$C$19</f>
        <v>0.14165881393702442</v>
      </c>
      <c r="H21" s="84">
        <f>D21/$D$19</f>
        <v>0.12065050038682411</v>
      </c>
      <c r="I21" s="85">
        <f>E21/$E$19</f>
        <v>8.6634852583213268E-2</v>
      </c>
      <c r="J21" s="59">
        <f t="shared" si="12"/>
        <v>0.48428518258440278</v>
      </c>
      <c r="K21" s="59">
        <f t="shared" si="12"/>
        <v>-0.28898189580984268</v>
      </c>
      <c r="L21" s="60">
        <f t="shared" si="12"/>
        <v>-0.22344530748498215</v>
      </c>
      <c r="M21" s="97"/>
      <c r="N21" s="87" t="s">
        <v>42</v>
      </c>
      <c r="O21" s="222">
        <v>0</v>
      </c>
      <c r="P21" s="222">
        <v>0</v>
      </c>
      <c r="Q21" s="222">
        <v>0</v>
      </c>
      <c r="R21" s="222">
        <v>0</v>
      </c>
      <c r="S21" s="84">
        <f>O21/$O$18</f>
        <v>0</v>
      </c>
      <c r="T21" s="84">
        <f>P21/$P$18</f>
        <v>0</v>
      </c>
      <c r="U21" s="88">
        <f>Q21/$Q$18</f>
        <v>0</v>
      </c>
      <c r="V21" s="89">
        <f>R21/$R$18</f>
        <v>0</v>
      </c>
      <c r="W21" s="59" t="e">
        <f t="shared" si="10"/>
        <v>#DIV/0!</v>
      </c>
      <c r="X21" s="90" t="e">
        <f t="shared" si="10"/>
        <v>#DIV/0!</v>
      </c>
      <c r="Y21" s="91" t="e">
        <f t="shared" si="10"/>
        <v>#DIV/0!</v>
      </c>
    </row>
    <row r="22" spans="1:25" s="81" customFormat="1" ht="11.5" x14ac:dyDescent="0.25">
      <c r="A22" s="54" t="s">
        <v>43</v>
      </c>
      <c r="B22" s="224">
        <v>6.51325033</v>
      </c>
      <c r="C22" s="224">
        <v>7.5952208299999997</v>
      </c>
      <c r="D22" s="224">
        <v>7.0850898199999985</v>
      </c>
      <c r="E22" s="222">
        <v>6.4922829000000002</v>
      </c>
      <c r="F22" s="84">
        <f>B22/$B$19</f>
        <v>0.18402678949823681</v>
      </c>
      <c r="G22" s="84">
        <f>C22/$C$19</f>
        <v>0.17454831012166924</v>
      </c>
      <c r="H22" s="84">
        <f>D22/$D$19</f>
        <v>0.19504080043668084</v>
      </c>
      <c r="I22" s="85">
        <f>E22/$E$19</f>
        <v>0.16526048047382808</v>
      </c>
      <c r="J22" s="59">
        <f t="shared" si="12"/>
        <v>0.16611836566705396</v>
      </c>
      <c r="K22" s="59">
        <f t="shared" si="12"/>
        <v>-6.7164737065321223E-2</v>
      </c>
      <c r="L22" s="60">
        <f t="shared" si="12"/>
        <v>-8.3669640761166564E-2</v>
      </c>
      <c r="M22" s="86"/>
      <c r="N22" s="87" t="s">
        <v>44</v>
      </c>
      <c r="O22" s="222">
        <v>0</v>
      </c>
      <c r="P22" s="222">
        <v>0</v>
      </c>
      <c r="Q22" s="222">
        <v>0</v>
      </c>
      <c r="R22" s="222">
        <v>0</v>
      </c>
      <c r="S22" s="84">
        <f>O22/$O$18</f>
        <v>0</v>
      </c>
      <c r="T22" s="84">
        <f>P22/$P$18</f>
        <v>0</v>
      </c>
      <c r="U22" s="88">
        <f>Q22/$Q$18</f>
        <v>0</v>
      </c>
      <c r="V22" s="89">
        <f>R22/$R$18</f>
        <v>0</v>
      </c>
      <c r="W22" s="59" t="e">
        <f t="shared" si="10"/>
        <v>#DIV/0!</v>
      </c>
      <c r="X22" s="90" t="e">
        <f t="shared" si="10"/>
        <v>#DIV/0!</v>
      </c>
      <c r="Y22" s="91" t="e">
        <f t="shared" si="10"/>
        <v>#DIV/0!</v>
      </c>
    </row>
    <row r="23" spans="1:25" s="96" customFormat="1" ht="11.5" x14ac:dyDescent="0.25">
      <c r="A23" s="54" t="s">
        <v>45</v>
      </c>
      <c r="B23" s="224">
        <v>12.956246630000001</v>
      </c>
      <c r="C23" s="224">
        <v>14.96616875</v>
      </c>
      <c r="D23" s="224">
        <v>13.820899639999997</v>
      </c>
      <c r="E23" s="222">
        <v>12.516105540000002</v>
      </c>
      <c r="F23" s="84">
        <f>B23/$B$19</f>
        <v>0.36606860637371663</v>
      </c>
      <c r="G23" s="84">
        <f>C23/$C$19</f>
        <v>0.34394252949038151</v>
      </c>
      <c r="H23" s="84">
        <f>D23/$D$19</f>
        <v>0.38046650035844348</v>
      </c>
      <c r="I23" s="85">
        <f>E23/$E$19</f>
        <v>0.3185963469339177</v>
      </c>
      <c r="J23" s="59">
        <f t="shared" si="12"/>
        <v>0.15513151126237856</v>
      </c>
      <c r="K23" s="59">
        <f t="shared" si="12"/>
        <v>-7.6523867205493201E-2</v>
      </c>
      <c r="L23" s="60">
        <f t="shared" si="12"/>
        <v>-9.4407320361671876E-2</v>
      </c>
      <c r="M23" s="94"/>
      <c r="N23" s="87"/>
      <c r="O23" s="222"/>
      <c r="P23" s="222"/>
      <c r="Q23" s="222"/>
      <c r="R23" s="238"/>
      <c r="S23" s="84"/>
      <c r="T23" s="84"/>
      <c r="U23" s="88"/>
      <c r="V23" s="89"/>
      <c r="W23" s="59"/>
      <c r="X23" s="90"/>
      <c r="Y23" s="91"/>
    </row>
    <row r="24" spans="1:25" s="96" customFormat="1" ht="11.5" x14ac:dyDescent="0.25">
      <c r="A24" s="236" t="s">
        <v>135</v>
      </c>
      <c r="B24" s="225"/>
      <c r="C24" s="224">
        <v>0.14516596000000001</v>
      </c>
      <c r="D24" s="224">
        <v>0.36093129999999995</v>
      </c>
      <c r="E24" s="222">
        <v>0.32051889</v>
      </c>
      <c r="F24" s="84"/>
      <c r="G24" s="84"/>
      <c r="H24" s="84"/>
      <c r="I24" s="85"/>
      <c r="J24" s="59"/>
      <c r="K24" s="59"/>
      <c r="L24" s="60"/>
      <c r="M24" s="86"/>
      <c r="N24" s="76" t="s">
        <v>50</v>
      </c>
      <c r="O24" s="233">
        <f t="shared" ref="O24" si="13">SUM(O25:O28)</f>
        <v>11.665937100000001</v>
      </c>
      <c r="P24" s="233">
        <f>SUM(P25:P28)</f>
        <v>18.156489730000001</v>
      </c>
      <c r="Q24" s="233">
        <f>SUM(Q25:Q28)</f>
        <v>15.96992283</v>
      </c>
      <c r="R24" s="233">
        <f>SUM(R25:R28)</f>
        <v>13.610129110000001</v>
      </c>
      <c r="S24" s="71">
        <f>O24/$O$66</f>
        <v>7.8693972199082461E-4</v>
      </c>
      <c r="T24" s="71">
        <f>P24/$P$66</f>
        <v>1.143690480292797E-3</v>
      </c>
      <c r="U24" s="77">
        <f>Q24/$Q$66</f>
        <v>9.6125161098529804E-4</v>
      </c>
      <c r="V24" s="78">
        <f>R24/$R$66</f>
        <v>7.7038222817599081E-4</v>
      </c>
      <c r="W24" s="73">
        <f t="shared" ref="W24:Y28" si="14">P24/O24-1</f>
        <v>0.55636787463906345</v>
      </c>
      <c r="X24" s="79">
        <f t="shared" si="14"/>
        <v>-0.12042894482996525</v>
      </c>
      <c r="Y24" s="80">
        <f t="shared" si="14"/>
        <v>-0.14776487933724092</v>
      </c>
    </row>
    <row r="25" spans="1:25" s="96" customFormat="1" ht="11.5" x14ac:dyDescent="0.25">
      <c r="A25" s="70" t="s">
        <v>51</v>
      </c>
      <c r="B25" s="233">
        <f>B19+B13</f>
        <v>467.22755412999999</v>
      </c>
      <c r="C25" s="233">
        <f>C19+C13</f>
        <v>378.06720429000001</v>
      </c>
      <c r="D25" s="233">
        <f>D19+D13</f>
        <v>369.03048486</v>
      </c>
      <c r="E25" s="233">
        <f>E19+E13</f>
        <v>326.09887269000006</v>
      </c>
      <c r="F25" s="71">
        <f>B25/$B$51</f>
        <v>3.1644625109512235E-2</v>
      </c>
      <c r="G25" s="71">
        <f>C25/$C$51</f>
        <v>2.3905989713303519E-2</v>
      </c>
      <c r="H25" s="71">
        <f>D25/$D$51</f>
        <v>2.2261234127331955E-2</v>
      </c>
      <c r="I25" s="72">
        <f>E25/$E$51</f>
        <v>1.8464242452463555E-2</v>
      </c>
      <c r="J25" s="73">
        <f>C25/B25-1</f>
        <v>-0.19082853537185063</v>
      </c>
      <c r="K25" s="73">
        <f>D25/C25-1</f>
        <v>-2.3902415569133306E-2</v>
      </c>
      <c r="L25" s="74">
        <f>E25/D25-1</f>
        <v>-0.11633622134574328</v>
      </c>
      <c r="M25" s="86"/>
      <c r="N25" s="87" t="s">
        <v>38</v>
      </c>
      <c r="O25" s="222">
        <v>0</v>
      </c>
      <c r="P25" s="222">
        <v>0</v>
      </c>
      <c r="Q25" s="222">
        <v>0</v>
      </c>
      <c r="R25" s="222">
        <v>0</v>
      </c>
      <c r="S25" s="84">
        <f>O25/$O$24</f>
        <v>0</v>
      </c>
      <c r="T25" s="84">
        <f>P25/$P$24</f>
        <v>0</v>
      </c>
      <c r="U25" s="88">
        <f>Q25/$Q$24</f>
        <v>0</v>
      </c>
      <c r="V25" s="89">
        <f>R25/$R$24</f>
        <v>0</v>
      </c>
      <c r="W25" s="59" t="e">
        <f t="shared" si="14"/>
        <v>#DIV/0!</v>
      </c>
      <c r="X25" s="90" t="e">
        <f t="shared" si="14"/>
        <v>#DIV/0!</v>
      </c>
      <c r="Y25" s="91" t="e">
        <f t="shared" si="14"/>
        <v>#DIV/0!</v>
      </c>
    </row>
    <row r="26" spans="1:25" s="98" customFormat="1" ht="12.75" customHeight="1" x14ac:dyDescent="0.25">
      <c r="A26" s="54"/>
      <c r="B26" s="225"/>
      <c r="C26" s="225"/>
      <c r="D26" s="225"/>
      <c r="E26" s="238"/>
      <c r="F26" s="84"/>
      <c r="G26" s="84"/>
      <c r="H26" s="84"/>
      <c r="I26" s="85"/>
      <c r="J26" s="59"/>
      <c r="K26" s="59"/>
      <c r="L26" s="60"/>
      <c r="M26" s="86"/>
      <c r="N26" s="87" t="s">
        <v>40</v>
      </c>
      <c r="O26" s="222">
        <v>0</v>
      </c>
      <c r="P26" s="222">
        <v>0</v>
      </c>
      <c r="Q26" s="222">
        <v>0</v>
      </c>
      <c r="R26" s="222">
        <v>0</v>
      </c>
      <c r="S26" s="84">
        <f>O26/$O$24</f>
        <v>0</v>
      </c>
      <c r="T26" s="84">
        <f>P26/$P$24</f>
        <v>0</v>
      </c>
      <c r="U26" s="88">
        <f>Q26/$Q$24</f>
        <v>0</v>
      </c>
      <c r="V26" s="89">
        <f>R26/$R$24</f>
        <v>0</v>
      </c>
      <c r="W26" s="59" t="e">
        <f t="shared" si="14"/>
        <v>#DIV/0!</v>
      </c>
      <c r="X26" s="90" t="e">
        <f t="shared" si="14"/>
        <v>#DIV/0!</v>
      </c>
      <c r="Y26" s="91" t="e">
        <f t="shared" si="14"/>
        <v>#DIV/0!</v>
      </c>
    </row>
    <row r="27" spans="1:25" s="81" customFormat="1" ht="11.5" x14ac:dyDescent="0.25">
      <c r="A27" s="70" t="s">
        <v>52</v>
      </c>
      <c r="B27" s="233">
        <f t="shared" ref="B27" si="15">SUM(B28:B31)</f>
        <v>3.1788032599999996</v>
      </c>
      <c r="C27" s="233">
        <f>SUM(C28:C31)</f>
        <v>4.1798458799999993</v>
      </c>
      <c r="D27" s="233">
        <f>SUM(D28:D31)</f>
        <v>2.0375082</v>
      </c>
      <c r="E27" s="233">
        <f>SUM(E28:E31)</f>
        <v>2.2097206300000001</v>
      </c>
      <c r="F27" s="71">
        <f>B27/$B$51</f>
        <v>2.1529560183346317E-4</v>
      </c>
      <c r="G27" s="71">
        <f>C27/$C$51</f>
        <v>2.6430050392264897E-4</v>
      </c>
      <c r="H27" s="71">
        <f>D27/$D$51</f>
        <v>1.2290975661202101E-4</v>
      </c>
      <c r="I27" s="72">
        <f>E27/$E$51</f>
        <v>1.2511793471704842E-4</v>
      </c>
      <c r="J27" s="73">
        <f t="shared" ref="J27:L31" si="16">C27/B27-1</f>
        <v>0.31491178853264423</v>
      </c>
      <c r="K27" s="73">
        <f t="shared" si="16"/>
        <v>-0.51253987383860178</v>
      </c>
      <c r="L27" s="74">
        <f t="shared" si="16"/>
        <v>8.4521097878280882E-2</v>
      </c>
      <c r="M27" s="86"/>
      <c r="N27" s="87" t="s">
        <v>42</v>
      </c>
      <c r="O27" s="222">
        <v>11.665937100000001</v>
      </c>
      <c r="P27" s="222">
        <v>18.156489730000001</v>
      </c>
      <c r="Q27" s="222">
        <v>15.96992283</v>
      </c>
      <c r="R27" s="222">
        <v>13.610129110000001</v>
      </c>
      <c r="S27" s="84">
        <f>O27/$O$24</f>
        <v>1</v>
      </c>
      <c r="T27" s="84">
        <f>P27/$P$24</f>
        <v>1</v>
      </c>
      <c r="U27" s="88">
        <f>Q27/$Q$24</f>
        <v>1</v>
      </c>
      <c r="V27" s="89">
        <f>R27/$R$24</f>
        <v>1</v>
      </c>
      <c r="W27" s="59">
        <f t="shared" si="14"/>
        <v>0.55636787463906345</v>
      </c>
      <c r="X27" s="90">
        <f t="shared" si="14"/>
        <v>-0.12042894482996525</v>
      </c>
      <c r="Y27" s="91">
        <f t="shared" si="14"/>
        <v>-0.14776487933724092</v>
      </c>
    </row>
    <row r="28" spans="1:25" s="81" customFormat="1" ht="12.75" customHeight="1" x14ac:dyDescent="0.25">
      <c r="A28" s="54" t="s">
        <v>39</v>
      </c>
      <c r="B28" s="224">
        <v>0.44203855999999997</v>
      </c>
      <c r="C28" s="224">
        <v>2.0393311499999998</v>
      </c>
      <c r="D28" s="224">
        <v>0.98681452000000003</v>
      </c>
      <c r="E28" s="222">
        <v>1.0536624400000001</v>
      </c>
      <c r="F28" s="84">
        <f>B28/$B$27</f>
        <v>0.13905816870214233</v>
      </c>
      <c r="G28" s="84">
        <f>C28/$C$27</f>
        <v>0.48789625468200282</v>
      </c>
      <c r="H28" s="84">
        <f>D28/$D$27</f>
        <v>0.48432419560323736</v>
      </c>
      <c r="I28" s="85">
        <f>E28/$E$27</f>
        <v>0.47683061184073755</v>
      </c>
      <c r="J28" s="59">
        <f t="shared" si="16"/>
        <v>3.6134689018985124</v>
      </c>
      <c r="K28" s="59">
        <f t="shared" si="16"/>
        <v>-0.5161087398679709</v>
      </c>
      <c r="L28" s="60">
        <f t="shared" si="16"/>
        <v>6.7741119172020303E-2</v>
      </c>
      <c r="M28" s="86"/>
      <c r="N28" s="87" t="s">
        <v>44</v>
      </c>
      <c r="O28" s="222">
        <v>0</v>
      </c>
      <c r="P28" s="222">
        <v>0</v>
      </c>
      <c r="Q28" s="222">
        <v>0</v>
      </c>
      <c r="R28" s="222">
        <v>0</v>
      </c>
      <c r="S28" s="84">
        <f>O28/$O$24</f>
        <v>0</v>
      </c>
      <c r="T28" s="84">
        <f>P28/$P$24</f>
        <v>0</v>
      </c>
      <c r="U28" s="88">
        <f>Q28/$Q$24</f>
        <v>0</v>
      </c>
      <c r="V28" s="89">
        <f>R28/$R$24</f>
        <v>0</v>
      </c>
      <c r="W28" s="59" t="e">
        <f t="shared" si="14"/>
        <v>#DIV/0!</v>
      </c>
      <c r="X28" s="90" t="e">
        <f t="shared" si="14"/>
        <v>#DIV/0!</v>
      </c>
      <c r="Y28" s="91" t="e">
        <f t="shared" si="14"/>
        <v>#DIV/0!</v>
      </c>
    </row>
    <row r="29" spans="1:25" s="81" customFormat="1" ht="12.75" customHeight="1" x14ac:dyDescent="0.25">
      <c r="A29" s="54" t="s">
        <v>41</v>
      </c>
      <c r="B29" s="224">
        <v>2.3008533399999997</v>
      </c>
      <c r="C29" s="224">
        <v>0.17364387000000001</v>
      </c>
      <c r="D29" s="224">
        <v>9.6461110000000003E-2</v>
      </c>
      <c r="E29" s="222">
        <v>0.10973466</v>
      </c>
      <c r="F29" s="84">
        <f>B29/$B$27</f>
        <v>0.72381118043776016</v>
      </c>
      <c r="G29" s="84">
        <f>C29/$C$27</f>
        <v>4.1543127422679044E-2</v>
      </c>
      <c r="H29" s="84">
        <f>D29/$D$27</f>
        <v>4.7342685541093776E-2</v>
      </c>
      <c r="I29" s="85">
        <f>E29/$E$27</f>
        <v>4.9659969912124138E-2</v>
      </c>
      <c r="J29" s="59">
        <f t="shared" si="16"/>
        <v>-0.92453066565294417</v>
      </c>
      <c r="K29" s="59">
        <f t="shared" si="16"/>
        <v>-0.44448882646994681</v>
      </c>
      <c r="L29" s="60">
        <f t="shared" si="16"/>
        <v>0.13760519653982817</v>
      </c>
      <c r="M29" s="94"/>
      <c r="N29" s="87"/>
      <c r="O29" s="222"/>
      <c r="P29" s="222"/>
      <c r="Q29" s="222"/>
      <c r="R29" s="238"/>
      <c r="S29" s="84"/>
      <c r="T29" s="84"/>
      <c r="U29" s="88"/>
      <c r="V29" s="89"/>
      <c r="W29" s="59"/>
      <c r="X29" s="90"/>
      <c r="Y29" s="91"/>
    </row>
    <row r="30" spans="1:25" s="96" customFormat="1" ht="12.75" customHeight="1" x14ac:dyDescent="0.25">
      <c r="A30" s="54" t="s">
        <v>43</v>
      </c>
      <c r="B30" s="224">
        <v>0.26726557000000001</v>
      </c>
      <c r="C30" s="224">
        <v>1.2344350799999999</v>
      </c>
      <c r="D30" s="224">
        <v>0.56808773000000001</v>
      </c>
      <c r="E30" s="222">
        <v>0.62311117000000005</v>
      </c>
      <c r="F30" s="84">
        <f>B30/$B$27</f>
        <v>8.4077417864482765E-2</v>
      </c>
      <c r="G30" s="84">
        <f>C30/$C$27</f>
        <v>0.29533028619705953</v>
      </c>
      <c r="H30" s="84">
        <f>D30/$D$27</f>
        <v>0.27881494170182974</v>
      </c>
      <c r="I30" s="85">
        <f>E30/$E$27</f>
        <v>0.2819864020548154</v>
      </c>
      <c r="J30" s="59">
        <f t="shared" si="16"/>
        <v>3.6187583383823059</v>
      </c>
      <c r="K30" s="59">
        <f t="shared" si="16"/>
        <v>-0.5397994279294136</v>
      </c>
      <c r="L30" s="60">
        <f t="shared" si="16"/>
        <v>9.6857293502889075E-2</v>
      </c>
      <c r="M30" s="86"/>
      <c r="N30" s="76" t="s">
        <v>121</v>
      </c>
      <c r="O30" s="233">
        <f t="shared" ref="O30" si="17">SUM(O31:O34)</f>
        <v>2789.0717050599997</v>
      </c>
      <c r="P30" s="233">
        <f>SUM(P31:P34)</f>
        <v>2758.1404024199996</v>
      </c>
      <c r="Q30" s="233">
        <f>SUM(Q31:Q34)</f>
        <v>3174.8735542599998</v>
      </c>
      <c r="R30" s="233">
        <f>SUM(R31:R34)</f>
        <v>3906.5926283099998</v>
      </c>
      <c r="S30" s="71">
        <f>O30/$O$66</f>
        <v>0.18814016339865156</v>
      </c>
      <c r="T30" s="71">
        <f>P30/$P$66</f>
        <v>0.17373726796686803</v>
      </c>
      <c r="U30" s="77">
        <f>Q30/$Q$66</f>
        <v>0.19110000412613415</v>
      </c>
      <c r="V30" s="78">
        <f>R30/$R$66</f>
        <v>0.22112718470555037</v>
      </c>
      <c r="W30" s="73">
        <f t="shared" ref="W30:W34" si="18">P30/O30-1</f>
        <v>-1.1090178349980606E-2</v>
      </c>
      <c r="X30" s="79">
        <f t="shared" ref="X30:X34" si="19">Q30/P30-1</f>
        <v>0.15109207329487551</v>
      </c>
      <c r="Y30" s="80">
        <f t="shared" ref="Y30:Y34" si="20">R30/Q30-1</f>
        <v>0.23047187912986011</v>
      </c>
    </row>
    <row r="31" spans="1:25" s="96" customFormat="1" ht="12.75" customHeight="1" x14ac:dyDescent="0.25">
      <c r="A31" s="54" t="s">
        <v>45</v>
      </c>
      <c r="B31" s="224">
        <v>0.16864579000000002</v>
      </c>
      <c r="C31" s="224">
        <v>0.73243577999999998</v>
      </c>
      <c r="D31" s="224">
        <v>0.38614483999999999</v>
      </c>
      <c r="E31" s="222">
        <v>0.42321235999999995</v>
      </c>
      <c r="F31" s="84">
        <f>B31/$B$27</f>
        <v>5.3053232995614846E-2</v>
      </c>
      <c r="G31" s="84">
        <f>C31/$C$27</f>
        <v>0.17523033169825872</v>
      </c>
      <c r="H31" s="84">
        <f>D31/$D$27</f>
        <v>0.18951817715383917</v>
      </c>
      <c r="I31" s="85">
        <f>E31/$E$27</f>
        <v>0.1915230161923229</v>
      </c>
      <c r="J31" s="59">
        <f t="shared" si="16"/>
        <v>3.343042183264699</v>
      </c>
      <c r="K31" s="59">
        <f t="shared" si="16"/>
        <v>-0.47279358744598743</v>
      </c>
      <c r="L31" s="60">
        <f t="shared" si="16"/>
        <v>9.5993824493420643E-2</v>
      </c>
      <c r="M31" s="94"/>
      <c r="N31" s="87" t="s">
        <v>53</v>
      </c>
      <c r="O31" s="222">
        <v>2740.6044712799999</v>
      </c>
      <c r="P31" s="222">
        <v>2589.8622132199998</v>
      </c>
      <c r="Q31" s="222">
        <v>2677.45939438</v>
      </c>
      <c r="R31" s="222">
        <v>3235.1708201299998</v>
      </c>
      <c r="S31" s="282">
        <f>O31/$O$36</f>
        <v>0.80038923910845505</v>
      </c>
      <c r="T31" s="84">
        <f>P31/$P$36</f>
        <v>0.62156820474914476</v>
      </c>
      <c r="U31" s="88">
        <f>Q31/$Q$36</f>
        <v>0.63832962286467776</v>
      </c>
      <c r="V31" s="89">
        <f>R31/$R$36</f>
        <v>0.77578424269098778</v>
      </c>
      <c r="W31" s="59">
        <f t="shared" si="18"/>
        <v>-5.5003288376595183E-2</v>
      </c>
      <c r="X31" s="90">
        <f t="shared" si="19"/>
        <v>3.3823104840426943E-2</v>
      </c>
      <c r="Y31" s="91">
        <f t="shared" si="20"/>
        <v>0.20829874280096972</v>
      </c>
    </row>
    <row r="32" spans="1:25" s="96" customFormat="1" ht="12.75" customHeight="1" x14ac:dyDescent="0.25">
      <c r="A32" s="82"/>
      <c r="B32" s="226"/>
      <c r="C32" s="226"/>
      <c r="D32" s="226"/>
      <c r="E32" s="276"/>
      <c r="F32" s="99"/>
      <c r="G32" s="99"/>
      <c r="H32" s="99"/>
      <c r="I32" s="100"/>
      <c r="J32" s="101"/>
      <c r="K32" s="101"/>
      <c r="L32" s="102"/>
      <c r="M32" s="86"/>
      <c r="N32" s="87" t="s">
        <v>40</v>
      </c>
      <c r="O32" s="222">
        <v>48.467233780000001</v>
      </c>
      <c r="P32" s="222">
        <v>22.085180659999999</v>
      </c>
      <c r="Q32" s="222">
        <v>76.694160310000001</v>
      </c>
      <c r="R32" s="222">
        <v>40.8166674</v>
      </c>
      <c r="S32" s="282">
        <f>O32/$O$36</f>
        <v>1.4154779638357554E-2</v>
      </c>
      <c r="T32" s="84">
        <f>P32/$P$36</f>
        <v>5.3004542188865213E-3</v>
      </c>
      <c r="U32" s="88">
        <f>Q32/$Q$36</f>
        <v>1.8284555324859321E-2</v>
      </c>
      <c r="V32" s="89">
        <f>R32/$R$36</f>
        <v>9.7877142100356012E-3</v>
      </c>
      <c r="W32" s="59">
        <f t="shared" si="18"/>
        <v>-0.54432760160714089</v>
      </c>
      <c r="X32" s="90">
        <f t="shared" si="19"/>
        <v>2.4726526122064336</v>
      </c>
      <c r="Y32" s="91">
        <f t="shared" si="20"/>
        <v>-0.46779953995170087</v>
      </c>
    </row>
    <row r="33" spans="1:25" s="98" customFormat="1" ht="12.75" customHeight="1" x14ac:dyDescent="0.25">
      <c r="A33" s="70" t="s">
        <v>54</v>
      </c>
      <c r="B33" s="233">
        <f t="shared" ref="B33" si="21">SUM(B34:B37)</f>
        <v>0</v>
      </c>
      <c r="C33" s="233">
        <f>SUM(C34:C37)</f>
        <v>0</v>
      </c>
      <c r="D33" s="233">
        <f>SUM(D34:D37)</f>
        <v>0</v>
      </c>
      <c r="E33" s="233">
        <f>SUM(E34:E37)</f>
        <v>0</v>
      </c>
      <c r="F33" s="71">
        <f>B33/$B$51</f>
        <v>0</v>
      </c>
      <c r="G33" s="71">
        <f>C33/$C$51</f>
        <v>0</v>
      </c>
      <c r="H33" s="71">
        <f>D33/$D$51</f>
        <v>0</v>
      </c>
      <c r="I33" s="72">
        <f>E33/$E$51</f>
        <v>0</v>
      </c>
      <c r="J33" s="73" t="e">
        <f t="shared" ref="J33:L37" si="22">C33/B33-1</f>
        <v>#DIV/0!</v>
      </c>
      <c r="K33" s="73" t="e">
        <f t="shared" si="22"/>
        <v>#DIV/0!</v>
      </c>
      <c r="L33" s="74" t="e">
        <f t="shared" si="22"/>
        <v>#DIV/0!</v>
      </c>
      <c r="M33" s="75"/>
      <c r="N33" s="87" t="s">
        <v>42</v>
      </c>
      <c r="O33" s="222"/>
      <c r="P33" s="222"/>
      <c r="Q33" s="222"/>
      <c r="R33" s="222"/>
      <c r="S33" s="282">
        <f>O33/$O$36</f>
        <v>0</v>
      </c>
      <c r="T33" s="84">
        <f>P33/$P$36</f>
        <v>0</v>
      </c>
      <c r="U33" s="88">
        <f>Q33/$Q$36</f>
        <v>0</v>
      </c>
      <c r="V33" s="89">
        <f>R33/$R$36</f>
        <v>0</v>
      </c>
      <c r="W33" s="59" t="e">
        <f t="shared" si="18"/>
        <v>#DIV/0!</v>
      </c>
      <c r="X33" s="90" t="e">
        <f t="shared" si="19"/>
        <v>#DIV/0!</v>
      </c>
      <c r="Y33" s="91" t="e">
        <f t="shared" si="20"/>
        <v>#DIV/0!</v>
      </c>
    </row>
    <row r="34" spans="1:25" s="96" customFormat="1" ht="12.75" customHeight="1" x14ac:dyDescent="0.25">
      <c r="A34" s="54" t="s">
        <v>39</v>
      </c>
      <c r="B34" s="224">
        <v>0</v>
      </c>
      <c r="C34" s="224">
        <v>0</v>
      </c>
      <c r="D34" s="224">
        <v>0</v>
      </c>
      <c r="E34" s="222">
        <v>0</v>
      </c>
      <c r="F34" s="84" t="e">
        <f>B34/$B$33</f>
        <v>#DIV/0!</v>
      </c>
      <c r="G34" s="84" t="e">
        <f>C34/$C$33</f>
        <v>#DIV/0!</v>
      </c>
      <c r="H34" s="84" t="e">
        <f>D34/$D$33</f>
        <v>#DIV/0!</v>
      </c>
      <c r="I34" s="85" t="e">
        <f>E34/$E$33</f>
        <v>#DIV/0!</v>
      </c>
      <c r="J34" s="59" t="e">
        <f t="shared" si="22"/>
        <v>#DIV/0!</v>
      </c>
      <c r="K34" s="59" t="e">
        <f t="shared" si="22"/>
        <v>#DIV/0!</v>
      </c>
      <c r="L34" s="60" t="e">
        <f t="shared" si="22"/>
        <v>#DIV/0!</v>
      </c>
      <c r="M34" s="92"/>
      <c r="N34" s="87" t="s">
        <v>44</v>
      </c>
      <c r="O34" s="222">
        <v>0</v>
      </c>
      <c r="P34" s="222">
        <v>146.19300853999999</v>
      </c>
      <c r="Q34" s="222">
        <v>420.71999957000003</v>
      </c>
      <c r="R34" s="222">
        <v>630.60514078000006</v>
      </c>
      <c r="S34" s="282">
        <f>O34/$O$36</f>
        <v>0</v>
      </c>
      <c r="T34" s="84">
        <f>P34/$P$36</f>
        <v>3.508639394066683E-2</v>
      </c>
      <c r="U34" s="88">
        <f>Q34/$Q$36</f>
        <v>0.10030330963033468</v>
      </c>
      <c r="V34" s="89">
        <f>R34/$R$36</f>
        <v>0.15121721812432701</v>
      </c>
      <c r="W34" s="59" t="e">
        <f t="shared" si="18"/>
        <v>#DIV/0!</v>
      </c>
      <c r="X34" s="90">
        <f t="shared" si="19"/>
        <v>1.8778393971890006</v>
      </c>
      <c r="Y34" s="91">
        <f t="shared" si="20"/>
        <v>0.49887131922541039</v>
      </c>
    </row>
    <row r="35" spans="1:25" s="81" customFormat="1" ht="12.75" customHeight="1" x14ac:dyDescent="0.25">
      <c r="A35" s="54" t="s">
        <v>41</v>
      </c>
      <c r="B35" s="224">
        <v>0</v>
      </c>
      <c r="C35" s="224">
        <v>0</v>
      </c>
      <c r="D35" s="224">
        <v>0</v>
      </c>
      <c r="E35" s="222">
        <v>0</v>
      </c>
      <c r="F35" s="84" t="e">
        <f>B35/$B$33</f>
        <v>#DIV/0!</v>
      </c>
      <c r="G35" s="84" t="e">
        <f>C35/$C$33</f>
        <v>#DIV/0!</v>
      </c>
      <c r="H35" s="84" t="e">
        <f>D35/$D$33</f>
        <v>#DIV/0!</v>
      </c>
      <c r="I35" s="85" t="e">
        <f>E35/$E$33</f>
        <v>#DIV/0!</v>
      </c>
      <c r="J35" s="59" t="e">
        <f t="shared" si="22"/>
        <v>#DIV/0!</v>
      </c>
      <c r="K35" s="59" t="e">
        <f t="shared" si="22"/>
        <v>#DIV/0!</v>
      </c>
      <c r="L35" s="60" t="e">
        <f t="shared" si="22"/>
        <v>#DIV/0!</v>
      </c>
      <c r="M35" s="75"/>
      <c r="N35" s="87"/>
      <c r="O35" s="222"/>
      <c r="P35" s="222"/>
      <c r="Q35" s="222"/>
      <c r="R35" s="238"/>
      <c r="S35" s="84"/>
      <c r="T35" s="84"/>
      <c r="U35" s="88"/>
      <c r="V35" s="89"/>
      <c r="W35" s="59"/>
      <c r="X35" s="90"/>
      <c r="Y35" s="91"/>
    </row>
    <row r="36" spans="1:25" s="81" customFormat="1" ht="12.75" customHeight="1" x14ac:dyDescent="0.25">
      <c r="A36" s="54" t="s">
        <v>43</v>
      </c>
      <c r="B36" s="224">
        <v>0</v>
      </c>
      <c r="C36" s="224">
        <v>0</v>
      </c>
      <c r="D36" s="224">
        <v>0</v>
      </c>
      <c r="E36" s="222">
        <v>0</v>
      </c>
      <c r="F36" s="84" t="e">
        <f>B36/$B$33</f>
        <v>#DIV/0!</v>
      </c>
      <c r="G36" s="84" t="e">
        <f>C36/$C$33</f>
        <v>#DIV/0!</v>
      </c>
      <c r="H36" s="84" t="e">
        <f>D36/$D$33</f>
        <v>#DIV/0!</v>
      </c>
      <c r="I36" s="85" t="e">
        <f>E36/$E$33</f>
        <v>#DIV/0!</v>
      </c>
      <c r="J36" s="59" t="e">
        <f t="shared" si="22"/>
        <v>#DIV/0!</v>
      </c>
      <c r="K36" s="59" t="e">
        <f t="shared" si="22"/>
        <v>#DIV/0!</v>
      </c>
      <c r="L36" s="60" t="e">
        <f t="shared" si="22"/>
        <v>#DIV/0!</v>
      </c>
      <c r="M36" s="75"/>
      <c r="N36" s="76" t="s">
        <v>122</v>
      </c>
      <c r="O36" s="233">
        <f t="shared" ref="O36" si="23">SUM(O37:O40)</f>
        <v>3424.0896021200006</v>
      </c>
      <c r="P36" s="233">
        <f>SUM(P37:P41)</f>
        <v>4166.6581292800001</v>
      </c>
      <c r="Q36" s="233">
        <f>SUM(Q37:Q41)</f>
        <v>4194.4777407700003</v>
      </c>
      <c r="R36" s="233">
        <f>SUM(R37:R41)</f>
        <v>4170.1940334700002</v>
      </c>
      <c r="S36" s="71">
        <f>O36/$O$66</f>
        <v>0.23097605417090636</v>
      </c>
      <c r="T36" s="71">
        <f>P36/$P$66</f>
        <v>0.26246082298707252</v>
      </c>
      <c r="U36" s="77">
        <f>Q36/$Q$66</f>
        <v>0.25247138188939744</v>
      </c>
      <c r="V36" s="78">
        <f>R36/$R$66</f>
        <v>0.23604797173234465</v>
      </c>
      <c r="W36" s="73">
        <f t="shared" ref="W36:Y40" si="24">P36/O36-1</f>
        <v>0.21686597415565401</v>
      </c>
      <c r="X36" s="79">
        <f t="shared" si="24"/>
        <v>6.6767204380187017E-3</v>
      </c>
      <c r="Y36" s="80">
        <f t="shared" si="24"/>
        <v>-5.7894471733547226E-3</v>
      </c>
    </row>
    <row r="37" spans="1:25" ht="12.75" customHeight="1" x14ac:dyDescent="0.25">
      <c r="A37" s="54" t="s">
        <v>45</v>
      </c>
      <c r="B37" s="224">
        <v>0</v>
      </c>
      <c r="C37" s="224">
        <v>0</v>
      </c>
      <c r="D37" s="224">
        <v>0</v>
      </c>
      <c r="E37" s="222">
        <v>0</v>
      </c>
      <c r="F37" s="84" t="e">
        <f>B37/$B$33</f>
        <v>#DIV/0!</v>
      </c>
      <c r="G37" s="84" t="e">
        <f>C37/$C$33</f>
        <v>#DIV/0!</v>
      </c>
      <c r="H37" s="84" t="e">
        <f>D37/$D$33</f>
        <v>#DIV/0!</v>
      </c>
      <c r="I37" s="85" t="e">
        <f>E37/$E$33</f>
        <v>#DIV/0!</v>
      </c>
      <c r="J37" s="59" t="e">
        <f t="shared" si="22"/>
        <v>#DIV/0!</v>
      </c>
      <c r="K37" s="59" t="e">
        <f t="shared" si="22"/>
        <v>#DIV/0!</v>
      </c>
      <c r="L37" s="60" t="e">
        <f t="shared" si="22"/>
        <v>#DIV/0!</v>
      </c>
      <c r="M37" s="75"/>
      <c r="N37" s="87" t="s">
        <v>53</v>
      </c>
      <c r="O37" s="222">
        <v>18.713454219999999</v>
      </c>
      <c r="P37" s="222">
        <v>67.443894010000008</v>
      </c>
      <c r="Q37" s="222">
        <v>74.648523460000007</v>
      </c>
      <c r="R37" s="222">
        <v>74.590574950000004</v>
      </c>
      <c r="S37" s="84">
        <f>O37/$O$36</f>
        <v>5.4652349659347985E-3</v>
      </c>
      <c r="T37" s="84">
        <f>P37/$P$36</f>
        <v>1.6186567728237001E-2</v>
      </c>
      <c r="U37" s="88">
        <f>Q37/$Q$36</f>
        <v>1.7796857695636839E-2</v>
      </c>
      <c r="V37" s="89">
        <f>R37/$R$36</f>
        <v>1.7886595767807358E-2</v>
      </c>
      <c r="W37" s="59">
        <f t="shared" si="24"/>
        <v>2.6040323297405652</v>
      </c>
      <c r="X37" s="90">
        <f t="shared" si="24"/>
        <v>0.10682404324002648</v>
      </c>
      <c r="Y37" s="91">
        <f t="shared" si="24"/>
        <v>-7.7628474501645339E-4</v>
      </c>
    </row>
    <row r="38" spans="1:25" ht="12.75" customHeight="1" x14ac:dyDescent="0.25">
      <c r="A38" s="82"/>
      <c r="B38" s="226"/>
      <c r="C38" s="226"/>
      <c r="D38" s="226"/>
      <c r="E38" s="276"/>
      <c r="F38" s="99"/>
      <c r="G38" s="99"/>
      <c r="H38" s="99"/>
      <c r="I38" s="100"/>
      <c r="J38" s="101"/>
      <c r="K38" s="101"/>
      <c r="L38" s="102"/>
      <c r="M38" s="75"/>
      <c r="N38" s="87" t="s">
        <v>40</v>
      </c>
      <c r="O38" s="222">
        <v>5.5553000000000004E-4</v>
      </c>
      <c r="P38" s="222">
        <v>1.68651E-3</v>
      </c>
      <c r="Q38" s="222">
        <v>5.9969000000000005E-4</v>
      </c>
      <c r="R38" s="222">
        <v>6.9389999999999998E-5</v>
      </c>
      <c r="S38" s="84">
        <f>O38/$O$36</f>
        <v>1.6224166553820543E-7</v>
      </c>
      <c r="T38" s="84">
        <f>P38/$P$36</f>
        <v>4.0476322934884739E-7</v>
      </c>
      <c r="U38" s="88">
        <f>Q38/$Q$36</f>
        <v>1.4297131539668442E-7</v>
      </c>
      <c r="V38" s="89">
        <f>R38/$R$36</f>
        <v>1.6639513519772817E-8</v>
      </c>
      <c r="W38" s="59">
        <f t="shared" si="24"/>
        <v>2.0358576494518745</v>
      </c>
      <c r="X38" s="90">
        <f t="shared" si="24"/>
        <v>-0.6444195409455028</v>
      </c>
      <c r="Y38" s="91">
        <f t="shared" si="24"/>
        <v>-0.8842902166119162</v>
      </c>
    </row>
    <row r="39" spans="1:25" s="81" customFormat="1" ht="12.75" customHeight="1" x14ac:dyDescent="0.25">
      <c r="A39" s="70" t="s">
        <v>56</v>
      </c>
      <c r="B39" s="233">
        <f t="shared" ref="B39" si="25">SUM(B40:B43)</f>
        <v>712.58601716999999</v>
      </c>
      <c r="C39" s="233">
        <f>SUM(C40:C44)</f>
        <v>747.84569314999999</v>
      </c>
      <c r="D39" s="233">
        <f>SUM(D40:D44)</f>
        <v>744.06382334</v>
      </c>
      <c r="E39" s="233">
        <f>SUM(E40:E44)</f>
        <v>763.35473083000011</v>
      </c>
      <c r="F39" s="71">
        <f>B39/$B$51</f>
        <v>4.8262387721574714E-2</v>
      </c>
      <c r="G39" s="71">
        <f>C39/$C$51</f>
        <v>4.7287866402367866E-2</v>
      </c>
      <c r="H39" s="71">
        <f>D39/$D$51</f>
        <v>4.4884581780102378E-2</v>
      </c>
      <c r="I39" s="72">
        <f>E39/$E$51</f>
        <v>4.3222372132145061E-2</v>
      </c>
      <c r="J39" s="73">
        <f t="shared" ref="J39:L43" si="26">C39/B39-1</f>
        <v>4.9481290862304572E-2</v>
      </c>
      <c r="K39" s="73">
        <f t="shared" si="26"/>
        <v>-5.0570189072967064E-3</v>
      </c>
      <c r="L39" s="74">
        <f t="shared" si="26"/>
        <v>2.592641502634252E-2</v>
      </c>
      <c r="M39" s="94"/>
      <c r="N39" s="87" t="s">
        <v>42</v>
      </c>
      <c r="O39" s="222">
        <v>135.02850615</v>
      </c>
      <c r="P39" s="222">
        <v>144.08193750000001</v>
      </c>
      <c r="Q39" s="222">
        <v>145.28328644999999</v>
      </c>
      <c r="R39" s="222">
        <v>161.63098563000003</v>
      </c>
      <c r="S39" s="84">
        <f>O39/$O$36</f>
        <v>3.9434863522963319E-2</v>
      </c>
      <c r="T39" s="84">
        <f>P39/$P$36</f>
        <v>3.4579735852938193E-2</v>
      </c>
      <c r="U39" s="88">
        <f>Q39/$Q$36</f>
        <v>3.4636799961496434E-2</v>
      </c>
      <c r="V39" s="89">
        <f>R39/$R$36</f>
        <v>3.8758624738501099E-2</v>
      </c>
      <c r="W39" s="59">
        <f t="shared" si="24"/>
        <v>6.7048296749597114E-2</v>
      </c>
      <c r="X39" s="90">
        <f t="shared" si="24"/>
        <v>8.3379566574748321E-3</v>
      </c>
      <c r="Y39" s="91">
        <f t="shared" si="24"/>
        <v>0.11252291698141192</v>
      </c>
    </row>
    <row r="40" spans="1:25" ht="12.75" customHeight="1" x14ac:dyDescent="0.25">
      <c r="A40" s="54" t="s">
        <v>39</v>
      </c>
      <c r="B40" s="224">
        <v>409.12918354000004</v>
      </c>
      <c r="C40" s="224">
        <v>391.09024434000003</v>
      </c>
      <c r="D40" s="224">
        <v>389.39132769999998</v>
      </c>
      <c r="E40" s="222">
        <v>415.80476779000003</v>
      </c>
      <c r="F40" s="84">
        <f>B40/$B$39</f>
        <v>0.57414708355467914</v>
      </c>
      <c r="G40" s="84">
        <f>C40/$C$39</f>
        <v>0.52295580214240356</v>
      </c>
      <c r="H40" s="84">
        <f>D40/$D$39</f>
        <v>0.52333054703839244</v>
      </c>
      <c r="I40" s="85">
        <f>E40/$E$39</f>
        <v>0.54470713417586747</v>
      </c>
      <c r="J40" s="59">
        <f t="shared" si="26"/>
        <v>-4.4091059561964463E-2</v>
      </c>
      <c r="K40" s="59">
        <f t="shared" si="26"/>
        <v>-4.3440527207911916E-3</v>
      </c>
      <c r="L40" s="60">
        <f t="shared" si="26"/>
        <v>6.7832635734378366E-2</v>
      </c>
      <c r="M40" s="103"/>
      <c r="N40" s="87" t="s">
        <v>44</v>
      </c>
      <c r="O40" s="222">
        <v>3270.3470862200006</v>
      </c>
      <c r="P40" s="222">
        <v>3295.7189389800001</v>
      </c>
      <c r="Q40" s="222">
        <v>3269.0407456399998</v>
      </c>
      <c r="R40" s="222">
        <v>3206.61407663</v>
      </c>
      <c r="S40" s="84">
        <f>O40/$O$36</f>
        <v>0.95509973926943637</v>
      </c>
      <c r="T40" s="84">
        <f>P40/$P$36</f>
        <v>0.79097416603975168</v>
      </c>
      <c r="U40" s="88">
        <f>Q40/$Q$36</f>
        <v>0.77936776582819256</v>
      </c>
      <c r="V40" s="89">
        <f>R40/$R$36</f>
        <v>0.76893642139758911</v>
      </c>
      <c r="W40" s="59">
        <f t="shared" si="24"/>
        <v>7.7581529088783796E-3</v>
      </c>
      <c r="X40" s="90">
        <f t="shared" si="24"/>
        <v>-8.0948023280944525E-3</v>
      </c>
      <c r="Y40" s="91">
        <f t="shared" si="24"/>
        <v>-1.9096326374414163E-2</v>
      </c>
    </row>
    <row r="41" spans="1:25" s="104" customFormat="1" ht="12.75" customHeight="1" x14ac:dyDescent="0.25">
      <c r="A41" s="54" t="s">
        <v>41</v>
      </c>
      <c r="B41" s="224">
        <v>84.290724920000002</v>
      </c>
      <c r="C41" s="224">
        <v>83.46501302999998</v>
      </c>
      <c r="D41" s="224">
        <v>86.787249630000005</v>
      </c>
      <c r="E41" s="222">
        <v>88.785694849999999</v>
      </c>
      <c r="F41" s="84">
        <f>B41/$B$39</f>
        <v>0.11828849133857051</v>
      </c>
      <c r="G41" s="84">
        <f>C41/$C$39</f>
        <v>0.11160726576954277</v>
      </c>
      <c r="H41" s="84">
        <f>D41/$D$39</f>
        <v>0.11663952326081921</v>
      </c>
      <c r="I41" s="85">
        <f>E41/$E$39</f>
        <v>0.1163098769997309</v>
      </c>
      <c r="J41" s="59">
        <f t="shared" si="26"/>
        <v>-9.7959993911987953E-3</v>
      </c>
      <c r="K41" s="59">
        <f t="shared" si="26"/>
        <v>3.9803942746716059E-2</v>
      </c>
      <c r="L41" s="60">
        <f t="shared" si="26"/>
        <v>2.3026944954702033E-2</v>
      </c>
      <c r="M41" s="40"/>
      <c r="N41" s="237" t="s">
        <v>136</v>
      </c>
      <c r="O41" s="222"/>
      <c r="P41" s="222">
        <v>659.41167227999995</v>
      </c>
      <c r="Q41" s="222">
        <v>705.50458552999999</v>
      </c>
      <c r="R41" s="222">
        <v>727.35832687000004</v>
      </c>
      <c r="S41" s="84"/>
      <c r="T41" s="84"/>
      <c r="U41" s="88"/>
      <c r="V41" s="89"/>
      <c r="W41" s="59"/>
      <c r="X41" s="90"/>
      <c r="Y41" s="91"/>
    </row>
    <row r="42" spans="1:25" s="104" customFormat="1" ht="12.75" customHeight="1" x14ac:dyDescent="0.25">
      <c r="A42" s="54" t="s">
        <v>43</v>
      </c>
      <c r="B42" s="224">
        <v>60.295213629999992</v>
      </c>
      <c r="C42" s="224">
        <v>63.215545240000004</v>
      </c>
      <c r="D42" s="224">
        <v>61.142694120000002</v>
      </c>
      <c r="E42" s="222">
        <v>64.453331020000007</v>
      </c>
      <c r="F42" s="84">
        <f>B42/$B$39</f>
        <v>8.4614646059797016E-2</v>
      </c>
      <c r="G42" s="84">
        <f>C42/$C$39</f>
        <v>8.4530198968894077E-2</v>
      </c>
      <c r="H42" s="84">
        <f>D42/$D$39</f>
        <v>8.2173991265344512E-2</v>
      </c>
      <c r="I42" s="85">
        <f>E42/$E$39</f>
        <v>8.4434311358651717E-2</v>
      </c>
      <c r="J42" s="59">
        <f t="shared" si="26"/>
        <v>4.8433887769608885E-2</v>
      </c>
      <c r="K42" s="59">
        <f t="shared" si="26"/>
        <v>-3.279021183998887E-2</v>
      </c>
      <c r="L42" s="60">
        <f t="shared" si="26"/>
        <v>5.4146074975081726E-2</v>
      </c>
      <c r="M42" s="94"/>
      <c r="N42" s="76" t="s">
        <v>55</v>
      </c>
      <c r="O42" s="233">
        <f t="shared" ref="O42" si="27">SUM(O43:O46)</f>
        <v>4.8154181899999999</v>
      </c>
      <c r="P42" s="233">
        <f>SUM(P43:P46)</f>
        <v>31.387313030000001</v>
      </c>
      <c r="Q42" s="233">
        <f>SUM(Q43:Q46)</f>
        <v>32.259550869999998</v>
      </c>
      <c r="R42" s="233">
        <f>SUM(R43:R46)</f>
        <v>35.737190599999998</v>
      </c>
      <c r="S42" s="71">
        <f>O42/$O$66</f>
        <v>3.2482978600220289E-4</v>
      </c>
      <c r="T42" s="71">
        <f>P42/$P$66</f>
        <v>1.9771096532535015E-3</v>
      </c>
      <c r="U42" s="77">
        <f>Q42/$Q$66</f>
        <v>1.9417467180991802E-3</v>
      </c>
      <c r="V42" s="78">
        <f>R42/$R$66</f>
        <v>2.022853442510662E-3</v>
      </c>
      <c r="W42" s="73">
        <f t="shared" ref="W42:Y46" si="28">P42/O42-1</f>
        <v>5.5180866524076491</v>
      </c>
      <c r="X42" s="79">
        <f t="shared" si="28"/>
        <v>2.7789503331053345E-2</v>
      </c>
      <c r="Y42" s="80">
        <f t="shared" si="28"/>
        <v>0.10780186444672601</v>
      </c>
    </row>
    <row r="43" spans="1:25" ht="12.75" customHeight="1" x14ac:dyDescent="0.25">
      <c r="A43" s="54" t="s">
        <v>45</v>
      </c>
      <c r="B43" s="224">
        <v>158.87089508</v>
      </c>
      <c r="C43" s="224">
        <v>191.40549885999997</v>
      </c>
      <c r="D43" s="224">
        <v>168.39361477</v>
      </c>
      <c r="E43" s="222">
        <v>173.97667737999998</v>
      </c>
      <c r="F43" s="84">
        <f>B43/$B$39</f>
        <v>0.22294977904695334</v>
      </c>
      <c r="G43" s="84">
        <f>C43/$C$39</f>
        <v>0.25594250339770103</v>
      </c>
      <c r="H43" s="84">
        <f>D43/$D$39</f>
        <v>0.22631608941032003</v>
      </c>
      <c r="I43" s="85">
        <f>E43/$E$39</f>
        <v>0.22791065588973833</v>
      </c>
      <c r="J43" s="59">
        <f t="shared" si="26"/>
        <v>0.20478643217574288</v>
      </c>
      <c r="K43" s="59">
        <f t="shared" si="26"/>
        <v>-0.12022582541806481</v>
      </c>
      <c r="L43" s="60">
        <f t="shared" si="26"/>
        <v>3.3154835577498654E-2</v>
      </c>
      <c r="M43" s="61"/>
      <c r="N43" s="87" t="s">
        <v>53</v>
      </c>
      <c r="O43" s="222">
        <v>1.99960951</v>
      </c>
      <c r="P43" s="222">
        <v>13.14986788</v>
      </c>
      <c r="Q43" s="222">
        <v>14.30163844</v>
      </c>
      <c r="R43" s="222">
        <v>24.144270160000001</v>
      </c>
      <c r="S43" s="84">
        <f>O43/$O$42</f>
        <v>0.41525147580173094</v>
      </c>
      <c r="T43" s="84">
        <f>P43/$P$42</f>
        <v>0.41895487732356551</v>
      </c>
      <c r="U43" s="88">
        <f>Q43/$Q$42</f>
        <v>0.44333036432010314</v>
      </c>
      <c r="V43" s="89">
        <f>R43/$R$42</f>
        <v>0.67560627331461254</v>
      </c>
      <c r="W43" s="59">
        <f t="shared" si="28"/>
        <v>5.5762179136665537</v>
      </c>
      <c r="X43" s="90">
        <f t="shared" si="28"/>
        <v>8.7587994838469685E-2</v>
      </c>
      <c r="Y43" s="91">
        <f t="shared" si="28"/>
        <v>0.68821707116237252</v>
      </c>
    </row>
    <row r="44" spans="1:25" ht="12.75" customHeight="1" x14ac:dyDescent="0.25">
      <c r="A44" s="236" t="s">
        <v>135</v>
      </c>
      <c r="B44" s="224"/>
      <c r="C44" s="224">
        <v>18.66939168</v>
      </c>
      <c r="D44" s="224">
        <v>38.348937120000002</v>
      </c>
      <c r="E44" s="222">
        <v>20.334259790000001</v>
      </c>
      <c r="F44" s="84"/>
      <c r="G44" s="84"/>
      <c r="H44" s="84"/>
      <c r="I44" s="85"/>
      <c r="J44" s="59"/>
      <c r="K44" s="59"/>
      <c r="L44" s="60"/>
      <c r="M44" s="105"/>
      <c r="N44" s="87" t="s">
        <v>40</v>
      </c>
      <c r="O44" s="222">
        <v>0.59936404999999993</v>
      </c>
      <c r="P44" s="222">
        <v>2.98156782</v>
      </c>
      <c r="Q44" s="222">
        <v>2.7020332799999998</v>
      </c>
      <c r="R44" s="222">
        <v>3.3900644799999999</v>
      </c>
      <c r="S44" s="84">
        <f>O44/$O$42</f>
        <v>0.12446770484953457</v>
      </c>
      <c r="T44" s="84">
        <f>P44/$P$42</f>
        <v>9.499277039580345E-2</v>
      </c>
      <c r="U44" s="88">
        <f>Q44/$Q$42</f>
        <v>8.3759172311130198E-2</v>
      </c>
      <c r="V44" s="89">
        <f>R44/$R$42</f>
        <v>9.4860967610587724E-2</v>
      </c>
      <c r="W44" s="59">
        <f t="shared" si="28"/>
        <v>3.9745523109035323</v>
      </c>
      <c r="X44" s="90">
        <f t="shared" si="28"/>
        <v>-9.3754211500713169E-2</v>
      </c>
      <c r="Y44" s="91">
        <f t="shared" si="28"/>
        <v>0.25463461353074091</v>
      </c>
    </row>
    <row r="45" spans="1:25" ht="12.75" customHeight="1" x14ac:dyDescent="0.25">
      <c r="A45" s="70" t="s">
        <v>58</v>
      </c>
      <c r="B45" s="233">
        <f t="shared" ref="B45" si="29">SUM(B46:B49)</f>
        <v>689.57197067999994</v>
      </c>
      <c r="C45" s="233">
        <f>SUM(C46:C49)</f>
        <v>727.34287363999999</v>
      </c>
      <c r="D45" s="233">
        <f>SUM(D46:D49)</f>
        <v>730.09403292000002</v>
      </c>
      <c r="E45" s="233">
        <f>SUM(E46:E49)</f>
        <v>728.80636056000003</v>
      </c>
      <c r="F45" s="71">
        <f>B45/$B$51</f>
        <v>4.6703680691153507E-2</v>
      </c>
      <c r="G45" s="71">
        <f>C45/$C$51</f>
        <v>4.5991429719317696E-2</v>
      </c>
      <c r="H45" s="71">
        <f>D45/$D$51</f>
        <v>4.4041874231517716E-2</v>
      </c>
      <c r="I45" s="72">
        <f>E45/$E$51</f>
        <v>4.1266187862814011E-2</v>
      </c>
      <c r="J45" s="73">
        <f t="shared" ref="J45:L49" si="30">C45/B45-1</f>
        <v>5.4774417415419885E-2</v>
      </c>
      <c r="K45" s="73">
        <f t="shared" si="30"/>
        <v>3.7824791851355233E-3</v>
      </c>
      <c r="L45" s="74">
        <f t="shared" si="30"/>
        <v>-1.763707552642213E-3</v>
      </c>
      <c r="M45" s="105"/>
      <c r="N45" s="87" t="s">
        <v>42</v>
      </c>
      <c r="O45" s="222">
        <v>1.6898039300000001</v>
      </c>
      <c r="P45" s="222">
        <v>2.5542109000000002</v>
      </c>
      <c r="Q45" s="222">
        <v>0.28527051000000003</v>
      </c>
      <c r="R45" s="222">
        <v>0.27503380999999999</v>
      </c>
      <c r="S45" s="84">
        <f>O45/$O$42</f>
        <v>0.35091530233223628</v>
      </c>
      <c r="T45" s="84">
        <f>P45/$P$42</f>
        <v>8.1377176108024432E-2</v>
      </c>
      <c r="U45" s="88">
        <f>Q45/$Q$42</f>
        <v>8.8429783523517498E-3</v>
      </c>
      <c r="V45" s="89">
        <f>R45/$R$42</f>
        <v>7.6960109449677894E-3</v>
      </c>
      <c r="W45" s="59">
        <f t="shared" si="28"/>
        <v>0.51154276224224438</v>
      </c>
      <c r="X45" s="90">
        <f t="shared" si="28"/>
        <v>-0.88831364316862005</v>
      </c>
      <c r="Y45" s="91">
        <f t="shared" si="28"/>
        <v>-3.5884185855734052E-2</v>
      </c>
    </row>
    <row r="46" spans="1:25" ht="12.75" customHeight="1" x14ac:dyDescent="0.25">
      <c r="A46" s="54" t="s">
        <v>39</v>
      </c>
      <c r="B46" s="224">
        <v>341.52975994999997</v>
      </c>
      <c r="C46" s="224">
        <v>368.18062950000001</v>
      </c>
      <c r="D46" s="224">
        <v>363.26979303000002</v>
      </c>
      <c r="E46" s="222">
        <v>358.12963285000001</v>
      </c>
      <c r="F46" s="84">
        <f>B46/$B$45</f>
        <v>0.49527790349890677</v>
      </c>
      <c r="G46" s="84">
        <f>C46/$C$45</f>
        <v>0.5061995419813955</v>
      </c>
      <c r="H46" s="84">
        <f>D46/$D$45</f>
        <v>0.49756576091590282</v>
      </c>
      <c r="I46" s="85">
        <f>E46/$E$45</f>
        <v>0.49139202431606177</v>
      </c>
      <c r="J46" s="59">
        <f t="shared" si="30"/>
        <v>7.8033813375155692E-2</v>
      </c>
      <c r="K46" s="59">
        <f t="shared" si="30"/>
        <v>-1.3338117425322094E-2</v>
      </c>
      <c r="L46" s="60">
        <f t="shared" si="30"/>
        <v>-1.4149704375710392E-2</v>
      </c>
      <c r="M46" s="105"/>
      <c r="N46" s="87" t="s">
        <v>44</v>
      </c>
      <c r="O46" s="222">
        <v>0.52664069999999996</v>
      </c>
      <c r="P46" s="222">
        <v>12.70166643</v>
      </c>
      <c r="Q46" s="222">
        <v>14.97060864</v>
      </c>
      <c r="R46" s="222">
        <v>7.9278221499999999</v>
      </c>
      <c r="S46" s="84">
        <f>O46/$O$42</f>
        <v>0.1093655170164982</v>
      </c>
      <c r="T46" s="84">
        <f>P46/$P$42</f>
        <v>0.40467517617260657</v>
      </c>
      <c r="U46" s="88">
        <f>Q46/$Q$42</f>
        <v>0.46406748501641493</v>
      </c>
      <c r="V46" s="89">
        <f>R46/$R$42</f>
        <v>0.22183674812983201</v>
      </c>
      <c r="W46" s="59">
        <f t="shared" si="28"/>
        <v>23.11827728088619</v>
      </c>
      <c r="X46" s="90">
        <f t="shared" si="28"/>
        <v>0.17863342755097067</v>
      </c>
      <c r="Y46" s="91">
        <f t="shared" si="28"/>
        <v>-0.47044089250869625</v>
      </c>
    </row>
    <row r="47" spans="1:25" ht="12.75" customHeight="1" x14ac:dyDescent="0.25">
      <c r="A47" s="54" t="s">
        <v>41</v>
      </c>
      <c r="B47" s="224">
        <v>49.339755529999998</v>
      </c>
      <c r="C47" s="224">
        <v>50.680162860000003</v>
      </c>
      <c r="D47" s="224">
        <v>56.420753879999992</v>
      </c>
      <c r="E47" s="222">
        <v>58.921924420000003</v>
      </c>
      <c r="F47" s="84">
        <f>B47/$B$45</f>
        <v>7.1551277644514952E-2</v>
      </c>
      <c r="G47" s="84">
        <f>C47/$C$45</f>
        <v>6.9678503353405044E-2</v>
      </c>
      <c r="H47" s="84">
        <f>D47/$D$45</f>
        <v>7.7278749497987326E-2</v>
      </c>
      <c r="I47" s="85">
        <f>E47/$E$45</f>
        <v>8.0847159970894866E-2</v>
      </c>
      <c r="J47" s="59">
        <f t="shared" si="30"/>
        <v>2.716688227579489E-2</v>
      </c>
      <c r="K47" s="59">
        <f t="shared" si="30"/>
        <v>0.11327096631196554</v>
      </c>
      <c r="L47" s="60">
        <f t="shared" si="30"/>
        <v>4.4330682736350768E-2</v>
      </c>
      <c r="M47" s="105"/>
      <c r="N47" s="87"/>
      <c r="O47" s="222"/>
      <c r="P47" s="222"/>
      <c r="Q47" s="222"/>
      <c r="R47" s="238"/>
      <c r="S47" s="84"/>
      <c r="T47" s="84"/>
      <c r="U47" s="88"/>
      <c r="V47" s="89"/>
      <c r="W47" s="59"/>
      <c r="X47" s="90"/>
      <c r="Y47" s="91"/>
    </row>
    <row r="48" spans="1:25" x14ac:dyDescent="0.25">
      <c r="A48" s="54" t="s">
        <v>43</v>
      </c>
      <c r="B48" s="224">
        <v>184.25225839999999</v>
      </c>
      <c r="C48" s="224">
        <v>194.02202332000002</v>
      </c>
      <c r="D48" s="224">
        <v>184.85342424999999</v>
      </c>
      <c r="E48" s="222">
        <v>185.69966472999999</v>
      </c>
      <c r="F48" s="84">
        <f>B48/$B$45</f>
        <v>0.26719801011967664</v>
      </c>
      <c r="G48" s="84">
        <f>C48/$C$45</f>
        <v>0.26675455325356173</v>
      </c>
      <c r="H48" s="84">
        <f>D48/$D$45</f>
        <v>0.25319125470822096</v>
      </c>
      <c r="I48" s="85">
        <f>E48/$E$45</f>
        <v>0.25479973114849347</v>
      </c>
      <c r="J48" s="59">
        <f t="shared" si="30"/>
        <v>5.3023854387665104E-2</v>
      </c>
      <c r="K48" s="59">
        <f t="shared" si="30"/>
        <v>-4.7255455401979174E-2</v>
      </c>
      <c r="L48" s="60">
        <f t="shared" si="30"/>
        <v>4.5778999411747456E-3</v>
      </c>
      <c r="N48" s="76" t="s">
        <v>57</v>
      </c>
      <c r="O48" s="233">
        <f t="shared" ref="O48" si="31">SUM(O49:O52)</f>
        <v>106.96706118000002</v>
      </c>
      <c r="P48" s="233">
        <f>SUM(P49:P52)</f>
        <v>84.47137613000001</v>
      </c>
      <c r="Q48" s="233">
        <f>SUM(Q49:Q52)</f>
        <v>93.251605619999992</v>
      </c>
      <c r="R48" s="233">
        <f>SUM(R49:R52)</f>
        <v>83.515741199999994</v>
      </c>
      <c r="S48" s="71">
        <f>O48/$O$66</f>
        <v>7.2155908835788889E-3</v>
      </c>
      <c r="T48" s="71">
        <f>P48/$P$66</f>
        <v>5.3209133579100263E-3</v>
      </c>
      <c r="U48" s="77">
        <f>Q48/$Q$66</f>
        <v>5.6129423468974067E-3</v>
      </c>
      <c r="V48" s="78">
        <f>R48/$R$66</f>
        <v>4.727291142752825E-3</v>
      </c>
      <c r="W48" s="73">
        <f t="shared" ref="W48:Y52" si="32">P48/O48-1</f>
        <v>-0.21030478730405744</v>
      </c>
      <c r="X48" s="79">
        <f t="shared" si="32"/>
        <v>0.10394325145700667</v>
      </c>
      <c r="Y48" s="80">
        <f t="shared" si="32"/>
        <v>-0.10440425508246598</v>
      </c>
    </row>
    <row r="49" spans="1:25" x14ac:dyDescent="0.25">
      <c r="A49" s="54" t="s">
        <v>45</v>
      </c>
      <c r="B49" s="224">
        <v>114.4501968</v>
      </c>
      <c r="C49" s="224">
        <v>114.46005796</v>
      </c>
      <c r="D49" s="224">
        <v>125.55006176000001</v>
      </c>
      <c r="E49" s="222">
        <v>126.05513855999999</v>
      </c>
      <c r="F49" s="84">
        <f>B49/$B$45</f>
        <v>0.16597280873690168</v>
      </c>
      <c r="G49" s="84">
        <f>C49/$C$45</f>
        <v>0.15736740141163777</v>
      </c>
      <c r="H49" s="84">
        <f>D49/$D$45</f>
        <v>0.17196423487788887</v>
      </c>
      <c r="I49" s="85">
        <f>E49/$E$45</f>
        <v>0.17296108456454987</v>
      </c>
      <c r="J49" s="59">
        <f t="shared" si="30"/>
        <v>8.6161144984497895E-5</v>
      </c>
      <c r="K49" s="59">
        <f t="shared" si="30"/>
        <v>9.6889727278275384E-2</v>
      </c>
      <c r="L49" s="60">
        <f t="shared" si="30"/>
        <v>4.022911601313961E-3</v>
      </c>
      <c r="N49" s="87" t="s">
        <v>53</v>
      </c>
      <c r="O49" s="222">
        <v>51.738876509999997</v>
      </c>
      <c r="P49" s="222">
        <v>43.190279619999998</v>
      </c>
      <c r="Q49" s="222">
        <v>48.972483019999999</v>
      </c>
      <c r="R49" s="222">
        <v>37.784150349999997</v>
      </c>
      <c r="S49" s="84">
        <f>O49/$O$48</f>
        <v>0.48368980075965468</v>
      </c>
      <c r="T49" s="84">
        <f>P49/$P$48</f>
        <v>0.51130076954743686</v>
      </c>
      <c r="U49" s="88">
        <f>Q49/$Q$48</f>
        <v>0.52516503811808579</v>
      </c>
      <c r="V49" s="89">
        <f>R49/$R$48</f>
        <v>0.45241950567757161</v>
      </c>
      <c r="W49" s="59">
        <f t="shared" si="32"/>
        <v>-0.16522579280104277</v>
      </c>
      <c r="X49" s="90">
        <f t="shared" si="32"/>
        <v>0.13387742452406926</v>
      </c>
      <c r="Y49" s="91">
        <f t="shared" si="32"/>
        <v>-0.22846161721942437</v>
      </c>
    </row>
    <row r="50" spans="1:25" x14ac:dyDescent="0.25">
      <c r="A50" s="54"/>
      <c r="B50" s="224"/>
      <c r="C50" s="224"/>
      <c r="D50" s="224"/>
      <c r="E50" s="238"/>
      <c r="F50" s="84"/>
      <c r="G50" s="84"/>
      <c r="H50" s="84"/>
      <c r="I50" s="85"/>
      <c r="J50" s="59"/>
      <c r="K50" s="59"/>
      <c r="L50" s="60"/>
      <c r="N50" s="87" t="s">
        <v>40</v>
      </c>
      <c r="O50" s="222">
        <v>32.981433340000002</v>
      </c>
      <c r="P50" s="222">
        <v>23.500318279999998</v>
      </c>
      <c r="Q50" s="222">
        <v>24.093268350000002</v>
      </c>
      <c r="R50" s="222">
        <v>28.06494258</v>
      </c>
      <c r="S50" s="84">
        <f>O50/$O$48</f>
        <v>0.30833261170464549</v>
      </c>
      <c r="T50" s="84">
        <f>P50/$P$48</f>
        <v>0.27820451561998244</v>
      </c>
      <c r="U50" s="88">
        <f>Q50/$Q$48</f>
        <v>0.25836840223620383</v>
      </c>
      <c r="V50" s="89">
        <f>R50/$R$48</f>
        <v>0.33604374668472681</v>
      </c>
      <c r="W50" s="59">
        <f t="shared" si="32"/>
        <v>-0.28746825410105126</v>
      </c>
      <c r="X50" s="90">
        <f t="shared" si="32"/>
        <v>2.5231576140168022E-2</v>
      </c>
      <c r="Y50" s="91">
        <f t="shared" si="32"/>
        <v>0.16484580557124784</v>
      </c>
    </row>
    <row r="51" spans="1:25" x14ac:dyDescent="0.25">
      <c r="A51" s="107" t="s">
        <v>60</v>
      </c>
      <c r="B51" s="232">
        <f>B5+B25+B27+B33+B39+B45</f>
        <v>14764.831389630002</v>
      </c>
      <c r="C51" s="232">
        <f>C5+C25+C27+C33+C39+C45</f>
        <v>15814.74805369</v>
      </c>
      <c r="D51" s="232">
        <f>D5+D25+D27+D33+D39+D45</f>
        <v>16577.269829209999</v>
      </c>
      <c r="E51" s="232">
        <f>E5+E25+E27+E33+E39+E45</f>
        <v>17661.102183290004</v>
      </c>
      <c r="F51" s="108">
        <f>F45+F39+F33+F27+F25+F5</f>
        <v>1</v>
      </c>
      <c r="G51" s="108">
        <f>G45+G39+G33+G27+G25+G5</f>
        <v>1</v>
      </c>
      <c r="H51" s="108">
        <f>H45+H39+H33+H27+H25+H5</f>
        <v>1</v>
      </c>
      <c r="I51" s="109">
        <f>I45+I39+I33+I27+I25+I5</f>
        <v>1</v>
      </c>
      <c r="J51" s="110">
        <f t="shared" ref="J51:L52" si="33">C51/B51-1</f>
        <v>7.1109289117747831E-2</v>
      </c>
      <c r="K51" s="110">
        <f t="shared" si="33"/>
        <v>4.8215866160579379E-2</v>
      </c>
      <c r="L51" s="111">
        <f t="shared" si="33"/>
        <v>6.5380630540876838E-2</v>
      </c>
      <c r="N51" s="87" t="s">
        <v>42</v>
      </c>
      <c r="O51" s="222">
        <v>4.0357631099999995</v>
      </c>
      <c r="P51" s="222">
        <v>3.8676701600000003</v>
      </c>
      <c r="Q51" s="222">
        <v>3.7905667100000002</v>
      </c>
      <c r="R51" s="222">
        <v>3.3868743299999999</v>
      </c>
      <c r="S51" s="84">
        <f>O51/$O$48</f>
        <v>3.7729026725421333E-2</v>
      </c>
      <c r="T51" s="84">
        <f>P51/$P$48</f>
        <v>4.5786754486486898E-2</v>
      </c>
      <c r="U51" s="88">
        <f>Q51/$Q$48</f>
        <v>4.0648809045139102E-2</v>
      </c>
      <c r="V51" s="89">
        <f>R51/$R$48</f>
        <v>4.0553724140330087E-2</v>
      </c>
      <c r="W51" s="59">
        <f t="shared" si="32"/>
        <v>-4.1650846548324627E-2</v>
      </c>
      <c r="X51" s="90">
        <f t="shared" si="32"/>
        <v>-1.9935373703118486E-2</v>
      </c>
      <c r="Y51" s="91">
        <f t="shared" si="32"/>
        <v>-0.10649921525850159</v>
      </c>
    </row>
    <row r="52" spans="1:25" x14ac:dyDescent="0.25">
      <c r="A52" s="112" t="s">
        <v>61</v>
      </c>
      <c r="B52" s="113">
        <f t="shared" ref="B52" si="34">O66-B51</f>
        <v>59.604045509997377</v>
      </c>
      <c r="C52" s="113">
        <f t="shared" ref="C52" si="35">P66-C51</f>
        <v>60.604625079999096</v>
      </c>
      <c r="D52" s="113">
        <f t="shared" ref="D52" si="36">Q66-D51</f>
        <v>36.406181829999696</v>
      </c>
      <c r="E52" s="113">
        <f t="shared" ref="E52" si="37">R66-E51</f>
        <v>5.6204022299971257</v>
      </c>
      <c r="F52" s="57"/>
      <c r="G52" s="57"/>
      <c r="H52" s="57"/>
      <c r="I52" s="58"/>
      <c r="J52" s="101">
        <f t="shared" si="33"/>
        <v>1.6787108348776281E-2</v>
      </c>
      <c r="K52" s="101">
        <f t="shared" si="33"/>
        <v>-0.3992837711322702</v>
      </c>
      <c r="L52" s="102">
        <f t="shared" si="33"/>
        <v>-0.8456195638355638</v>
      </c>
      <c r="N52" s="87" t="s">
        <v>44</v>
      </c>
      <c r="O52" s="222">
        <v>18.210988220000001</v>
      </c>
      <c r="P52" s="222">
        <v>13.91310807</v>
      </c>
      <c r="Q52" s="222">
        <v>16.395287539999998</v>
      </c>
      <c r="R52" s="222">
        <v>14.27977394</v>
      </c>
      <c r="S52" s="84">
        <f>O52/$O$48</f>
        <v>0.17024856081027839</v>
      </c>
      <c r="T52" s="84">
        <f>P52/$P$48</f>
        <v>0.16470796034609361</v>
      </c>
      <c r="U52" s="88">
        <f>Q52/$Q$48</f>
        <v>0.17581775060057137</v>
      </c>
      <c r="V52" s="89">
        <f>R52/$R$48</f>
        <v>0.17098302349737154</v>
      </c>
      <c r="W52" s="59">
        <f t="shared" si="32"/>
        <v>-0.23600477349603166</v>
      </c>
      <c r="X52" s="90">
        <f t="shared" si="32"/>
        <v>0.17840582115164993</v>
      </c>
      <c r="Y52" s="91">
        <f t="shared" si="32"/>
        <v>-0.12903180836802808</v>
      </c>
    </row>
    <row r="53" spans="1:25" x14ac:dyDescent="0.25">
      <c r="A53" s="114"/>
      <c r="B53" s="115"/>
      <c r="C53" s="115"/>
      <c r="D53" s="116"/>
      <c r="E53" s="115"/>
      <c r="F53" s="105"/>
      <c r="G53" s="105"/>
      <c r="H53" s="105"/>
      <c r="I53" s="117"/>
      <c r="J53" s="118"/>
      <c r="N53" s="87"/>
      <c r="O53" s="222"/>
      <c r="P53" s="222"/>
      <c r="Q53" s="222"/>
      <c r="R53" s="238"/>
      <c r="S53" s="84"/>
      <c r="T53" s="84"/>
      <c r="U53" s="88"/>
      <c r="V53" s="89"/>
      <c r="W53" s="59"/>
      <c r="X53" s="90"/>
      <c r="Y53" s="91"/>
    </row>
    <row r="54" spans="1:25" x14ac:dyDescent="0.25">
      <c r="A54" s="485" t="s">
        <v>101</v>
      </c>
      <c r="B54" s="486">
        <f>D3</f>
        <v>2024</v>
      </c>
      <c r="C54" s="486">
        <f>E3</f>
        <v>2025</v>
      </c>
      <c r="D54" s="116"/>
      <c r="E54" s="121"/>
      <c r="F54" s="211"/>
      <c r="G54" s="105"/>
      <c r="H54" s="105"/>
      <c r="I54" s="117"/>
      <c r="J54" s="118"/>
      <c r="N54" s="76" t="s">
        <v>59</v>
      </c>
      <c r="O54" s="233">
        <f t="shared" ref="O54" si="38">SUM(O55:O58)</f>
        <v>0</v>
      </c>
      <c r="P54" s="233">
        <f>SUM(P55:P58)</f>
        <v>0</v>
      </c>
      <c r="Q54" s="233">
        <f>SUM(Q55:Q58)</f>
        <v>0</v>
      </c>
      <c r="R54" s="233">
        <f>SUM(R55:R58)</f>
        <v>0</v>
      </c>
      <c r="S54" s="71">
        <f>O54/$O$66</f>
        <v>0</v>
      </c>
      <c r="T54" s="71">
        <f>P54/$P$66</f>
        <v>0</v>
      </c>
      <c r="U54" s="77">
        <f>Q54/$Q$66</f>
        <v>0</v>
      </c>
      <c r="V54" s="78">
        <f>R54/$R$66</f>
        <v>0</v>
      </c>
      <c r="W54" s="73" t="e">
        <f t="shared" ref="W54:Y58" si="39">P54/O54-1</f>
        <v>#DIV/0!</v>
      </c>
      <c r="X54" s="79" t="e">
        <f t="shared" si="39"/>
        <v>#DIV/0!</v>
      </c>
      <c r="Y54" s="80" t="e">
        <f t="shared" si="39"/>
        <v>#DIV/0!</v>
      </c>
    </row>
    <row r="55" spans="1:25" x14ac:dyDescent="0.25">
      <c r="A55" s="485"/>
      <c r="B55" s="487"/>
      <c r="C55" s="487"/>
      <c r="D55" s="116"/>
      <c r="E55" s="121"/>
      <c r="F55" s="105"/>
      <c r="G55" s="105"/>
      <c r="H55" s="105"/>
      <c r="I55" s="117"/>
      <c r="J55" s="118"/>
      <c r="N55" s="87" t="s">
        <v>53</v>
      </c>
      <c r="O55" s="222">
        <v>0</v>
      </c>
      <c r="P55" s="222">
        <v>0</v>
      </c>
      <c r="Q55" s="222">
        <v>0</v>
      </c>
      <c r="R55" s="222">
        <v>0</v>
      </c>
      <c r="S55" s="84" t="e">
        <f>O55/$O$54</f>
        <v>#DIV/0!</v>
      </c>
      <c r="T55" s="84" t="e">
        <f>P55/$P$54</f>
        <v>#DIV/0!</v>
      </c>
      <c r="U55" s="88" t="e">
        <f>Q55/$Q$54</f>
        <v>#DIV/0!</v>
      </c>
      <c r="V55" s="89" t="e">
        <f>R55/$R$54</f>
        <v>#DIV/0!</v>
      </c>
      <c r="W55" s="59" t="e">
        <f t="shared" si="39"/>
        <v>#DIV/0!</v>
      </c>
      <c r="X55" s="90" t="e">
        <f t="shared" si="39"/>
        <v>#DIV/0!</v>
      </c>
      <c r="Y55" s="91" t="e">
        <f t="shared" si="39"/>
        <v>#DIV/0!</v>
      </c>
    </row>
    <row r="56" spans="1:25" x14ac:dyDescent="0.25">
      <c r="A56" s="485" t="s">
        <v>120</v>
      </c>
      <c r="B56" s="487" t="b">
        <v>1</v>
      </c>
      <c r="C56" s="487" t="b">
        <v>1</v>
      </c>
      <c r="D56" s="116"/>
      <c r="E56" s="121"/>
      <c r="F56" s="105"/>
      <c r="G56" s="105"/>
      <c r="H56" s="105"/>
      <c r="I56" s="117"/>
      <c r="J56" s="118"/>
      <c r="N56" s="87" t="s">
        <v>40</v>
      </c>
      <c r="O56" s="222">
        <v>0</v>
      </c>
      <c r="P56" s="222">
        <v>0</v>
      </c>
      <c r="Q56" s="222">
        <v>0</v>
      </c>
      <c r="R56" s="222">
        <v>0</v>
      </c>
      <c r="S56" s="84" t="e">
        <f>O56/$O$54</f>
        <v>#DIV/0!</v>
      </c>
      <c r="T56" s="84" t="e">
        <f>P56/$P$54</f>
        <v>#DIV/0!</v>
      </c>
      <c r="U56" s="88" t="e">
        <f>Q56/$Q$54</f>
        <v>#DIV/0!</v>
      </c>
      <c r="V56" s="89" t="e">
        <f>R56/$R$54</f>
        <v>#DIV/0!</v>
      </c>
      <c r="W56" s="59" t="e">
        <f t="shared" si="39"/>
        <v>#DIV/0!</v>
      </c>
      <c r="X56" s="90" t="e">
        <f t="shared" si="39"/>
        <v>#DIV/0!</v>
      </c>
      <c r="Y56" s="91" t="e">
        <f t="shared" si="39"/>
        <v>#DIV/0!</v>
      </c>
    </row>
    <row r="57" spans="1:25" x14ac:dyDescent="0.25">
      <c r="A57" s="488"/>
      <c r="B57" s="489"/>
      <c r="C57" s="490"/>
      <c r="N57" s="87" t="s">
        <v>42</v>
      </c>
      <c r="O57" s="222">
        <v>0</v>
      </c>
      <c r="P57" s="222">
        <v>0</v>
      </c>
      <c r="Q57" s="222">
        <v>0</v>
      </c>
      <c r="R57" s="222">
        <v>0</v>
      </c>
      <c r="S57" s="84" t="e">
        <f>O57/$O$54</f>
        <v>#DIV/0!</v>
      </c>
      <c r="T57" s="84" t="e">
        <f>P57/$P$54</f>
        <v>#DIV/0!</v>
      </c>
      <c r="U57" s="88" t="e">
        <f>Q57/$Q$54</f>
        <v>#DIV/0!</v>
      </c>
      <c r="V57" s="89" t="e">
        <f>R57/$R$54</f>
        <v>#DIV/0!</v>
      </c>
      <c r="W57" s="59" t="e">
        <f t="shared" si="39"/>
        <v>#DIV/0!</v>
      </c>
      <c r="X57" s="90" t="e">
        <f t="shared" si="39"/>
        <v>#DIV/0!</v>
      </c>
      <c r="Y57" s="91" t="e">
        <f t="shared" si="39"/>
        <v>#DIV/0!</v>
      </c>
    </row>
    <row r="58" spans="1:25" x14ac:dyDescent="0.25">
      <c r="A58" s="485" t="s">
        <v>102</v>
      </c>
      <c r="B58" s="486">
        <f>B54</f>
        <v>2024</v>
      </c>
      <c r="C58" s="486">
        <f>C54</f>
        <v>2025</v>
      </c>
      <c r="N58" s="87" t="s">
        <v>44</v>
      </c>
      <c r="O58" s="222">
        <v>0</v>
      </c>
      <c r="P58" s="222">
        <v>0</v>
      </c>
      <c r="Q58" s="222">
        <v>0</v>
      </c>
      <c r="R58" s="222">
        <v>0</v>
      </c>
      <c r="S58" s="84" t="e">
        <f>O58/$O$54</f>
        <v>#DIV/0!</v>
      </c>
      <c r="T58" s="84" t="e">
        <f>P58/$P$54</f>
        <v>#DIV/0!</v>
      </c>
      <c r="U58" s="88" t="e">
        <f>Q58/$Q$54</f>
        <v>#DIV/0!</v>
      </c>
      <c r="V58" s="89" t="e">
        <f>R58/$R$54</f>
        <v>#DIV/0!</v>
      </c>
      <c r="W58" s="59" t="e">
        <f t="shared" si="39"/>
        <v>#DIV/0!</v>
      </c>
      <c r="X58" s="90" t="e">
        <f t="shared" si="39"/>
        <v>#DIV/0!</v>
      </c>
      <c r="Y58" s="91" t="e">
        <f t="shared" si="39"/>
        <v>#DIV/0!</v>
      </c>
    </row>
    <row r="59" spans="1:25" x14ac:dyDescent="0.25">
      <c r="A59" s="485"/>
      <c r="B59" s="487"/>
      <c r="C59" s="487"/>
      <c r="N59" s="87"/>
      <c r="O59" s="222"/>
      <c r="P59" s="222"/>
      <c r="Q59" s="222"/>
      <c r="R59" s="238"/>
      <c r="S59" s="84"/>
      <c r="T59" s="84"/>
      <c r="U59" s="88"/>
      <c r="V59" s="89"/>
      <c r="W59" s="59"/>
      <c r="X59" s="90"/>
      <c r="Y59" s="91"/>
    </row>
    <row r="60" spans="1:25" x14ac:dyDescent="0.25">
      <c r="A60" s="485" t="str">
        <f>A56</f>
        <v>Verif fichier CU</v>
      </c>
      <c r="B60" s="487" t="b">
        <v>1</v>
      </c>
      <c r="C60" s="491" t="b">
        <v>1</v>
      </c>
      <c r="N60" s="76" t="s">
        <v>62</v>
      </c>
      <c r="O60" s="233">
        <f t="shared" ref="O60" si="40">SUM(O61:O64)</f>
        <v>939.03202484000008</v>
      </c>
      <c r="P60" s="233">
        <f>SUM(P61:P65)</f>
        <v>894.29140292</v>
      </c>
      <c r="Q60" s="233">
        <f>SUM(Q61:Q65)</f>
        <v>843.77411905999998</v>
      </c>
      <c r="R60" s="233">
        <f>SUM(R61:R65)</f>
        <v>800.43146371</v>
      </c>
      <c r="S60" s="71">
        <f>O60/$O$66</f>
        <v>6.3343526905187131E-2</v>
      </c>
      <c r="T60" s="71">
        <f>P60/$P$66</f>
        <v>5.63320652470247E-2</v>
      </c>
      <c r="U60" s="77">
        <f>Q60/$Q$66</f>
        <v>5.0787924267892387E-2</v>
      </c>
      <c r="V60" s="78">
        <f>R60/$R$66</f>
        <v>4.5307297934595384E-2</v>
      </c>
      <c r="W60" s="73">
        <f t="shared" ref="W60:Y64" si="41">P60/O60-1</f>
        <v>-4.7645469735308921E-2</v>
      </c>
      <c r="X60" s="79">
        <f t="shared" si="41"/>
        <v>-5.6488616232978739E-2</v>
      </c>
      <c r="Y60" s="80">
        <f t="shared" si="41"/>
        <v>-5.1367604636043507E-2</v>
      </c>
    </row>
    <row r="61" spans="1:25" x14ac:dyDescent="0.25">
      <c r="B61" s="123"/>
      <c r="N61" s="87" t="s">
        <v>53</v>
      </c>
      <c r="O61" s="222">
        <v>428.92377140999997</v>
      </c>
      <c r="P61" s="222">
        <v>425.40515002999996</v>
      </c>
      <c r="Q61" s="222">
        <v>419.50033736999995</v>
      </c>
      <c r="R61" s="222">
        <v>428.72327184999995</v>
      </c>
      <c r="S61" s="84">
        <f>O61/$O$60</f>
        <v>0.45677225064084848</v>
      </c>
      <c r="T61" s="84">
        <f>P61/$P$60</f>
        <v>0.47568963387212071</v>
      </c>
      <c r="U61" s="88">
        <f>Q61/$Q$60</f>
        <v>0.49717137311267745</v>
      </c>
      <c r="V61" s="89">
        <f>R61/$R$60</f>
        <v>0.53561521665186362</v>
      </c>
      <c r="W61" s="59">
        <f t="shared" si="41"/>
        <v>-8.2033722878852577E-3</v>
      </c>
      <c r="X61" s="90">
        <f t="shared" si="41"/>
        <v>-1.3880444699796435E-2</v>
      </c>
      <c r="Y61" s="91">
        <f t="shared" si="41"/>
        <v>2.1985523391523154E-2</v>
      </c>
    </row>
    <row r="62" spans="1:25" x14ac:dyDescent="0.25">
      <c r="N62" s="87" t="s">
        <v>40</v>
      </c>
      <c r="O62" s="222">
        <v>196.68327118000002</v>
      </c>
      <c r="P62" s="222">
        <v>152.33319114</v>
      </c>
      <c r="Q62" s="222">
        <v>69.895077450000002</v>
      </c>
      <c r="R62" s="222">
        <v>62.393240339999998</v>
      </c>
      <c r="S62" s="84">
        <f>O62/$O$60</f>
        <v>0.20945320923800498</v>
      </c>
      <c r="T62" s="84">
        <f>P62/$P$60</f>
        <v>0.17033954552465619</v>
      </c>
      <c r="U62" s="88">
        <f>Q62/$Q$60</f>
        <v>8.2836242391347667E-2</v>
      </c>
      <c r="V62" s="89">
        <f>R62/$R$60</f>
        <v>7.7949509944058568E-2</v>
      </c>
      <c r="W62" s="59">
        <f t="shared" si="41"/>
        <v>-0.22548984351298407</v>
      </c>
      <c r="X62" s="90">
        <f t="shared" si="41"/>
        <v>-0.54116974162404463</v>
      </c>
      <c r="Y62" s="91">
        <f t="shared" si="41"/>
        <v>-0.10732997778515241</v>
      </c>
    </row>
    <row r="63" spans="1:25" x14ac:dyDescent="0.25">
      <c r="N63" s="87" t="s">
        <v>42</v>
      </c>
      <c r="O63" s="222">
        <v>109.34636859</v>
      </c>
      <c r="P63" s="222">
        <v>108.60969757000001</v>
      </c>
      <c r="Q63" s="222">
        <v>104.31064445</v>
      </c>
      <c r="R63" s="222">
        <v>105.84858226</v>
      </c>
      <c r="S63" s="84">
        <f>O63/$O$60</f>
        <v>0.11644583538951328</v>
      </c>
      <c r="T63" s="84">
        <f>P63/$P$60</f>
        <v>0.12144777106810209</v>
      </c>
      <c r="U63" s="88">
        <f>Q63/$Q$60</f>
        <v>0.12362389660186125</v>
      </c>
      <c r="V63" s="89">
        <f>R63/$R$60</f>
        <v>0.13223940719345514</v>
      </c>
      <c r="W63" s="59">
        <f t="shared" si="41"/>
        <v>-6.737041471968519E-3</v>
      </c>
      <c r="X63" s="90">
        <f t="shared" si="41"/>
        <v>-3.9582589917711797E-2</v>
      </c>
      <c r="Y63" s="91">
        <f t="shared" si="41"/>
        <v>1.4743824257908766E-2</v>
      </c>
    </row>
    <row r="64" spans="1:25" x14ac:dyDescent="0.25">
      <c r="N64" s="87" t="s">
        <v>44</v>
      </c>
      <c r="O64" s="222">
        <v>204.07861366000003</v>
      </c>
      <c r="P64" s="222">
        <v>173.14820348000001</v>
      </c>
      <c r="Q64" s="222">
        <v>202.29808724999998</v>
      </c>
      <c r="R64" s="222">
        <v>178.25552872</v>
      </c>
      <c r="S64" s="84">
        <f>O64/$O$60</f>
        <v>0.21732870473163321</v>
      </c>
      <c r="T64" s="84">
        <f>P64/$P$60</f>
        <v>0.1936149703716756</v>
      </c>
      <c r="U64" s="88">
        <f>Q64/$Q$60</f>
        <v>0.23975384250392581</v>
      </c>
      <c r="V64" s="89">
        <f>R64/$R$60</f>
        <v>0.22269930256587564</v>
      </c>
      <c r="W64" s="59">
        <f t="shared" si="41"/>
        <v>-0.15156125193760306</v>
      </c>
      <c r="X64" s="90">
        <f t="shared" si="41"/>
        <v>0.16835221610235784</v>
      </c>
      <c r="Y64" s="91">
        <f t="shared" si="41"/>
        <v>-0.11884718662855265</v>
      </c>
    </row>
    <row r="65" spans="14:25" x14ac:dyDescent="0.25">
      <c r="N65" s="237" t="s">
        <v>136</v>
      </c>
      <c r="O65" s="227"/>
      <c r="P65" s="221">
        <v>34.795160699999997</v>
      </c>
      <c r="Q65" s="221">
        <v>47.769972539999998</v>
      </c>
      <c r="R65" s="221">
        <v>25.210840540000003</v>
      </c>
      <c r="S65" s="99"/>
      <c r="T65" s="99"/>
      <c r="U65" s="128"/>
      <c r="V65" s="129"/>
      <c r="W65" s="101"/>
      <c r="X65" s="130"/>
      <c r="Y65" s="131"/>
    </row>
    <row r="66" spans="14:25" x14ac:dyDescent="0.25">
      <c r="N66" s="132" t="s">
        <v>63</v>
      </c>
      <c r="O66" s="232">
        <f>O5+O12+O18+O24+O36+O42+O48+O54+O60+O30</f>
        <v>14824.43543514</v>
      </c>
      <c r="P66" s="232">
        <f>P5+P12+P18+P24+P36+P42+P48+P54+P60+P30</f>
        <v>15875.352678769999</v>
      </c>
      <c r="Q66" s="232">
        <f>Q5+Q12+Q18+Q24+Q36+Q42+Q48+Q54+Q60+Q30</f>
        <v>16613.676011039999</v>
      </c>
      <c r="R66" s="232">
        <f>R5+R12+R18+R24+R36+R42+R48+R54+R60+R30</f>
        <v>17666.722585520001</v>
      </c>
      <c r="S66" s="108">
        <f>S60+S54+S48+S42+S36+S24+S18+S12+S5</f>
        <v>0.81185983660134853</v>
      </c>
      <c r="T66" s="108">
        <f>T60+T54+T48+T42+T36+T24+T18+T12+T5</f>
        <v>0.82626273203313194</v>
      </c>
      <c r="U66" s="133">
        <f>U60+U54+U48+U42+U36+U24+U18+U12+U5</f>
        <v>0.80889999587386596</v>
      </c>
      <c r="V66" s="133">
        <f>V60+V54+V48+V42+V36+V24+V18+V12+V5</f>
        <v>0.77887281529444952</v>
      </c>
      <c r="W66" s="110">
        <f>P66/O66-1</f>
        <v>7.0890877985066103E-2</v>
      </c>
      <c r="X66" s="134">
        <f>Q66/P66-1</f>
        <v>4.6507523153004104E-2</v>
      </c>
      <c r="Y66" s="134">
        <f>R66/Q66-1</f>
        <v>6.3384321072605498E-2</v>
      </c>
    </row>
    <row r="67" spans="14:25" x14ac:dyDescent="0.25">
      <c r="N67" s="135"/>
      <c r="O67" s="136"/>
      <c r="P67" s="136"/>
      <c r="Q67" s="137"/>
      <c r="R67" s="138"/>
      <c r="S67" s="139"/>
      <c r="T67" s="139"/>
      <c r="U67" s="139"/>
      <c r="V67" s="140"/>
      <c r="W67" s="135"/>
      <c r="X67" s="141"/>
      <c r="Y67" s="142"/>
    </row>
    <row r="68" spans="14:25" x14ac:dyDescent="0.25">
      <c r="N68" s="503" t="s">
        <v>144</v>
      </c>
      <c r="O68" s="504">
        <f>+[1]Vieillesse!$F$204</f>
        <v>2497</v>
      </c>
      <c r="P68" s="504">
        <f>+[1]Vieillesse!$G$204</f>
        <v>2596.6026350000002</v>
      </c>
      <c r="Q68" s="504">
        <f>+[1]Vieillesse!$H$204</f>
        <v>2595.9372039999998</v>
      </c>
      <c r="R68" s="504">
        <f>+[1]Vieillesse!$I$204</f>
        <v>2538</v>
      </c>
      <c r="S68" s="147">
        <f>R68/R66</f>
        <v>0.14365992264350128</v>
      </c>
      <c r="T68" s="139"/>
      <c r="U68" s="139"/>
      <c r="V68" s="140"/>
      <c r="W68" s="143"/>
      <c r="X68" s="141"/>
      <c r="Y68" s="142"/>
    </row>
    <row r="69" spans="14:25" x14ac:dyDescent="0.25">
      <c r="N69" s="144"/>
      <c r="O69" s="505"/>
      <c r="P69" s="505"/>
      <c r="Q69" s="505"/>
      <c r="R69" s="505"/>
      <c r="W69" s="145"/>
    </row>
    <row r="70" spans="14:25" x14ac:dyDescent="0.25">
      <c r="N70" s="143"/>
      <c r="O70" s="145"/>
      <c r="P70" s="145"/>
      <c r="Q70" s="145"/>
      <c r="R70" s="146"/>
      <c r="W70" s="145"/>
    </row>
    <row r="71" spans="14:25" x14ac:dyDescent="0.25">
      <c r="W71" s="145"/>
    </row>
    <row r="72" spans="14:25" x14ac:dyDescent="0.25">
      <c r="W72" s="145"/>
    </row>
    <row r="73" spans="14:25" x14ac:dyDescent="0.25">
      <c r="N73" s="152"/>
      <c r="O73" s="20"/>
      <c r="P73" s="151"/>
      <c r="Q73" s="145"/>
      <c r="R73" s="146"/>
      <c r="W73" s="145"/>
    </row>
    <row r="74" spans="14:25" x14ac:dyDescent="0.25">
      <c r="N74" s="152"/>
      <c r="O74" s="20"/>
      <c r="P74" s="151"/>
    </row>
    <row r="75" spans="14:25" x14ac:dyDescent="0.25">
      <c r="N75" s="152"/>
      <c r="O75" s="20"/>
      <c r="P75" s="151"/>
    </row>
    <row r="76" spans="14:25" x14ac:dyDescent="0.25">
      <c r="N76" s="152"/>
      <c r="O76" s="20"/>
      <c r="P76" s="151"/>
    </row>
    <row r="77" spans="14:25" x14ac:dyDescent="0.25">
      <c r="N77" s="152"/>
      <c r="O77" s="20"/>
      <c r="P77" s="151"/>
    </row>
    <row r="78" spans="14:25" x14ac:dyDescent="0.25">
      <c r="N78" s="152"/>
      <c r="O78" s="20"/>
      <c r="P78" s="151"/>
    </row>
    <row r="79" spans="14:25" x14ac:dyDescent="0.25">
      <c r="N79" s="152"/>
    </row>
    <row r="80" spans="14:25" x14ac:dyDescent="0.25">
      <c r="N80" s="152"/>
    </row>
    <row r="81" spans="14:14" x14ac:dyDescent="0.25">
      <c r="N81" s="152"/>
    </row>
    <row r="100" spans="14:15" x14ac:dyDescent="0.25">
      <c r="N100" s="143"/>
      <c r="O100" s="150"/>
    </row>
    <row r="101" spans="14:15" x14ac:dyDescent="0.25">
      <c r="N101" s="143"/>
      <c r="O101" s="150"/>
    </row>
    <row r="102" spans="14:15" x14ac:dyDescent="0.25">
      <c r="N102" s="152"/>
      <c r="O102" s="20"/>
    </row>
    <row r="103" spans="14:15" x14ac:dyDescent="0.25">
      <c r="N103" s="152"/>
      <c r="O103" s="20"/>
    </row>
    <row r="104" spans="14:15" x14ac:dyDescent="0.25">
      <c r="N104" s="152"/>
      <c r="O104" s="20"/>
    </row>
    <row r="105" spans="14:15" x14ac:dyDescent="0.25">
      <c r="N105" s="152"/>
      <c r="O105" s="20"/>
    </row>
    <row r="106" spans="14:15" x14ac:dyDescent="0.25">
      <c r="N106" s="152"/>
      <c r="O106" s="20"/>
    </row>
  </sheetData>
  <protectedRanges>
    <protectedRange sqref="P67:R67" name="Plage1"/>
    <protectedRange sqref="E26 E12 E20:E24 E28:E31 E34:E37 E40:E44 E46:E50 E14:E18" name="Plage1_5"/>
    <protectedRange sqref="B45:E45 B39:E39 B33:E33 B27:E27 B19:E19" name="Plage1_1_3"/>
    <protectedRange sqref="B28:D31 B46:D50 B40:D44 B12:D12 B14:D18 B20:D24 B26:D26 B34:D37" name="Plage1_3_2"/>
    <protectedRange sqref="R19:R23 R10:R11 R13:R17 R25:R29 R37:R41 R43:R47 R49:R53 R55:R59 R61:R64 R31:R35" name="Plage1_7"/>
    <protectedRange sqref="R6:R9" name="Plage1_1"/>
    <protectedRange sqref="B7:E11" name="Plage1_2"/>
  </protectedRanges>
  <mergeCells count="7">
    <mergeCell ref="A2:A3"/>
    <mergeCell ref="B2:E2"/>
    <mergeCell ref="W2:Y2"/>
    <mergeCell ref="F2:I2"/>
    <mergeCell ref="S2:V2"/>
    <mergeCell ref="J2:L2"/>
    <mergeCell ref="O2:R2"/>
  </mergeCells>
  <phoneticPr fontId="2" type="noConversion"/>
  <printOptions horizontalCentered="1" verticalCentered="1"/>
  <pageMargins left="0.27" right="0.19685039370078741" top="0.35" bottom="0.25" header="0.51181102362204722" footer="0.51181102362204722"/>
  <pageSetup paperSize="9" scale="75" orientation="landscape" cellComments="asDisplayed" r:id="rId1"/>
  <headerFooter alignWithMargins="0">
    <oddHeader>&amp;CCOMPTES CONSOLIDES DU REGIME DES SALARIES AGRICOLES (en millions d'euros)
selon le rapport de la commission des comptes de la Sécurité sociale (sept. 2010)
CHIFFRES UTILES - BUDGET 2011</oddHeader>
    <oddFooter>&amp;L&amp;Z&amp;F
&amp;D&amp;R&amp;P/&amp;N</oddFooter>
  </headerFooter>
  <colBreaks count="1" manualBreakCount="1">
    <brk id="12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70C0"/>
  </sheetPr>
  <dimension ref="A1:M48"/>
  <sheetViews>
    <sheetView topLeftCell="A6" zoomScale="90" zoomScaleNormal="90" workbookViewId="0">
      <selection activeCell="D31" sqref="D31:D40"/>
    </sheetView>
  </sheetViews>
  <sheetFormatPr baseColWidth="10" defaultRowHeight="12.5" x14ac:dyDescent="0.25"/>
  <cols>
    <col min="2" max="2" width="42.1796875" customWidth="1"/>
    <col min="3" max="4" width="17.81640625" bestFit="1" customWidth="1"/>
    <col min="5" max="5" width="16" bestFit="1" customWidth="1"/>
    <col min="6" max="6" width="24.54296875" customWidth="1"/>
    <col min="7" max="7" width="14.81640625" customWidth="1"/>
    <col min="9" max="9" width="18.7265625" style="2" bestFit="1" customWidth="1"/>
    <col min="22" max="22" width="12.81640625" bestFit="1" customWidth="1"/>
  </cols>
  <sheetData>
    <row r="1" spans="1:13" ht="13.5" thickBot="1" x14ac:dyDescent="0.35">
      <c r="I1" s="422" t="s">
        <v>169</v>
      </c>
    </row>
    <row r="2" spans="1:13" ht="62.25" customHeight="1" thickBot="1" x14ac:dyDescent="0.3">
      <c r="B2" s="431" t="s">
        <v>10</v>
      </c>
      <c r="C2" s="432" t="s">
        <v>159</v>
      </c>
      <c r="D2" s="432" t="s">
        <v>219</v>
      </c>
      <c r="E2" s="433" t="s">
        <v>220</v>
      </c>
      <c r="F2" s="433" t="s">
        <v>217</v>
      </c>
      <c r="G2" s="434" t="s">
        <v>9</v>
      </c>
    </row>
    <row r="3" spans="1:13" ht="13.5" thickBot="1" x14ac:dyDescent="0.35">
      <c r="A3" s="585" t="s">
        <v>204</v>
      </c>
      <c r="B3" s="481" t="s">
        <v>0</v>
      </c>
      <c r="C3" s="9">
        <f>'COMPTES SA (Chiffres utiles)'!D51</f>
        <v>16577.269829209999</v>
      </c>
      <c r="D3" s="477">
        <f>'COMPTES SA (Chiffres utiles)'!E51</f>
        <v>17661.102183290004</v>
      </c>
      <c r="E3" s="161"/>
      <c r="F3" s="312">
        <f>(D3-C3)/C3</f>
        <v>6.5380630540876922E-2</v>
      </c>
      <c r="G3" s="313">
        <f>(C3/C3)*F3*100</f>
        <v>6.5380630540876918</v>
      </c>
      <c r="H3" s="1"/>
      <c r="I3" s="197" t="s">
        <v>18</v>
      </c>
      <c r="J3" s="283" t="s">
        <v>152</v>
      </c>
      <c r="M3" t="s">
        <v>221</v>
      </c>
    </row>
    <row r="4" spans="1:13" ht="13" thickBot="1" x14ac:dyDescent="0.3">
      <c r="A4" s="586"/>
      <c r="B4" s="480" t="s">
        <v>1</v>
      </c>
      <c r="C4" s="465">
        <f>SUM(C5:C9)</f>
        <v>14590.219966739998</v>
      </c>
      <c r="D4" s="478">
        <f>SUM(D5:D9)</f>
        <v>15701.250095570005</v>
      </c>
      <c r="E4" s="464">
        <f>D4/D3</f>
        <v>0.88903002386938756</v>
      </c>
      <c r="F4" s="314">
        <f>(D4-C4)/C4</f>
        <v>7.614896357715796E-2</v>
      </c>
      <c r="G4" s="313">
        <f>(C4/C4)*F4*100</f>
        <v>7.6148963577157964</v>
      </c>
      <c r="H4" s="174"/>
    </row>
    <row r="5" spans="1:13" ht="13" thickBot="1" x14ac:dyDescent="0.3">
      <c r="A5" s="586"/>
      <c r="B5" s="482" t="s">
        <v>206</v>
      </c>
      <c r="C5" s="507">
        <f>[1]Vieillesse!$H$11</f>
        <v>7339.8304457100012</v>
      </c>
      <c r="D5" s="509">
        <f>[1]Vieillesse!$I$11</f>
        <v>7607.3031293200029</v>
      </c>
      <c r="E5" s="523">
        <f>D5/$D$4</f>
        <v>0.48450302256291994</v>
      </c>
      <c r="F5" s="314">
        <f>(D5-C5)/C5</f>
        <v>3.6441261904944233E-2</v>
      </c>
      <c r="G5" s="315">
        <f>(C5/C4)*F5*100</f>
        <v>1.8332327012185901</v>
      </c>
      <c r="H5" s="15"/>
    </row>
    <row r="6" spans="1:13" ht="13" thickBot="1" x14ac:dyDescent="0.3">
      <c r="A6" s="586"/>
      <c r="B6" s="483" t="s">
        <v>207</v>
      </c>
      <c r="C6" s="508">
        <f>[1]Maladie!$H$11</f>
        <v>5278.0033860999984</v>
      </c>
      <c r="D6" s="510">
        <f>[1]Maladie!$I$11</f>
        <v>6077.0341122000018</v>
      </c>
      <c r="E6" s="524">
        <f>D6/$D$4</f>
        <v>0.38704141869026043</v>
      </c>
      <c r="F6" s="314">
        <f t="shared" ref="F6:F9" si="0">(D6-C6)/C6</f>
        <v>0.15138882407773901</v>
      </c>
      <c r="G6" s="316">
        <f>(C6/$C$4)*F6*100</f>
        <v>5.4764816974759905</v>
      </c>
      <c r="H6" s="15"/>
    </row>
    <row r="7" spans="1:13" ht="13" thickBot="1" x14ac:dyDescent="0.3">
      <c r="A7" s="586"/>
      <c r="B7" s="484" t="s">
        <v>208</v>
      </c>
      <c r="C7" s="507">
        <f>[1]Famille!$H$11</f>
        <v>653.57270899000002</v>
      </c>
      <c r="D7" s="509">
        <f>[1]Famille!$I$11</f>
        <v>645.19057653000004</v>
      </c>
      <c r="E7" s="525">
        <f>D7/$D$4</f>
        <v>4.1091669300397676E-2</v>
      </c>
      <c r="F7" s="314">
        <f t="shared" si="0"/>
        <v>-1.2825095578047202E-2</v>
      </c>
      <c r="G7" s="317">
        <f>(C7/$C$4)*F7*100</f>
        <v>-5.745035015995624E-2</v>
      </c>
      <c r="H7" s="15"/>
    </row>
    <row r="8" spans="1:13" ht="13" thickBot="1" x14ac:dyDescent="0.3">
      <c r="A8" s="586"/>
      <c r="B8" s="484" t="s">
        <v>209</v>
      </c>
      <c r="C8" s="508">
        <f>[1]AT!$H$11</f>
        <v>604.94549303000008</v>
      </c>
      <c r="D8" s="510">
        <f>[1]AT!$I$11</f>
        <v>640.50519927999994</v>
      </c>
      <c r="E8" s="525">
        <f>D8/$D$4</f>
        <v>4.0793261388831319E-2</v>
      </c>
      <c r="F8" s="314">
        <f t="shared" si="0"/>
        <v>5.8781669852421579E-2</v>
      </c>
      <c r="G8" s="317">
        <f>(C8/$C$4)*F8*100</f>
        <v>0.24372289335638603</v>
      </c>
    </row>
    <row r="9" spans="1:13" ht="13" thickBot="1" x14ac:dyDescent="0.3">
      <c r="A9" s="587"/>
      <c r="B9" s="484" t="s">
        <v>210</v>
      </c>
      <c r="C9" s="508">
        <f>[1]SASPA!$H$11</f>
        <v>713.86793290999992</v>
      </c>
      <c r="D9" s="510">
        <f>[1]SASPA!$I$11</f>
        <v>731.21707823999998</v>
      </c>
      <c r="E9" s="525">
        <f>D9/$D$4</f>
        <v>4.6570628057590623E-2</v>
      </c>
      <c r="F9" s="314">
        <f t="shared" si="0"/>
        <v>2.4303018149699308E-2</v>
      </c>
      <c r="G9" s="317">
        <f>(C9/$C$4)*F9*100</f>
        <v>0.11890941582477392</v>
      </c>
      <c r="H9" s="235"/>
    </row>
    <row r="10" spans="1:13" ht="13" thickBot="1" x14ac:dyDescent="0.3">
      <c r="A10" s="588" t="s">
        <v>205</v>
      </c>
      <c r="B10" s="466" t="s">
        <v>2</v>
      </c>
      <c r="C10" s="10">
        <f>'COMPTES SA (Chiffres utiles)'!Q66</f>
        <v>16613.676011039999</v>
      </c>
      <c r="D10" s="10">
        <f>'COMPTES SA (Chiffres utiles)'!R66</f>
        <v>17666.722585520001</v>
      </c>
      <c r="E10" s="203"/>
      <c r="F10" s="168">
        <f t="shared" ref="F10:F11" si="1">(D10-C10)/C10</f>
        <v>6.3384321072605443E-2</v>
      </c>
      <c r="G10" s="177" t="s">
        <v>11</v>
      </c>
      <c r="H10" s="1"/>
    </row>
    <row r="11" spans="1:13" x14ac:dyDescent="0.25">
      <c r="A11" s="589"/>
      <c r="B11" s="475" t="s">
        <v>213</v>
      </c>
      <c r="C11" s="8">
        <f>SUM(C12:C15)</f>
        <v>6640.469457180001</v>
      </c>
      <c r="D11" s="160">
        <f>SUM(D12:D15)</f>
        <v>6892.7554094400002</v>
      </c>
      <c r="E11" s="172">
        <f>D11/D10</f>
        <v>0.3901547316472519</v>
      </c>
      <c r="F11" s="166">
        <f t="shared" si="1"/>
        <v>3.799218622822146E-2</v>
      </c>
      <c r="G11" s="175">
        <f>(C11/C11)*F11*100</f>
        <v>3.7992186228221461</v>
      </c>
      <c r="H11" s="174"/>
    </row>
    <row r="12" spans="1:13" x14ac:dyDescent="0.25">
      <c r="A12" s="589"/>
      <c r="B12" s="318" t="s">
        <v>8</v>
      </c>
      <c r="C12" s="498">
        <f>'COMPTES SA (Chiffres utiles)'!Q6</f>
        <v>1816.51448605</v>
      </c>
      <c r="D12" s="499">
        <f>'COMPTES SA (Chiffres utiles)'!R6</f>
        <v>1944.42121118</v>
      </c>
      <c r="E12" s="171">
        <f>D12/$D$11</f>
        <v>0.28209635997195115</v>
      </c>
      <c r="F12" s="319">
        <f t="shared" ref="F12:F17" si="2">(D12-C12)/C12</f>
        <v>7.041327009075081E-2</v>
      </c>
      <c r="G12" s="461">
        <f>(C12/$C$11)*F12*100</f>
        <v>1.9261699184791976</v>
      </c>
      <c r="H12" s="15"/>
    </row>
    <row r="13" spans="1:13" x14ac:dyDescent="0.25">
      <c r="A13" s="589"/>
      <c r="B13" s="318" t="s">
        <v>5</v>
      </c>
      <c r="C13" s="498">
        <f>'COMPTES SA (Chiffres utiles)'!Q8</f>
        <v>537.76405104999992</v>
      </c>
      <c r="D13" s="499">
        <f>'COMPTES SA (Chiffres utiles)'!R8</f>
        <v>534.76664822999999</v>
      </c>
      <c r="E13" s="171">
        <f>D13/$D$11</f>
        <v>7.7583871248007474E-2</v>
      </c>
      <c r="F13" s="319">
        <f t="shared" si="2"/>
        <v>-5.5738252011219751E-3</v>
      </c>
      <c r="G13" s="461">
        <f>(C13/$C$11)*F13*100</f>
        <v>-4.5138417386424316E-2</v>
      </c>
      <c r="H13" s="15"/>
    </row>
    <row r="14" spans="1:13" x14ac:dyDescent="0.25">
      <c r="A14" s="589"/>
      <c r="B14" s="318" t="s">
        <v>6</v>
      </c>
      <c r="C14" s="498">
        <f>'COMPTES SA (Chiffres utiles)'!Q7</f>
        <v>742.87408088999996</v>
      </c>
      <c r="D14" s="499">
        <f>'COMPTES SA (Chiffres utiles)'!R7</f>
        <v>765.88985773000002</v>
      </c>
      <c r="E14" s="171">
        <f>D14/$D$11</f>
        <v>0.11111519446650792</v>
      </c>
      <c r="F14" s="319">
        <f t="shared" si="2"/>
        <v>3.0982070087067805E-2</v>
      </c>
      <c r="G14" s="461">
        <f>(C14/$C$11)*F14*100</f>
        <v>0.34659864017768005</v>
      </c>
      <c r="H14" s="15"/>
    </row>
    <row r="15" spans="1:13" x14ac:dyDescent="0.25">
      <c r="A15" s="589"/>
      <c r="B15" s="318" t="s">
        <v>7</v>
      </c>
      <c r="C15" s="498">
        <f>'COMPTES SA (Chiffres utiles)'!Q9</f>
        <v>3543.3168391900003</v>
      </c>
      <c r="D15" s="499">
        <f>'COMPTES SA (Chiffres utiles)'!R9</f>
        <v>3647.6776922999998</v>
      </c>
      <c r="E15" s="171">
        <f>D15/$D$11</f>
        <v>0.5292045743135334</v>
      </c>
      <c r="F15" s="319">
        <f t="shared" si="2"/>
        <v>2.9452870811817168E-2</v>
      </c>
      <c r="G15" s="461">
        <f>(C15/$C$11)*F15*100</f>
        <v>1.5715884815516974</v>
      </c>
      <c r="H15" s="15"/>
    </row>
    <row r="16" spans="1:13" x14ac:dyDescent="0.25">
      <c r="A16" s="589"/>
      <c r="B16" s="7" t="s">
        <v>3</v>
      </c>
      <c r="C16" s="498">
        <f>'COMPTES SA (Chiffres utiles)'!Q24</f>
        <v>15.96992283</v>
      </c>
      <c r="D16" s="498">
        <f>'COMPTES SA (Chiffres utiles)'!R24</f>
        <v>13.610129110000001</v>
      </c>
      <c r="E16" s="171">
        <f>D16/D10</f>
        <v>7.7038222817599081E-4</v>
      </c>
      <c r="F16" s="167">
        <f t="shared" si="2"/>
        <v>-0.14776487933724092</v>
      </c>
      <c r="G16" s="176"/>
      <c r="H16" s="15"/>
    </row>
    <row r="17" spans="1:13" x14ac:dyDescent="0.25">
      <c r="A17" s="589"/>
      <c r="B17" s="207" t="s">
        <v>124</v>
      </c>
      <c r="C17" s="500">
        <f>C30</f>
        <v>2595.9372039999998</v>
      </c>
      <c r="D17" s="501">
        <f>D30</f>
        <v>2538</v>
      </c>
      <c r="E17" s="171">
        <f>D17/D10</f>
        <v>0.14365992264350128</v>
      </c>
      <c r="F17" s="169">
        <f t="shared" si="2"/>
        <v>-2.2318415064403786E-2</v>
      </c>
      <c r="G17" s="178"/>
      <c r="H17" s="230"/>
    </row>
    <row r="18" spans="1:13" ht="13" thickBot="1" x14ac:dyDescent="0.3">
      <c r="A18" s="590"/>
      <c r="B18" s="16" t="s">
        <v>17</v>
      </c>
      <c r="C18" s="502">
        <f>'COMPTES SA (Chiffres utiles)'!Q12</f>
        <v>526.97571078999999</v>
      </c>
      <c r="D18" s="502">
        <f>'COMPTES SA (Chiffres utiles)'!R12</f>
        <v>548.16254801000002</v>
      </c>
      <c r="E18" s="173">
        <f>D18/D10</f>
        <v>3.1027970544988633E-2</v>
      </c>
      <c r="F18" s="169">
        <f>(D18-C18)/C18</f>
        <v>4.0204580184992608E-2</v>
      </c>
      <c r="G18" s="179"/>
      <c r="H18" s="15"/>
    </row>
    <row r="19" spans="1:13" ht="13" thickBot="1" x14ac:dyDescent="0.3">
      <c r="B19" s="3" t="s">
        <v>4</v>
      </c>
      <c r="C19" s="11">
        <f>C10-C3</f>
        <v>36.406181829999696</v>
      </c>
      <c r="D19" s="17">
        <f>D10-D3</f>
        <v>5.6204022299971257</v>
      </c>
      <c r="E19" s="162"/>
      <c r="F19" s="170">
        <f>(D19-C19)/C19</f>
        <v>-0.8456195638355638</v>
      </c>
      <c r="G19" s="18" t="s">
        <v>11</v>
      </c>
      <c r="H19" s="15"/>
    </row>
    <row r="20" spans="1:13" x14ac:dyDescent="0.25">
      <c r="B20" s="429" t="s">
        <v>123</v>
      </c>
      <c r="C20" s="430" t="b">
        <f>C19='COMPTES SA (Chiffres utiles)'!D52</f>
        <v>1</v>
      </c>
      <c r="D20" s="430" t="b">
        <f>D19='COMPTES SA (Chiffres utiles)'!E52</f>
        <v>1</v>
      </c>
      <c r="E20" s="1"/>
      <c r="F20" s="231"/>
      <c r="G20" s="1"/>
    </row>
    <row r="21" spans="1:13" x14ac:dyDescent="0.25">
      <c r="B21" s="194"/>
      <c r="C21" s="193"/>
      <c r="D21" s="193"/>
      <c r="E21" s="1"/>
      <c r="F21" s="231"/>
      <c r="G21" s="1"/>
    </row>
    <row r="22" spans="1:13" x14ac:dyDescent="0.25">
      <c r="B22" s="1"/>
      <c r="C22" s="193"/>
      <c r="D22" s="193"/>
      <c r="E22" s="1"/>
      <c r="G22" s="1"/>
    </row>
    <row r="23" spans="1:13" ht="13" x14ac:dyDescent="0.3">
      <c r="B23" s="1"/>
      <c r="C23" s="1"/>
      <c r="D23" s="1"/>
      <c r="F23" s="1"/>
      <c r="I23" s="422" t="s">
        <v>197</v>
      </c>
    </row>
    <row r="24" spans="1:13" ht="13" x14ac:dyDescent="0.3">
      <c r="B24" s="1"/>
      <c r="C24" s="1"/>
      <c r="D24" s="1"/>
      <c r="E24" s="1"/>
      <c r="F24" s="1"/>
      <c r="G24" s="1"/>
      <c r="I24" s="197" t="s">
        <v>21</v>
      </c>
      <c r="J24" s="283" t="s">
        <v>152</v>
      </c>
      <c r="M24" t="s">
        <v>221</v>
      </c>
    </row>
    <row r="25" spans="1:13" ht="13" thickBot="1" x14ac:dyDescent="0.3">
      <c r="B25" s="1"/>
      <c r="C25" s="1"/>
      <c r="D25" s="1"/>
      <c r="E25" s="1"/>
      <c r="F25" s="1"/>
      <c r="G25" s="1"/>
    </row>
    <row r="26" spans="1:13" ht="13" thickBot="1" x14ac:dyDescent="0.3">
      <c r="B26" s="1"/>
      <c r="C26" s="462" t="str">
        <f>C2</f>
        <v>Réalisation 2024</v>
      </c>
      <c r="D26" s="463" t="str">
        <f>D2</f>
        <v>Réalisation 2025</v>
      </c>
      <c r="E26" s="1"/>
    </row>
    <row r="27" spans="1:13" x14ac:dyDescent="0.25">
      <c r="B27" s="423" t="s">
        <v>12</v>
      </c>
      <c r="C27" s="511">
        <v>0</v>
      </c>
      <c r="D27" s="512">
        <v>0</v>
      </c>
    </row>
    <row r="28" spans="1:13" x14ac:dyDescent="0.25">
      <c r="B28" s="424" t="s">
        <v>13</v>
      </c>
      <c r="C28" s="513">
        <f>[1]AT!$H$208</f>
        <v>142.99025399999999</v>
      </c>
      <c r="D28" s="514">
        <f>[1]AT!$I$208</f>
        <v>155.78548900000001</v>
      </c>
    </row>
    <row r="29" spans="1:13" x14ac:dyDescent="0.25">
      <c r="B29" s="424" t="s">
        <v>14</v>
      </c>
      <c r="C29" s="513">
        <v>0</v>
      </c>
      <c r="D29" s="514">
        <v>0</v>
      </c>
    </row>
    <row r="30" spans="1:13" x14ac:dyDescent="0.25">
      <c r="B30" s="424" t="s">
        <v>15</v>
      </c>
      <c r="C30" s="513">
        <f>[1]Vieillesse!$H$204</f>
        <v>2595.9372039999998</v>
      </c>
      <c r="D30" s="514">
        <f>[1]Vieillesse!$I$204</f>
        <v>2538</v>
      </c>
    </row>
    <row r="31" spans="1:13" x14ac:dyDescent="0.25">
      <c r="B31" s="425" t="s">
        <v>74</v>
      </c>
      <c r="C31" s="519">
        <f>[1]Maladie!$H$255</f>
        <v>74.648523460000007</v>
      </c>
      <c r="D31" s="520">
        <f>[1]Maladie!$I$255</f>
        <v>74.590574950000004</v>
      </c>
    </row>
    <row r="32" spans="1:13" x14ac:dyDescent="0.25">
      <c r="B32" s="425" t="s">
        <v>75</v>
      </c>
      <c r="C32" s="519">
        <f>[1]AT!$H$209</f>
        <v>0</v>
      </c>
      <c r="D32" s="520">
        <f>[1]AT!$I$209</f>
        <v>0</v>
      </c>
    </row>
    <row r="33" spans="2:5" x14ac:dyDescent="0.25">
      <c r="B33" s="425" t="s">
        <v>76</v>
      </c>
      <c r="C33" s="519">
        <v>0</v>
      </c>
      <c r="D33" s="520">
        <v>0</v>
      </c>
      <c r="E33" s="21"/>
    </row>
    <row r="34" spans="2:5" x14ac:dyDescent="0.25">
      <c r="B34" s="425" t="s">
        <v>77</v>
      </c>
      <c r="C34" s="519">
        <f>[1]Vieillesse!$H$212</f>
        <v>154.03795819000001</v>
      </c>
      <c r="D34" s="520">
        <f>[1]Vieillesse!$I$212</f>
        <v>168.09236811</v>
      </c>
    </row>
    <row r="35" spans="2:5" x14ac:dyDescent="0.25">
      <c r="B35" s="425" t="s">
        <v>148</v>
      </c>
      <c r="C35" s="519">
        <f>[1]SASPA!$H$210</f>
        <v>705.50458552999999</v>
      </c>
      <c r="D35" s="520">
        <f>[1]SASPA!$I$210</f>
        <v>727.35832687000004</v>
      </c>
    </row>
    <row r="36" spans="2:5" x14ac:dyDescent="0.25">
      <c r="B36" s="426" t="s">
        <v>78</v>
      </c>
      <c r="C36" s="515">
        <v>0</v>
      </c>
      <c r="D36" s="516">
        <v>0</v>
      </c>
    </row>
    <row r="37" spans="2:5" x14ac:dyDescent="0.25">
      <c r="B37" s="426" t="s">
        <v>79</v>
      </c>
      <c r="C37" s="515">
        <v>0</v>
      </c>
      <c r="D37" s="516">
        <v>0</v>
      </c>
    </row>
    <row r="38" spans="2:5" x14ac:dyDescent="0.25">
      <c r="B38" s="426" t="s">
        <v>80</v>
      </c>
      <c r="C38" s="515">
        <v>0</v>
      </c>
      <c r="D38" s="516">
        <v>0</v>
      </c>
    </row>
    <row r="39" spans="2:5" x14ac:dyDescent="0.25">
      <c r="B39" s="426" t="s">
        <v>81</v>
      </c>
      <c r="C39" s="515">
        <f>[1]Vieillesse!$H$207</f>
        <v>250.36151698999998</v>
      </c>
      <c r="D39" s="516">
        <f>[1]Vieillesse!$I$207</f>
        <v>222.13160357999999</v>
      </c>
    </row>
    <row r="40" spans="2:5" x14ac:dyDescent="0.25">
      <c r="B40" s="426" t="s">
        <v>147</v>
      </c>
      <c r="C40" s="515">
        <f>[1]SASPA!$H$205</f>
        <v>0</v>
      </c>
      <c r="D40" s="516">
        <f>[1]SASPA!$I$205</f>
        <v>0</v>
      </c>
    </row>
    <row r="41" spans="2:5" x14ac:dyDescent="0.25">
      <c r="B41" s="427" t="s">
        <v>29</v>
      </c>
      <c r="C41" s="517">
        <f>[1]Maladie!$H$259</f>
        <v>2677.45939438</v>
      </c>
      <c r="D41" s="518">
        <f>[1]Maladie!$I$259</f>
        <v>3235.1708201299998</v>
      </c>
    </row>
    <row r="42" spans="2:5" x14ac:dyDescent="0.25">
      <c r="B42" s="427" t="s">
        <v>30</v>
      </c>
      <c r="C42" s="517">
        <v>0</v>
      </c>
      <c r="D42" s="518">
        <v>0</v>
      </c>
    </row>
    <row r="43" spans="2:5" x14ac:dyDescent="0.25">
      <c r="B43" s="427" t="s">
        <v>31</v>
      </c>
      <c r="C43" s="517">
        <f>[1]Famille!$H$171</f>
        <v>76.694160310000001</v>
      </c>
      <c r="D43" s="518">
        <f>[1]Famille!$I$171</f>
        <v>40.8166674</v>
      </c>
    </row>
    <row r="44" spans="2:5" x14ac:dyDescent="0.25">
      <c r="B44" s="427" t="s">
        <v>32</v>
      </c>
      <c r="C44" s="517">
        <f>[1]Vieillesse!$H$211</f>
        <v>420.71999957000003</v>
      </c>
      <c r="D44" s="518">
        <f>[1]Vieillesse!$I$211</f>
        <v>630.60514078000006</v>
      </c>
    </row>
    <row r="45" spans="2:5" ht="13" thickBot="1" x14ac:dyDescent="0.3">
      <c r="B45" s="428" t="s">
        <v>142</v>
      </c>
      <c r="C45" s="521">
        <f>[1]SASPA!$H$209</f>
        <v>0</v>
      </c>
      <c r="D45" s="522">
        <f>[1]SASPA!$I$209</f>
        <v>0</v>
      </c>
    </row>
    <row r="46" spans="2:5" x14ac:dyDescent="0.25">
      <c r="B46" s="4"/>
      <c r="C46" s="5"/>
      <c r="D46" s="5"/>
    </row>
    <row r="47" spans="2:5" x14ac:dyDescent="0.25">
      <c r="B47" s="4"/>
      <c r="C47" s="5"/>
      <c r="D47" s="5"/>
    </row>
    <row r="48" spans="2:5" x14ac:dyDescent="0.25">
      <c r="D48" s="5"/>
    </row>
  </sheetData>
  <mergeCells count="2">
    <mergeCell ref="A3:A9"/>
    <mergeCell ref="A10:A18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00B050"/>
  </sheetPr>
  <dimension ref="A1:I20"/>
  <sheetViews>
    <sheetView zoomScale="90" zoomScaleNormal="90" workbookViewId="0"/>
  </sheetViews>
  <sheetFormatPr baseColWidth="10" defaultRowHeight="12.5" x14ac:dyDescent="0.25"/>
  <cols>
    <col min="1" max="1" width="41" customWidth="1"/>
    <col min="2" max="2" width="14.26953125" bestFit="1" customWidth="1"/>
  </cols>
  <sheetData>
    <row r="1" spans="1:9" ht="13" x14ac:dyDescent="0.3">
      <c r="A1" s="422" t="s">
        <v>174</v>
      </c>
    </row>
    <row r="2" spans="1:9" ht="13" x14ac:dyDescent="0.3">
      <c r="A2" s="12" t="s">
        <v>222</v>
      </c>
    </row>
    <row r="3" spans="1:9" ht="13.5" thickBot="1" x14ac:dyDescent="0.35">
      <c r="D3" s="269">
        <f t="shared" ref="D3:I3" si="0">D5-C5</f>
        <v>13363</v>
      </c>
      <c r="E3" s="269">
        <f t="shared" si="0"/>
        <v>19994</v>
      </c>
      <c r="F3" s="269">
        <f t="shared" si="0"/>
        <v>8073</v>
      </c>
      <c r="G3" s="269">
        <f t="shared" si="0"/>
        <v>3123</v>
      </c>
      <c r="H3" s="269">
        <f t="shared" si="0"/>
        <v>7301</v>
      </c>
      <c r="I3" s="269">
        <f t="shared" si="0"/>
        <v>2404</v>
      </c>
    </row>
    <row r="4" spans="1:9" ht="22.5" customHeight="1" x14ac:dyDescent="0.25">
      <c r="A4" s="182" t="s">
        <v>103</v>
      </c>
      <c r="B4" s="183">
        <v>2018</v>
      </c>
      <c r="C4" s="183">
        <f>B4+1</f>
        <v>2019</v>
      </c>
      <c r="D4" s="183">
        <f t="shared" ref="D4:I4" si="1">C4+1</f>
        <v>2020</v>
      </c>
      <c r="E4" s="183">
        <f t="shared" si="1"/>
        <v>2021</v>
      </c>
      <c r="F4" s="183">
        <f t="shared" si="1"/>
        <v>2022</v>
      </c>
      <c r="G4" s="183">
        <f t="shared" si="1"/>
        <v>2023</v>
      </c>
      <c r="H4" s="183">
        <f t="shared" si="1"/>
        <v>2024</v>
      </c>
      <c r="I4" s="404">
        <f t="shared" si="1"/>
        <v>2025</v>
      </c>
    </row>
    <row r="5" spans="1:9" x14ac:dyDescent="0.25">
      <c r="A5" s="184" t="s">
        <v>104</v>
      </c>
      <c r="B5" s="526">
        <f>[2]Effectifs!$J$10</f>
        <v>1866434</v>
      </c>
      <c r="C5" s="526">
        <f>[2]Effectifs!$L$10</f>
        <v>1900888</v>
      </c>
      <c r="D5" s="526">
        <f>[2]Effectifs!$N$10</f>
        <v>1914251</v>
      </c>
      <c r="E5" s="526">
        <f>[2]Effectifs!$P$10</f>
        <v>1934245</v>
      </c>
      <c r="F5" s="527">
        <f>[2]Effectifs!$R$10</f>
        <v>1942318</v>
      </c>
      <c r="G5" s="527">
        <f>[2]Effectifs!$T$10</f>
        <v>1945441</v>
      </c>
      <c r="H5" s="527">
        <f>[3]Effectifs!$V$10</f>
        <v>1952742</v>
      </c>
      <c r="I5" s="535">
        <f>[4]Effectifs!$X$10</f>
        <v>1955146</v>
      </c>
    </row>
    <row r="6" spans="1:9" x14ac:dyDescent="0.25">
      <c r="A6" s="185" t="s">
        <v>105</v>
      </c>
      <c r="B6" s="526">
        <f>[2]Effectifs!$J$16</f>
        <v>2483695</v>
      </c>
      <c r="C6" s="526">
        <f>[2]Effectifs!$L$16</f>
        <v>2442126</v>
      </c>
      <c r="D6" s="526">
        <f>[2]Effectifs!$N$16</f>
        <v>2396398</v>
      </c>
      <c r="E6" s="526">
        <f>[2]Effectifs!$P$16</f>
        <v>2335989</v>
      </c>
      <c r="F6" s="527">
        <f>[2]Effectifs!$R$16</f>
        <v>2288162</v>
      </c>
      <c r="G6" s="527">
        <f>[2]Effectifs!$T$16</f>
        <v>2243317</v>
      </c>
      <c r="H6" s="527">
        <f>[3]Effectifs!$V$16</f>
        <v>2199236</v>
      </c>
      <c r="I6" s="535">
        <f>[4]Effectifs!$X$16</f>
        <v>2157692</v>
      </c>
    </row>
    <row r="7" spans="1:9" ht="13" thickBot="1" x14ac:dyDescent="0.3">
      <c r="A7" s="186" t="s">
        <v>85</v>
      </c>
      <c r="B7" s="528">
        <f>[2]Effectifs!$J$20</f>
        <v>29405</v>
      </c>
      <c r="C7" s="528">
        <f>[2]Effectifs!$L$20</f>
        <v>29804</v>
      </c>
      <c r="D7" s="528">
        <f>[2]Effectifs!$N$20</f>
        <v>29784</v>
      </c>
      <c r="E7" s="528">
        <f>[2]Effectifs!$P$20</f>
        <v>29893</v>
      </c>
      <c r="F7" s="529">
        <f>[2]Effectifs!$R$20</f>
        <v>29805</v>
      </c>
      <c r="G7" s="529">
        <f>[2]Effectifs!$T$20</f>
        <v>30268</v>
      </c>
      <c r="H7" s="529">
        <f>[3]Effectifs!$V$20</f>
        <v>31039</v>
      </c>
      <c r="I7" s="536">
        <f>[4]Effectifs!$X$20</f>
        <v>31349</v>
      </c>
    </row>
    <row r="8" spans="1:9" x14ac:dyDescent="0.25">
      <c r="A8" s="405"/>
      <c r="B8" s="187"/>
      <c r="C8" s="187"/>
      <c r="D8" s="187"/>
      <c r="E8" s="187"/>
      <c r="F8" s="187"/>
      <c r="G8" s="187"/>
      <c r="H8" s="187"/>
      <c r="I8" s="406"/>
    </row>
    <row r="9" spans="1:9" s="13" customFormat="1" ht="25" x14ac:dyDescent="0.25">
      <c r="A9" s="407" t="s">
        <v>106</v>
      </c>
      <c r="B9" s="530">
        <v>157840</v>
      </c>
      <c r="C9" s="530">
        <v>157729</v>
      </c>
      <c r="D9" s="530">
        <v>154451</v>
      </c>
      <c r="E9" s="531">
        <v>153728</v>
      </c>
      <c r="F9" s="531">
        <v>151837</v>
      </c>
      <c r="G9" s="531">
        <f>'[5]Famille SA - Tableau 1'!$C$31</f>
        <v>148998</v>
      </c>
      <c r="H9" s="532">
        <f>'[6]Famille SA - Tableau 1'!$C$12</f>
        <v>145416</v>
      </c>
      <c r="I9" s="537">
        <f>'[7]Famille SA - Tableau 1'!$C$12</f>
        <v>141732</v>
      </c>
    </row>
    <row r="10" spans="1:9" ht="13" thickBot="1" x14ac:dyDescent="0.3">
      <c r="A10" s="186" t="s">
        <v>107</v>
      </c>
      <c r="B10" s="533">
        <f>[8]Effectifs!$F$22</f>
        <v>682728.17837898235</v>
      </c>
      <c r="C10" s="533">
        <f>[8]Effectifs!$H$22</f>
        <v>702791.35812315706</v>
      </c>
      <c r="D10" s="533">
        <f>[8]Effectifs!$J$22</f>
        <v>685102.42205866345</v>
      </c>
      <c r="E10" s="534">
        <f>[8]Effectifs!$L$22</f>
        <v>714686</v>
      </c>
      <c r="F10" s="534">
        <f>[9]Effectifs!$N$22</f>
        <v>737934</v>
      </c>
      <c r="G10" s="534">
        <f>[9]Effectifs!$P$22</f>
        <v>758344</v>
      </c>
      <c r="H10" s="528">
        <f>'[10]Cotisations SA - Tableaux 1à4'!$C$5</f>
        <v>766965.52564102563</v>
      </c>
      <c r="I10" s="536">
        <f>'[10]Cotisations SA - Tableaux 1à4'!$E$5</f>
        <v>787199.77944375528</v>
      </c>
    </row>
    <row r="12" spans="1:9" ht="13" x14ac:dyDescent="0.3">
      <c r="A12" s="12" t="s">
        <v>16</v>
      </c>
    </row>
    <row r="13" spans="1:9" ht="13" thickBot="1" x14ac:dyDescent="0.3"/>
    <row r="14" spans="1:9" ht="13" x14ac:dyDescent="0.25">
      <c r="A14" s="182" t="s">
        <v>103</v>
      </c>
      <c r="B14" s="183" t="s">
        <v>131</v>
      </c>
      <c r="C14" s="183" t="s">
        <v>132</v>
      </c>
      <c r="D14" s="183" t="s">
        <v>134</v>
      </c>
      <c r="E14" s="183" t="s">
        <v>145</v>
      </c>
      <c r="F14" s="183" t="s">
        <v>150</v>
      </c>
      <c r="G14" s="183" t="s">
        <v>160</v>
      </c>
      <c r="H14" s="404" t="s">
        <v>218</v>
      </c>
    </row>
    <row r="15" spans="1:9" x14ac:dyDescent="0.25">
      <c r="A15" s="184" t="str">
        <f>A5</f>
        <v xml:space="preserve">Bénéficiaires - maladie </v>
      </c>
      <c r="B15" s="188">
        <f t="shared" ref="B15:E16" si="2">C5/B5-1</f>
        <v>1.845980088232424E-2</v>
      </c>
      <c r="C15" s="188">
        <f t="shared" si="2"/>
        <v>7.0298723543944508E-3</v>
      </c>
      <c r="D15" s="188">
        <f>E5/D5-1</f>
        <v>1.0444816275399615E-2</v>
      </c>
      <c r="E15" s="189">
        <f>F5/E5-1</f>
        <v>4.1737215295891694E-3</v>
      </c>
      <c r="F15" s="189">
        <f>G5/F5-1</f>
        <v>1.6078726552499756E-3</v>
      </c>
      <c r="G15" s="321">
        <f>H5/G5-1</f>
        <v>3.752876597131527E-3</v>
      </c>
      <c r="H15" s="310">
        <f>I5/H5-1</f>
        <v>1.2310894117093518E-3</v>
      </c>
    </row>
    <row r="16" spans="1:9" x14ac:dyDescent="0.25">
      <c r="A16" s="184" t="str">
        <f t="shared" ref="A16:A17" si="3">A6</f>
        <v>Bénéficiaires de pensions vieillesse</v>
      </c>
      <c r="B16" s="188">
        <f t="shared" si="2"/>
        <v>-1.6736757130001889E-2</v>
      </c>
      <c r="C16" s="188">
        <f t="shared" si="2"/>
        <v>-1.8724668587943416E-2</v>
      </c>
      <c r="D16" s="188">
        <f t="shared" si="2"/>
        <v>-2.52082500486146E-2</v>
      </c>
      <c r="E16" s="189">
        <f t="shared" si="2"/>
        <v>-2.047398339632589E-2</v>
      </c>
      <c r="F16" s="189">
        <f t="shared" ref="F16:H17" si="4">G6/F6-1</f>
        <v>-1.959869974241335E-2</v>
      </c>
      <c r="G16" s="321">
        <f t="shared" si="4"/>
        <v>-1.9649920185154435E-2</v>
      </c>
      <c r="H16" s="310">
        <f t="shared" si="4"/>
        <v>-1.8890196413663629E-2</v>
      </c>
    </row>
    <row r="17" spans="1:8" ht="13" thickBot="1" x14ac:dyDescent="0.3">
      <c r="A17" s="184" t="str">
        <f t="shared" si="3"/>
        <v>Bénéficiaires de pensions d'invalidité</v>
      </c>
      <c r="B17" s="190">
        <f t="shared" ref="B17:E17" si="5">C7/B7-1</f>
        <v>1.3569120897806597E-2</v>
      </c>
      <c r="C17" s="190">
        <f t="shared" si="5"/>
        <v>-6.7105086565566463E-4</v>
      </c>
      <c r="D17" s="190">
        <f t="shared" si="5"/>
        <v>3.659683051302709E-3</v>
      </c>
      <c r="E17" s="191">
        <f t="shared" si="5"/>
        <v>-2.9438330043822791E-3</v>
      </c>
      <c r="F17" s="191">
        <f t="shared" si="4"/>
        <v>1.5534306324442193E-2</v>
      </c>
      <c r="G17" s="322">
        <f t="shared" si="4"/>
        <v>2.5472446147746686E-2</v>
      </c>
      <c r="H17" s="311">
        <f t="shared" si="4"/>
        <v>9.9874351622153412E-3</v>
      </c>
    </row>
    <row r="18" spans="1:8" x14ac:dyDescent="0.25">
      <c r="A18" s="405"/>
      <c r="B18" s="192"/>
      <c r="C18" s="192"/>
      <c r="D18" s="192"/>
      <c r="E18" s="192"/>
      <c r="F18" s="192"/>
      <c r="G18" s="192"/>
      <c r="H18" s="408"/>
    </row>
    <row r="19" spans="1:8" ht="25" x14ac:dyDescent="0.25">
      <c r="A19" s="407" t="str">
        <f>A9</f>
        <v>Familles bénéficiaires de prestations familiales dans l'année</v>
      </c>
      <c r="B19" s="188">
        <f t="shared" ref="B19:E20" si="6">C9/B9-1</f>
        <v>-7.0324379118091862E-4</v>
      </c>
      <c r="C19" s="188">
        <f t="shared" si="6"/>
        <v>-2.0782481344584713E-2</v>
      </c>
      <c r="D19" s="188">
        <f t="shared" si="6"/>
        <v>-4.6810962700144509E-3</v>
      </c>
      <c r="E19" s="188">
        <f t="shared" si="6"/>
        <v>-1.2300947127393824E-2</v>
      </c>
      <c r="F19" s="188">
        <f t="shared" ref="F19:H20" si="7">G9/F9-1</f>
        <v>-1.8697682383081893E-2</v>
      </c>
      <c r="G19" s="323">
        <f t="shared" si="7"/>
        <v>-2.4040591148874468E-2</v>
      </c>
      <c r="H19" s="310">
        <f t="shared" si="7"/>
        <v>-2.5334213566595154E-2</v>
      </c>
    </row>
    <row r="20" spans="1:8" ht="13" thickBot="1" x14ac:dyDescent="0.3">
      <c r="A20" s="186" t="str">
        <f>A10</f>
        <v>Actifs cotisants au 1er juillet</v>
      </c>
      <c r="B20" s="190">
        <f t="shared" si="6"/>
        <v>2.9386775556578204E-2</v>
      </c>
      <c r="C20" s="190">
        <f t="shared" si="6"/>
        <v>-2.5169541230178005E-2</v>
      </c>
      <c r="D20" s="190">
        <f t="shared" si="6"/>
        <v>4.318124850944316E-2</v>
      </c>
      <c r="E20" s="190">
        <f t="shared" si="6"/>
        <v>3.2528970764783338E-2</v>
      </c>
      <c r="F20" s="190">
        <f t="shared" si="7"/>
        <v>2.7658300064775432E-2</v>
      </c>
      <c r="G20" s="409">
        <f t="shared" si="7"/>
        <v>1.1368884887367203E-2</v>
      </c>
      <c r="H20" s="311">
        <f t="shared" si="7"/>
        <v>2.638222074690777E-2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92D050"/>
  </sheetPr>
  <dimension ref="A1:N63"/>
  <sheetViews>
    <sheetView topLeftCell="A9" zoomScale="90" zoomScaleNormal="90" workbookViewId="0">
      <selection activeCell="N29" sqref="N29"/>
    </sheetView>
  </sheetViews>
  <sheetFormatPr baseColWidth="10" defaultRowHeight="12.5" x14ac:dyDescent="0.25"/>
  <cols>
    <col min="1" max="1" width="42" customWidth="1"/>
    <col min="6" max="6" width="16.81640625" bestFit="1" customWidth="1"/>
    <col min="7" max="7" width="17" customWidth="1"/>
    <col min="8" max="8" width="32.81640625" customWidth="1"/>
    <col min="9" max="9" width="21.54296875" bestFit="1" customWidth="1"/>
    <col min="10" max="13" width="9.81640625" customWidth="1"/>
  </cols>
  <sheetData>
    <row r="1" spans="1:13" ht="13.5" thickBot="1" x14ac:dyDescent="0.35">
      <c r="A1" s="422" t="s">
        <v>167</v>
      </c>
    </row>
    <row r="2" spans="1:13" ht="13.5" thickBot="1" x14ac:dyDescent="0.35">
      <c r="A2" s="378" t="s">
        <v>0</v>
      </c>
      <c r="B2" s="397">
        <f>'COMPTES SA (Chiffres utiles)'!D3</f>
        <v>2024</v>
      </c>
      <c r="C2" s="397">
        <f>'COMPTES SA (Chiffres utiles)'!E3</f>
        <v>2025</v>
      </c>
      <c r="D2" s="348" t="s">
        <v>27</v>
      </c>
      <c r="E2" s="348" t="s">
        <v>64</v>
      </c>
      <c r="F2" s="348" t="s">
        <v>65</v>
      </c>
    </row>
    <row r="3" spans="1:13" ht="13" x14ac:dyDescent="0.3">
      <c r="A3" s="398" t="s">
        <v>18</v>
      </c>
      <c r="B3" s="399">
        <f>'SA1'!C4</f>
        <v>14590.219966739998</v>
      </c>
      <c r="C3" s="400">
        <f>'SA1'!D4</f>
        <v>15701.250095570005</v>
      </c>
      <c r="D3" s="401">
        <f t="shared" ref="D3:D9" si="0">C3/$C$10</f>
        <v>0.88903002386938756</v>
      </c>
      <c r="E3" s="402">
        <f>C3/B3-1</f>
        <v>7.6148963577157947E-2</v>
      </c>
      <c r="F3" s="403">
        <f>(B3/$B$10)*E3*100</f>
        <v>6.702129725078823</v>
      </c>
    </row>
    <row r="4" spans="1:13" ht="13" x14ac:dyDescent="0.3">
      <c r="A4" s="304" t="s">
        <v>69</v>
      </c>
      <c r="B4" s="305">
        <f>'COMPTES SA (Chiffres utiles)'!D25</f>
        <v>369.03048486</v>
      </c>
      <c r="C4" s="306">
        <f>'COMPTES SA (Chiffres utiles)'!E25</f>
        <v>326.09887269000006</v>
      </c>
      <c r="D4" s="307">
        <f t="shared" si="0"/>
        <v>1.8464242452463555E-2</v>
      </c>
      <c r="E4" s="308">
        <f>C4/B4-1</f>
        <v>-0.11633622134574328</v>
      </c>
      <c r="F4" s="309">
        <f t="shared" ref="F4:F9" si="1">(B4/$B$10)*E4*100</f>
        <v>-0.25897878608667046</v>
      </c>
    </row>
    <row r="5" spans="1:13" ht="13" x14ac:dyDescent="0.3">
      <c r="A5" s="241" t="s">
        <v>67</v>
      </c>
      <c r="B5" s="256">
        <f>'COMPTES SA (Chiffres utiles)'!D39</f>
        <v>744.06382334</v>
      </c>
      <c r="C5" s="262">
        <f>'COMPTES SA (Chiffres utiles)'!E39</f>
        <v>763.35473083000011</v>
      </c>
      <c r="D5" s="259">
        <f t="shared" si="0"/>
        <v>4.3222372132145061E-2</v>
      </c>
      <c r="E5" s="239">
        <f>C5/B5-1</f>
        <v>2.592641502634252E-2</v>
      </c>
      <c r="F5" s="273">
        <f t="shared" si="1"/>
        <v>0.1163696295514746</v>
      </c>
      <c r="K5" s="20"/>
      <c r="L5" s="19"/>
      <c r="M5" s="19"/>
    </row>
    <row r="6" spans="1:13" ht="13" x14ac:dyDescent="0.3">
      <c r="A6" s="241" t="s">
        <v>68</v>
      </c>
      <c r="B6" s="256">
        <f>'COMPTES SA (Chiffres utiles)'!D45</f>
        <v>730.09403292000002</v>
      </c>
      <c r="C6" s="262">
        <f>'COMPTES SA (Chiffres utiles)'!E45</f>
        <v>728.80636056000003</v>
      </c>
      <c r="D6" s="259">
        <f t="shared" si="0"/>
        <v>4.1266187862814011E-2</v>
      </c>
      <c r="E6" s="239">
        <f>C6/B6-1</f>
        <v>-1.763707552642213E-3</v>
      </c>
      <c r="F6" s="273">
        <f>(B6/$B$10)*E6*100</f>
        <v>-7.7676986214646263E-3</v>
      </c>
      <c r="K6" s="20"/>
      <c r="L6" s="19"/>
      <c r="M6" s="19"/>
    </row>
    <row r="7" spans="1:13" ht="13" x14ac:dyDescent="0.3">
      <c r="A7" s="242" t="s">
        <v>66</v>
      </c>
      <c r="B7" s="257">
        <f>'COMPTES SA (Chiffres utiles)'!D5-'SA1'!C4</f>
        <v>141.82401315000243</v>
      </c>
      <c r="C7" s="263">
        <f>'COMPTES SA (Chiffres utiles)'!E5-'SA1'!D4</f>
        <v>139.3824030099986</v>
      </c>
      <c r="D7" s="260">
        <f t="shared" si="0"/>
        <v>7.8920557484727545E-3</v>
      </c>
      <c r="E7" s="240">
        <f t="shared" ref="E7:E9" si="2">C7/B7-1</f>
        <v>-1.7215773871956497E-2</v>
      </c>
      <c r="F7" s="274">
        <f>(B7/$B$10)*E7*100</f>
        <v>-1.4728662591360998E-2</v>
      </c>
    </row>
    <row r="8" spans="1:13" ht="13" x14ac:dyDescent="0.3">
      <c r="A8" s="242" t="s">
        <v>70</v>
      </c>
      <c r="B8" s="257">
        <f>'COMPTES SA (Chiffres utiles)'!D27</f>
        <v>2.0375082</v>
      </c>
      <c r="C8" s="263">
        <f>'COMPTES SA (Chiffres utiles)'!E27</f>
        <v>2.2097206300000001</v>
      </c>
      <c r="D8" s="260">
        <f t="shared" si="0"/>
        <v>1.2511793471704842E-4</v>
      </c>
      <c r="E8" s="240">
        <f>C8/B8-1</f>
        <v>8.4521097878280882E-2</v>
      </c>
      <c r="F8" s="274">
        <f t="shared" si="1"/>
        <v>1.0388467568800308E-3</v>
      </c>
    </row>
    <row r="9" spans="1:13" ht="13" x14ac:dyDescent="0.3">
      <c r="A9" s="242" t="s">
        <v>19</v>
      </c>
      <c r="B9" s="257">
        <f>'COMPTES SA (Chiffres utiles)'!D33</f>
        <v>0</v>
      </c>
      <c r="C9" s="263">
        <f>'COMPTES SA (Chiffres utiles)'!E33</f>
        <v>0</v>
      </c>
      <c r="D9" s="260">
        <f t="shared" si="0"/>
        <v>0</v>
      </c>
      <c r="E9" s="240" t="e">
        <f t="shared" si="2"/>
        <v>#DIV/0!</v>
      </c>
      <c r="F9" s="274" t="e">
        <f t="shared" si="1"/>
        <v>#DIV/0!</v>
      </c>
    </row>
    <row r="10" spans="1:13" ht="13.5" thickBot="1" x14ac:dyDescent="0.35">
      <c r="A10" s="243" t="s">
        <v>20</v>
      </c>
      <c r="B10" s="258">
        <f>SUM(B3:B9)</f>
        <v>16577.269829209999</v>
      </c>
      <c r="C10" s="264">
        <f>SUM(C3:C9)</f>
        <v>17661.102183290004</v>
      </c>
      <c r="D10" s="261">
        <f>SUM(D3:D9)</f>
        <v>1</v>
      </c>
      <c r="E10" s="244">
        <f>C10/B10-1</f>
        <v>6.5380630540876838E-2</v>
      </c>
      <c r="F10" s="245">
        <f>(B10/$B$10)*E10*100</f>
        <v>6.5380630540876838</v>
      </c>
      <c r="H10" s="12" t="s">
        <v>153</v>
      </c>
      <c r="I10" t="s">
        <v>221</v>
      </c>
    </row>
    <row r="11" spans="1:13" ht="13" x14ac:dyDescent="0.3">
      <c r="A11" s="217"/>
      <c r="B11" s="195">
        <f>'COMPTES SA (Chiffres utiles)'!D51</f>
        <v>16577.269829209999</v>
      </c>
      <c r="C11" s="195">
        <f>'COMPTES SA (Chiffres utiles)'!E51</f>
        <v>17661.102183290004</v>
      </c>
      <c r="D11" s="246" t="s">
        <v>137</v>
      </c>
      <c r="H11" s="302" t="s">
        <v>223</v>
      </c>
      <c r="I11" s="303">
        <f>F3</f>
        <v>6.702129725078823</v>
      </c>
    </row>
    <row r="12" spans="1:13" ht="13" x14ac:dyDescent="0.3">
      <c r="A12" s="234"/>
      <c r="B12" s="234"/>
      <c r="C12" s="234"/>
      <c r="D12" s="234"/>
      <c r="E12" s="234"/>
      <c r="F12" s="234"/>
      <c r="G12" s="213"/>
      <c r="H12" s="302" t="s">
        <v>224</v>
      </c>
      <c r="I12" s="303">
        <f>F4</f>
        <v>-0.25897878608667046</v>
      </c>
    </row>
    <row r="13" spans="1:13" ht="13" x14ac:dyDescent="0.3">
      <c r="A13" s="297" t="s">
        <v>133</v>
      </c>
      <c r="B13" s="298">
        <f>B8+B9</f>
        <v>2.0375082</v>
      </c>
      <c r="C13" s="298">
        <f>C8+C9</f>
        <v>2.2097206300000001</v>
      </c>
      <c r="D13" s="299">
        <f>C13/C10</f>
        <v>1.2511793471704842E-4</v>
      </c>
      <c r="E13" s="300">
        <f>C13/B13-1</f>
        <v>8.4521097878280882E-2</v>
      </c>
      <c r="F13" s="301">
        <f>(B13/$B$10)*E13*100</f>
        <v>1.0388467568800308E-3</v>
      </c>
      <c r="H13" s="204" t="s">
        <v>225</v>
      </c>
      <c r="I13" s="270">
        <f>F5</f>
        <v>0.1163696295514746</v>
      </c>
    </row>
    <row r="14" spans="1:13" ht="13" x14ac:dyDescent="0.3">
      <c r="A14" s="422" t="s">
        <v>168</v>
      </c>
      <c r="B14" s="283" t="s">
        <v>152</v>
      </c>
      <c r="E14" t="s">
        <v>221</v>
      </c>
      <c r="H14" s="149" t="s">
        <v>226</v>
      </c>
      <c r="I14" s="270">
        <f>F7</f>
        <v>-1.4728662591360998E-2</v>
      </c>
    </row>
    <row r="15" spans="1:13" x14ac:dyDescent="0.25">
      <c r="B15" s="20"/>
      <c r="C15" s="20"/>
      <c r="D15" s="19"/>
      <c r="E15" s="19"/>
      <c r="F15" s="2"/>
      <c r="H15" s="204" t="s">
        <v>227</v>
      </c>
      <c r="I15" s="270">
        <f>F6</f>
        <v>-7.7676986214646263E-3</v>
      </c>
    </row>
    <row r="16" spans="1:13" x14ac:dyDescent="0.25">
      <c r="B16" s="20"/>
      <c r="C16" s="20"/>
      <c r="D16" s="19"/>
      <c r="E16" s="19"/>
      <c r="F16" s="2"/>
      <c r="H16" s="149" t="s">
        <v>228</v>
      </c>
      <c r="I16" s="270">
        <f>F8</f>
        <v>1.0388467568800308E-3</v>
      </c>
    </row>
    <row r="17" spans="1:9" x14ac:dyDescent="0.25">
      <c r="B17" s="20"/>
      <c r="C17" s="20"/>
      <c r="D17" s="19"/>
      <c r="E17" s="19"/>
      <c r="F17" s="2"/>
      <c r="H17" s="149" t="s">
        <v>154</v>
      </c>
      <c r="I17" s="268" t="e">
        <f>F9</f>
        <v>#DIV/0!</v>
      </c>
    </row>
    <row r="18" spans="1:9" x14ac:dyDescent="0.25">
      <c r="B18" s="20"/>
      <c r="C18" s="20"/>
      <c r="D18" s="19"/>
      <c r="E18" s="19"/>
      <c r="F18" s="2"/>
    </row>
    <row r="19" spans="1:9" x14ac:dyDescent="0.25">
      <c r="A19" s="21"/>
      <c r="B19" s="20"/>
      <c r="C19" s="20"/>
      <c r="D19" s="19"/>
      <c r="E19" s="19"/>
      <c r="F19" s="2"/>
    </row>
    <row r="20" spans="1:9" x14ac:dyDescent="0.25">
      <c r="A20" s="21"/>
      <c r="B20" s="20"/>
      <c r="C20" s="20"/>
      <c r="D20" s="19"/>
      <c r="E20" s="19"/>
      <c r="F20" s="2"/>
    </row>
    <row r="21" spans="1:9" x14ac:dyDescent="0.25">
      <c r="A21" s="21"/>
      <c r="B21" s="20"/>
      <c r="C21" s="20"/>
      <c r="D21" s="19"/>
      <c r="E21" s="19"/>
      <c r="F21" s="2"/>
    </row>
    <row r="22" spans="1:9" ht="13" x14ac:dyDescent="0.3">
      <c r="A22" s="155"/>
      <c r="B22" s="156"/>
      <c r="C22" s="156"/>
      <c r="D22" s="157"/>
      <c r="E22" s="157"/>
      <c r="F22" s="158"/>
    </row>
    <row r="24" spans="1:9" x14ac:dyDescent="0.25">
      <c r="C24" s="159"/>
    </row>
    <row r="35" spans="1:12" ht="13" x14ac:dyDescent="0.3">
      <c r="K35" s="591" t="s">
        <v>166</v>
      </c>
      <c r="L35" s="591"/>
    </row>
    <row r="36" spans="1:12" ht="13.5" thickBot="1" x14ac:dyDescent="0.35">
      <c r="A36" s="422" t="s">
        <v>203</v>
      </c>
    </row>
    <row r="37" spans="1:12" ht="13.5" thickBot="1" x14ac:dyDescent="0.35">
      <c r="A37" s="339" t="s">
        <v>0</v>
      </c>
      <c r="B37" s="340">
        <v>2023</v>
      </c>
      <c r="C37" s="341">
        <f>B2</f>
        <v>2024</v>
      </c>
      <c r="D37" s="342">
        <f>C2</f>
        <v>2025</v>
      </c>
      <c r="E37" s="340" t="s">
        <v>27</v>
      </c>
      <c r="F37" s="340" t="s">
        <v>161</v>
      </c>
      <c r="G37" s="342" t="s">
        <v>229</v>
      </c>
      <c r="H37" s="342" t="s">
        <v>230</v>
      </c>
      <c r="I37" s="343" t="s">
        <v>162</v>
      </c>
    </row>
    <row r="38" spans="1:12" x14ac:dyDescent="0.25">
      <c r="A38" s="324" t="s">
        <v>118</v>
      </c>
      <c r="B38" s="288">
        <f>'COMPTES SA (Chiffres utiles)'!C7+'COMPTES SA (Chiffres utiles)'!C14+'COMPTES SA (Chiffres utiles)'!C20+'COMPTES SA (Chiffres utiles)'!C28+'COMPTES SA (Chiffres utiles)'!C34+'COMPTES SA (Chiffres utiles)'!C40+'COMPTES SA (Chiffres utiles)'!C46</f>
        <v>6137.2472051500008</v>
      </c>
      <c r="C38" s="288">
        <f>'COMPTES SA (Chiffres utiles)'!D7+'COMPTES SA (Chiffres utiles)'!D14+'COMPTES SA (Chiffres utiles)'!D20+'COMPTES SA (Chiffres utiles)'!D28+'COMPTES SA (Chiffres utiles)'!D34+'COMPTES SA (Chiffres utiles)'!D40+'COMPTES SA (Chiffres utiles)'!D46</f>
        <v>6293.6637514799995</v>
      </c>
      <c r="D38" s="290">
        <f>'COMPTES SA (Chiffres utiles)'!E7+'COMPTES SA (Chiffres utiles)'!E14+'COMPTES SA (Chiffres utiles)'!E20+'COMPTES SA (Chiffres utiles)'!E28+'COMPTES SA (Chiffres utiles)'!E34+'COMPTES SA (Chiffres utiles)'!E40+'COMPTES SA (Chiffres utiles)'!E46</f>
        <v>7121.195237320002</v>
      </c>
      <c r="E38" s="325">
        <f>D38/$D$43</f>
        <v>0.40321352333591598</v>
      </c>
      <c r="F38" s="325">
        <f>C38/B38-1</f>
        <v>2.5486434080534304E-2</v>
      </c>
      <c r="G38" s="295">
        <f>D38/C38-1</f>
        <v>0.13148644708662771</v>
      </c>
      <c r="H38" s="296">
        <f t="shared" ref="H38:H43" si="3">(C38/$C$43)*G38*100</f>
        <v>4.9919648673501644</v>
      </c>
      <c r="I38" s="326">
        <f>(B38/$B$43)*F38*100</f>
        <v>0.98905493656285437</v>
      </c>
    </row>
    <row r="39" spans="1:12" x14ac:dyDescent="0.25">
      <c r="A39" s="327" t="s">
        <v>84</v>
      </c>
      <c r="B39" s="123">
        <f>'COMPTES SA (Chiffres utiles)'!C8+'COMPTES SA (Chiffres utiles)'!C15+'COMPTES SA (Chiffres utiles)'!C21+'COMPTES SA (Chiffres utiles)'!C29+'COMPTES SA (Chiffres utiles)'!C35+'COMPTES SA (Chiffres utiles)'!C41+'COMPTES SA (Chiffres utiles)'!C47</f>
        <v>766.76793252999994</v>
      </c>
      <c r="C39" s="123">
        <f>'COMPTES SA (Chiffres utiles)'!D8+'COMPTES SA (Chiffres utiles)'!D15+'COMPTES SA (Chiffres utiles)'!D21+'COMPTES SA (Chiffres utiles)'!D29+'COMPTES SA (Chiffres utiles)'!D35+'COMPTES SA (Chiffres utiles)'!D41+'COMPTES SA (Chiffres utiles)'!D47</f>
        <v>789.59321995000005</v>
      </c>
      <c r="D39" s="210">
        <f>'COMPTES SA (Chiffres utiles)'!E8+'COMPTES SA (Chiffres utiles)'!E15+'COMPTES SA (Chiffres utiles)'!E21+'COMPTES SA (Chiffres utiles)'!E29+'COMPTES SA (Chiffres utiles)'!E35+'COMPTES SA (Chiffres utiles)'!E41+'COMPTES SA (Chiffres utiles)'!E47</f>
        <v>833.60329186999979</v>
      </c>
      <c r="E39" s="328">
        <f>D39/$D$43</f>
        <v>4.7199958599339897E-2</v>
      </c>
      <c r="F39" s="328">
        <f t="shared" ref="F39:G42" si="4">C39/B39-1</f>
        <v>2.9768182068708349E-2</v>
      </c>
      <c r="G39" s="295">
        <f t="shared" si="4"/>
        <v>5.5737651752869155E-2</v>
      </c>
      <c r="H39" s="212">
        <f t="shared" si="3"/>
        <v>0.26548443967806878</v>
      </c>
      <c r="I39" s="329">
        <f t="shared" ref="I39:I40" si="5">(B39/$B$43)*F39*100</f>
        <v>0.14432912457732369</v>
      </c>
    </row>
    <row r="40" spans="1:12" x14ac:dyDescent="0.25">
      <c r="A40" s="327" t="s">
        <v>82</v>
      </c>
      <c r="B40" s="123">
        <f>'COMPTES SA (Chiffres utiles)'!C9+'COMPTES SA (Chiffres utiles)'!C16+'COMPTES SA (Chiffres utiles)'!C22+'COMPTES SA (Chiffres utiles)'!C30+'COMPTES SA (Chiffres utiles)'!C36+'COMPTES SA (Chiffres utiles)'!C42+'COMPTES SA (Chiffres utiles)'!C48</f>
        <v>981.95520630999999</v>
      </c>
      <c r="C40" s="123">
        <f>'COMPTES SA (Chiffres utiles)'!D9+'COMPTES SA (Chiffres utiles)'!D16+'COMPTES SA (Chiffres utiles)'!D22+'COMPTES SA (Chiffres utiles)'!D30+'COMPTES SA (Chiffres utiles)'!D36+'COMPTES SA (Chiffres utiles)'!D42+'COMPTES SA (Chiffres utiles)'!D48</f>
        <v>990.55856647999997</v>
      </c>
      <c r="D40" s="210">
        <f>'COMPTES SA (Chiffres utiles)'!E9+'COMPTES SA (Chiffres utiles)'!E16+'COMPTES SA (Chiffres utiles)'!E22+'COMPTES SA (Chiffres utiles)'!E30+'COMPTES SA (Chiffres utiles)'!E36+'COMPTES SA (Chiffres utiles)'!E42+'COMPTES SA (Chiffres utiles)'!E48</f>
        <v>978.87066527000002</v>
      </c>
      <c r="E40" s="328">
        <f>D40/$D$43</f>
        <v>5.542523083277074E-2</v>
      </c>
      <c r="F40" s="328">
        <f t="shared" si="4"/>
        <v>8.7614588880584598E-3</v>
      </c>
      <c r="G40" s="295">
        <f t="shared" si="4"/>
        <v>-1.17993035500501E-2</v>
      </c>
      <c r="H40" s="212">
        <f t="shared" si="3"/>
        <v>-7.0505585843848181E-2</v>
      </c>
      <c r="I40" s="326">
        <f t="shared" si="5"/>
        <v>5.4400867726708019E-2</v>
      </c>
    </row>
    <row r="41" spans="1:12" x14ac:dyDescent="0.25">
      <c r="A41" s="330" t="s">
        <v>83</v>
      </c>
      <c r="B41" s="288">
        <f>'COMPTES SA (Chiffres utiles)'!C10+'COMPTES SA (Chiffres utiles)'!C17+'COMPTES SA (Chiffres utiles)'!C23+'COMPTES SA (Chiffres utiles)'!C31+'COMPTES SA (Chiffres utiles)'!C37+'COMPTES SA (Chiffres utiles)'!C43+'COMPTES SA (Chiffres utiles)'!C49</f>
        <v>7234.5708767199994</v>
      </c>
      <c r="C41" s="288">
        <f>'COMPTES SA (Chiffres utiles)'!D10+'COMPTES SA (Chiffres utiles)'!D17+'COMPTES SA (Chiffres utiles)'!D23+'COMPTES SA (Chiffres utiles)'!D31+'COMPTES SA (Chiffres utiles)'!D37+'COMPTES SA (Chiffres utiles)'!D43+'COMPTES SA (Chiffres utiles)'!D49</f>
        <v>7750.1797332300011</v>
      </c>
      <c r="D41" s="290">
        <f>'COMPTES SA (Chiffres utiles)'!E10+'COMPTES SA (Chiffres utiles)'!E17+'COMPTES SA (Chiffres utiles)'!E23+'COMPTES SA (Chiffres utiles)'!E31+'COMPTES SA (Chiffres utiles)'!E37+'COMPTES SA (Chiffres utiles)'!E43+'COMPTES SA (Chiffres utiles)'!E49</f>
        <v>7974.8638214200037</v>
      </c>
      <c r="E41" s="325">
        <f>D41/$D$43</f>
        <v>0.45154961104100255</v>
      </c>
      <c r="F41" s="325">
        <f t="shared" si="4"/>
        <v>7.1270136860386746E-2</v>
      </c>
      <c r="G41" s="295">
        <f t="shared" si="4"/>
        <v>2.8990822913001368E-2</v>
      </c>
      <c r="H41" s="296">
        <f t="shared" si="3"/>
        <v>1.3553745007763478</v>
      </c>
      <c r="I41" s="326">
        <f>(B41/$B$43)*F41*100</f>
        <v>3.2603039565318737</v>
      </c>
    </row>
    <row r="42" spans="1:12" x14ac:dyDescent="0.25">
      <c r="A42" s="330" t="s">
        <v>157</v>
      </c>
      <c r="B42" s="288">
        <f>'COMPTES SA (Chiffres utiles)'!C11+'COMPTES SA (Chiffres utiles)'!C18+'COMPTES SA (Chiffres utiles)'!C24+'COMPTES SA (Chiffres utiles)'!C32+'COMPTES SA (Chiffres utiles)'!C38+'COMPTES SA (Chiffres utiles)'!C44+'COMPTES SA (Chiffres utiles)'!C50</f>
        <v>694.20683297999994</v>
      </c>
      <c r="C42" s="288">
        <f>'COMPTES SA (Chiffres utiles)'!D11+'COMPTES SA (Chiffres utiles)'!D18+'COMPTES SA (Chiffres utiles)'!D24+'COMPTES SA (Chiffres utiles)'!D32+'COMPTES SA (Chiffres utiles)'!D38+'COMPTES SA (Chiffres utiles)'!D44+'COMPTES SA (Chiffres utiles)'!D50</f>
        <v>753.27455806999978</v>
      </c>
      <c r="D42" s="290">
        <f>'COMPTES SA (Chiffres utiles)'!E11+'COMPTES SA (Chiffres utiles)'!E18+'COMPTES SA (Chiffres utiles)'!E24+'COMPTES SA (Chiffres utiles)'!E32+'COMPTES SA (Chiffres utiles)'!E38+'COMPTES SA (Chiffres utiles)'!E44+'COMPTES SA (Chiffres utiles)'!E50</f>
        <v>752.56916740999998</v>
      </c>
      <c r="E42" s="325">
        <f>D42/$D$43</f>
        <v>4.2611676190970726E-2</v>
      </c>
      <c r="F42" s="325">
        <f t="shared" si="4"/>
        <v>8.5086637416750266E-2</v>
      </c>
      <c r="G42" s="295">
        <f t="shared" si="4"/>
        <v>-9.3643234388152141E-4</v>
      </c>
      <c r="H42" s="296">
        <f t="shared" si="3"/>
        <v>-4.2551678730406656E-3</v>
      </c>
      <c r="I42" s="326">
        <f>(B42/$B$43)*F42*100</f>
        <v>0.37349773065918485</v>
      </c>
    </row>
    <row r="43" spans="1:12" ht="13.5" thickBot="1" x14ac:dyDescent="0.35">
      <c r="A43" s="331" t="s">
        <v>126</v>
      </c>
      <c r="B43" s="332">
        <f>SUM(B38:B42)</f>
        <v>15814.74805369</v>
      </c>
      <c r="C43" s="332">
        <f>SUM(C38:C42)</f>
        <v>16577.269829209999</v>
      </c>
      <c r="D43" s="333">
        <f>SUM(D38:D42)</f>
        <v>17661.102183290008</v>
      </c>
      <c r="E43" s="334">
        <f>SUM(E38:E42)</f>
        <v>0.99999999999999989</v>
      </c>
      <c r="F43" s="335">
        <f>C45/B43-1</f>
        <v>5.8472113615759547E-4</v>
      </c>
      <c r="G43" s="336">
        <f>D43/C43-1</f>
        <v>6.538063054087706E-2</v>
      </c>
      <c r="H43" s="337">
        <f t="shared" si="3"/>
        <v>6.538063054087706</v>
      </c>
      <c r="I43" s="338">
        <f>(B43/$B$43)*F43*100</f>
        <v>5.8472113615759547E-2</v>
      </c>
    </row>
    <row r="44" spans="1:12" x14ac:dyDescent="0.25">
      <c r="B44" s="195" t="b">
        <f>B43='COMPTES SA (Chiffres utiles)'!C51</f>
        <v>1</v>
      </c>
      <c r="C44" s="195" t="b">
        <f>C43=B10</f>
        <v>1</v>
      </c>
      <c r="D44" s="195" t="b">
        <f>D43=C10</f>
        <v>1</v>
      </c>
    </row>
    <row r="45" spans="1:12" ht="13" x14ac:dyDescent="0.3">
      <c r="A45" s="293" t="s">
        <v>231</v>
      </c>
      <c r="B45" s="293"/>
      <c r="C45" s="294">
        <f>C38+C39+C40+C41</f>
        <v>15823.99527114</v>
      </c>
    </row>
    <row r="57" spans="7:14" x14ac:dyDescent="0.25">
      <c r="G57" s="21"/>
      <c r="H57" s="21"/>
    </row>
    <row r="58" spans="7:14" ht="13" x14ac:dyDescent="0.3">
      <c r="G58" s="21"/>
      <c r="H58" s="422" t="s">
        <v>165</v>
      </c>
      <c r="I58" s="206" t="s">
        <v>118</v>
      </c>
      <c r="J58" s="206" t="s">
        <v>119</v>
      </c>
      <c r="K58" s="206" t="s">
        <v>82</v>
      </c>
      <c r="L58" s="206" t="s">
        <v>83</v>
      </c>
      <c r="M58" s="206" t="s">
        <v>138</v>
      </c>
      <c r="N58" s="208" t="s">
        <v>125</v>
      </c>
    </row>
    <row r="59" spans="7:14" x14ac:dyDescent="0.25">
      <c r="H59" s="594" t="s">
        <v>232</v>
      </c>
      <c r="I59" s="596">
        <f>G38</f>
        <v>0.13148644708662771</v>
      </c>
      <c r="J59" s="596">
        <f>G39</f>
        <v>5.5737651752869155E-2</v>
      </c>
      <c r="K59" s="596">
        <f>G40</f>
        <v>-1.17993035500501E-2</v>
      </c>
      <c r="L59" s="596">
        <f>G41</f>
        <v>2.8990822913001368E-2</v>
      </c>
      <c r="M59" s="596">
        <f>+G42</f>
        <v>-9.3643234388152141E-4</v>
      </c>
      <c r="N59" s="592">
        <f>G43</f>
        <v>6.538063054087706E-2</v>
      </c>
    </row>
    <row r="60" spans="7:14" x14ac:dyDescent="0.25">
      <c r="H60" s="594"/>
      <c r="I60" s="596"/>
      <c r="J60" s="596"/>
      <c r="K60" s="596"/>
      <c r="L60" s="596"/>
      <c r="M60" s="596"/>
      <c r="N60" s="592"/>
    </row>
    <row r="61" spans="7:14" x14ac:dyDescent="0.25">
      <c r="H61" s="594" t="s">
        <v>233</v>
      </c>
      <c r="I61" s="595">
        <f>H38</f>
        <v>4.9919648673501644</v>
      </c>
      <c r="J61" s="595">
        <f>H39</f>
        <v>0.26548443967806878</v>
      </c>
      <c r="K61" s="595">
        <f>H40</f>
        <v>-7.0505585843848181E-2</v>
      </c>
      <c r="L61" s="595">
        <f>H41</f>
        <v>1.3553745007763478</v>
      </c>
      <c r="M61" s="595">
        <f>+H42</f>
        <v>-4.2551678730406656E-3</v>
      </c>
      <c r="N61" s="593">
        <f>H43</f>
        <v>6.538063054087706</v>
      </c>
    </row>
    <row r="62" spans="7:14" x14ac:dyDescent="0.25">
      <c r="H62" s="594"/>
      <c r="I62" s="595"/>
      <c r="J62" s="595"/>
      <c r="K62" s="595"/>
      <c r="L62" s="595"/>
      <c r="M62" s="595"/>
      <c r="N62" s="593"/>
    </row>
    <row r="63" spans="7:14" x14ac:dyDescent="0.25">
      <c r="I63" s="280" t="s">
        <v>151</v>
      </c>
    </row>
  </sheetData>
  <mergeCells count="15">
    <mergeCell ref="K35:L35"/>
    <mergeCell ref="N59:N60"/>
    <mergeCell ref="N61:N62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M59:M60"/>
    <mergeCell ref="M61:M62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92D050"/>
  </sheetPr>
  <dimension ref="A1:P64"/>
  <sheetViews>
    <sheetView topLeftCell="A42" zoomScale="110" zoomScaleNormal="110" workbookViewId="0">
      <selection activeCell="G49" sqref="G49"/>
    </sheetView>
  </sheetViews>
  <sheetFormatPr baseColWidth="10" defaultRowHeight="12.5" x14ac:dyDescent="0.25"/>
  <cols>
    <col min="1" max="1" width="42" customWidth="1"/>
    <col min="6" max="6" width="12.7265625" bestFit="1" customWidth="1"/>
    <col min="9" max="9" width="43" bestFit="1" customWidth="1"/>
    <col min="10" max="10" width="17.54296875" bestFit="1" customWidth="1"/>
    <col min="11" max="12" width="9.453125" customWidth="1"/>
    <col min="13" max="13" width="20.453125" customWidth="1"/>
  </cols>
  <sheetData>
    <row r="1" spans="1:16" ht="13.5" thickBot="1" x14ac:dyDescent="0.35">
      <c r="A1" s="422" t="s">
        <v>171</v>
      </c>
      <c r="J1" s="12"/>
      <c r="N1" s="538">
        <v>2024</v>
      </c>
      <c r="O1" s="538">
        <f>N1+1</f>
        <v>2025</v>
      </c>
      <c r="P1" s="538" t="s">
        <v>216</v>
      </c>
    </row>
    <row r="2" spans="1:16" ht="13.5" thickBot="1" x14ac:dyDescent="0.35">
      <c r="A2" s="378" t="s">
        <v>2</v>
      </c>
      <c r="B2" s="397">
        <f>'%charges'!B2</f>
        <v>2024</v>
      </c>
      <c r="C2" s="397">
        <f>'%charges'!C2</f>
        <v>2025</v>
      </c>
      <c r="D2" s="348" t="s">
        <v>27</v>
      </c>
      <c r="E2" s="348" t="s">
        <v>64</v>
      </c>
      <c r="F2" s="348" t="s">
        <v>65</v>
      </c>
      <c r="I2" s="12" t="s">
        <v>2</v>
      </c>
      <c r="J2" s="12" t="s">
        <v>65</v>
      </c>
      <c r="L2" t="s">
        <v>215</v>
      </c>
      <c r="N2" s="20">
        <f>N3+N4</f>
        <v>7732.093806840001</v>
      </c>
      <c r="O2" s="20">
        <f>O3+O4</f>
        <v>8108.4788511100005</v>
      </c>
      <c r="P2" s="213">
        <f>O2/N2-1</f>
        <v>4.8678282192727629E-2</v>
      </c>
    </row>
    <row r="3" spans="1:16" x14ac:dyDescent="0.25">
      <c r="A3" s="387" t="s">
        <v>212</v>
      </c>
      <c r="B3" s="382">
        <f>'SA1'!C11</f>
        <v>6640.469457180001</v>
      </c>
      <c r="C3" s="291">
        <f>'SA1'!D11</f>
        <v>6892.7554094400002</v>
      </c>
      <c r="D3" s="385">
        <f>C3/$C$12</f>
        <v>0.3901547316472519</v>
      </c>
      <c r="E3" s="391">
        <f t="shared" ref="E3:E12" si="0">C3/B3-1</f>
        <v>3.7992186228221536E-2</v>
      </c>
      <c r="F3" s="394">
        <f t="shared" ref="F3:F12" si="1">(B3/$B$24)*E3*100</f>
        <v>1.518543831553911</v>
      </c>
      <c r="H3" s="20">
        <f>C3-B3</f>
        <v>252.28595225999925</v>
      </c>
      <c r="I3" s="284" t="s">
        <v>234</v>
      </c>
      <c r="J3" s="209">
        <f t="shared" ref="J3:J11" si="2">F3</f>
        <v>1.518543831553911</v>
      </c>
      <c r="L3" t="str">
        <f>A3</f>
        <v>Cotisations employeurs</v>
      </c>
      <c r="N3" s="20">
        <f>B3</f>
        <v>6640.469457180001</v>
      </c>
      <c r="O3" s="20">
        <f>C3</f>
        <v>6892.7554094400002</v>
      </c>
      <c r="P3" s="213">
        <f t="shared" ref="P3:P4" si="3">O3/N3-1</f>
        <v>3.7992186228221536E-2</v>
      </c>
    </row>
    <row r="4" spans="1:16" x14ac:dyDescent="0.25">
      <c r="A4" s="387" t="s">
        <v>26</v>
      </c>
      <c r="B4" s="382">
        <f>'COMPTES SA (Chiffres utiles)'!Q18</f>
        <v>1091.62434966</v>
      </c>
      <c r="C4" s="291">
        <f>'COMPTES SA (Chiffres utiles)'!R18</f>
        <v>1215.7234416700001</v>
      </c>
      <c r="D4" s="385">
        <f>C4/$C$12</f>
        <v>6.8814316621829519E-2</v>
      </c>
      <c r="E4" s="391">
        <f t="shared" si="0"/>
        <v>0.1136829643353523</v>
      </c>
      <c r="F4" s="394">
        <f t="shared" si="1"/>
        <v>0.7469694962603971</v>
      </c>
      <c r="G4" s="20"/>
      <c r="H4" s="20">
        <f t="shared" ref="H4:H12" si="4">C4-B4</f>
        <v>124.09909201000005</v>
      </c>
      <c r="I4" s="284" t="s">
        <v>235</v>
      </c>
      <c r="J4" s="209">
        <f t="shared" si="2"/>
        <v>0.7469694962603971</v>
      </c>
      <c r="L4" t="str">
        <f>A4</f>
        <v>Contribution Sociale Généralisée</v>
      </c>
      <c r="N4" s="20">
        <f>B4</f>
        <v>1091.62434966</v>
      </c>
      <c r="O4" s="20">
        <f>C4</f>
        <v>1215.7234416700001</v>
      </c>
      <c r="P4" s="213">
        <f t="shared" si="3"/>
        <v>0.1136829643353523</v>
      </c>
    </row>
    <row r="5" spans="1:16" x14ac:dyDescent="0.25">
      <c r="A5" s="387" t="s">
        <v>25</v>
      </c>
      <c r="B5" s="382">
        <f>'SA1'!C17</f>
        <v>2595.9372039999998</v>
      </c>
      <c r="C5" s="291">
        <f>'SA1'!D17</f>
        <v>2538</v>
      </c>
      <c r="D5" s="385">
        <f t="shared" ref="D5:D11" si="5">C5/$C$12</f>
        <v>0.14365992264350128</v>
      </c>
      <c r="E5" s="391">
        <f t="shared" si="0"/>
        <v>-2.2318415064403796E-2</v>
      </c>
      <c r="F5" s="394">
        <f t="shared" si="1"/>
        <v>-0.3487319962270834</v>
      </c>
      <c r="H5" s="20">
        <f t="shared" si="4"/>
        <v>-57.937203999999838</v>
      </c>
      <c r="I5" s="284" t="s">
        <v>236</v>
      </c>
      <c r="J5" s="209">
        <f t="shared" si="2"/>
        <v>-0.3487319962270834</v>
      </c>
    </row>
    <row r="6" spans="1:16" x14ac:dyDescent="0.25">
      <c r="A6" s="387" t="s">
        <v>71</v>
      </c>
      <c r="B6" s="382">
        <f>'COMPTES SA (Chiffres utiles)'!Q12</f>
        <v>526.97571078999999</v>
      </c>
      <c r="C6" s="384">
        <f>'COMPTES SA (Chiffres utiles)'!R12</f>
        <v>548.16254801000002</v>
      </c>
      <c r="D6" s="385">
        <f t="shared" si="5"/>
        <v>3.1027970544988633E-2</v>
      </c>
      <c r="E6" s="391">
        <f t="shared" si="0"/>
        <v>4.0204580184992622E-2</v>
      </c>
      <c r="F6" s="394">
        <f t="shared" si="1"/>
        <v>0.1275264860463218</v>
      </c>
      <c r="H6" s="20">
        <f t="shared" si="4"/>
        <v>21.186837220000029</v>
      </c>
      <c r="I6" s="284" t="s">
        <v>211</v>
      </c>
      <c r="J6" s="209">
        <f t="shared" si="2"/>
        <v>0.1275264860463218</v>
      </c>
    </row>
    <row r="7" spans="1:16" x14ac:dyDescent="0.25">
      <c r="A7" s="387" t="s">
        <v>50</v>
      </c>
      <c r="B7" s="382">
        <f>'COMPTES SA (Chiffres utiles)'!Q24</f>
        <v>15.96992283</v>
      </c>
      <c r="C7" s="384">
        <f>'COMPTES SA (Chiffres utiles)'!R24</f>
        <v>13.610129110000001</v>
      </c>
      <c r="D7" s="385">
        <f t="shared" si="5"/>
        <v>7.7038222817599081E-4</v>
      </c>
      <c r="E7" s="391">
        <f t="shared" si="0"/>
        <v>-0.14776487933724092</v>
      </c>
      <c r="F7" s="394">
        <f t="shared" si="1"/>
        <v>-1.42039228309971E-2</v>
      </c>
      <c r="H7" s="20">
        <f t="shared" si="4"/>
        <v>-2.359793719999999</v>
      </c>
      <c r="I7" s="284" t="s">
        <v>237</v>
      </c>
      <c r="J7" s="209">
        <f t="shared" si="2"/>
        <v>-1.42039228309971E-2</v>
      </c>
    </row>
    <row r="8" spans="1:16" x14ac:dyDescent="0.25">
      <c r="A8" s="387" t="s">
        <v>72</v>
      </c>
      <c r="B8" s="382">
        <f>'SA1'!C39</f>
        <v>250.36151698999998</v>
      </c>
      <c r="C8" s="384">
        <f>'SA1'!D39</f>
        <v>222.13160357999999</v>
      </c>
      <c r="D8" s="385">
        <f t="shared" si="5"/>
        <v>1.2573447197391523E-2</v>
      </c>
      <c r="E8" s="391">
        <f>C8/B8-1</f>
        <v>-0.11275659993355758</v>
      </c>
      <c r="F8" s="394">
        <f>(B8/$B$24)*E8*100</f>
        <v>-0.16991972993358526</v>
      </c>
      <c r="H8" s="20">
        <f t="shared" si="4"/>
        <v>-28.229913409999995</v>
      </c>
      <c r="I8" s="284" t="s">
        <v>238</v>
      </c>
      <c r="J8" s="209">
        <f t="shared" si="2"/>
        <v>-0.16991972993358526</v>
      </c>
    </row>
    <row r="9" spans="1:16" x14ac:dyDescent="0.25">
      <c r="A9" s="387" t="s">
        <v>73</v>
      </c>
      <c r="B9" s="382">
        <f>SUM('SA1'!C31:C35)</f>
        <v>934.19106718</v>
      </c>
      <c r="C9" s="384">
        <f>SUM('SA1'!D31:D35)</f>
        <v>970.04126993</v>
      </c>
      <c r="D9" s="385">
        <f t="shared" si="5"/>
        <v>5.490782261589737E-2</v>
      </c>
      <c r="E9" s="391">
        <f>C9/B9-1</f>
        <v>3.8375664261294462E-2</v>
      </c>
      <c r="F9" s="394">
        <f t="shared" si="1"/>
        <v>0.21578729912740049</v>
      </c>
      <c r="G9" s="213">
        <f>(C8+C9)/(B8+B9)-1</f>
        <v>6.4330528182836577E-3</v>
      </c>
      <c r="H9" s="20">
        <f t="shared" si="4"/>
        <v>35.850202749999994</v>
      </c>
      <c r="I9" s="284" t="s">
        <v>239</v>
      </c>
      <c r="J9" s="209">
        <f t="shared" si="2"/>
        <v>0.21578729912740049</v>
      </c>
    </row>
    <row r="10" spans="1:16" x14ac:dyDescent="0.25">
      <c r="A10" s="388" t="s">
        <v>23</v>
      </c>
      <c r="B10" s="383">
        <f>SUM('SA1'!C41:C44)</f>
        <v>3174.8735542599998</v>
      </c>
      <c r="C10" s="355">
        <f>SUM('SA1'!D41:D44)</f>
        <v>3906.5926283099998</v>
      </c>
      <c r="D10" s="386">
        <f>C10/$C$12</f>
        <v>0.22112718470555037</v>
      </c>
      <c r="E10" s="392">
        <f t="shared" si="0"/>
        <v>0.23047187912986011</v>
      </c>
      <c r="F10" s="395">
        <f t="shared" si="1"/>
        <v>4.4043177052674158</v>
      </c>
      <c r="H10" s="20">
        <f t="shared" si="4"/>
        <v>731.71907405000002</v>
      </c>
      <c r="I10" s="284" t="s">
        <v>240</v>
      </c>
      <c r="J10" s="209">
        <f t="shared" si="2"/>
        <v>4.4043177052674158</v>
      </c>
    </row>
    <row r="11" spans="1:16" x14ac:dyDescent="0.25">
      <c r="A11" s="389" t="s">
        <v>22</v>
      </c>
      <c r="B11" s="384">
        <f>B12-SUM(B3:B10)</f>
        <v>1383.2732281499993</v>
      </c>
      <c r="C11" s="384">
        <f>C12-SUM(C3:C10)</f>
        <v>1359.7055554700019</v>
      </c>
      <c r="D11" s="385">
        <f t="shared" si="5"/>
        <v>7.6964221795413471E-2</v>
      </c>
      <c r="E11" s="391">
        <f t="shared" si="0"/>
        <v>-1.7037612093105503E-2</v>
      </c>
      <c r="F11" s="394">
        <f t="shared" si="1"/>
        <v>-0.14185706200323453</v>
      </c>
      <c r="G11" s="285" t="s">
        <v>155</v>
      </c>
      <c r="H11" s="20">
        <f t="shared" si="4"/>
        <v>-23.567672679997486</v>
      </c>
      <c r="I11" s="284" t="s">
        <v>241</v>
      </c>
      <c r="J11" s="209">
        <f t="shared" si="2"/>
        <v>-0.14185706200323453</v>
      </c>
    </row>
    <row r="12" spans="1:16" ht="13.5" thickBot="1" x14ac:dyDescent="0.35">
      <c r="A12" s="390" t="s">
        <v>28</v>
      </c>
      <c r="B12" s="356">
        <f>'SA1'!C10</f>
        <v>16613.676011039999</v>
      </c>
      <c r="C12" s="356">
        <f>'SA1'!D10</f>
        <v>17666.722585520001</v>
      </c>
      <c r="D12" s="361">
        <f>SUM(D3:D11)</f>
        <v>1</v>
      </c>
      <c r="E12" s="393">
        <f t="shared" si="0"/>
        <v>6.3384321072605498E-2</v>
      </c>
      <c r="F12" s="380">
        <f t="shared" si="1"/>
        <v>6.3384321072605498</v>
      </c>
      <c r="H12" s="20">
        <f t="shared" si="4"/>
        <v>1053.0465744800022</v>
      </c>
    </row>
    <row r="13" spans="1:16" x14ac:dyDescent="0.25">
      <c r="B13" s="396">
        <f>'COMPTES SA (Chiffres utiles)'!Q66</f>
        <v>16613.676011039999</v>
      </c>
      <c r="C13" s="396">
        <f>'COMPTES SA (Chiffres utiles)'!R66</f>
        <v>17666.722585520001</v>
      </c>
      <c r="D13" s="104"/>
    </row>
    <row r="14" spans="1:16" x14ac:dyDescent="0.25">
      <c r="B14" s="104"/>
      <c r="C14" s="104"/>
      <c r="D14" s="104"/>
    </row>
    <row r="15" spans="1:16" ht="13" thickBot="1" x14ac:dyDescent="0.3"/>
    <row r="16" spans="1:16" ht="13.5" thickBot="1" x14ac:dyDescent="0.35">
      <c r="A16" s="344" t="s">
        <v>2</v>
      </c>
      <c r="B16" s="348">
        <f>B2</f>
        <v>2024</v>
      </c>
      <c r="C16" s="340">
        <f>C2</f>
        <v>2025</v>
      </c>
      <c r="D16" s="348" t="s">
        <v>27</v>
      </c>
      <c r="E16" s="348" t="s">
        <v>64</v>
      </c>
      <c r="F16" s="348" t="s">
        <v>65</v>
      </c>
    </row>
    <row r="17" spans="1:7" x14ac:dyDescent="0.25">
      <c r="A17" s="349" t="s">
        <v>212</v>
      </c>
      <c r="B17" s="249">
        <f>B3</f>
        <v>6640.469457180001</v>
      </c>
      <c r="C17" s="288">
        <f>C3</f>
        <v>6892.7554094400002</v>
      </c>
      <c r="D17" s="251">
        <f>D3</f>
        <v>0.3901547316472519</v>
      </c>
      <c r="E17" s="358">
        <f t="shared" ref="E17:E24" si="6">C17/B17-1</f>
        <v>3.7992186228221536E-2</v>
      </c>
      <c r="F17" s="469">
        <f t="shared" ref="F17:F24" si="7">(B17/$B$24)*E17*100</f>
        <v>1.518543831553911</v>
      </c>
      <c r="G17">
        <v>-3</v>
      </c>
    </row>
    <row r="18" spans="1:7" x14ac:dyDescent="0.25">
      <c r="A18" s="349" t="s">
        <v>25</v>
      </c>
      <c r="B18" s="250">
        <f>B5</f>
        <v>2595.9372039999998</v>
      </c>
      <c r="C18" s="288">
        <f>C5</f>
        <v>2538</v>
      </c>
      <c r="D18" s="252">
        <f>D5</f>
        <v>0.14365992264350128</v>
      </c>
      <c r="E18" s="358">
        <f t="shared" si="6"/>
        <v>-2.2318415064403796E-2</v>
      </c>
      <c r="F18" s="470">
        <f t="shared" si="7"/>
        <v>-0.3487319962270834</v>
      </c>
    </row>
    <row r="19" spans="1:7" x14ac:dyDescent="0.25">
      <c r="A19" s="350" t="s">
        <v>130</v>
      </c>
      <c r="B19" s="355">
        <f>B10</f>
        <v>3174.8735542599998</v>
      </c>
      <c r="C19" s="289">
        <f>C10</f>
        <v>3906.5926283099998</v>
      </c>
      <c r="D19" s="460">
        <f>D10</f>
        <v>0.22112718470555037</v>
      </c>
      <c r="E19" s="359">
        <f t="shared" si="6"/>
        <v>0.23047187912986011</v>
      </c>
      <c r="F19" s="471">
        <f t="shared" si="7"/>
        <v>4.4043177052674158</v>
      </c>
    </row>
    <row r="20" spans="1:7" x14ac:dyDescent="0.25">
      <c r="A20" s="351" t="s">
        <v>129</v>
      </c>
      <c r="B20" s="250">
        <f>B4</f>
        <v>1091.62434966</v>
      </c>
      <c r="C20" s="288">
        <f>C4</f>
        <v>1215.7234416700001</v>
      </c>
      <c r="D20" s="252">
        <f>D4</f>
        <v>6.8814316621829519E-2</v>
      </c>
      <c r="E20" s="358">
        <f t="shared" si="6"/>
        <v>0.1136829643353523</v>
      </c>
      <c r="F20" s="470">
        <f t="shared" si="7"/>
        <v>0.7469694962603971</v>
      </c>
    </row>
    <row r="21" spans="1:7" x14ac:dyDescent="0.25">
      <c r="A21" s="352" t="s">
        <v>149</v>
      </c>
      <c r="B21" s="291">
        <f>B11+B7</f>
        <v>1399.2431509799994</v>
      </c>
      <c r="C21" s="288">
        <f>C11 +C7</f>
        <v>1373.3156845800017</v>
      </c>
      <c r="D21" s="292">
        <f>D11</f>
        <v>7.6964221795413471E-2</v>
      </c>
      <c r="E21" s="358">
        <f t="shared" si="6"/>
        <v>-1.8529636097799451E-2</v>
      </c>
      <c r="F21" s="472">
        <f t="shared" si="7"/>
        <v>-0.15606098483423242</v>
      </c>
    </row>
    <row r="22" spans="1:7" x14ac:dyDescent="0.25">
      <c r="A22" s="349" t="s">
        <v>143</v>
      </c>
      <c r="B22" s="250">
        <f>B8+B9</f>
        <v>1184.55258417</v>
      </c>
      <c r="C22" s="288">
        <f>C8+C9</f>
        <v>1192.17287351</v>
      </c>
      <c r="D22" s="252">
        <f>D8+D9</f>
        <v>6.7481269813288891E-2</v>
      </c>
      <c r="E22" s="358">
        <f t="shared" si="6"/>
        <v>6.4330528182836577E-3</v>
      </c>
      <c r="F22" s="470">
        <f t="shared" si="7"/>
        <v>4.5867569193814968E-2</v>
      </c>
    </row>
    <row r="23" spans="1:7" x14ac:dyDescent="0.25">
      <c r="A23" s="353" t="s">
        <v>128</v>
      </c>
      <c r="B23" s="291">
        <f>B6</f>
        <v>526.97571078999999</v>
      </c>
      <c r="C23" s="288">
        <f>C6</f>
        <v>548.16254801000002</v>
      </c>
      <c r="D23" s="292">
        <f>D6+D7</f>
        <v>3.1798352773164625E-2</v>
      </c>
      <c r="E23" s="358">
        <f t="shared" si="6"/>
        <v>4.0204580184992622E-2</v>
      </c>
      <c r="F23" s="472">
        <f t="shared" si="7"/>
        <v>0.1275264860463218</v>
      </c>
      <c r="G23" s="149"/>
    </row>
    <row r="24" spans="1:7" ht="13.5" thickBot="1" x14ac:dyDescent="0.35">
      <c r="A24" s="354" t="s">
        <v>28</v>
      </c>
      <c r="B24" s="356">
        <f>SUM(B17:B23)</f>
        <v>16613.676011039999</v>
      </c>
      <c r="C24" s="357">
        <f>SUM(C17:C23)</f>
        <v>17666.722585520001</v>
      </c>
      <c r="D24" s="361">
        <f>SUM(D17:D23)</f>
        <v>1</v>
      </c>
      <c r="E24" s="360">
        <f t="shared" si="6"/>
        <v>6.3384321072605498E-2</v>
      </c>
      <c r="F24" s="362">
        <f t="shared" si="7"/>
        <v>6.3384321072605498</v>
      </c>
    </row>
    <row r="25" spans="1:7" x14ac:dyDescent="0.25">
      <c r="B25" s="195" t="b">
        <f>B24=B12</f>
        <v>1</v>
      </c>
      <c r="C25" s="195" t="b">
        <f>C24=C12</f>
        <v>1</v>
      </c>
    </row>
    <row r="26" spans="1:7" ht="13" x14ac:dyDescent="0.3">
      <c r="A26" s="422" t="s">
        <v>173</v>
      </c>
      <c r="B26" s="283" t="s">
        <v>152</v>
      </c>
      <c r="C26" s="159"/>
    </row>
    <row r="40" spans="9:9" ht="13" x14ac:dyDescent="0.3">
      <c r="I40" s="422" t="s">
        <v>196</v>
      </c>
    </row>
    <row r="54" spans="1:15" ht="13" thickBot="1" x14ac:dyDescent="0.3"/>
    <row r="55" spans="1:15" ht="13.5" thickBot="1" x14ac:dyDescent="0.35">
      <c r="A55" s="345" t="s">
        <v>2</v>
      </c>
      <c r="B55" s="348">
        <f>B16</f>
        <v>2024</v>
      </c>
      <c r="C55" s="340">
        <f>C16</f>
        <v>2025</v>
      </c>
      <c r="D55" s="348" t="s">
        <v>27</v>
      </c>
      <c r="E55" s="340" t="s">
        <v>64</v>
      </c>
      <c r="F55" s="348" t="s">
        <v>65</v>
      </c>
    </row>
    <row r="56" spans="1:15" x14ac:dyDescent="0.25">
      <c r="A56" s="351" t="s">
        <v>118</v>
      </c>
      <c r="B56" s="249">
        <f>'COMPTES SA (Chiffres utiles)'!Q6+'COMPTES SA (Chiffres utiles)'!Q13+'COMPTES SA (Chiffres utiles)'!Q19+'COMPTES SA (Chiffres utiles)'!Q25+'COMPTES SA (Chiffres utiles)'!Q37+'COMPTES SA (Chiffres utiles)'!Q43+'COMPTES SA (Chiffres utiles)'!Q49+'COMPTES SA (Chiffres utiles)'!Q55+'COMPTES SA (Chiffres utiles)'!Q61+'COMPTES SA (Chiffres utiles)'!Q31</f>
        <v>6293.6637514799995</v>
      </c>
      <c r="C56" s="250">
        <f>'COMPTES SA (Chiffres utiles)'!R6+'COMPTES SA (Chiffres utiles)'!R13+'COMPTES SA (Chiffres utiles)'!R19+'COMPTES SA (Chiffres utiles)'!R25+'COMPTES SA (Chiffres utiles)'!R37+'COMPTES SA (Chiffres utiles)'!R43+'COMPTES SA (Chiffres utiles)'!R49+'COMPTES SA (Chiffres utiles)'!R55+'COMPTES SA (Chiffres utiles)'!R61+'COMPTES SA (Chiffres utiles)'!R31</f>
        <v>7121.1952373200002</v>
      </c>
      <c r="D56" s="328">
        <f>C56/$C$61</f>
        <v>0.40308524701444476</v>
      </c>
      <c r="E56" s="252">
        <f>C56/B56-1</f>
        <v>0.13148644708662749</v>
      </c>
      <c r="F56" s="467">
        <f>(B56/$B$61)*E56*100</f>
        <v>4.9810257843603978</v>
      </c>
    </row>
    <row r="57" spans="1:15" x14ac:dyDescent="0.25">
      <c r="A57" s="349" t="s">
        <v>84</v>
      </c>
      <c r="B57" s="250">
        <f>'COMPTES SA (Chiffres utiles)'!Q8+'COMPTES SA (Chiffres utiles)'!Q15+'COMPTES SA (Chiffres utiles)'!Q21+'COMPTES SA (Chiffres utiles)'!Q27+'COMPTES SA (Chiffres utiles)'!Q39+'COMPTES SA (Chiffres utiles)'!Q45+'COMPTES SA (Chiffres utiles)'!Q51+'COMPTES SA (Chiffres utiles)'!Q57+'COMPTES SA (Chiffres utiles)'!Q63</f>
        <v>825.99940177999997</v>
      </c>
      <c r="C57" s="250">
        <f>'COMPTES SA (Chiffres utiles)'!R8+'COMPTES SA (Chiffres utiles)'!R15+'COMPTES SA (Chiffres utiles)'!R21+'COMPTES SA (Chiffres utiles)'!R27+'COMPTES SA (Chiffres utiles)'!R39+'COMPTES SA (Chiffres utiles)'!R45+'COMPTES SA (Chiffres utiles)'!R51+'COMPTES SA (Chiffres utiles)'!R57+'COMPTES SA (Chiffres utiles)'!R63</f>
        <v>839.22369409999988</v>
      </c>
      <c r="D57" s="328">
        <f t="shared" ref="D57:D61" si="8">C57/$C$61</f>
        <v>4.7503077610322832E-2</v>
      </c>
      <c r="E57" s="252">
        <f t="shared" ref="E57:E61" si="9">C57/B57-1</f>
        <v>1.6010050723404889E-2</v>
      </c>
      <c r="F57" s="467">
        <f t="shared" ref="F57:F61" si="10">(B57/$B$61)*E57*100</f>
        <v>7.9598833582719339E-2</v>
      </c>
    </row>
    <row r="58" spans="1:15" x14ac:dyDescent="0.25">
      <c r="A58" s="349" t="s">
        <v>82</v>
      </c>
      <c r="B58" s="250">
        <f>'COMPTES SA (Chiffres utiles)'!Q7+'COMPTES SA (Chiffres utiles)'!Q14+'COMPTES SA (Chiffres utiles)'!Q20+'COMPTES SA (Chiffres utiles)'!Q26+'COMPTES SA (Chiffres utiles)'!Q38+'COMPTES SA (Chiffres utiles)'!Q44+'COMPTES SA (Chiffres utiles)'!Q50+'COMPTES SA (Chiffres utiles)'!Q56+'COMPTES SA (Chiffres utiles)'!Q62+'COMPTES SA (Chiffres utiles)'!Q32</f>
        <v>990.55856647999997</v>
      </c>
      <c r="C58" s="250">
        <f>'COMPTES SA (Chiffres utiles)'!R7+'COMPTES SA (Chiffres utiles)'!R14+'COMPTES SA (Chiffres utiles)'!R20+'COMPTES SA (Chiffres utiles)'!R26+'COMPTES SA (Chiffres utiles)'!R38+'COMPTES SA (Chiffres utiles)'!R44+'COMPTES SA (Chiffres utiles)'!R50+'COMPTES SA (Chiffres utiles)'!R56+'COMPTES SA (Chiffres utiles)'!R62+'COMPTES SA (Chiffres utiles)'!R32</f>
        <v>978.87066527000002</v>
      </c>
      <c r="D58" s="328">
        <f t="shared" si="8"/>
        <v>5.5407598128715846E-2</v>
      </c>
      <c r="E58" s="252">
        <f t="shared" si="9"/>
        <v>-1.17993035500501E-2</v>
      </c>
      <c r="F58" s="467">
        <f t="shared" si="10"/>
        <v>-7.0351084264754185E-2</v>
      </c>
    </row>
    <row r="59" spans="1:15" ht="13" x14ac:dyDescent="0.3">
      <c r="A59" s="353" t="s">
        <v>83</v>
      </c>
      <c r="B59" s="291">
        <f>'COMPTES SA (Chiffres utiles)'!Q9+'COMPTES SA (Chiffres utiles)'!Q16+'COMPTES SA (Chiffres utiles)'!Q22+'COMPTES SA (Chiffres utiles)'!Q28++'COMPTES SA (Chiffres utiles)'!Q34+'COMPTES SA (Chiffres utiles)'!Q40+'COMPTES SA (Chiffres utiles)'!Q46+'COMPTES SA (Chiffres utiles)'!Q52+'COMPTES SA (Chiffres utiles)'!Q58+'COMPTES SA (Chiffres utiles)'!Q64</f>
        <v>7750.1797332300002</v>
      </c>
      <c r="C59" s="291">
        <f>'COMPTES SA (Chiffres utiles)'!R9+'COMPTES SA (Chiffres utiles)'!R16+'COMPTES SA (Chiffres utiles)'!R22+'COMPTES SA (Chiffres utiles)'!R28+'COMPTES SA (Chiffres utiles)'!R40+'COMPTES SA (Chiffres utiles)'!R46+'COMPTES SA (Chiffres utiles)'!R52+'COMPTES SA (Chiffres utiles)'!R58+'COMPTES SA (Chiffres utiles)'!R64+'COMPTES SA (Chiffres utiles)'!R34</f>
        <v>7974.86382142</v>
      </c>
      <c r="D59" s="325">
        <f t="shared" si="8"/>
        <v>0.45140595731980065</v>
      </c>
      <c r="E59" s="292">
        <f t="shared" si="9"/>
        <v>2.8990822913000924E-2</v>
      </c>
      <c r="F59" s="468">
        <f t="shared" si="10"/>
        <v>1.3524044169435727</v>
      </c>
      <c r="I59" s="422" t="s">
        <v>170</v>
      </c>
      <c r="J59" s="255" t="s">
        <v>118</v>
      </c>
      <c r="K59" s="366" t="s">
        <v>119</v>
      </c>
      <c r="L59" s="366" t="s">
        <v>82</v>
      </c>
      <c r="M59" s="366" t="s">
        <v>83</v>
      </c>
      <c r="N59" s="366" t="s">
        <v>138</v>
      </c>
      <c r="O59" s="208" t="s">
        <v>125</v>
      </c>
    </row>
    <row r="60" spans="1:15" x14ac:dyDescent="0.25">
      <c r="A60" s="353" t="s">
        <v>157</v>
      </c>
      <c r="B60" s="291">
        <f>'COMPTES SA (Chiffres utiles)'!Q65+'COMPTES SA (Chiffres utiles)'!Q41</f>
        <v>753.27455807000001</v>
      </c>
      <c r="C60" s="291">
        <f>'COMPTES SA (Chiffres utiles)'!R41+'COMPTES SA (Chiffres utiles)'!R65</f>
        <v>752.56916741000009</v>
      </c>
      <c r="D60" s="325">
        <f t="shared" si="8"/>
        <v>4.2598119926715826E-2</v>
      </c>
      <c r="E60" s="292">
        <f t="shared" si="9"/>
        <v>-9.3643234388163243E-4</v>
      </c>
      <c r="F60" s="468">
        <f t="shared" si="10"/>
        <v>-4.2458433614038808E-3</v>
      </c>
      <c r="G60" t="s">
        <v>156</v>
      </c>
      <c r="I60" s="594" t="s">
        <v>232</v>
      </c>
      <c r="J60" s="596">
        <f>E56</f>
        <v>0.13148644708662749</v>
      </c>
      <c r="K60" s="596">
        <f>E57</f>
        <v>1.6010050723404889E-2</v>
      </c>
      <c r="L60" s="596">
        <f>E58</f>
        <v>-1.17993035500501E-2</v>
      </c>
      <c r="M60" s="596">
        <f>E59</f>
        <v>2.8990822913000924E-2</v>
      </c>
      <c r="N60" s="596">
        <f>E60</f>
        <v>-9.3643234388163243E-4</v>
      </c>
      <c r="O60" s="592">
        <f>E61</f>
        <v>6.3384321072605498E-2</v>
      </c>
    </row>
    <row r="61" spans="1:15" ht="13.5" thickBot="1" x14ac:dyDescent="0.35">
      <c r="A61" s="363" t="s">
        <v>127</v>
      </c>
      <c r="B61" s="265">
        <f>SUM(B56:B60)</f>
        <v>16613.676011039999</v>
      </c>
      <c r="C61" s="265">
        <f>SUM(C56:C60)</f>
        <v>17666.722585520001</v>
      </c>
      <c r="D61" s="365">
        <f t="shared" si="8"/>
        <v>1</v>
      </c>
      <c r="E61" s="266">
        <f t="shared" si="9"/>
        <v>6.3384321072605498E-2</v>
      </c>
      <c r="F61" s="267">
        <f t="shared" si="10"/>
        <v>6.3384321072605498</v>
      </c>
      <c r="I61" s="594"/>
      <c r="J61" s="596"/>
      <c r="K61" s="596"/>
      <c r="L61" s="596"/>
      <c r="M61" s="596"/>
      <c r="N61" s="596"/>
      <c r="O61" s="592"/>
    </row>
    <row r="62" spans="1:15" x14ac:dyDescent="0.25">
      <c r="B62" s="20">
        <f>B24-B61</f>
        <v>0</v>
      </c>
      <c r="C62" s="20">
        <f>C24-C61</f>
        <v>0</v>
      </c>
      <c r="I62" s="594" t="s">
        <v>233</v>
      </c>
      <c r="J62" s="595">
        <f>F56</f>
        <v>4.9810257843603978</v>
      </c>
      <c r="K62" s="595">
        <f>F57</f>
        <v>7.9598833582719339E-2</v>
      </c>
      <c r="L62" s="595">
        <f>F58</f>
        <v>-7.0351084264754185E-2</v>
      </c>
      <c r="M62" s="595">
        <f>F59</f>
        <v>1.3524044169435727</v>
      </c>
      <c r="N62" s="595">
        <f>F60</f>
        <v>-4.2458433614038808E-3</v>
      </c>
      <c r="O62" s="593">
        <f>F61</f>
        <v>6.3384321072605498</v>
      </c>
    </row>
    <row r="63" spans="1:15" x14ac:dyDescent="0.25">
      <c r="I63" s="594"/>
      <c r="J63" s="595"/>
      <c r="K63" s="595"/>
      <c r="L63" s="595"/>
      <c r="M63" s="595"/>
      <c r="N63" s="595"/>
      <c r="O63" s="593"/>
    </row>
    <row r="64" spans="1:15" x14ac:dyDescent="0.25">
      <c r="J64" s="280" t="s">
        <v>151</v>
      </c>
    </row>
  </sheetData>
  <mergeCells count="14">
    <mergeCell ref="O60:O61"/>
    <mergeCell ref="O62:O63"/>
    <mergeCell ref="N60:N61"/>
    <mergeCell ref="N62:N63"/>
    <mergeCell ref="I62:I63"/>
    <mergeCell ref="J62:J63"/>
    <mergeCell ref="K62:K63"/>
    <mergeCell ref="L62:L63"/>
    <mergeCell ref="M62:M63"/>
    <mergeCell ref="I60:I61"/>
    <mergeCell ref="J60:J61"/>
    <mergeCell ref="K60:K61"/>
    <mergeCell ref="L60:L61"/>
    <mergeCell ref="M60:M61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5" verticalDpi="4294967295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L48"/>
  <sheetViews>
    <sheetView zoomScale="90" zoomScaleNormal="90" workbookViewId="0">
      <selection activeCell="N27" sqref="N27"/>
    </sheetView>
  </sheetViews>
  <sheetFormatPr baseColWidth="10" defaultRowHeight="12.5" x14ac:dyDescent="0.25"/>
  <cols>
    <col min="1" max="1" width="42" customWidth="1"/>
    <col min="6" max="6" width="16.81640625" bestFit="1" customWidth="1"/>
    <col min="7" max="7" width="17" customWidth="1"/>
    <col min="8" max="8" width="17.26953125" customWidth="1"/>
    <col min="9" max="9" width="21.54296875" bestFit="1" customWidth="1"/>
    <col min="10" max="12" width="9.81640625" customWidth="1"/>
  </cols>
  <sheetData>
    <row r="1" spans="1:12" ht="13.5" thickBot="1" x14ac:dyDescent="0.35">
      <c r="A1" s="378" t="s">
        <v>0</v>
      </c>
      <c r="B1" s="373">
        <f>'COMPTES SA (Chiffres utiles)'!D3</f>
        <v>2024</v>
      </c>
      <c r="C1" s="373">
        <f>'COMPTES SA (Chiffres utiles)'!E3</f>
        <v>2025</v>
      </c>
      <c r="D1" s="374" t="s">
        <v>27</v>
      </c>
      <c r="E1" s="374" t="s">
        <v>64</v>
      </c>
      <c r="F1" s="374" t="s">
        <v>65</v>
      </c>
    </row>
    <row r="2" spans="1:12" x14ac:dyDescent="0.25">
      <c r="A2" s="435" t="s">
        <v>18</v>
      </c>
      <c r="B2" s="436">
        <f>'SA1'!C5</f>
        <v>7339.8304457100012</v>
      </c>
      <c r="C2" s="437">
        <f>'SA1'!D5</f>
        <v>7607.3031293200029</v>
      </c>
      <c r="D2" s="438">
        <f t="shared" ref="D2:D8" si="0">C2/$C$9</f>
        <v>0.95391009798653181</v>
      </c>
      <c r="E2" s="439">
        <f>C2/B2-1</f>
        <v>3.6441261904944122E-2</v>
      </c>
      <c r="F2" s="440">
        <f t="shared" ref="F2:F9" si="1">(B2/$B$9)*E2*100</f>
        <v>3.4511803960258316</v>
      </c>
    </row>
    <row r="3" spans="1:12" x14ac:dyDescent="0.25">
      <c r="A3" s="435" t="s">
        <v>69</v>
      </c>
      <c r="B3" s="441">
        <f>'COMPTES SA (Chiffres utiles)'!D17+'COMPTES SA (Chiffres utiles)'!D23</f>
        <v>106.72924442</v>
      </c>
      <c r="C3" s="442">
        <f>'COMPTES SA (Chiffres utiles)'!E17+'COMPTES SA (Chiffres utiles)'!E23</f>
        <v>58.049565290000004</v>
      </c>
      <c r="D3" s="443">
        <f t="shared" si="0"/>
        <v>7.2790666511548911E-3</v>
      </c>
      <c r="E3" s="444">
        <f>C3/B3-1</f>
        <v>-0.4561044106940001</v>
      </c>
      <c r="F3" s="445">
        <f t="shared" si="1"/>
        <v>-0.62811032525192834</v>
      </c>
      <c r="I3" t="s">
        <v>114</v>
      </c>
    </row>
    <row r="4" spans="1:12" x14ac:dyDescent="0.25">
      <c r="A4" s="349" t="s">
        <v>67</v>
      </c>
      <c r="B4" s="375">
        <f>'COMPTES SA (Chiffres utiles)'!D43</f>
        <v>168.39361477</v>
      </c>
      <c r="C4" s="216">
        <f>'COMPTES SA (Chiffres utiles)'!E43</f>
        <v>173.97667737999998</v>
      </c>
      <c r="D4" s="328">
        <f t="shared" si="0"/>
        <v>2.1815629868526296E-2</v>
      </c>
      <c r="E4" s="219">
        <f>C4/B4-1</f>
        <v>3.3154835577498654E-2</v>
      </c>
      <c r="F4" s="367">
        <f t="shared" si="1"/>
        <v>7.2037846890980112E-2</v>
      </c>
      <c r="I4" t="s">
        <v>115</v>
      </c>
      <c r="K4" s="20"/>
      <c r="L4" s="19"/>
    </row>
    <row r="5" spans="1:12" x14ac:dyDescent="0.25">
      <c r="A5" s="349" t="s">
        <v>68</v>
      </c>
      <c r="B5" s="375">
        <f>'COMPTES SA (Chiffres utiles)'!D49</f>
        <v>125.55006176000001</v>
      </c>
      <c r="C5" s="216">
        <f>'COMPTES SA (Chiffres utiles)'!E49</f>
        <v>126.05513855999999</v>
      </c>
      <c r="D5" s="328">
        <f t="shared" si="0"/>
        <v>1.5806556874541668E-2</v>
      </c>
      <c r="E5" s="286">
        <f>C5/B5-1</f>
        <v>4.022911601313961E-3</v>
      </c>
      <c r="F5" s="367">
        <f t="shared" si="1"/>
        <v>6.5169688624690794E-3</v>
      </c>
      <c r="I5" t="s">
        <v>116</v>
      </c>
      <c r="K5" s="271"/>
      <c r="L5" s="19">
        <f>K5/C3</f>
        <v>0</v>
      </c>
    </row>
    <row r="6" spans="1:12" x14ac:dyDescent="0.25">
      <c r="A6" s="368" t="s">
        <v>66</v>
      </c>
      <c r="B6" s="376">
        <f>'COMPTES SA (Chiffres utiles)'!D10-'SA1'!C5</f>
        <v>9.2902217299997574</v>
      </c>
      <c r="C6" s="218">
        <f>'COMPTES SA (Chiffres utiles)'!E10-'SA1'!D5</f>
        <v>9.0560985100000835</v>
      </c>
      <c r="D6" s="214">
        <f t="shared" si="0"/>
        <v>1.1355803325037285E-3</v>
      </c>
      <c r="E6" s="287">
        <f t="shared" ref="E6:E9" si="2">C6/B6-1</f>
        <v>-2.5201036832484758E-2</v>
      </c>
      <c r="F6" s="369">
        <f t="shared" si="1"/>
        <v>-3.0208747159222314E-3</v>
      </c>
      <c r="G6" t="s">
        <v>156</v>
      </c>
    </row>
    <row r="7" spans="1:12" x14ac:dyDescent="0.25">
      <c r="A7" s="368" t="s">
        <v>70</v>
      </c>
      <c r="B7" s="376">
        <f>'COMPTES SA (Chiffres utiles)'!D31</f>
        <v>0.38614483999999999</v>
      </c>
      <c r="C7" s="218">
        <f>'COMPTES SA (Chiffres utiles)'!E31</f>
        <v>0.42321235999999995</v>
      </c>
      <c r="D7" s="214">
        <f t="shared" si="0"/>
        <v>5.3068286741558782E-5</v>
      </c>
      <c r="E7" s="287">
        <f t="shared" si="2"/>
        <v>9.5993824493420643E-2</v>
      </c>
      <c r="F7" s="369">
        <f t="shared" si="1"/>
        <v>4.7827948868163294E-4</v>
      </c>
    </row>
    <row r="8" spans="1:12" x14ac:dyDescent="0.25">
      <c r="A8" s="368" t="s">
        <v>19</v>
      </c>
      <c r="B8" s="376">
        <f>'COMPTES SA (Chiffres utiles)'!D37</f>
        <v>0</v>
      </c>
      <c r="C8" s="218">
        <f>'COMPTES SA (Chiffres utiles)'!E37</f>
        <v>0</v>
      </c>
      <c r="D8" s="214">
        <f t="shared" si="0"/>
        <v>0</v>
      </c>
      <c r="E8" s="220" t="e">
        <f t="shared" si="2"/>
        <v>#DIV/0!</v>
      </c>
      <c r="F8" s="369" t="e">
        <f t="shared" si="1"/>
        <v>#DIV/0!</v>
      </c>
    </row>
    <row r="9" spans="1:12" ht="13.5" thickBot="1" x14ac:dyDescent="0.35">
      <c r="A9" s="363" t="s">
        <v>20</v>
      </c>
      <c r="B9" s="377">
        <f>SUM(B2:B8)</f>
        <v>7750.1797332300011</v>
      </c>
      <c r="C9" s="370">
        <f>SUM(C2:C8)</f>
        <v>7974.8638214200037</v>
      </c>
      <c r="D9" s="334">
        <f>SUM(D2:D8)</f>
        <v>0.99999999999999989</v>
      </c>
      <c r="E9" s="371">
        <f t="shared" si="2"/>
        <v>2.8990822913001368E-2</v>
      </c>
      <c r="F9" s="372">
        <f t="shared" si="1"/>
        <v>2.8990822913001368</v>
      </c>
    </row>
    <row r="10" spans="1:12" x14ac:dyDescent="0.25">
      <c r="A10" s="215"/>
      <c r="B10" s="195">
        <f>'COMPTES SA (Chiffres utiles)'!D10+'COMPTES SA (Chiffres utiles)'!D17+'COMPTES SA (Chiffres utiles)'!D23+'COMPTES SA (Chiffres utiles)'!D31+'COMPTES SA (Chiffres utiles)'!D37+'COMPTES SA (Chiffres utiles)'!D43+'COMPTES SA (Chiffres utiles)'!D49</f>
        <v>7750.1797332300011</v>
      </c>
      <c r="C10" s="195">
        <f>'COMPTES SA (Chiffres utiles)'!E10+'COMPTES SA (Chiffres utiles)'!E17+'COMPTES SA (Chiffres utiles)'!E23+'COMPTES SA (Chiffres utiles)'!E31+'COMPTES SA (Chiffres utiles)'!E37+'COMPTES SA (Chiffres utiles)'!E43+'COMPTES SA (Chiffres utiles)'!E49</f>
        <v>7974.8638214200037</v>
      </c>
    </row>
    <row r="11" spans="1:12" ht="13" x14ac:dyDescent="0.3">
      <c r="A11" s="149" t="s">
        <v>146</v>
      </c>
      <c r="C11" s="272">
        <f>(C7+C8)/(B7+B8)-1</f>
        <v>9.5993824493420643E-2</v>
      </c>
    </row>
    <row r="14" spans="1:12" x14ac:dyDescent="0.25">
      <c r="B14" s="20"/>
      <c r="C14" s="20"/>
      <c r="D14" s="19"/>
      <c r="E14" s="19"/>
      <c r="F14" s="2"/>
    </row>
    <row r="15" spans="1:12" x14ac:dyDescent="0.25">
      <c r="B15" s="20"/>
      <c r="C15" s="20"/>
      <c r="D15" s="19"/>
      <c r="E15" s="19"/>
      <c r="F15" s="2"/>
    </row>
    <row r="16" spans="1:12" x14ac:dyDescent="0.25">
      <c r="B16" s="20"/>
      <c r="C16" s="20"/>
      <c r="D16" s="19"/>
      <c r="E16" s="19"/>
      <c r="F16" s="2"/>
    </row>
    <row r="17" spans="1:6" x14ac:dyDescent="0.25">
      <c r="B17" s="20"/>
      <c r="C17" s="20"/>
      <c r="D17" s="19"/>
      <c r="E17" s="19"/>
      <c r="F17" s="2"/>
    </row>
    <row r="18" spans="1:6" x14ac:dyDescent="0.25">
      <c r="A18" s="21"/>
      <c r="B18" s="20"/>
      <c r="C18" s="20"/>
      <c r="D18" s="19"/>
      <c r="E18" s="19"/>
      <c r="F18" s="2"/>
    </row>
    <row r="19" spans="1:6" x14ac:dyDescent="0.25">
      <c r="A19" s="21"/>
      <c r="B19" s="20"/>
      <c r="C19" s="20"/>
      <c r="D19" s="19"/>
      <c r="E19" s="19"/>
      <c r="F19" s="2"/>
    </row>
    <row r="20" spans="1:6" x14ac:dyDescent="0.25">
      <c r="A20" s="21"/>
      <c r="B20" s="20"/>
      <c r="C20" s="20"/>
      <c r="D20" s="19"/>
      <c r="E20" s="19"/>
      <c r="F20" s="2"/>
    </row>
    <row r="21" spans="1:6" ht="13" x14ac:dyDescent="0.3">
      <c r="A21" s="155"/>
      <c r="B21" s="156"/>
      <c r="C21" s="156"/>
      <c r="D21" s="157"/>
      <c r="E21" s="157"/>
      <c r="F21" s="158"/>
    </row>
    <row r="23" spans="1:6" x14ac:dyDescent="0.25">
      <c r="C23" s="159"/>
    </row>
    <row r="32" spans="1:6" ht="13.5" thickBot="1" x14ac:dyDescent="0.35">
      <c r="A32" s="422" t="s">
        <v>167</v>
      </c>
    </row>
    <row r="33" spans="1:11" ht="13.5" thickBot="1" x14ac:dyDescent="0.35">
      <c r="A33" s="378" t="s">
        <v>0</v>
      </c>
      <c r="B33" s="374">
        <f>'%charges'!B37</f>
        <v>2023</v>
      </c>
      <c r="C33" s="374">
        <f>B1</f>
        <v>2024</v>
      </c>
      <c r="D33" s="374">
        <f>C1</f>
        <v>2025</v>
      </c>
      <c r="E33" s="374" t="s">
        <v>27</v>
      </c>
      <c r="F33" s="374" t="str">
        <f>'%charges'!F37</f>
        <v>Evol 2024/2023</v>
      </c>
      <c r="G33" s="374" t="str">
        <f>'%charges'!G37</f>
        <v>Evol 2025/2024</v>
      </c>
      <c r="H33" s="374" t="str">
        <f>'%charges'!H37</f>
        <v>Contri croiss 2025</v>
      </c>
      <c r="I33" s="374" t="str">
        <f>'%charges'!I37</f>
        <v>Contri croiss 2024</v>
      </c>
    </row>
    <row r="34" spans="1:11" x14ac:dyDescent="0.25">
      <c r="A34" s="446" t="s">
        <v>118</v>
      </c>
      <c r="B34" s="447">
        <f>'COMPTES SA (Chiffres utiles)'!C7+'COMPTES SA (Chiffres utiles)'!C14+'COMPTES SA (Chiffres utiles)'!C20+'COMPTES SA (Chiffres utiles)'!C28+'COMPTES SA (Chiffres utiles)'!C34+'COMPTES SA (Chiffres utiles)'!C40+'COMPTES SA (Chiffres utiles)'!C46</f>
        <v>6137.2472051500008</v>
      </c>
      <c r="C34" s="447">
        <f>'COMPTES SA (Chiffres utiles)'!D7+'COMPTES SA (Chiffres utiles)'!D14+'COMPTES SA (Chiffres utiles)'!D20+'COMPTES SA (Chiffres utiles)'!D28+'COMPTES SA (Chiffres utiles)'!D34+'COMPTES SA (Chiffres utiles)'!D40+'COMPTES SA (Chiffres utiles)'!D46</f>
        <v>6293.6637514799995</v>
      </c>
      <c r="D34" s="447">
        <f>'COMPTES SA (Chiffres utiles)'!E7+'COMPTES SA (Chiffres utiles)'!E14+'COMPTES SA (Chiffres utiles)'!E20+'COMPTES SA (Chiffres utiles)'!E28+'COMPTES SA (Chiffres utiles)'!E34+'COMPTES SA (Chiffres utiles)'!E40+'COMPTES SA (Chiffres utiles)'!E46</f>
        <v>7121.195237320002</v>
      </c>
      <c r="E34" s="448">
        <f>D34/$D$39</f>
        <v>0.42115985051050736</v>
      </c>
      <c r="F34" s="448">
        <f>C34/B34-1</f>
        <v>2.5486434080534304E-2</v>
      </c>
      <c r="G34" s="443">
        <f>D34/C34-1</f>
        <v>0.13148644708662771</v>
      </c>
      <c r="H34" s="449">
        <f t="shared" ref="H34:H39" si="3">(C34/$C$39)*G34*100</f>
        <v>5.2295989202503366</v>
      </c>
      <c r="I34" s="449">
        <f>(B34/$B$39)*F34*100</f>
        <v>1.0344639391330874</v>
      </c>
    </row>
    <row r="35" spans="1:11" x14ac:dyDescent="0.25">
      <c r="A35" s="349" t="s">
        <v>84</v>
      </c>
      <c r="B35" s="250">
        <f>'COMPTES SA (Chiffres utiles)'!C8+'COMPTES SA (Chiffres utiles)'!C15+'COMPTES SA (Chiffres utiles)'!C21+'COMPTES SA (Chiffres utiles)'!C29+'COMPTES SA (Chiffres utiles)'!C35+'COMPTES SA (Chiffres utiles)'!C41+'COMPTES SA (Chiffres utiles)'!C47</f>
        <v>766.76793252999994</v>
      </c>
      <c r="C35" s="250">
        <f>'COMPTES SA (Chiffres utiles)'!D8+'COMPTES SA (Chiffres utiles)'!D15+'COMPTES SA (Chiffres utiles)'!D21+'COMPTES SA (Chiffres utiles)'!D29+'COMPTES SA (Chiffres utiles)'!D35+'COMPTES SA (Chiffres utiles)'!D41+'COMPTES SA (Chiffres utiles)'!D47</f>
        <v>789.59321995000005</v>
      </c>
      <c r="D35" s="250">
        <f>'COMPTES SA (Chiffres utiles)'!E8+'COMPTES SA (Chiffres utiles)'!E15+'COMPTES SA (Chiffres utiles)'!E21+'COMPTES SA (Chiffres utiles)'!E29+'COMPTES SA (Chiffres utiles)'!E35+'COMPTES SA (Chiffres utiles)'!E41+'COMPTES SA (Chiffres utiles)'!E47</f>
        <v>833.60329186999979</v>
      </c>
      <c r="E35" s="252">
        <f>D35/$D$39</f>
        <v>4.9300746024927393E-2</v>
      </c>
      <c r="F35" s="252">
        <f t="shared" ref="F35:G39" si="4">C35/B35-1</f>
        <v>2.9768182068708349E-2</v>
      </c>
      <c r="G35" s="328">
        <f t="shared" si="4"/>
        <v>5.5737651752869155E-2</v>
      </c>
      <c r="H35" s="379">
        <f t="shared" si="3"/>
        <v>0.27812237785653182</v>
      </c>
      <c r="I35" s="379">
        <f t="shared" ref="I35:I39" si="5">(B35/$B$39)*F35*100</f>
        <v>0.15095549217998386</v>
      </c>
    </row>
    <row r="36" spans="1:11" x14ac:dyDescent="0.25">
      <c r="A36" s="349" t="s">
        <v>82</v>
      </c>
      <c r="B36" s="250">
        <f>'COMPTES SA (Chiffres utiles)'!C9+'COMPTES SA (Chiffres utiles)'!C16+'COMPTES SA (Chiffres utiles)'!C22+'COMPTES SA (Chiffres utiles)'!C30+'COMPTES SA (Chiffres utiles)'!C36+'COMPTES SA (Chiffres utiles)'!C42+'COMPTES SA (Chiffres utiles)'!C48</f>
        <v>981.95520630999999</v>
      </c>
      <c r="C36" s="250">
        <f>'COMPTES SA (Chiffres utiles)'!D9+'COMPTES SA (Chiffres utiles)'!D16+'COMPTES SA (Chiffres utiles)'!D22+'COMPTES SA (Chiffres utiles)'!D30+'COMPTES SA (Chiffres utiles)'!D36+'COMPTES SA (Chiffres utiles)'!D42+'COMPTES SA (Chiffres utiles)'!D48</f>
        <v>990.55856647999997</v>
      </c>
      <c r="D36" s="250">
        <f>'COMPTES SA (Chiffres utiles)'!E9+'COMPTES SA (Chiffres utiles)'!E16+'COMPTES SA (Chiffres utiles)'!E22+'COMPTES SA (Chiffres utiles)'!E30+'COMPTES SA (Chiffres utiles)'!E36+'COMPTES SA (Chiffres utiles)'!E42+'COMPTES SA (Chiffres utiles)'!E48</f>
        <v>978.87066527000002</v>
      </c>
      <c r="E36" s="252">
        <f>D36/$D$39</f>
        <v>5.7892110708283977E-2</v>
      </c>
      <c r="F36" s="252">
        <f t="shared" si="4"/>
        <v>8.7614588880584598E-3</v>
      </c>
      <c r="G36" s="328">
        <f t="shared" si="4"/>
        <v>-1.17993035500501E-2</v>
      </c>
      <c r="H36" s="379">
        <f t="shared" si="3"/>
        <v>-7.3861885129076987E-2</v>
      </c>
      <c r="I36" s="452">
        <f t="shared" si="5"/>
        <v>5.6898493542125006E-2</v>
      </c>
    </row>
    <row r="37" spans="1:11" x14ac:dyDescent="0.25">
      <c r="A37" s="435" t="s">
        <v>83</v>
      </c>
      <c r="B37" s="450">
        <f>'COMPTES SA (Chiffres utiles)'!C10+'COMPTES SA (Chiffres utiles)'!C17+'COMPTES SA (Chiffres utiles)'!C23+'COMPTES SA (Chiffres utiles)'!C31+'COMPTES SA (Chiffres utiles)'!C37+'COMPTES SA (Chiffres utiles)'!C43+'COMPTES SA (Chiffres utiles)'!C49</f>
        <v>7234.5708767199994</v>
      </c>
      <c r="C37" s="450">
        <f>'COMPTES SA (Chiffres utiles)'!D10+'COMPTES SA (Chiffres utiles)'!D17+'COMPTES SA (Chiffres utiles)'!D23+'COMPTES SA (Chiffres utiles)'!D31+'COMPTES SA (Chiffres utiles)'!D37+'COMPTES SA (Chiffres utiles)'!D43+'COMPTES SA (Chiffres utiles)'!D49</f>
        <v>7750.1797332300011</v>
      </c>
      <c r="D37" s="450">
        <f>'COMPTES SA (Chiffres utiles)'!E10+'COMPTES SA (Chiffres utiles)'!E17+'COMPTES SA (Chiffres utiles)'!E23+'COMPTES SA (Chiffres utiles)'!E31+'COMPTES SA (Chiffres utiles)'!E37+'COMPTES SA (Chiffres utiles)'!E43+'COMPTES SA (Chiffres utiles)'!E49</f>
        <v>7974.8638214200037</v>
      </c>
      <c r="E37" s="451">
        <f>D37/$D$39</f>
        <v>0.4716472927562812</v>
      </c>
      <c r="F37" s="451">
        <f t="shared" si="4"/>
        <v>7.1270136860386746E-2</v>
      </c>
      <c r="G37" s="443">
        <f t="shared" si="4"/>
        <v>2.8990822913001368E-2</v>
      </c>
      <c r="H37" s="452">
        <f t="shared" si="3"/>
        <v>1.419894813794496</v>
      </c>
      <c r="I37" s="452">
        <f t="shared" si="5"/>
        <v>3.4099894242131605</v>
      </c>
    </row>
    <row r="38" spans="1:11" x14ac:dyDescent="0.25">
      <c r="A38" s="435" t="s">
        <v>138</v>
      </c>
      <c r="B38" s="450"/>
      <c r="C38" s="450">
        <f>'COMPTES SA (Chiffres utiles)'!D11+'COMPTES SA (Chiffres utiles)'!D17+'COMPTES SA (Chiffres utiles)'!D24+'COMPTES SA (Chiffres utiles)'!D32+'COMPTES SA (Chiffres utiles)'!D38+'COMPTES SA (Chiffres utiles)'!D44+'COMPTES SA (Chiffres utiles)'!D50</f>
        <v>846.18290284999978</v>
      </c>
      <c r="D38" s="450">
        <f>'COMPTES SA (Chiffres utiles)'!E11+'COMPTES SA (Chiffres utiles)'!E18+'COMPTES SA (Chiffres utiles)'!E24+'COMPTES SA (Chiffres utiles)'!E32+'COMPTES SA (Chiffres utiles)'!E38+'COMPTES SA (Chiffres utiles)'!E44+'COMPTES SA (Chiffres utiles)'!E50</f>
        <v>752.56916740999998</v>
      </c>
      <c r="E38" s="451">
        <f>D38/$D$39</f>
        <v>4.4508247208862456E-2</v>
      </c>
      <c r="F38" s="451" t="e">
        <f t="shared" si="4"/>
        <v>#DIV/0!</v>
      </c>
      <c r="G38" s="443">
        <f t="shared" si="4"/>
        <v>-0.11063061558523879</v>
      </c>
      <c r="H38" s="452">
        <f t="shared" si="3"/>
        <v>-0.59159355040211425</v>
      </c>
      <c r="I38" s="452" t="e">
        <f>(B38/$B$39)*F38*100</f>
        <v>#DIV/0!</v>
      </c>
    </row>
    <row r="39" spans="1:11" ht="13.5" thickBot="1" x14ac:dyDescent="0.35">
      <c r="A39" s="363" t="s">
        <v>20</v>
      </c>
      <c r="B39" s="356">
        <f>SUM(B34:B37)</f>
        <v>15120.54122071</v>
      </c>
      <c r="C39" s="356">
        <f>SUM(C34:C37)</f>
        <v>15823.99527114</v>
      </c>
      <c r="D39" s="356">
        <f>SUM(D34:D37)</f>
        <v>16908.533015880006</v>
      </c>
      <c r="E39" s="361">
        <f>SUM(E34:E37)</f>
        <v>1</v>
      </c>
      <c r="F39" s="361">
        <f t="shared" si="4"/>
        <v>4.6523073490683409E-2</v>
      </c>
      <c r="G39" s="334">
        <f t="shared" si="4"/>
        <v>6.8537542267723017E-2</v>
      </c>
      <c r="H39" s="380">
        <f t="shared" si="3"/>
        <v>6.8537542267723017</v>
      </c>
      <c r="I39" s="381">
        <f t="shared" si="5"/>
        <v>4.6523073490683409</v>
      </c>
    </row>
    <row r="40" spans="1:11" x14ac:dyDescent="0.25">
      <c r="B40" s="195"/>
      <c r="C40" s="195"/>
      <c r="D40" s="195"/>
    </row>
    <row r="42" spans="1:11" x14ac:dyDescent="0.25">
      <c r="D42" s="21"/>
      <c r="E42" s="21"/>
    </row>
    <row r="43" spans="1:11" x14ac:dyDescent="0.25">
      <c r="D43" s="21"/>
      <c r="E43" s="21"/>
      <c r="F43" s="255" t="s">
        <v>118</v>
      </c>
      <c r="G43" s="255" t="s">
        <v>119</v>
      </c>
      <c r="H43" s="255" t="s">
        <v>82</v>
      </c>
      <c r="I43" s="255" t="s">
        <v>83</v>
      </c>
      <c r="J43" s="206" t="s">
        <v>138</v>
      </c>
      <c r="K43" s="208" t="s">
        <v>125</v>
      </c>
    </row>
    <row r="44" spans="1:11" x14ac:dyDescent="0.25">
      <c r="E44" s="594" t="s">
        <v>163</v>
      </c>
      <c r="F44" s="596">
        <f>G34</f>
        <v>0.13148644708662771</v>
      </c>
      <c r="G44" s="596">
        <f>G35</f>
        <v>5.5737651752869155E-2</v>
      </c>
      <c r="H44" s="596">
        <f>G36</f>
        <v>-1.17993035500501E-2</v>
      </c>
      <c r="I44" s="596">
        <f>G37</f>
        <v>2.8990822913001368E-2</v>
      </c>
      <c r="J44" s="596">
        <f>G38</f>
        <v>-0.11063061558523879</v>
      </c>
      <c r="K44" s="592">
        <f>G39</f>
        <v>6.8537542267723017E-2</v>
      </c>
    </row>
    <row r="45" spans="1:11" x14ac:dyDescent="0.25">
      <c r="E45" s="594"/>
      <c r="F45" s="596"/>
      <c r="G45" s="596"/>
      <c r="H45" s="596"/>
      <c r="I45" s="596"/>
      <c r="J45" s="596"/>
      <c r="K45" s="592"/>
    </row>
    <row r="46" spans="1:11" x14ac:dyDescent="0.25">
      <c r="E46" s="594" t="s">
        <v>164</v>
      </c>
      <c r="F46" s="595">
        <f>H34</f>
        <v>5.2295989202503366</v>
      </c>
      <c r="G46" s="595">
        <f>H35</f>
        <v>0.27812237785653182</v>
      </c>
      <c r="H46" s="595">
        <f>H36</f>
        <v>-7.3861885129076987E-2</v>
      </c>
      <c r="I46" s="595">
        <f>H37</f>
        <v>1.419894813794496</v>
      </c>
      <c r="J46" s="595">
        <f>H38</f>
        <v>-0.59159355040211425</v>
      </c>
      <c r="K46" s="593">
        <f>H39</f>
        <v>6.8537542267723017</v>
      </c>
    </row>
    <row r="47" spans="1:11" x14ac:dyDescent="0.25">
      <c r="E47" s="594"/>
      <c r="F47" s="595"/>
      <c r="G47" s="595"/>
      <c r="H47" s="595"/>
      <c r="I47" s="595"/>
      <c r="J47" s="595"/>
      <c r="K47" s="593"/>
    </row>
    <row r="48" spans="1:11" x14ac:dyDescent="0.25">
      <c r="F48" s="280" t="s">
        <v>151</v>
      </c>
    </row>
  </sheetData>
  <mergeCells count="14">
    <mergeCell ref="K46:K47"/>
    <mergeCell ref="E44:E45"/>
    <mergeCell ref="F44:F45"/>
    <mergeCell ref="G44:G45"/>
    <mergeCell ref="H44:H45"/>
    <mergeCell ref="I44:I45"/>
    <mergeCell ref="K44:K45"/>
    <mergeCell ref="E46:E47"/>
    <mergeCell ref="F46:F47"/>
    <mergeCell ref="G46:G47"/>
    <mergeCell ref="H46:H47"/>
    <mergeCell ref="I46:I47"/>
    <mergeCell ref="J44:J45"/>
    <mergeCell ref="J46:J4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</sheetPr>
  <dimension ref="A1:M49"/>
  <sheetViews>
    <sheetView zoomScale="90" zoomScaleNormal="90" workbookViewId="0">
      <selection activeCell="N27" sqref="N27"/>
    </sheetView>
  </sheetViews>
  <sheetFormatPr baseColWidth="10" defaultRowHeight="12.5" x14ac:dyDescent="0.25"/>
  <cols>
    <col min="1" max="1" width="42" customWidth="1"/>
    <col min="6" max="6" width="12.7265625" bestFit="1" customWidth="1"/>
    <col min="9" max="9" width="15.54296875" customWidth="1"/>
    <col min="10" max="13" width="9.453125" customWidth="1"/>
  </cols>
  <sheetData>
    <row r="1" spans="1:10" ht="13.5" thickBot="1" x14ac:dyDescent="0.35">
      <c r="A1" s="378" t="s">
        <v>2</v>
      </c>
      <c r="B1" s="397">
        <f>'%charges'!B2</f>
        <v>2024</v>
      </c>
      <c r="C1" s="397">
        <f>'%charges'!C2</f>
        <v>2025</v>
      </c>
      <c r="D1" s="348" t="s">
        <v>27</v>
      </c>
      <c r="E1" s="348" t="s">
        <v>64</v>
      </c>
      <c r="F1" s="348" t="s">
        <v>65</v>
      </c>
    </row>
    <row r="2" spans="1:10" x14ac:dyDescent="0.25">
      <c r="A2" s="349" t="s">
        <v>21</v>
      </c>
      <c r="B2" s="250">
        <f>'COMPTES SA (Chiffres utiles)'!Q9</f>
        <v>3543.3168391900003</v>
      </c>
      <c r="C2" s="250">
        <f>'COMPTES SA (Chiffres utiles)'!R9</f>
        <v>3647.6776922999998</v>
      </c>
      <c r="D2" s="252">
        <f>C2/$C$11</f>
        <v>0.45739686269031443</v>
      </c>
      <c r="E2" s="254">
        <f t="shared" ref="E2:E11" si="0">C2/B2-1</f>
        <v>2.9452870811817133E-2</v>
      </c>
      <c r="F2" s="329">
        <f t="shared" ref="F2:F11" si="1">(B2/$B$23)*E2*100</f>
        <v>1.3465604244316718</v>
      </c>
    </row>
    <row r="3" spans="1:10" x14ac:dyDescent="0.25">
      <c r="A3" s="410" t="s">
        <v>26</v>
      </c>
      <c r="B3" s="414">
        <v>0</v>
      </c>
      <c r="C3" s="414">
        <v>0</v>
      </c>
      <c r="D3" s="415">
        <f t="shared" ref="D3:D10" si="2">C3/$C$11</f>
        <v>0</v>
      </c>
      <c r="E3" s="416" t="e">
        <f t="shared" si="0"/>
        <v>#DIV/0!</v>
      </c>
      <c r="F3" s="411" t="e">
        <f t="shared" si="1"/>
        <v>#DIV/0!</v>
      </c>
    </row>
    <row r="4" spans="1:10" x14ac:dyDescent="0.25">
      <c r="A4" s="368" t="s">
        <v>25</v>
      </c>
      <c r="B4" s="384">
        <f>'SA1'!C17</f>
        <v>2595.9372039999998</v>
      </c>
      <c r="C4" s="384">
        <f>'SA1'!D17</f>
        <v>2538</v>
      </c>
      <c r="D4" s="385">
        <f t="shared" si="2"/>
        <v>0.31824994844213972</v>
      </c>
      <c r="E4" s="417">
        <f t="shared" si="0"/>
        <v>-2.2318415064403796E-2</v>
      </c>
      <c r="F4" s="412">
        <f t="shared" si="1"/>
        <v>-0.74755948886689483</v>
      </c>
    </row>
    <row r="5" spans="1:10" x14ac:dyDescent="0.25">
      <c r="A5" s="410" t="s">
        <v>71</v>
      </c>
      <c r="B5" s="414">
        <f>'COMPTES SA (Chiffres utiles)'!Q16</f>
        <v>283.4381654</v>
      </c>
      <c r="C5" s="414">
        <f>'COMPTES SA (Chiffres utiles)'!R16</f>
        <v>289.50378690000002</v>
      </c>
      <c r="D5" s="415">
        <f t="shared" si="2"/>
        <v>3.6302035167347993E-2</v>
      </c>
      <c r="E5" s="416">
        <f t="shared" si="0"/>
        <v>2.1400157919594154E-2</v>
      </c>
      <c r="F5" s="411">
        <f t="shared" si="1"/>
        <v>7.8264268814216414E-2</v>
      </c>
    </row>
    <row r="6" spans="1:10" x14ac:dyDescent="0.25">
      <c r="A6" s="368" t="s">
        <v>50</v>
      </c>
      <c r="B6" s="384">
        <f>'COMPTES SA (Chiffres utiles)'!Q28</f>
        <v>0</v>
      </c>
      <c r="C6" s="384">
        <f>'COMPTES SA (Chiffres utiles)'!R28</f>
        <v>0</v>
      </c>
      <c r="D6" s="385">
        <f t="shared" si="2"/>
        <v>0</v>
      </c>
      <c r="E6" s="417" t="e">
        <f t="shared" si="0"/>
        <v>#DIV/0!</v>
      </c>
      <c r="F6" s="412" t="e">
        <f t="shared" si="1"/>
        <v>#DIV/0!</v>
      </c>
    </row>
    <row r="7" spans="1:10" x14ac:dyDescent="0.25">
      <c r="A7" s="410" t="s">
        <v>72</v>
      </c>
      <c r="B7" s="414">
        <f>'SA1'!C39+'SA1'!C40</f>
        <v>250.36151698999998</v>
      </c>
      <c r="C7" s="414">
        <f>'SA1'!D39+'SA1'!D40</f>
        <v>222.13160357999999</v>
      </c>
      <c r="D7" s="415">
        <f t="shared" si="2"/>
        <v>2.7853968237472347E-2</v>
      </c>
      <c r="E7" s="416">
        <f t="shared" si="0"/>
        <v>-0.11275659993355758</v>
      </c>
      <c r="F7" s="411">
        <f t="shared" si="1"/>
        <v>-0.36424849979878826</v>
      </c>
      <c r="H7" s="20"/>
      <c r="I7" s="20"/>
      <c r="J7" s="213"/>
    </row>
    <row r="8" spans="1:10" x14ac:dyDescent="0.25">
      <c r="A8" s="368" t="s">
        <v>73</v>
      </c>
      <c r="B8" s="384">
        <f>'SA1'!C34</f>
        <v>154.03795819000001</v>
      </c>
      <c r="C8" s="384">
        <f>'SA1'!D34</f>
        <v>168.09236811</v>
      </c>
      <c r="D8" s="385">
        <f t="shared" si="2"/>
        <v>2.1077772846542421E-2</v>
      </c>
      <c r="E8" s="417">
        <f t="shared" si="0"/>
        <v>9.1239913104173898E-2</v>
      </c>
      <c r="F8" s="412">
        <f t="shared" si="1"/>
        <v>0.18134301917850609</v>
      </c>
    </row>
    <row r="9" spans="1:10" x14ac:dyDescent="0.25">
      <c r="A9" s="410" t="s">
        <v>23</v>
      </c>
      <c r="B9" s="414">
        <f>'COMPTES SA (Chiffres utiles)'!Q34</f>
        <v>420.71999957000003</v>
      </c>
      <c r="C9" s="414">
        <f>'COMPTES SA (Chiffres utiles)'!R34</f>
        <v>630.60514078000006</v>
      </c>
      <c r="D9" s="415">
        <f t="shared" si="2"/>
        <v>7.9074095169654565E-2</v>
      </c>
      <c r="E9" s="416">
        <f t="shared" si="0"/>
        <v>0.49887131922541039</v>
      </c>
      <c r="F9" s="411">
        <f t="shared" si="1"/>
        <v>2.7081325651079751</v>
      </c>
    </row>
    <row r="10" spans="1:10" x14ac:dyDescent="0.25">
      <c r="A10" s="349" t="s">
        <v>22</v>
      </c>
      <c r="B10" s="384">
        <f>B11-SUM(B2:B9)</f>
        <v>502.36804989000029</v>
      </c>
      <c r="C10" s="384">
        <f>C11-SUM(C2:C9)</f>
        <v>478.85322974999963</v>
      </c>
      <c r="D10" s="385">
        <f t="shared" si="2"/>
        <v>6.0045317446528551E-2</v>
      </c>
      <c r="E10" s="417">
        <f t="shared" si="0"/>
        <v>-4.680795314341657E-2</v>
      </c>
      <c r="F10" s="412">
        <f t="shared" si="1"/>
        <v>-0.30340999756660547</v>
      </c>
    </row>
    <row r="11" spans="1:10" ht="13.5" thickBot="1" x14ac:dyDescent="0.35">
      <c r="A11" s="354" t="s">
        <v>28</v>
      </c>
      <c r="B11" s="356">
        <f>'COMPTES SA (Chiffres utiles)'!Q9+'COMPTES SA (Chiffres utiles)'!Q16+'COMPTES SA (Chiffres utiles)'!Q22+'COMPTES SA (Chiffres utiles)'!Q28+'COMPTES SA (Chiffres utiles)'!Q34+'COMPTES SA (Chiffres utiles)'!Q40+'COMPTES SA (Chiffres utiles)'!Q46+'COMPTES SA (Chiffres utiles)'!Q52+'COMPTES SA (Chiffres utiles)'!Q58+'COMPTES SA (Chiffres utiles)'!Q64</f>
        <v>7750.1797332300002</v>
      </c>
      <c r="C11" s="356">
        <f>'COMPTES SA (Chiffres utiles)'!R9+'COMPTES SA (Chiffres utiles)'!R16+'COMPTES SA (Chiffres utiles)'!R22+'COMPTES SA (Chiffres utiles)'!R28+'COMPTES SA (Chiffres utiles)'!R34+'COMPTES SA (Chiffres utiles)'!R40+'COMPTES SA (Chiffres utiles)'!R46+'COMPTES SA (Chiffres utiles)'!R52+'COMPTES SA (Chiffres utiles)'!R58+'COMPTES SA (Chiffres utiles)'!R64</f>
        <v>7974.8638214199991</v>
      </c>
      <c r="D11" s="361">
        <f>SUM(D2:D10)</f>
        <v>1</v>
      </c>
      <c r="E11" s="393">
        <f t="shared" si="0"/>
        <v>2.8990822913000924E-2</v>
      </c>
      <c r="F11" s="413">
        <f t="shared" si="1"/>
        <v>2.8990822913000924</v>
      </c>
    </row>
    <row r="12" spans="1:10" x14ac:dyDescent="0.25">
      <c r="B12" s="195"/>
      <c r="C12" s="195"/>
    </row>
    <row r="14" spans="1:10" ht="13" thickBot="1" x14ac:dyDescent="0.3"/>
    <row r="15" spans="1:10" ht="13.5" thickBot="1" x14ac:dyDescent="0.35">
      <c r="A15" s="378" t="s">
        <v>2</v>
      </c>
      <c r="B15" s="348">
        <f>B1</f>
        <v>2024</v>
      </c>
      <c r="C15" s="348">
        <f>C1</f>
        <v>2025</v>
      </c>
      <c r="D15" s="348" t="s">
        <v>27</v>
      </c>
      <c r="E15" s="348" t="s">
        <v>64</v>
      </c>
      <c r="F15" s="348" t="s">
        <v>65</v>
      </c>
    </row>
    <row r="16" spans="1:10" x14ac:dyDescent="0.25">
      <c r="A16" s="418" t="s">
        <v>21</v>
      </c>
      <c r="B16" s="123">
        <f>B2</f>
        <v>3543.3168391900003</v>
      </c>
      <c r="C16" s="249">
        <f>C2</f>
        <v>3647.6776922999998</v>
      </c>
      <c r="D16" s="328">
        <f>D2</f>
        <v>0.45739686269031443</v>
      </c>
      <c r="E16" s="253">
        <f t="shared" ref="E16:E23" si="3">C16/B16-1</f>
        <v>2.9452870811817133E-2</v>
      </c>
      <c r="F16" s="346">
        <f t="shared" ref="F16:F23" si="4">(B16/$B$23)*E16*100</f>
        <v>1.3465604244316718</v>
      </c>
    </row>
    <row r="17" spans="1:6" x14ac:dyDescent="0.25">
      <c r="A17" s="389" t="s">
        <v>25</v>
      </c>
      <c r="B17" s="123">
        <f>B4</f>
        <v>2595.9372039999998</v>
      </c>
      <c r="C17" s="250">
        <f>C4</f>
        <v>2538</v>
      </c>
      <c r="D17" s="328">
        <f>D4</f>
        <v>0.31824994844213972</v>
      </c>
      <c r="E17" s="254">
        <f t="shared" si="3"/>
        <v>-2.2318415064403796E-2</v>
      </c>
      <c r="F17" s="346">
        <f t="shared" si="4"/>
        <v>-0.74755948886689483</v>
      </c>
    </row>
    <row r="18" spans="1:6" x14ac:dyDescent="0.25">
      <c r="A18" s="454" t="s">
        <v>23</v>
      </c>
      <c r="B18" s="453">
        <f>B9</f>
        <v>420.71999957000003</v>
      </c>
      <c r="C18" s="450">
        <f>C9</f>
        <v>630.60514078000006</v>
      </c>
      <c r="D18" s="443">
        <f>D9</f>
        <v>7.9074095169654565E-2</v>
      </c>
      <c r="E18" s="455">
        <f>C18/B18-1</f>
        <v>0.49887131922541039</v>
      </c>
      <c r="F18" s="456">
        <f t="shared" si="4"/>
        <v>2.7081325651079751</v>
      </c>
    </row>
    <row r="19" spans="1:6" x14ac:dyDescent="0.25">
      <c r="A19" s="389" t="s">
        <v>26</v>
      </c>
      <c r="B19" s="123">
        <f>B3</f>
        <v>0</v>
      </c>
      <c r="C19" s="250">
        <f>C3</f>
        <v>0</v>
      </c>
      <c r="D19" s="328">
        <f>D3</f>
        <v>0</v>
      </c>
      <c r="E19" s="254" t="e">
        <f t="shared" si="3"/>
        <v>#DIV/0!</v>
      </c>
      <c r="F19" s="346" t="e">
        <f t="shared" si="4"/>
        <v>#DIV/0!</v>
      </c>
    </row>
    <row r="20" spans="1:6" x14ac:dyDescent="0.25">
      <c r="A20" s="457" t="s">
        <v>117</v>
      </c>
      <c r="B20" s="453">
        <f>B10</f>
        <v>502.36804989000029</v>
      </c>
      <c r="C20" s="450">
        <f>C10</f>
        <v>478.85322974999963</v>
      </c>
      <c r="D20" s="443">
        <f>D10</f>
        <v>6.0045317446528551E-2</v>
      </c>
      <c r="E20" s="455">
        <f t="shared" si="3"/>
        <v>-4.680795314341657E-2</v>
      </c>
      <c r="F20" s="456">
        <f t="shared" si="4"/>
        <v>-0.30340999756660547</v>
      </c>
    </row>
    <row r="21" spans="1:6" x14ac:dyDescent="0.25">
      <c r="A21" s="389" t="s">
        <v>113</v>
      </c>
      <c r="B21" s="123">
        <f>B7+B8</f>
        <v>404.39947517999997</v>
      </c>
      <c r="C21" s="250">
        <f>C7+C8</f>
        <v>390.22397168999998</v>
      </c>
      <c r="D21" s="328">
        <f>D7+D8</f>
        <v>4.8931741084014768E-2</v>
      </c>
      <c r="E21" s="254">
        <f t="shared" si="3"/>
        <v>-3.5053219304229777E-2</v>
      </c>
      <c r="F21" s="346">
        <f t="shared" si="4"/>
        <v>-0.18290548062028128</v>
      </c>
    </row>
    <row r="22" spans="1:6" x14ac:dyDescent="0.25">
      <c r="A22" s="454" t="s">
        <v>24</v>
      </c>
      <c r="B22" s="453">
        <f>B5+B6</f>
        <v>283.4381654</v>
      </c>
      <c r="C22" s="450">
        <f>C5+C6</f>
        <v>289.50378690000002</v>
      </c>
      <c r="D22" s="443">
        <f>D5+D6</f>
        <v>3.6302035167347993E-2</v>
      </c>
      <c r="E22" s="455">
        <f t="shared" si="3"/>
        <v>2.1400157919594154E-2</v>
      </c>
      <c r="F22" s="456">
        <f t="shared" si="4"/>
        <v>7.8264268814216414E-2</v>
      </c>
    </row>
    <row r="23" spans="1:6" ht="13.5" thickBot="1" x14ac:dyDescent="0.35">
      <c r="A23" s="390" t="s">
        <v>28</v>
      </c>
      <c r="B23" s="332">
        <f>SUM(B16:B22)</f>
        <v>7750.1797332300002</v>
      </c>
      <c r="C23" s="356">
        <f>SUM(C16:C22)</f>
        <v>7974.86382142</v>
      </c>
      <c r="D23" s="334">
        <f>SUM(D16:D22)</f>
        <v>1</v>
      </c>
      <c r="E23" s="393">
        <f t="shared" si="3"/>
        <v>2.8990822913000924E-2</v>
      </c>
      <c r="F23" s="347">
        <f t="shared" si="4"/>
        <v>2.8990822913000924</v>
      </c>
    </row>
    <row r="24" spans="1:6" x14ac:dyDescent="0.25">
      <c r="B24" s="195" t="b">
        <f>B23=B11</f>
        <v>1</v>
      </c>
      <c r="C24" s="195" t="b">
        <f>C23=C11</f>
        <v>1</v>
      </c>
    </row>
    <row r="25" spans="1:6" x14ac:dyDescent="0.25">
      <c r="C25" s="159"/>
    </row>
    <row r="27" spans="1:6" ht="13" thickBot="1" x14ac:dyDescent="0.3"/>
    <row r="28" spans="1:6" ht="13.5" thickBot="1" x14ac:dyDescent="0.35">
      <c r="A28" s="378" t="s">
        <v>2</v>
      </c>
      <c r="B28" s="348">
        <f>B15</f>
        <v>2024</v>
      </c>
      <c r="C28" s="348">
        <f>C15</f>
        <v>2025</v>
      </c>
      <c r="D28" s="348" t="s">
        <v>27</v>
      </c>
      <c r="E28" s="348" t="s">
        <v>64</v>
      </c>
      <c r="F28" s="348" t="s">
        <v>65</v>
      </c>
    </row>
    <row r="29" spans="1:6" x14ac:dyDescent="0.25">
      <c r="A29" s="351" t="s">
        <v>118</v>
      </c>
      <c r="B29" s="249">
        <f>'COMPTES SA (Chiffres utiles)'!Q6+'COMPTES SA (Chiffres utiles)'!Q13+'COMPTES SA (Chiffres utiles)'!Q19+'COMPTES SA (Chiffres utiles)'!Q25+'COMPTES SA (Chiffres utiles)'!Q37+'COMPTES SA (Chiffres utiles)'!Q43+'COMPTES SA (Chiffres utiles)'!Q49+'COMPTES SA (Chiffres utiles)'!Q55+'COMPTES SA (Chiffres utiles)'!Q61+'COMPTES SA (Chiffres utiles)'!Q31</f>
        <v>6293.6637514799995</v>
      </c>
      <c r="C29" s="123">
        <f>'COMPTES SA (Chiffres utiles)'!R6+'COMPTES SA (Chiffres utiles)'!R13+'COMPTES SA (Chiffres utiles)'!R19+'COMPTES SA (Chiffres utiles)'!R25+'COMPTES SA (Chiffres utiles)'!R37+'COMPTES SA (Chiffres utiles)'!R43+'COMPTES SA (Chiffres utiles)'!R49+'COMPTES SA (Chiffres utiles)'!R55+'COMPTES SA (Chiffres utiles)'!R61+'COMPTES SA (Chiffres utiles)'!R31</f>
        <v>7121.1952373200002</v>
      </c>
      <c r="D29" s="251">
        <f>C29/$C$33</f>
        <v>0.43732453861018411</v>
      </c>
      <c r="E29" s="328">
        <f>C29/B29-1</f>
        <v>0.13148644708662749</v>
      </c>
      <c r="F29" s="419">
        <f>(B29/$B$33)*E29*100</f>
        <v>5.359770461182463</v>
      </c>
    </row>
    <row r="30" spans="1:6" x14ac:dyDescent="0.25">
      <c r="A30" s="349" t="s">
        <v>84</v>
      </c>
      <c r="B30" s="250">
        <f>'COMPTES SA (Chiffres utiles)'!Q8+'COMPTES SA (Chiffres utiles)'!Q15+'COMPTES SA (Chiffres utiles)'!Q21+'COMPTES SA (Chiffres utiles)'!Q27+'COMPTES SA (Chiffres utiles)'!Q39+'COMPTES SA (Chiffres utiles)'!Q45+'COMPTES SA (Chiffres utiles)'!Q51+'COMPTES SA (Chiffres utiles)'!Q57+'COMPTES SA (Chiffres utiles)'!Q63</f>
        <v>825.99940177999997</v>
      </c>
      <c r="C30" s="123">
        <f>'COMPTES SA (Chiffres utiles)'!R8+'COMPTES SA (Chiffres utiles)'!R15+'COMPTES SA (Chiffres utiles)'!R21+'COMPTES SA (Chiffres utiles)'!R27+'COMPTES SA (Chiffres utiles)'!R39+'COMPTES SA (Chiffres utiles)'!R45+'COMPTES SA (Chiffres utiles)'!R51+'COMPTES SA (Chiffres utiles)'!R57+'COMPTES SA (Chiffres utiles)'!R63</f>
        <v>839.22369409999988</v>
      </c>
      <c r="D30" s="252">
        <f>C30/$C$33</f>
        <v>5.1538134060643857E-2</v>
      </c>
      <c r="E30" s="328">
        <f t="shared" ref="E30:E33" si="5">C30/B30-1</f>
        <v>1.6010050723404889E-2</v>
      </c>
      <c r="F30" s="379">
        <f>(B30/$B$33)*E30*100</f>
        <v>8.5651328752561456E-2</v>
      </c>
    </row>
    <row r="31" spans="1:6" x14ac:dyDescent="0.25">
      <c r="A31" s="349" t="s">
        <v>82</v>
      </c>
      <c r="B31" s="250">
        <f>'COMPTES SA (Chiffres utiles)'!Q7+'COMPTES SA (Chiffres utiles)'!Q14+'COMPTES SA (Chiffres utiles)'!Q20+'COMPTES SA (Chiffres utiles)'!Q26+'COMPTES SA (Chiffres utiles)'!Q38+'COMPTES SA (Chiffres utiles)'!Q44+'COMPTES SA (Chiffres utiles)'!Q50+'COMPTES SA (Chiffres utiles)'!Q56+'COMPTES SA (Chiffres utiles)'!Q62+'COMPTES SA (Chiffres utiles)'!Q32</f>
        <v>990.55856647999997</v>
      </c>
      <c r="C31" s="123">
        <f>'COMPTES SA (Chiffres utiles)'!R7+'COMPTES SA (Chiffres utiles)'!R14+'COMPTES SA (Chiffres utiles)'!R20+'COMPTES SA (Chiffres utiles)'!R26+'COMPTES SA (Chiffres utiles)'!R38+'COMPTES SA (Chiffres utiles)'!R44+'COMPTES SA (Chiffres utiles)'!R50+'COMPTES SA (Chiffres utiles)'!R56+'COMPTES SA (Chiffres utiles)'!R62+'COMPTES SA (Chiffres utiles)'!R32</f>
        <v>978.87066527000002</v>
      </c>
      <c r="D31" s="252">
        <f>C31/$C$33</f>
        <v>6.0114088686234711E-2</v>
      </c>
      <c r="E31" s="328">
        <f t="shared" si="5"/>
        <v>-1.17993035500501E-2</v>
      </c>
      <c r="F31" s="379">
        <f>(B31/$B$33)*E31*100</f>
        <v>-7.5700403828125526E-2</v>
      </c>
    </row>
    <row r="32" spans="1:6" x14ac:dyDescent="0.25">
      <c r="A32" s="435" t="s">
        <v>83</v>
      </c>
      <c r="B32" s="450">
        <f>'COMPTES SA (Chiffres utiles)'!Q9+'COMPTES SA (Chiffres utiles)'!Q16+'COMPTES SA (Chiffres utiles)'!Q22+'COMPTES SA (Chiffres utiles)'!Q28+'COMPTES SA (Chiffres utiles)'!Q40+'COMPTES SA (Chiffres utiles)'!Q46+'COMPTES SA (Chiffres utiles)'!Q52+'COMPTES SA (Chiffres utiles)'!Q58+'COMPTES SA (Chiffres utiles)'!Q64</f>
        <v>7329.45973366</v>
      </c>
      <c r="C32" s="453">
        <f>'COMPTES SA (Chiffres utiles)'!R9+'COMPTES SA (Chiffres utiles)'!R16+'COMPTES SA (Chiffres utiles)'!R22+'COMPTES SA (Chiffres utiles)'!R28+'COMPTES SA (Chiffres utiles)'!R40+'COMPTES SA (Chiffres utiles)'!R46+'COMPTES SA (Chiffres utiles)'!R52+'COMPTES SA (Chiffres utiles)'!R58+'COMPTES SA (Chiffres utiles)'!R64</f>
        <v>7344.2586806400004</v>
      </c>
      <c r="D32" s="451">
        <f>C32/$C$33</f>
        <v>0.45102323864293742</v>
      </c>
      <c r="E32" s="443">
        <f t="shared" si="5"/>
        <v>2.0191047522968297E-3</v>
      </c>
      <c r="F32" s="452">
        <f>(B32/$B$33)*E32*100</f>
        <v>9.5850079709657865E-2</v>
      </c>
    </row>
    <row r="33" spans="1:13" ht="13.5" thickBot="1" x14ac:dyDescent="0.35">
      <c r="A33" s="363" t="s">
        <v>20</v>
      </c>
      <c r="B33" s="265">
        <f>SUM(B29:B32)</f>
        <v>15439.6814534</v>
      </c>
      <c r="C33" s="364">
        <f>SUM(C29:C32)</f>
        <v>16283.548277329999</v>
      </c>
      <c r="D33" s="266">
        <f>C33/$C$33</f>
        <v>1</v>
      </c>
      <c r="E33" s="365">
        <f t="shared" si="5"/>
        <v>5.4655714658165433E-2</v>
      </c>
      <c r="F33" s="420">
        <f>(B33/$B$33)*E33*100</f>
        <v>5.4655714658165433</v>
      </c>
    </row>
    <row r="45" spans="1:13" x14ac:dyDescent="0.25">
      <c r="I45" s="205"/>
      <c r="J45" s="206" t="s">
        <v>118</v>
      </c>
      <c r="K45" s="206" t="s">
        <v>119</v>
      </c>
      <c r="L45" s="206" t="s">
        <v>82</v>
      </c>
      <c r="M45" s="206" t="s">
        <v>83</v>
      </c>
    </row>
    <row r="46" spans="1:13" x14ac:dyDescent="0.25">
      <c r="I46" s="594" t="s">
        <v>163</v>
      </c>
      <c r="J46" s="596">
        <f>E29</f>
        <v>0.13148644708662749</v>
      </c>
      <c r="K46" s="596">
        <f>E30</f>
        <v>1.6010050723404889E-2</v>
      </c>
      <c r="L46" s="596">
        <f>E31</f>
        <v>-1.17993035500501E-2</v>
      </c>
      <c r="M46" s="596">
        <f>E32</f>
        <v>2.0191047522968297E-3</v>
      </c>
    </row>
    <row r="47" spans="1:13" x14ac:dyDescent="0.25">
      <c r="I47" s="594"/>
      <c r="J47" s="596"/>
      <c r="K47" s="596"/>
      <c r="L47" s="596"/>
      <c r="M47" s="596"/>
    </row>
    <row r="48" spans="1:13" x14ac:dyDescent="0.25">
      <c r="I48" s="594" t="s">
        <v>164</v>
      </c>
      <c r="J48" s="595">
        <f>F29</f>
        <v>5.359770461182463</v>
      </c>
      <c r="K48" s="595">
        <f>F30</f>
        <v>8.5651328752561456E-2</v>
      </c>
      <c r="L48" s="595">
        <f>F31</f>
        <v>-7.5700403828125526E-2</v>
      </c>
      <c r="M48" s="595">
        <f>F32</f>
        <v>9.5850079709657865E-2</v>
      </c>
    </row>
    <row r="49" spans="9:13" x14ac:dyDescent="0.25">
      <c r="I49" s="594"/>
      <c r="J49" s="595"/>
      <c r="K49" s="595"/>
      <c r="L49" s="595"/>
      <c r="M49" s="595"/>
    </row>
  </sheetData>
  <mergeCells count="10">
    <mergeCell ref="I48:I49"/>
    <mergeCell ref="J48:J49"/>
    <mergeCell ref="K48:K49"/>
    <mergeCell ref="L48:L49"/>
    <mergeCell ref="M48:M49"/>
    <mergeCell ref="I46:I47"/>
    <mergeCell ref="J46:J47"/>
    <mergeCell ref="K46:K47"/>
    <mergeCell ref="L46:L47"/>
    <mergeCell ref="M46:M47"/>
  </mergeCells>
  <pageMargins left="0.78740157499999996" right="0.78740157499999996" top="0.984251969" bottom="0.984251969" header="0.4921259845" footer="0.4921259845"/>
  <pageSetup paperSize="9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Bilan SA</vt:lpstr>
      <vt:lpstr>Glossaire et introduction</vt:lpstr>
      <vt:lpstr>COMPTES SA (Chiffres utiles)</vt:lpstr>
      <vt:lpstr>SA1</vt:lpstr>
      <vt:lpstr>Effectifs</vt:lpstr>
      <vt:lpstr>%charges</vt:lpstr>
      <vt:lpstr>%produits</vt:lpstr>
      <vt:lpstr>%chargesRetraite</vt:lpstr>
      <vt:lpstr>%produitsRetraite</vt:lpstr>
      <vt:lpstr>Résultat net</vt:lpstr>
      <vt:lpstr>'COMPTES SA (Chiffres utiles)'!Zone_d_impression</vt:lpstr>
    </vt:vector>
  </TitlesOfParts>
  <Company>GETIMA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GUERINVA</dc:creator>
  <cp:lastModifiedBy>Claudine Gaillard</cp:lastModifiedBy>
  <cp:lastPrinted>2017-05-15T10:46:48Z</cp:lastPrinted>
  <dcterms:created xsi:type="dcterms:W3CDTF">2012-05-14T13:27:34Z</dcterms:created>
  <dcterms:modified xsi:type="dcterms:W3CDTF">2026-06-25T08:46:37Z</dcterms:modified>
</cp:coreProperties>
</file>