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21-STATISTIQUES\01_STATS_MISSION_SYNTHESES\12 COMITES DE LECTURE\SY Financement prévisions SA - 6 février 2026\A diffuser\"/>
    </mc:Choice>
  </mc:AlternateContent>
  <xr:revisionPtr revIDLastSave="0" documentId="13_ncr:1_{0D46B873-0775-43BF-86B4-C3DA05C515C4}" xr6:coauthVersionLast="47" xr6:coauthVersionMax="47" xr10:uidLastSave="{00000000-0000-0000-0000-000000000000}"/>
  <bookViews>
    <workbookView xWindow="-120" yWindow="-120" windowWidth="29040" windowHeight="15720" tabRatio="813" xr2:uid="{00000000-000D-0000-FFFF-FFFF00000000}"/>
  </bookViews>
  <sheets>
    <sheet name="SA" sheetId="35" r:id="rId1"/>
    <sheet name="Page de garde &amp; glossaire" sheetId="34" r:id="rId2"/>
    <sheet name="Effectifs" sheetId="27" r:id="rId3"/>
    <sheet name="TableauxNote" sheetId="15" r:id="rId4"/>
    <sheet name="Détail CHG PDT" sheetId="28" r:id="rId5"/>
    <sheet name="RESULTAT NET" sheetId="29" r:id="rId6"/>
    <sheet name="RETRAITE" sheetId="32" state="hidden" r:id="rId7"/>
    <sheet name="TCDC SA (Charges)" sheetId="30" r:id="rId8"/>
    <sheet name="CHARGES_PRODUITS" sheetId="1" r:id="rId9"/>
    <sheet name="Prest._cotisa." sheetId="2" r:id="rId10"/>
    <sheet name="SOLDES" sheetId="26" r:id="rId11"/>
    <sheet name="Masse Salariale" sheetId="33" r:id="rId12"/>
  </sheets>
  <externalReferences>
    <externalReference r:id="rId13"/>
    <externalReference r:id="rId14"/>
    <externalReference r:id="rId15"/>
    <externalReference r:id="rId16"/>
    <externalReference r:id="rId17"/>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5" l="1"/>
  <c r="S15" i="15" l="1"/>
  <c r="R15" i="15"/>
  <c r="Q15" i="15"/>
  <c r="P15" i="15"/>
  <c r="N15" i="15" l="1"/>
  <c r="M15" i="15"/>
  <c r="N16" i="15"/>
  <c r="M16" i="15"/>
  <c r="I47" i="30" l="1"/>
  <c r="H47" i="30"/>
  <c r="G47" i="30"/>
  <c r="F47" i="30"/>
  <c r="E47" i="30"/>
  <c r="D47" i="30"/>
  <c r="C47" i="30"/>
  <c r="B47" i="30"/>
  <c r="I46" i="30"/>
  <c r="H46" i="30"/>
  <c r="G46" i="30"/>
  <c r="F46" i="30"/>
  <c r="E46" i="30"/>
  <c r="D46" i="30"/>
  <c r="C46" i="30"/>
  <c r="B46" i="30"/>
  <c r="I45" i="30"/>
  <c r="H45" i="30"/>
  <c r="G45" i="30"/>
  <c r="F45" i="30"/>
  <c r="E45" i="30"/>
  <c r="D45" i="30"/>
  <c r="C45" i="30"/>
  <c r="B45" i="30"/>
  <c r="I44" i="30"/>
  <c r="H44" i="30"/>
  <c r="G44" i="30"/>
  <c r="F44" i="30"/>
  <c r="E44" i="30"/>
  <c r="D44" i="30"/>
  <c r="C44" i="30"/>
  <c r="B44" i="30"/>
  <c r="I42" i="30"/>
  <c r="H42" i="30"/>
  <c r="G42" i="30"/>
  <c r="F42" i="30"/>
  <c r="E42" i="30"/>
  <c r="D42" i="30"/>
  <c r="C42" i="30"/>
  <c r="B42" i="30"/>
  <c r="I41" i="30"/>
  <c r="H41" i="30"/>
  <c r="G41" i="30"/>
  <c r="F41" i="30"/>
  <c r="E41" i="30"/>
  <c r="D41" i="30"/>
  <c r="C41" i="30"/>
  <c r="B41" i="30"/>
  <c r="I40" i="30"/>
  <c r="H40" i="30"/>
  <c r="G40" i="30"/>
  <c r="F40" i="30"/>
  <c r="E40" i="30"/>
  <c r="D40" i="30"/>
  <c r="C40" i="30"/>
  <c r="B40" i="30"/>
  <c r="I39" i="30"/>
  <c r="H39" i="30"/>
  <c r="G39" i="30"/>
  <c r="F39" i="30"/>
  <c r="E39" i="30"/>
  <c r="D39" i="30"/>
  <c r="C39" i="30"/>
  <c r="B39" i="30"/>
  <c r="I38" i="30"/>
  <c r="H38" i="30"/>
  <c r="G38" i="30"/>
  <c r="F38" i="30"/>
  <c r="E38" i="30"/>
  <c r="D38" i="30"/>
  <c r="C38" i="30"/>
  <c r="B38" i="30"/>
  <c r="I35" i="30" l="1"/>
  <c r="H35" i="30"/>
  <c r="G35" i="30"/>
  <c r="F35" i="30"/>
  <c r="E35" i="30"/>
  <c r="D35" i="30"/>
  <c r="C35" i="30"/>
  <c r="B35" i="30"/>
  <c r="I34" i="30"/>
  <c r="H34" i="30"/>
  <c r="G34" i="30"/>
  <c r="F34" i="30"/>
  <c r="E34" i="30"/>
  <c r="D34" i="30"/>
  <c r="C34" i="30"/>
  <c r="B34" i="30"/>
  <c r="I33" i="30"/>
  <c r="H33" i="30"/>
  <c r="G33" i="30"/>
  <c r="I32" i="30"/>
  <c r="H32" i="30"/>
  <c r="G32" i="30"/>
  <c r="F33" i="30"/>
  <c r="E33" i="30"/>
  <c r="D33" i="30"/>
  <c r="C33" i="30"/>
  <c r="B33" i="30"/>
  <c r="F32" i="30"/>
  <c r="E32" i="30"/>
  <c r="D32" i="30"/>
  <c r="C32" i="30"/>
  <c r="B32" i="30"/>
  <c r="I29" i="30"/>
  <c r="H29" i="30"/>
  <c r="G29" i="30"/>
  <c r="F29" i="30"/>
  <c r="E29" i="30"/>
  <c r="D29" i="30"/>
  <c r="C29" i="30"/>
  <c r="B29" i="30"/>
  <c r="I28" i="30"/>
  <c r="H28" i="30"/>
  <c r="G28" i="30"/>
  <c r="F28" i="30"/>
  <c r="E28" i="30"/>
  <c r="D28" i="30"/>
  <c r="C28" i="30"/>
  <c r="B28" i="30"/>
  <c r="I27" i="30"/>
  <c r="H27" i="30"/>
  <c r="G27" i="30"/>
  <c r="F27" i="30"/>
  <c r="E27" i="30"/>
  <c r="D27" i="30"/>
  <c r="C27" i="30"/>
  <c r="B27" i="30"/>
  <c r="I26" i="30"/>
  <c r="H26" i="30"/>
  <c r="G26" i="30"/>
  <c r="F26" i="30"/>
  <c r="E26" i="30"/>
  <c r="D26" i="30"/>
  <c r="C26" i="30"/>
  <c r="B26" i="30"/>
  <c r="I22" i="30" l="1"/>
  <c r="H22" i="30"/>
  <c r="G22" i="30"/>
  <c r="F22" i="30"/>
  <c r="E22" i="30"/>
  <c r="D22" i="30"/>
  <c r="C22" i="30"/>
  <c r="B22" i="30"/>
  <c r="I21" i="30"/>
  <c r="H21" i="30"/>
  <c r="G21" i="30"/>
  <c r="F21" i="30"/>
  <c r="E21" i="30"/>
  <c r="D21" i="30"/>
  <c r="C21" i="30"/>
  <c r="B21" i="30"/>
  <c r="I20" i="30"/>
  <c r="H20" i="30"/>
  <c r="G20" i="30"/>
  <c r="F20" i="30"/>
  <c r="E20" i="30"/>
  <c r="D20" i="30"/>
  <c r="C20" i="30"/>
  <c r="B20" i="30"/>
  <c r="I19" i="30"/>
  <c r="H19" i="30"/>
  <c r="G19" i="30"/>
  <c r="F19" i="30"/>
  <c r="E19" i="30"/>
  <c r="D19" i="30"/>
  <c r="C19" i="30"/>
  <c r="B19" i="30"/>
  <c r="I18" i="30"/>
  <c r="H18" i="30"/>
  <c r="G18" i="30"/>
  <c r="F18" i="30"/>
  <c r="E18" i="30"/>
  <c r="D18" i="30"/>
  <c r="C18" i="30"/>
  <c r="B18" i="30"/>
  <c r="I16" i="30"/>
  <c r="H16" i="30"/>
  <c r="G16" i="30"/>
  <c r="F16" i="30"/>
  <c r="E16" i="30"/>
  <c r="D16" i="30"/>
  <c r="C16" i="30"/>
  <c r="B16" i="30"/>
  <c r="I15" i="30"/>
  <c r="H15" i="30"/>
  <c r="G15" i="30"/>
  <c r="F15" i="30"/>
  <c r="E15" i="30"/>
  <c r="D15" i="30"/>
  <c r="C15" i="30"/>
  <c r="B15" i="30"/>
  <c r="I14" i="30"/>
  <c r="H14" i="30"/>
  <c r="G14" i="30"/>
  <c r="F14" i="30"/>
  <c r="E14" i="30"/>
  <c r="D14" i="30"/>
  <c r="C14" i="30"/>
  <c r="B14" i="30"/>
  <c r="I13" i="30"/>
  <c r="H13" i="30"/>
  <c r="G13" i="30"/>
  <c r="F13" i="30"/>
  <c r="E13" i="30"/>
  <c r="D13" i="30"/>
  <c r="C13" i="30"/>
  <c r="B13" i="30"/>
  <c r="I12" i="30"/>
  <c r="H12" i="30"/>
  <c r="G12" i="30"/>
  <c r="F12" i="30"/>
  <c r="E12" i="30"/>
  <c r="D12" i="30"/>
  <c r="C12" i="30"/>
  <c r="B12" i="30"/>
  <c r="I10" i="30"/>
  <c r="H10" i="30"/>
  <c r="G10" i="30"/>
  <c r="F10" i="30"/>
  <c r="E10" i="30"/>
  <c r="D10" i="30"/>
  <c r="C10" i="30"/>
  <c r="B10" i="30"/>
  <c r="I9" i="30"/>
  <c r="H9" i="30"/>
  <c r="G9" i="30"/>
  <c r="F9" i="30"/>
  <c r="E9" i="30"/>
  <c r="D9" i="30"/>
  <c r="C9" i="30"/>
  <c r="B9" i="30"/>
  <c r="I8" i="30"/>
  <c r="H8" i="30"/>
  <c r="G8" i="30"/>
  <c r="F8" i="30"/>
  <c r="E8" i="30"/>
  <c r="D8" i="30"/>
  <c r="C8" i="30"/>
  <c r="B8" i="30"/>
  <c r="I7" i="30"/>
  <c r="H7" i="30"/>
  <c r="G7" i="30"/>
  <c r="F7" i="30"/>
  <c r="E7" i="30"/>
  <c r="D7" i="30"/>
  <c r="C7" i="30"/>
  <c r="B7" i="30"/>
  <c r="I6" i="30"/>
  <c r="H6" i="30"/>
  <c r="G6" i="30"/>
  <c r="F6" i="30"/>
  <c r="E6" i="30"/>
  <c r="D6" i="30"/>
  <c r="C6" i="30"/>
  <c r="B6" i="30"/>
  <c r="H55" i="28"/>
  <c r="G55" i="28"/>
  <c r="F55" i="28"/>
  <c r="E55" i="28"/>
  <c r="D55" i="28"/>
  <c r="C55" i="28"/>
  <c r="B55" i="28"/>
  <c r="H54" i="28"/>
  <c r="G54" i="28"/>
  <c r="F54" i="28"/>
  <c r="E54" i="28"/>
  <c r="D54" i="28"/>
  <c r="C54" i="28"/>
  <c r="B54" i="28"/>
  <c r="H53" i="28"/>
  <c r="G53" i="28"/>
  <c r="F53" i="28"/>
  <c r="E53" i="28"/>
  <c r="D53" i="28"/>
  <c r="C53" i="28"/>
  <c r="B53" i="28"/>
  <c r="H52" i="28"/>
  <c r="G52" i="28"/>
  <c r="F52" i="28"/>
  <c r="E52" i="28"/>
  <c r="D52" i="28"/>
  <c r="C52" i="28"/>
  <c r="B52" i="28"/>
  <c r="H49" i="28"/>
  <c r="G49" i="28"/>
  <c r="F49" i="28"/>
  <c r="E49" i="28"/>
  <c r="D49" i="28"/>
  <c r="C49" i="28"/>
  <c r="B49" i="28"/>
  <c r="H48" i="28"/>
  <c r="G48" i="28"/>
  <c r="F48" i="28"/>
  <c r="E48" i="28"/>
  <c r="D48" i="28"/>
  <c r="C48" i="28"/>
  <c r="B48" i="28"/>
  <c r="E47" i="28"/>
  <c r="D47" i="28"/>
  <c r="C47" i="28"/>
  <c r="B47" i="28"/>
  <c r="H46" i="28"/>
  <c r="G46" i="28"/>
  <c r="F46" i="28"/>
  <c r="E46" i="28"/>
  <c r="D46" i="28"/>
  <c r="C46" i="28"/>
  <c r="B46" i="28"/>
  <c r="H45" i="28"/>
  <c r="G45" i="28"/>
  <c r="F45" i="28"/>
  <c r="E45" i="28"/>
  <c r="D45" i="28"/>
  <c r="C45" i="28"/>
  <c r="B45" i="28"/>
  <c r="H47" i="28" l="1"/>
  <c r="G47" i="28"/>
  <c r="F47" i="28"/>
  <c r="H38" i="28"/>
  <c r="G38" i="28"/>
  <c r="F38" i="28"/>
  <c r="E38" i="28"/>
  <c r="D38" i="28"/>
  <c r="C38" i="28"/>
  <c r="B38" i="28"/>
  <c r="H35" i="28"/>
  <c r="G35" i="28"/>
  <c r="F35" i="28"/>
  <c r="E35" i="28"/>
  <c r="D35" i="28"/>
  <c r="C35" i="28"/>
  <c r="B35" i="28"/>
  <c r="H34" i="28"/>
  <c r="G34" i="28"/>
  <c r="F34" i="28"/>
  <c r="E34" i="28"/>
  <c r="D34" i="28"/>
  <c r="C34" i="28"/>
  <c r="B34" i="28"/>
  <c r="H33" i="28"/>
  <c r="G33" i="28"/>
  <c r="F33" i="28"/>
  <c r="E33" i="28"/>
  <c r="D33" i="28"/>
  <c r="C33" i="28"/>
  <c r="B33" i="28"/>
  <c r="H32" i="28"/>
  <c r="G32" i="28"/>
  <c r="F32" i="28"/>
  <c r="E32" i="28"/>
  <c r="D32" i="28"/>
  <c r="C32" i="28"/>
  <c r="B32" i="28"/>
  <c r="H28" i="28"/>
  <c r="G28" i="28"/>
  <c r="F28" i="28"/>
  <c r="E28" i="28"/>
  <c r="D28" i="28"/>
  <c r="C28" i="28"/>
  <c r="B28" i="28"/>
  <c r="H22" i="28"/>
  <c r="G22" i="28"/>
  <c r="F22" i="28"/>
  <c r="E22" i="28"/>
  <c r="D22" i="28"/>
  <c r="C22" i="28"/>
  <c r="B22" i="28"/>
  <c r="H21" i="28"/>
  <c r="G21" i="28"/>
  <c r="F21" i="28"/>
  <c r="E21" i="28"/>
  <c r="D21" i="28"/>
  <c r="C21" i="28"/>
  <c r="B21" i="28"/>
  <c r="H20" i="28"/>
  <c r="G20" i="28"/>
  <c r="F20" i="28"/>
  <c r="E20" i="28"/>
  <c r="D20" i="28"/>
  <c r="C20" i="28"/>
  <c r="B20" i="28"/>
  <c r="H19" i="28"/>
  <c r="G19" i="28"/>
  <c r="F19" i="28"/>
  <c r="E19" i="28"/>
  <c r="D19" i="28"/>
  <c r="C19" i="28"/>
  <c r="B19" i="28"/>
  <c r="H18" i="28" l="1"/>
  <c r="G18" i="28"/>
  <c r="F18" i="28"/>
  <c r="E18" i="28"/>
  <c r="D18" i="28"/>
  <c r="C18" i="28"/>
  <c r="B18" i="28"/>
  <c r="S17" i="15"/>
  <c r="R17" i="15"/>
  <c r="Q17" i="15"/>
  <c r="P17" i="15"/>
  <c r="O17" i="15"/>
  <c r="N17" i="15"/>
  <c r="M17" i="15"/>
  <c r="S16" i="15"/>
  <c r="R16" i="15"/>
  <c r="P16" i="15"/>
  <c r="O16" i="15"/>
  <c r="O15" i="15"/>
  <c r="S14" i="15"/>
  <c r="R14" i="15"/>
  <c r="Q14" i="15"/>
  <c r="P14" i="15"/>
  <c r="O14" i="15"/>
  <c r="N14" i="15"/>
  <c r="M14" i="15"/>
  <c r="I53" i="15"/>
  <c r="H53" i="15"/>
  <c r="G53" i="15"/>
  <c r="F53" i="15"/>
  <c r="E53" i="15"/>
  <c r="D53" i="15"/>
  <c r="C53" i="15"/>
  <c r="I52" i="15"/>
  <c r="H52" i="15"/>
  <c r="G52" i="15"/>
  <c r="F52" i="15"/>
  <c r="E52" i="15"/>
  <c r="D52" i="15"/>
  <c r="C52" i="15"/>
  <c r="I51" i="15"/>
  <c r="H51" i="15"/>
  <c r="G51" i="15"/>
  <c r="F51" i="15"/>
  <c r="E51" i="15"/>
  <c r="D51" i="15"/>
  <c r="C51" i="15"/>
  <c r="I50" i="15"/>
  <c r="H50" i="15"/>
  <c r="G50" i="15"/>
  <c r="F50" i="15"/>
  <c r="E50" i="15"/>
  <c r="D50" i="15"/>
  <c r="C50" i="15"/>
  <c r="I49" i="15"/>
  <c r="H49" i="15"/>
  <c r="G49" i="15"/>
  <c r="F49" i="15"/>
  <c r="E49" i="15"/>
  <c r="D49" i="15"/>
  <c r="C49" i="15"/>
  <c r="I46" i="15"/>
  <c r="H46" i="15"/>
  <c r="G46" i="15"/>
  <c r="F46" i="15"/>
  <c r="E46" i="15"/>
  <c r="D46" i="15"/>
  <c r="C46" i="15"/>
  <c r="I45" i="15"/>
  <c r="H45" i="15"/>
  <c r="G45" i="15"/>
  <c r="F45" i="15"/>
  <c r="E45" i="15"/>
  <c r="D45" i="15"/>
  <c r="C45" i="15"/>
  <c r="I44" i="15"/>
  <c r="H44" i="15"/>
  <c r="G44" i="15"/>
  <c r="F44" i="15"/>
  <c r="E44" i="15"/>
  <c r="D44" i="15"/>
  <c r="C44" i="15"/>
  <c r="I43" i="15"/>
  <c r="H43" i="15"/>
  <c r="G43" i="15"/>
  <c r="F43" i="15"/>
  <c r="E43" i="15"/>
  <c r="D43" i="15"/>
  <c r="C43" i="15"/>
  <c r="I42" i="15"/>
  <c r="H42" i="15"/>
  <c r="G42" i="15"/>
  <c r="F42" i="15"/>
  <c r="E42" i="15"/>
  <c r="D42" i="15"/>
  <c r="C42" i="15"/>
  <c r="I15" i="15"/>
  <c r="H15" i="15"/>
  <c r="G15" i="15"/>
  <c r="F15" i="15"/>
  <c r="E15" i="15"/>
  <c r="D15" i="15"/>
  <c r="C15" i="15"/>
  <c r="I14" i="15"/>
  <c r="H14" i="15"/>
  <c r="G14" i="15"/>
  <c r="F14" i="15"/>
  <c r="E14" i="15"/>
  <c r="D14" i="15"/>
  <c r="C14" i="15"/>
  <c r="I13" i="15"/>
  <c r="H13" i="15"/>
  <c r="G13" i="15"/>
  <c r="F13" i="15"/>
  <c r="E13" i="15"/>
  <c r="D13" i="15"/>
  <c r="C13" i="15"/>
  <c r="I12" i="15"/>
  <c r="H12" i="15"/>
  <c r="G12" i="15"/>
  <c r="F12" i="15"/>
  <c r="E12" i="15"/>
  <c r="D12" i="15"/>
  <c r="C12" i="15"/>
  <c r="I11" i="15"/>
  <c r="H11" i="15"/>
  <c r="G11" i="15"/>
  <c r="F11" i="15"/>
  <c r="E11" i="15"/>
  <c r="D11" i="15"/>
  <c r="C11" i="15"/>
  <c r="I9" i="15"/>
  <c r="H9" i="15"/>
  <c r="G9" i="15"/>
  <c r="F9" i="15"/>
  <c r="E9" i="15"/>
  <c r="D9" i="15"/>
  <c r="C9" i="15"/>
  <c r="I8" i="15"/>
  <c r="H8" i="15"/>
  <c r="G8" i="15"/>
  <c r="F8" i="15"/>
  <c r="E8" i="15"/>
  <c r="D8" i="15"/>
  <c r="C8" i="15"/>
  <c r="I7" i="15"/>
  <c r="H7" i="15"/>
  <c r="G7" i="15"/>
  <c r="F7" i="15"/>
  <c r="E7" i="15"/>
  <c r="D7" i="15"/>
  <c r="C7" i="15"/>
  <c r="I6" i="15"/>
  <c r="H6" i="15"/>
  <c r="G6" i="15"/>
  <c r="F6" i="15"/>
  <c r="E6" i="15"/>
  <c r="D6" i="15"/>
  <c r="C6" i="15"/>
  <c r="I5" i="15"/>
  <c r="H5" i="15"/>
  <c r="G5" i="15"/>
  <c r="F5" i="15"/>
  <c r="E5" i="15"/>
  <c r="D5" i="15"/>
  <c r="C5" i="15"/>
  <c r="D102" i="33" l="1"/>
  <c r="E102" i="33"/>
  <c r="F102" i="33"/>
  <c r="G102" i="33"/>
  <c r="H102" i="33"/>
  <c r="I102" i="33"/>
  <c r="J102" i="33"/>
  <c r="C102" i="33"/>
  <c r="D83" i="33"/>
  <c r="E83" i="33"/>
  <c r="F83" i="33"/>
  <c r="G83" i="33"/>
  <c r="H83" i="33"/>
  <c r="I83" i="33"/>
  <c r="C83" i="33"/>
  <c r="D64" i="33"/>
  <c r="E64" i="33"/>
  <c r="F64" i="33"/>
  <c r="G64" i="33"/>
  <c r="H64" i="33"/>
  <c r="I64" i="33"/>
  <c r="J64" i="33"/>
  <c r="C64" i="33"/>
  <c r="D46" i="33"/>
  <c r="E46" i="33"/>
  <c r="F46" i="33"/>
  <c r="G46" i="33"/>
  <c r="H46" i="33"/>
  <c r="I46" i="33"/>
  <c r="C46" i="33"/>
  <c r="F6" i="33"/>
  <c r="G6" i="33"/>
  <c r="H6" i="33"/>
  <c r="I6" i="33"/>
  <c r="E6" i="33"/>
  <c r="C1" i="27"/>
  <c r="I3" i="27" l="1"/>
  <c r="H3" i="27"/>
  <c r="G3" i="27"/>
  <c r="F3" i="27"/>
  <c r="E3" i="27"/>
  <c r="D3" i="27"/>
  <c r="C3" i="27"/>
  <c r="I6" i="27"/>
  <c r="H6" i="27"/>
  <c r="G6" i="27"/>
  <c r="F6" i="27"/>
  <c r="E6" i="27"/>
  <c r="D6" i="27"/>
  <c r="C6" i="27"/>
  <c r="B6" i="27"/>
  <c r="D5" i="27"/>
  <c r="E5" i="27"/>
  <c r="F5" i="27"/>
  <c r="G5" i="27"/>
  <c r="H5" i="27"/>
  <c r="I5" i="27"/>
  <c r="I4" i="27"/>
  <c r="H4" i="27"/>
  <c r="G4" i="27"/>
  <c r="F4" i="27"/>
  <c r="E4" i="27"/>
  <c r="D4" i="27"/>
  <c r="I2" i="27"/>
  <c r="H2" i="27"/>
  <c r="G2" i="27"/>
  <c r="F2" i="27"/>
  <c r="E2" i="27"/>
  <c r="D2" i="27"/>
  <c r="C5" i="27" l="1"/>
  <c r="B5" i="27"/>
  <c r="C4" i="27"/>
  <c r="B4" i="27"/>
  <c r="B3" i="27"/>
  <c r="C2" i="27"/>
  <c r="B2" i="27"/>
  <c r="A1" i="27"/>
  <c r="D1" i="27"/>
  <c r="E1" i="27" s="1"/>
  <c r="F1" i="27" s="1"/>
  <c r="G1" i="27" s="1"/>
  <c r="H1" i="27" s="1"/>
  <c r="I1" i="27" s="1"/>
  <c r="N42" i="30" l="1"/>
  <c r="O42" i="30"/>
  <c r="L42" i="30"/>
  <c r="K42" i="30"/>
  <c r="J42" i="30"/>
  <c r="M42" i="30"/>
  <c r="I17" i="30"/>
  <c r="E17" i="30"/>
  <c r="K22" i="30"/>
  <c r="J22" i="30"/>
  <c r="D17" i="30"/>
  <c r="O22" i="30"/>
  <c r="F17" i="30"/>
  <c r="L22" i="30"/>
  <c r="B64" i="30"/>
  <c r="N22" i="30"/>
  <c r="G17" i="30"/>
  <c r="M22" i="30"/>
  <c r="J44" i="30"/>
  <c r="H17" i="30"/>
  <c r="D50" i="28" l="1"/>
  <c r="C18" i="15" l="1"/>
  <c r="M18" i="15"/>
  <c r="N18" i="15"/>
  <c r="O18" i="15" l="1"/>
  <c r="S18" i="15" l="1"/>
  <c r="Q18" i="15"/>
  <c r="P18" i="15"/>
  <c r="R18" i="15" l="1"/>
  <c r="B15" i="29" l="1"/>
  <c r="C15" i="29"/>
  <c r="D15" i="29"/>
  <c r="E15" i="29"/>
  <c r="F15" i="29"/>
  <c r="A38" i="29"/>
  <c r="A26" i="29"/>
  <c r="P9" i="30" l="1"/>
  <c r="B50" i="26" l="1"/>
  <c r="B49" i="26"/>
  <c r="B51" i="26"/>
  <c r="B48" i="26"/>
  <c r="B12" i="29" l="1"/>
  <c r="C51" i="26"/>
  <c r="H50" i="26"/>
  <c r="G50" i="26"/>
  <c r="F50" i="26"/>
  <c r="E50" i="26"/>
  <c r="H49" i="26"/>
  <c r="G49" i="26"/>
  <c r="F49" i="26"/>
  <c r="E49" i="26"/>
  <c r="D49" i="26"/>
  <c r="D50" i="26" l="1"/>
  <c r="I118" i="33" l="1"/>
  <c r="G117" i="33"/>
  <c r="K115" i="33"/>
  <c r="K114" i="33"/>
  <c r="J114" i="33"/>
  <c r="I114" i="33"/>
  <c r="H114" i="33"/>
  <c r="G114" i="33"/>
  <c r="F114" i="33"/>
  <c r="E114" i="33"/>
  <c r="D114" i="33"/>
  <c r="C114" i="33"/>
  <c r="K113" i="33"/>
  <c r="J113" i="33"/>
  <c r="I113" i="33"/>
  <c r="H113" i="33"/>
  <c r="G113" i="33"/>
  <c r="F113" i="33"/>
  <c r="E113" i="33"/>
  <c r="E115" i="33" s="1"/>
  <c r="D113" i="33"/>
  <c r="C113" i="33"/>
  <c r="B113" i="33"/>
  <c r="K111" i="33"/>
  <c r="J111" i="33"/>
  <c r="I111" i="33"/>
  <c r="H111" i="33"/>
  <c r="G111" i="33"/>
  <c r="F111" i="33"/>
  <c r="E111" i="33"/>
  <c r="D111" i="33"/>
  <c r="C111" i="33"/>
  <c r="K110" i="33"/>
  <c r="J110" i="33"/>
  <c r="I110" i="33"/>
  <c r="H110" i="33"/>
  <c r="G110" i="33"/>
  <c r="F110" i="33"/>
  <c r="E110" i="33"/>
  <c r="D110" i="33"/>
  <c r="C110" i="33"/>
  <c r="H109" i="33"/>
  <c r="K108" i="33"/>
  <c r="J108" i="33"/>
  <c r="I108" i="33"/>
  <c r="H108" i="33"/>
  <c r="G108" i="33"/>
  <c r="F108" i="33"/>
  <c r="E108" i="33"/>
  <c r="D108" i="33"/>
  <c r="C108" i="33"/>
  <c r="K107" i="33"/>
  <c r="J107" i="33"/>
  <c r="I107" i="33"/>
  <c r="H107" i="33"/>
  <c r="G107" i="33"/>
  <c r="F107" i="33"/>
  <c r="E107" i="33"/>
  <c r="D107" i="33"/>
  <c r="C107" i="33"/>
  <c r="C109" i="33" s="1"/>
  <c r="J106" i="33"/>
  <c r="F106" i="33"/>
  <c r="K105" i="33"/>
  <c r="J105" i="33"/>
  <c r="I105" i="33"/>
  <c r="H105" i="33"/>
  <c r="G105" i="33"/>
  <c r="F105" i="33"/>
  <c r="E105" i="33"/>
  <c r="D105" i="33"/>
  <c r="C105" i="33"/>
  <c r="K104" i="33"/>
  <c r="J104" i="33"/>
  <c r="I104" i="33"/>
  <c r="H104" i="33"/>
  <c r="G104" i="33"/>
  <c r="F104" i="33"/>
  <c r="E104" i="33"/>
  <c r="D104" i="33"/>
  <c r="C104" i="33"/>
  <c r="K103" i="33"/>
  <c r="J103" i="33"/>
  <c r="I103" i="33"/>
  <c r="H103" i="33"/>
  <c r="G103" i="33"/>
  <c r="F103" i="33"/>
  <c r="E103" i="33"/>
  <c r="D103" i="33"/>
  <c r="C103" i="33"/>
  <c r="B103" i="33"/>
  <c r="L101" i="33"/>
  <c r="K118" i="33"/>
  <c r="H118" i="33"/>
  <c r="G118" i="33"/>
  <c r="F118" i="33"/>
  <c r="D118" i="33"/>
  <c r="J117" i="33"/>
  <c r="I117" i="33"/>
  <c r="H117" i="33"/>
  <c r="F117" i="33"/>
  <c r="D117" i="33"/>
  <c r="H116" i="33"/>
  <c r="J115" i="33"/>
  <c r="I115" i="33"/>
  <c r="H115" i="33"/>
  <c r="F115" i="33"/>
  <c r="D115" i="33"/>
  <c r="J112" i="33"/>
  <c r="I112" i="33"/>
  <c r="H112" i="33"/>
  <c r="G112" i="33"/>
  <c r="F112" i="33"/>
  <c r="D112" i="33"/>
  <c r="B91" i="33"/>
  <c r="B94" i="33" s="1"/>
  <c r="K109" i="33"/>
  <c r="I109" i="33"/>
  <c r="G109" i="33"/>
  <c r="F109" i="33"/>
  <c r="D109" i="33"/>
  <c r="K106" i="33"/>
  <c r="I106" i="33"/>
  <c r="H106" i="33"/>
  <c r="G106" i="33"/>
  <c r="D106" i="33"/>
  <c r="K78" i="33"/>
  <c r="J78" i="33"/>
  <c r="I78" i="33"/>
  <c r="H78" i="33"/>
  <c r="G78" i="33"/>
  <c r="F78" i="33"/>
  <c r="D78" i="33"/>
  <c r="C78" i="33"/>
  <c r="K77" i="33"/>
  <c r="J77" i="33"/>
  <c r="I77" i="33"/>
  <c r="H77" i="33"/>
  <c r="G77" i="33"/>
  <c r="F77" i="33"/>
  <c r="D77" i="33"/>
  <c r="C77" i="33"/>
  <c r="K76" i="33"/>
  <c r="J76" i="33"/>
  <c r="I76" i="33"/>
  <c r="H76" i="33"/>
  <c r="G76" i="33"/>
  <c r="F76" i="33"/>
  <c r="E76" i="33"/>
  <c r="D76" i="33"/>
  <c r="C76" i="33"/>
  <c r="K75" i="33"/>
  <c r="J75" i="33"/>
  <c r="I75" i="33"/>
  <c r="H75" i="33"/>
  <c r="G75" i="33"/>
  <c r="F75" i="33"/>
  <c r="E75" i="33"/>
  <c r="D75" i="33"/>
  <c r="C75" i="33"/>
  <c r="K74" i="33"/>
  <c r="J74" i="33"/>
  <c r="I74" i="33"/>
  <c r="H74" i="33"/>
  <c r="G74" i="33"/>
  <c r="F74" i="33"/>
  <c r="D74" i="33"/>
  <c r="C74" i="33"/>
  <c r="K73" i="33"/>
  <c r="J73" i="33"/>
  <c r="I73" i="33"/>
  <c r="H73" i="33"/>
  <c r="G73" i="33"/>
  <c r="F73" i="33"/>
  <c r="E73" i="33"/>
  <c r="D73" i="33"/>
  <c r="C73" i="33"/>
  <c r="K72" i="33"/>
  <c r="J72" i="33"/>
  <c r="I72" i="33"/>
  <c r="H72" i="33"/>
  <c r="G72" i="33"/>
  <c r="F72" i="33"/>
  <c r="E72" i="33"/>
  <c r="D72" i="33"/>
  <c r="C72" i="33"/>
  <c r="B72" i="33"/>
  <c r="B75" i="33" s="1"/>
  <c r="K71" i="33"/>
  <c r="J71" i="33"/>
  <c r="I71" i="33"/>
  <c r="H71" i="33"/>
  <c r="G71" i="33"/>
  <c r="F71" i="33"/>
  <c r="D71" i="33"/>
  <c r="C71" i="33"/>
  <c r="K70" i="33"/>
  <c r="J70" i="33"/>
  <c r="I70" i="33"/>
  <c r="H70" i="33"/>
  <c r="G70" i="33"/>
  <c r="F70" i="33"/>
  <c r="E70" i="33"/>
  <c r="D70" i="33"/>
  <c r="C70" i="33"/>
  <c r="K69" i="33"/>
  <c r="J69" i="33"/>
  <c r="I69" i="33"/>
  <c r="H69" i="33"/>
  <c r="G69" i="33"/>
  <c r="F69" i="33"/>
  <c r="E69" i="33"/>
  <c r="D69" i="33"/>
  <c r="C69" i="33"/>
  <c r="K68" i="33"/>
  <c r="J68" i="33"/>
  <c r="I68" i="33"/>
  <c r="H68" i="33"/>
  <c r="G68" i="33"/>
  <c r="F68" i="33"/>
  <c r="D68" i="33"/>
  <c r="C68" i="33"/>
  <c r="K67" i="33"/>
  <c r="J67" i="33"/>
  <c r="I67" i="33"/>
  <c r="H67" i="33"/>
  <c r="G67" i="33"/>
  <c r="F67" i="33"/>
  <c r="E67" i="33"/>
  <c r="D67" i="33"/>
  <c r="C67" i="33"/>
  <c r="K66" i="33"/>
  <c r="J66" i="33"/>
  <c r="I66" i="33"/>
  <c r="H66" i="33"/>
  <c r="G66" i="33"/>
  <c r="F66" i="33"/>
  <c r="E66" i="33"/>
  <c r="D66" i="33"/>
  <c r="C66" i="33"/>
  <c r="K65" i="33"/>
  <c r="J65" i="33"/>
  <c r="I65" i="33"/>
  <c r="H65" i="33"/>
  <c r="G65" i="33"/>
  <c r="F65" i="33"/>
  <c r="E65" i="33"/>
  <c r="D65" i="33"/>
  <c r="C65" i="33"/>
  <c r="B54" i="33"/>
  <c r="B57" i="33" s="1"/>
  <c r="K37" i="33"/>
  <c r="J37" i="33"/>
  <c r="I37" i="33"/>
  <c r="H37" i="33"/>
  <c r="G37" i="33"/>
  <c r="F37" i="33"/>
  <c r="E37" i="33"/>
  <c r="D37" i="33"/>
  <c r="C37" i="33"/>
  <c r="K36" i="33"/>
  <c r="J36" i="33"/>
  <c r="I36" i="33"/>
  <c r="H36" i="33"/>
  <c r="G36" i="33"/>
  <c r="F36" i="33"/>
  <c r="E36" i="33"/>
  <c r="D36" i="33"/>
  <c r="C36" i="33"/>
  <c r="K34" i="33"/>
  <c r="J34" i="33"/>
  <c r="I34" i="33"/>
  <c r="H34" i="33"/>
  <c r="G34" i="33"/>
  <c r="F34" i="33"/>
  <c r="E34" i="33"/>
  <c r="D34" i="33"/>
  <c r="C34" i="33"/>
  <c r="K33" i="33"/>
  <c r="J33" i="33"/>
  <c r="I33" i="33"/>
  <c r="H33" i="33"/>
  <c r="G33" i="33"/>
  <c r="F33" i="33"/>
  <c r="E33" i="33"/>
  <c r="D33" i="33"/>
  <c r="C33" i="33"/>
  <c r="K31" i="33"/>
  <c r="J31" i="33"/>
  <c r="I31" i="33"/>
  <c r="H31" i="33"/>
  <c r="G31" i="33"/>
  <c r="F31" i="33"/>
  <c r="E31" i="33"/>
  <c r="D31" i="33"/>
  <c r="C31" i="33"/>
  <c r="K30" i="33"/>
  <c r="J30" i="33"/>
  <c r="I30" i="33"/>
  <c r="H30" i="33"/>
  <c r="G30" i="33"/>
  <c r="F30" i="33"/>
  <c r="E30" i="33"/>
  <c r="D30" i="33"/>
  <c r="C30" i="33"/>
  <c r="K28" i="33"/>
  <c r="J28" i="33"/>
  <c r="I28" i="33"/>
  <c r="H28" i="33"/>
  <c r="G28" i="33"/>
  <c r="F28" i="33"/>
  <c r="E28" i="33"/>
  <c r="D28" i="33"/>
  <c r="C28" i="33"/>
  <c r="K27" i="33"/>
  <c r="J27" i="33"/>
  <c r="I27" i="33"/>
  <c r="H27" i="33"/>
  <c r="G27" i="33"/>
  <c r="F27" i="33"/>
  <c r="E27" i="33"/>
  <c r="D27" i="33"/>
  <c r="C27" i="33"/>
  <c r="K26" i="33"/>
  <c r="J26" i="33"/>
  <c r="I26" i="33"/>
  <c r="H26" i="33"/>
  <c r="G26" i="33"/>
  <c r="F26" i="33"/>
  <c r="E26" i="33"/>
  <c r="D26" i="33"/>
  <c r="C26" i="33"/>
  <c r="E25" i="33"/>
  <c r="I22" i="33"/>
  <c r="H22" i="33"/>
  <c r="G22" i="33"/>
  <c r="F22" i="33"/>
  <c r="E22" i="33"/>
  <c r="D22" i="33"/>
  <c r="C22" i="33"/>
  <c r="I21" i="33"/>
  <c r="H21" i="33"/>
  <c r="G21" i="33"/>
  <c r="F21" i="33"/>
  <c r="E21" i="33"/>
  <c r="D21" i="33"/>
  <c r="C21" i="33"/>
  <c r="I19" i="33"/>
  <c r="H19" i="33"/>
  <c r="G19" i="33"/>
  <c r="F19" i="33"/>
  <c r="E19" i="33"/>
  <c r="E77" i="33" s="1"/>
  <c r="D19" i="33"/>
  <c r="C19" i="33"/>
  <c r="B17" i="33"/>
  <c r="I16" i="33"/>
  <c r="H16" i="33"/>
  <c r="G16" i="33"/>
  <c r="F16" i="33"/>
  <c r="E16" i="33"/>
  <c r="E74" i="33" s="1"/>
  <c r="D16" i="33"/>
  <c r="C16" i="33"/>
  <c r="B14" i="33"/>
  <c r="I13" i="33"/>
  <c r="H13" i="33"/>
  <c r="G13" i="33"/>
  <c r="F13" i="33"/>
  <c r="E13" i="33"/>
  <c r="E71" i="33" s="1"/>
  <c r="D13" i="33"/>
  <c r="C13" i="33"/>
  <c r="I10" i="33"/>
  <c r="H10" i="33"/>
  <c r="G10" i="33"/>
  <c r="F10" i="33"/>
  <c r="E10" i="33"/>
  <c r="D10" i="33"/>
  <c r="C10" i="33"/>
  <c r="D41" i="33" l="1"/>
  <c r="C106" i="33"/>
  <c r="K38" i="33"/>
  <c r="D38" i="33"/>
  <c r="C115" i="33"/>
  <c r="E109" i="33"/>
  <c r="E112" i="33"/>
  <c r="E106" i="33"/>
  <c r="D35" i="33"/>
  <c r="D32" i="33"/>
  <c r="C20" i="33"/>
  <c r="D40" i="33"/>
  <c r="D29" i="33"/>
  <c r="I38" i="33"/>
  <c r="H38" i="33"/>
  <c r="E38" i="33"/>
  <c r="C38" i="33"/>
  <c r="J35" i="33"/>
  <c r="I35" i="33"/>
  <c r="H35" i="33"/>
  <c r="E35" i="33"/>
  <c r="E41" i="33"/>
  <c r="G35" i="33"/>
  <c r="F35" i="33"/>
  <c r="K35" i="33"/>
  <c r="I32" i="33"/>
  <c r="H32" i="33"/>
  <c r="G20" i="33"/>
  <c r="E32" i="33"/>
  <c r="F32" i="33"/>
  <c r="C32" i="33"/>
  <c r="K32" i="33"/>
  <c r="F41" i="33"/>
  <c r="J41" i="33"/>
  <c r="H20" i="33"/>
  <c r="J29" i="33"/>
  <c r="I41" i="33"/>
  <c r="I40" i="33"/>
  <c r="I29" i="33"/>
  <c r="H41" i="33"/>
  <c r="H40" i="33"/>
  <c r="F20" i="33"/>
  <c r="H29" i="33"/>
  <c r="E29" i="33"/>
  <c r="G40" i="33"/>
  <c r="E20" i="33"/>
  <c r="C40" i="33"/>
  <c r="F40" i="33"/>
  <c r="F29" i="33"/>
  <c r="K40" i="33"/>
  <c r="C29" i="33"/>
  <c r="G29" i="33"/>
  <c r="C35" i="33"/>
  <c r="C41" i="33"/>
  <c r="C117" i="33"/>
  <c r="K117" i="33"/>
  <c r="E118" i="33"/>
  <c r="D20" i="33"/>
  <c r="J32" i="33"/>
  <c r="F38" i="33"/>
  <c r="J38" i="33"/>
  <c r="J40" i="33"/>
  <c r="E68" i="33"/>
  <c r="D116" i="33"/>
  <c r="I116" i="33"/>
  <c r="C112" i="33"/>
  <c r="K112" i="33"/>
  <c r="J118" i="33"/>
  <c r="K29" i="33"/>
  <c r="E40" i="33"/>
  <c r="G41" i="33"/>
  <c r="K41" i="33"/>
  <c r="G115" i="33"/>
  <c r="I20" i="33"/>
  <c r="G32" i="33"/>
  <c r="G38" i="33"/>
  <c r="J109" i="33"/>
  <c r="E117" i="33"/>
  <c r="C118" i="33"/>
  <c r="E116" i="33" l="1"/>
  <c r="D39" i="33"/>
  <c r="E39" i="33"/>
  <c r="H39" i="33"/>
  <c r="I39" i="33"/>
  <c r="G39" i="33"/>
  <c r="F116" i="33"/>
  <c r="E78" i="33"/>
  <c r="G116" i="33"/>
  <c r="K116" i="33"/>
  <c r="J116" i="33"/>
  <c r="J39" i="33"/>
  <c r="K39" i="33"/>
  <c r="F39" i="33"/>
  <c r="C39" i="33"/>
  <c r="L35" i="33" s="1"/>
  <c r="C116" i="33"/>
  <c r="L116" i="33" l="1"/>
  <c r="L111" i="33"/>
  <c r="L107" i="33"/>
  <c r="L105" i="33"/>
  <c r="L103" i="33"/>
  <c r="L106" i="33"/>
  <c r="L113" i="33"/>
  <c r="L110" i="33"/>
  <c r="L104" i="33"/>
  <c r="L114" i="33"/>
  <c r="L109" i="33"/>
  <c r="L108" i="33"/>
  <c r="L115" i="33"/>
  <c r="L118" i="33"/>
  <c r="L36" i="33"/>
  <c r="L34" i="33"/>
  <c r="L30" i="33"/>
  <c r="L28" i="33"/>
  <c r="L26" i="33"/>
  <c r="L39" i="33"/>
  <c r="L40" i="33"/>
  <c r="L32" i="33"/>
  <c r="L31" i="33"/>
  <c r="L29" i="33"/>
  <c r="L33" i="33"/>
  <c r="L38" i="33"/>
  <c r="L37" i="33"/>
  <c r="L27" i="33"/>
  <c r="L117" i="33"/>
  <c r="L41" i="33"/>
  <c r="L112" i="33"/>
  <c r="D11" i="30" l="1"/>
  <c r="B11" i="30"/>
  <c r="C11" i="30"/>
  <c r="J16" i="30"/>
  <c r="J11" i="30" l="1"/>
  <c r="B36" i="28"/>
  <c r="B9" i="29" s="1"/>
  <c r="B23" i="28"/>
  <c r="C49" i="26"/>
  <c r="C48" i="26"/>
  <c r="L17" i="15" l="1"/>
  <c r="L25" i="15" l="1"/>
  <c r="L24" i="15"/>
  <c r="L23" i="15"/>
  <c r="L22" i="15"/>
  <c r="L21" i="15"/>
  <c r="B46" i="1" l="1"/>
  <c r="B52" i="1"/>
  <c r="E14" i="2"/>
  <c r="D14" i="2"/>
  <c r="E7" i="2"/>
  <c r="D7" i="2"/>
  <c r="B69" i="15"/>
  <c r="B63" i="15"/>
  <c r="G13" i="1"/>
  <c r="F13" i="1"/>
  <c r="B14" i="28"/>
  <c r="C7" i="1"/>
  <c r="C69" i="15" l="1"/>
  <c r="C34" i="15"/>
  <c r="C30" i="1" s="1"/>
  <c r="G34" i="15"/>
  <c r="G30" i="1" s="1"/>
  <c r="C28" i="15"/>
  <c r="C24" i="1" s="1"/>
  <c r="E34" i="15"/>
  <c r="E30" i="1" s="1"/>
  <c r="G14" i="28"/>
  <c r="C14" i="28"/>
  <c r="D13" i="1"/>
  <c r="F34" i="15"/>
  <c r="F30" i="1" s="1"/>
  <c r="M9" i="15"/>
  <c r="B6" i="28"/>
  <c r="D14" i="28"/>
  <c r="E13" i="1"/>
  <c r="D34" i="15"/>
  <c r="D30" i="1" s="1"/>
  <c r="L9" i="15"/>
  <c r="C6" i="28"/>
  <c r="F14" i="28"/>
  <c r="D7" i="1"/>
  <c r="C13" i="1"/>
  <c r="H13" i="1"/>
  <c r="E14" i="28"/>
  <c r="D25" i="2"/>
  <c r="D31" i="2"/>
  <c r="C63" i="15"/>
  <c r="B21" i="26" l="1"/>
  <c r="C21" i="26"/>
  <c r="J10" i="30" l="1"/>
  <c r="B68" i="30"/>
  <c r="B31" i="26"/>
  <c r="D37" i="30" l="1"/>
  <c r="C37" i="30"/>
  <c r="C4" i="30"/>
  <c r="C43" i="28"/>
  <c r="B43" i="28"/>
  <c r="C30" i="28"/>
  <c r="B30" i="28"/>
  <c r="L15" i="15"/>
  <c r="L16" i="15"/>
  <c r="L14" i="15"/>
  <c r="C47" i="15"/>
  <c r="D68" i="15" l="1"/>
  <c r="N25" i="15"/>
  <c r="R25" i="15"/>
  <c r="C54" i="15"/>
  <c r="O25" i="15"/>
  <c r="B50" i="28"/>
  <c r="F57" i="28"/>
  <c r="E68" i="15"/>
  <c r="C57" i="28"/>
  <c r="G57" i="28"/>
  <c r="C16" i="15"/>
  <c r="D54" i="15"/>
  <c r="F68" i="15"/>
  <c r="D57" i="28"/>
  <c r="H57" i="28"/>
  <c r="C10" i="15"/>
  <c r="E57" i="28"/>
  <c r="C23" i="28"/>
  <c r="L18" i="15"/>
  <c r="H13" i="27" l="1"/>
  <c r="H11" i="27"/>
  <c r="H12" i="27"/>
  <c r="H14" i="27"/>
  <c r="H15" i="27"/>
  <c r="A29" i="29" l="1"/>
  <c r="L8" i="15" l="1"/>
  <c r="C2" i="30" l="1"/>
  <c r="D2" i="30" s="1"/>
  <c r="E2" i="30" s="1"/>
  <c r="F2" i="30" s="1"/>
  <c r="G2" i="30" s="1"/>
  <c r="H2" i="30" s="1"/>
  <c r="D18" i="15" l="1"/>
  <c r="H31" i="30" l="1"/>
  <c r="J15" i="30" l="1"/>
  <c r="I2" i="30" l="1"/>
  <c r="B7" i="32"/>
  <c r="D11" i="1" l="1"/>
  <c r="D6" i="1"/>
  <c r="B11" i="27" l="1"/>
  <c r="C15" i="27"/>
  <c r="B65" i="30"/>
  <c r="C59" i="15"/>
  <c r="E20" i="2" l="1"/>
  <c r="F20" i="2"/>
  <c r="G20" i="2"/>
  <c r="H20" i="2"/>
  <c r="I20" i="2"/>
  <c r="D19" i="1"/>
  <c r="E19" i="1"/>
  <c r="F19" i="1"/>
  <c r="G19" i="1"/>
  <c r="H19" i="1"/>
  <c r="C14" i="32"/>
  <c r="D14" i="32"/>
  <c r="E14" i="32"/>
  <c r="F14" i="32"/>
  <c r="G14" i="32"/>
  <c r="G15" i="29"/>
  <c r="H67" i="15" l="1"/>
  <c r="G67" i="15"/>
  <c r="F67" i="15"/>
  <c r="D67" i="15"/>
  <c r="C13" i="28"/>
  <c r="C5" i="28"/>
  <c r="C3" i="28"/>
  <c r="C12" i="28" l="1"/>
  <c r="E67" i="15"/>
  <c r="C36" i="28"/>
  <c r="C24" i="28"/>
  <c r="M8" i="15"/>
  <c r="B10" i="28"/>
  <c r="C9" i="1"/>
  <c r="C65" i="15"/>
  <c r="L4" i="15" l="1"/>
  <c r="H58" i="15"/>
  <c r="G58" i="15"/>
  <c r="F58" i="15"/>
  <c r="E58" i="15"/>
  <c r="D58" i="15"/>
  <c r="C58" i="15"/>
  <c r="C10" i="1"/>
  <c r="M4" i="15" l="1"/>
  <c r="L13" i="15"/>
  <c r="N13" i="15" s="1"/>
  <c r="B4" i="28"/>
  <c r="C24" i="15"/>
  <c r="L5" i="15"/>
  <c r="B11" i="28"/>
  <c r="L6" i="15"/>
  <c r="B13" i="28"/>
  <c r="C33" i="15"/>
  <c r="B3" i="28"/>
  <c r="C25" i="15"/>
  <c r="G11" i="27"/>
  <c r="G12" i="27"/>
  <c r="G13" i="27"/>
  <c r="G14" i="27"/>
  <c r="G15" i="27"/>
  <c r="F11" i="27"/>
  <c r="O13" i="15" l="1"/>
  <c r="P13" i="15" s="1"/>
  <c r="Q13" i="15" s="1"/>
  <c r="R13" i="15" s="1"/>
  <c r="S13" i="15" s="1"/>
  <c r="M21" i="15"/>
  <c r="N21" i="15" s="1"/>
  <c r="O21" i="15" s="1"/>
  <c r="P21" i="15" s="1"/>
  <c r="Q21" i="15" s="1"/>
  <c r="R21" i="15" s="1"/>
  <c r="M15" i="30"/>
  <c r="L40" i="30"/>
  <c r="M34" i="30"/>
  <c r="O20" i="30" l="1"/>
  <c r="O15" i="30"/>
  <c r="O41" i="30"/>
  <c r="N28" i="30"/>
  <c r="N21" i="30"/>
  <c r="N40" i="30"/>
  <c r="M20" i="30"/>
  <c r="L28" i="30"/>
  <c r="O34" i="30"/>
  <c r="M13" i="30"/>
  <c r="O33" i="30"/>
  <c r="N20" i="30"/>
  <c r="M28" i="30"/>
  <c r="L34" i="30"/>
  <c r="O40" i="30"/>
  <c r="N15" i="30"/>
  <c r="M21" i="30"/>
  <c r="O35" i="30"/>
  <c r="N41" i="30"/>
  <c r="L33" i="30"/>
  <c r="N33" i="30"/>
  <c r="L13" i="30"/>
  <c r="N35" i="30"/>
  <c r="M41" i="30"/>
  <c r="L35" i="30"/>
  <c r="N13" i="30"/>
  <c r="O13" i="30"/>
  <c r="M33" i="30"/>
  <c r="L20" i="30"/>
  <c r="O28" i="30"/>
  <c r="N34" i="30"/>
  <c r="M40" i="30"/>
  <c r="O21" i="30"/>
  <c r="M35" i="30"/>
  <c r="L32" i="30" l="1"/>
  <c r="N32" i="30"/>
  <c r="M32" i="30"/>
  <c r="O32" i="30"/>
  <c r="C52" i="30"/>
  <c r="C63" i="30" s="1"/>
  <c r="D52" i="30"/>
  <c r="D63" i="30" s="1"/>
  <c r="E52" i="30"/>
  <c r="E63" i="30" s="1"/>
  <c r="F52" i="30"/>
  <c r="F63" i="30" s="1"/>
  <c r="G52" i="30"/>
  <c r="G63" i="30" s="1"/>
  <c r="B52" i="30"/>
  <c r="B63" i="30" s="1"/>
  <c r="K2" i="30"/>
  <c r="L2" i="30"/>
  <c r="M2" i="30"/>
  <c r="N2" i="30"/>
  <c r="O2" i="30"/>
  <c r="J2" i="30"/>
  <c r="J27" i="30" l="1"/>
  <c r="K33" i="30"/>
  <c r="J33" i="30"/>
  <c r="J20" i="30"/>
  <c r="K20" i="30"/>
  <c r="J46" i="30"/>
  <c r="J35" i="30"/>
  <c r="K35" i="30"/>
  <c r="J14" i="30"/>
  <c r="K40" i="30"/>
  <c r="J40" i="30"/>
  <c r="J29" i="30"/>
  <c r="J19" i="30"/>
  <c r="J45" i="30"/>
  <c r="J34" i="30"/>
  <c r="K34" i="30"/>
  <c r="J21" i="30"/>
  <c r="J47" i="30"/>
  <c r="J39" i="30"/>
  <c r="K28" i="30"/>
  <c r="J28" i="30"/>
  <c r="J41" i="30"/>
  <c r="E31" i="30"/>
  <c r="C79" i="30" l="1"/>
  <c r="J12" i="30"/>
  <c r="J6" i="30"/>
  <c r="B67" i="30"/>
  <c r="J9" i="30"/>
  <c r="J26" i="30"/>
  <c r="D25" i="30"/>
  <c r="D43" i="30"/>
  <c r="J18" i="30"/>
  <c r="J38" i="30"/>
  <c r="J7" i="30"/>
  <c r="J13" i="30"/>
  <c r="K13" i="30"/>
  <c r="K32" i="30"/>
  <c r="J32" i="30"/>
  <c r="D31" i="30"/>
  <c r="B4" i="30"/>
  <c r="B77" i="30" l="1"/>
  <c r="B76" i="30"/>
  <c r="B79" i="30"/>
  <c r="B80" i="30"/>
  <c r="D23" i="30"/>
  <c r="K31" i="30"/>
  <c r="C6" i="1"/>
  <c r="C11" i="1"/>
  <c r="B75" i="30" l="1"/>
  <c r="D79" i="30"/>
  <c r="C32" i="15"/>
  <c r="B12" i="28"/>
  <c r="B15" i="28" s="1"/>
  <c r="L7" i="15"/>
  <c r="C27" i="15"/>
  <c r="B5" i="28"/>
  <c r="C67" i="15"/>
  <c r="C68" i="15"/>
  <c r="C66" i="15"/>
  <c r="C17" i="15" l="1"/>
  <c r="L10" i="15"/>
  <c r="C60" i="15" l="1"/>
  <c r="C62" i="15"/>
  <c r="D4" i="15"/>
  <c r="C7" i="32" l="1"/>
  <c r="B20" i="32" s="1"/>
  <c r="D7" i="32"/>
  <c r="E7" i="32"/>
  <c r="F7" i="32"/>
  <c r="G7" i="32"/>
  <c r="A24" i="32"/>
  <c r="A23" i="32"/>
  <c r="A34" i="32" s="1"/>
  <c r="A22" i="32"/>
  <c r="A33" i="32" s="1"/>
  <c r="B14" i="32"/>
  <c r="G1" i="32"/>
  <c r="F27" i="32" s="1"/>
  <c r="F1" i="32"/>
  <c r="E27" i="32" s="1"/>
  <c r="E1" i="32"/>
  <c r="D27" i="32" s="1"/>
  <c r="D1" i="32"/>
  <c r="C27" i="32" s="1"/>
  <c r="C1" i="32"/>
  <c r="B27" i="32" s="1"/>
  <c r="B1" i="32"/>
  <c r="D20" i="32" l="1"/>
  <c r="C20" i="32"/>
  <c r="E20" i="32"/>
  <c r="F20" i="32"/>
  <c r="A23" i="29" l="1"/>
  <c r="A36" i="29" s="1"/>
  <c r="A24" i="29" l="1"/>
  <c r="A37" i="29" s="1"/>
  <c r="C10" i="32"/>
  <c r="B10" i="32"/>
  <c r="C9" i="32"/>
  <c r="B9" i="32"/>
  <c r="C6" i="32"/>
  <c r="B6" i="32"/>
  <c r="G8" i="32"/>
  <c r="F8" i="32"/>
  <c r="E8" i="32"/>
  <c r="D8" i="32"/>
  <c r="C8" i="32"/>
  <c r="B8" i="32"/>
  <c r="E21" i="32" l="1"/>
  <c r="D21" i="32"/>
  <c r="C21" i="32"/>
  <c r="B22" i="32"/>
  <c r="B23" i="32"/>
  <c r="B19" i="32"/>
  <c r="B21" i="32"/>
  <c r="F21" i="32"/>
  <c r="D24" i="28"/>
  <c r="B10" i="29"/>
  <c r="E24" i="28" l="1"/>
  <c r="F5" i="32"/>
  <c r="E5" i="32"/>
  <c r="D5" i="32"/>
  <c r="C5" i="32"/>
  <c r="B5" i="32"/>
  <c r="C3" i="32"/>
  <c r="B3" i="32"/>
  <c r="B18" i="32" l="1"/>
  <c r="D18" i="32"/>
  <c r="C18" i="32"/>
  <c r="B16" i="32"/>
  <c r="E18" i="32"/>
  <c r="A13" i="27" l="1"/>
  <c r="A14" i="27"/>
  <c r="A15" i="27"/>
  <c r="A12" i="27"/>
  <c r="B8" i="29" l="1"/>
  <c r="N4" i="15"/>
  <c r="O4" i="15" s="1"/>
  <c r="P4" i="15" s="1"/>
  <c r="Q4" i="15" s="1"/>
  <c r="R4" i="15" s="1"/>
  <c r="C43" i="30" l="1"/>
  <c r="B43" i="30"/>
  <c r="J37" i="30"/>
  <c r="B37" i="30"/>
  <c r="F31" i="30"/>
  <c r="C31" i="30"/>
  <c r="B31" i="30"/>
  <c r="C25" i="30"/>
  <c r="B25" i="30"/>
  <c r="C17" i="30"/>
  <c r="B17" i="30"/>
  <c r="J31" i="30" l="1"/>
  <c r="J17" i="30"/>
  <c r="C23" i="30"/>
  <c r="L31" i="30"/>
  <c r="J43" i="30"/>
  <c r="J25" i="30"/>
  <c r="B23" i="30"/>
  <c r="A25" i="29"/>
  <c r="C49" i="30" l="1"/>
  <c r="J23" i="30"/>
  <c r="B49" i="30" l="1"/>
  <c r="B1" i="29"/>
  <c r="B4" i="32"/>
  <c r="C4" i="32"/>
  <c r="B2" i="32"/>
  <c r="C2" i="32"/>
  <c r="C2" i="28"/>
  <c r="B2" i="28"/>
  <c r="B7" i="28" s="1"/>
  <c r="C50" i="30" s="1"/>
  <c r="B29" i="32" l="1"/>
  <c r="B15" i="32"/>
  <c r="C11" i="32"/>
  <c r="B17" i="32"/>
  <c r="B28" i="32" s="1"/>
  <c r="C31" i="32"/>
  <c r="C32" i="32"/>
  <c r="C29" i="32"/>
  <c r="B11" i="32"/>
  <c r="B12" i="32" s="1"/>
  <c r="B31" i="32"/>
  <c r="B32" i="32"/>
  <c r="B34" i="32"/>
  <c r="B30" i="32"/>
  <c r="B33" i="32"/>
  <c r="B2" i="29" l="1"/>
  <c r="C12" i="32"/>
  <c r="B24" i="32"/>
  <c r="C1" i="29"/>
  <c r="B28" i="29" s="1"/>
  <c r="B16" i="28"/>
  <c r="B8" i="28"/>
  <c r="K27" i="30"/>
  <c r="L27" i="30"/>
  <c r="M27" i="30"/>
  <c r="N27" i="30"/>
  <c r="O27" i="30"/>
  <c r="G31" i="30"/>
  <c r="I31" i="30"/>
  <c r="P31" i="30" s="1"/>
  <c r="D4" i="1"/>
  <c r="D3" i="1"/>
  <c r="G9" i="26"/>
  <c r="G26" i="26" s="1"/>
  <c r="E9" i="26"/>
  <c r="E26" i="26" s="1"/>
  <c r="D9" i="26"/>
  <c r="D26" i="26" s="1"/>
  <c r="C9" i="26"/>
  <c r="C26" i="26" s="1"/>
  <c r="B4" i="29"/>
  <c r="C8" i="29"/>
  <c r="B6" i="29"/>
  <c r="C6" i="29"/>
  <c r="C9" i="29"/>
  <c r="B7" i="29"/>
  <c r="C7" i="29"/>
  <c r="B13" i="27"/>
  <c r="C13" i="27"/>
  <c r="D13" i="27"/>
  <c r="E13" i="27"/>
  <c r="I13" i="27" s="1"/>
  <c r="F13" i="27"/>
  <c r="B14" i="27"/>
  <c r="C14" i="27"/>
  <c r="D14" i="27"/>
  <c r="E14" i="27"/>
  <c r="F14" i="27"/>
  <c r="B15" i="27"/>
  <c r="D15" i="27"/>
  <c r="E15" i="27"/>
  <c r="I15" i="27" s="1"/>
  <c r="F15" i="27"/>
  <c r="C11" i="27"/>
  <c r="D11" i="27"/>
  <c r="E11" i="27"/>
  <c r="I11" i="27" s="1"/>
  <c r="D11" i="2"/>
  <c r="E11" i="2"/>
  <c r="D12" i="2"/>
  <c r="E12" i="2"/>
  <c r="F12" i="2"/>
  <c r="G12" i="2"/>
  <c r="H12" i="2"/>
  <c r="I12" i="2"/>
  <c r="J12" i="2"/>
  <c r="D13" i="2"/>
  <c r="E13" i="2"/>
  <c r="C58" i="2" s="1"/>
  <c r="F13" i="2"/>
  <c r="G13" i="2"/>
  <c r="H13" i="2"/>
  <c r="E10" i="2"/>
  <c r="D10" i="2"/>
  <c r="C12" i="1"/>
  <c r="C14" i="1" s="1"/>
  <c r="D12" i="1"/>
  <c r="C4" i="1"/>
  <c r="C5" i="1"/>
  <c r="C3" i="1"/>
  <c r="D4" i="2"/>
  <c r="E4" i="2"/>
  <c r="D5" i="2"/>
  <c r="D6" i="2"/>
  <c r="E6" i="2"/>
  <c r="E3" i="2"/>
  <c r="D3" i="2"/>
  <c r="B12" i="27"/>
  <c r="C12" i="27"/>
  <c r="D12" i="27"/>
  <c r="E12" i="27"/>
  <c r="F12" i="27"/>
  <c r="A44" i="2"/>
  <c r="A42" i="2"/>
  <c r="A40" i="2"/>
  <c r="F9" i="26"/>
  <c r="F26" i="26" s="1"/>
  <c r="C19" i="1"/>
  <c r="B8" i="26" s="1"/>
  <c r="B25" i="26" s="1"/>
  <c r="D20" i="2"/>
  <c r="D2" i="2"/>
  <c r="C20" i="1"/>
  <c r="C21" i="1"/>
  <c r="C23" i="1"/>
  <c r="C28" i="1"/>
  <c r="C29" i="1"/>
  <c r="C2" i="1"/>
  <c r="C41" i="15"/>
  <c r="D41" i="15"/>
  <c r="I14" i="27" l="1"/>
  <c r="I12" i="27"/>
  <c r="J29" i="2"/>
  <c r="B1" i="26"/>
  <c r="B15" i="26" s="1"/>
  <c r="B45" i="26" s="1"/>
  <c r="D15" i="2"/>
  <c r="E15" i="2"/>
  <c r="D8" i="2"/>
  <c r="C8" i="1"/>
  <c r="E79" i="30"/>
  <c r="C20" i="26"/>
  <c r="O31" i="30"/>
  <c r="N31" i="30"/>
  <c r="M31" i="30"/>
  <c r="B22" i="29"/>
  <c r="B35" i="29" s="1"/>
  <c r="B21" i="29"/>
  <c r="B34" i="29" s="1"/>
  <c r="C70" i="15"/>
  <c r="B3" i="29"/>
  <c r="C5" i="29"/>
  <c r="C13" i="29" s="1"/>
  <c r="B5" i="29"/>
  <c r="B13" i="29" s="1"/>
  <c r="B23" i="29"/>
  <c r="B36" i="29" s="1"/>
  <c r="B17" i="26"/>
  <c r="F29" i="2"/>
  <c r="D21" i="2"/>
  <c r="D28" i="2"/>
  <c r="E2" i="2"/>
  <c r="D2" i="1"/>
  <c r="C41" i="1" s="1"/>
  <c r="D30" i="2"/>
  <c r="D22" i="2"/>
  <c r="G29" i="2"/>
  <c r="D29" i="2"/>
  <c r="D24" i="2"/>
  <c r="B19" i="26"/>
  <c r="G30" i="2"/>
  <c r="I29" i="2"/>
  <c r="E29" i="2"/>
  <c r="E30" i="2"/>
  <c r="F30" i="2"/>
  <c r="D27" i="2"/>
  <c r="H29" i="2"/>
  <c r="B20" i="26"/>
  <c r="B18" i="26"/>
  <c r="C55" i="15"/>
  <c r="C48" i="15"/>
  <c r="B11" i="29"/>
  <c r="B20" i="29"/>
  <c r="B33" i="29" s="1"/>
  <c r="B14" i="29" l="1"/>
  <c r="B19" i="29"/>
  <c r="B32" i="29" s="1"/>
  <c r="C57" i="2"/>
  <c r="K14" i="2"/>
  <c r="B22" i="26"/>
  <c r="B41" i="26" s="1"/>
  <c r="C54" i="2"/>
  <c r="K15" i="2"/>
  <c r="C3" i="30"/>
  <c r="B52" i="26"/>
  <c r="K10" i="2"/>
  <c r="C1" i="26"/>
  <c r="C15" i="26" s="1"/>
  <c r="C47" i="2"/>
  <c r="C56" i="2"/>
  <c r="C55" i="2"/>
  <c r="D36" i="2"/>
  <c r="D42" i="2" s="1"/>
  <c r="D35" i="2"/>
  <c r="D38" i="2" s="1"/>
  <c r="B3" i="26"/>
  <c r="D18" i="2"/>
  <c r="D16" i="2"/>
  <c r="E18" i="2"/>
  <c r="D17" i="2"/>
  <c r="D40" i="2"/>
  <c r="C15" i="1"/>
  <c r="C16" i="1" s="1"/>
  <c r="C36" i="1"/>
  <c r="B4" i="26"/>
  <c r="B30" i="26"/>
  <c r="D56" i="2"/>
  <c r="D32" i="2"/>
  <c r="C59" i="2" s="1"/>
  <c r="D44" i="2"/>
  <c r="K13" i="2"/>
  <c r="D57" i="2"/>
  <c r="C35" i="1"/>
  <c r="C38" i="1" s="1"/>
  <c r="E36" i="2"/>
  <c r="E42" i="2" s="1"/>
  <c r="K12" i="2"/>
  <c r="K11" i="2"/>
  <c r="D9" i="2"/>
  <c r="D1" i="29"/>
  <c r="C28" i="29" s="1"/>
  <c r="E2" i="1"/>
  <c r="D41" i="1" s="1"/>
  <c r="E41" i="15"/>
  <c r="F2" i="2"/>
  <c r="D47" i="2" s="1"/>
  <c r="B5" i="26" l="1"/>
  <c r="B6" i="26" s="1"/>
  <c r="B35" i="26"/>
  <c r="C45" i="26"/>
  <c r="D43" i="2"/>
  <c r="D39" i="2"/>
  <c r="B40" i="26"/>
  <c r="D2" i="26"/>
  <c r="D16" i="26" s="1"/>
  <c r="C36" i="26" s="1"/>
  <c r="D45" i="26" s="1"/>
  <c r="E1" i="29"/>
  <c r="D28" i="29" s="1"/>
  <c r="F2" i="1"/>
  <c r="E41" i="1" s="1"/>
  <c r="F41" i="15"/>
  <c r="G2" i="2"/>
  <c r="E47" i="2" s="1"/>
  <c r="B23" i="26" l="1"/>
  <c r="E2" i="26"/>
  <c r="E16" i="26" s="1"/>
  <c r="D36" i="26" s="1"/>
  <c r="E45" i="26" s="1"/>
  <c r="F1" i="29"/>
  <c r="E28" i="29" s="1"/>
  <c r="H2" i="2"/>
  <c r="F47" i="2" s="1"/>
  <c r="G2" i="1"/>
  <c r="F41" i="1" s="1"/>
  <c r="G41" i="15"/>
  <c r="G1" i="29" l="1"/>
  <c r="F28" i="29" s="1"/>
  <c r="H2" i="1"/>
  <c r="G41" i="1" s="1"/>
  <c r="H1" i="32"/>
  <c r="G27" i="32" s="1"/>
  <c r="I2" i="2"/>
  <c r="G47" i="2" s="1"/>
  <c r="H41" i="15"/>
  <c r="F2" i="26"/>
  <c r="F16" i="26" s="1"/>
  <c r="E36" i="26" s="1"/>
  <c r="F45" i="26" s="1"/>
  <c r="H1" i="29" l="1"/>
  <c r="G28" i="29" s="1"/>
  <c r="J2" i="2"/>
  <c r="H47" i="2" s="1"/>
  <c r="I2" i="1"/>
  <c r="H41" i="1" s="1"/>
  <c r="I41" i="15"/>
  <c r="G2" i="26"/>
  <c r="G16" i="26" s="1"/>
  <c r="F36" i="26" s="1"/>
  <c r="G45" i="26" s="1"/>
  <c r="H2" i="26" l="1"/>
  <c r="H16" i="26" s="1"/>
  <c r="G36" i="26" s="1"/>
  <c r="H45" i="26" s="1"/>
  <c r="E5" i="28" l="1"/>
  <c r="E2" i="32" s="1"/>
  <c r="F6" i="1"/>
  <c r="F27" i="15" l="1"/>
  <c r="F23" i="1" s="1"/>
  <c r="F5" i="28"/>
  <c r="F2" i="32" s="1"/>
  <c r="E15" i="32" s="1"/>
  <c r="G6" i="1"/>
  <c r="G27" i="15" l="1"/>
  <c r="G23" i="1" s="1"/>
  <c r="G5" i="28"/>
  <c r="G2" i="32" s="1"/>
  <c r="F15" i="32" s="1"/>
  <c r="H6" i="1"/>
  <c r="H27" i="15" l="1"/>
  <c r="H23" i="1" s="1"/>
  <c r="I6" i="1"/>
  <c r="H5" i="28"/>
  <c r="H2" i="32" s="1"/>
  <c r="J6" i="1" l="1"/>
  <c r="G15" i="32"/>
  <c r="D33" i="15" l="1"/>
  <c r="D29" i="1" s="1"/>
  <c r="E12" i="1"/>
  <c r="D13" i="28"/>
  <c r="D4" i="32" l="1"/>
  <c r="D32" i="32" l="1"/>
  <c r="D31" i="32"/>
  <c r="D29" i="32"/>
  <c r="C17" i="32"/>
  <c r="C28" i="32" s="1"/>
  <c r="E33" i="15" l="1"/>
  <c r="E29" i="1" s="1"/>
  <c r="F18" i="15"/>
  <c r="O8" i="15"/>
  <c r="E13" i="28"/>
  <c r="F12" i="1"/>
  <c r="E4" i="32" l="1"/>
  <c r="E20" i="26"/>
  <c r="D17" i="32" l="1"/>
  <c r="D28" i="32" s="1"/>
  <c r="E11" i="32"/>
  <c r="E32" i="32"/>
  <c r="E31" i="32"/>
  <c r="E29" i="32"/>
  <c r="E12" i="32" l="1"/>
  <c r="F33" i="15" l="1"/>
  <c r="F29" i="1" s="1"/>
  <c r="P8" i="15"/>
  <c r="G18" i="15"/>
  <c r="G12" i="1"/>
  <c r="F13" i="28"/>
  <c r="F4" i="32" l="1"/>
  <c r="F20" i="26"/>
  <c r="E30" i="26" l="1"/>
  <c r="E17" i="32"/>
  <c r="E28" i="32" s="1"/>
  <c r="F11" i="32"/>
  <c r="F31" i="32"/>
  <c r="F32" i="32"/>
  <c r="F12" i="32" l="1"/>
  <c r="E24" i="32"/>
  <c r="G33" i="15"/>
  <c r="G29" i="1" s="1"/>
  <c r="H18" i="15"/>
  <c r="Q8" i="15"/>
  <c r="G13" i="28"/>
  <c r="H12" i="1"/>
  <c r="G20" i="26" s="1"/>
  <c r="F30" i="26" l="1"/>
  <c r="G4" i="32"/>
  <c r="F17" i="32" l="1"/>
  <c r="F28" i="32" s="1"/>
  <c r="G11" i="32"/>
  <c r="G12" i="32" l="1"/>
  <c r="F24" i="32"/>
  <c r="H33" i="15"/>
  <c r="H29" i="1" s="1"/>
  <c r="R8" i="15"/>
  <c r="I18" i="15"/>
  <c r="H13" i="28"/>
  <c r="I12" i="1"/>
  <c r="H20" i="26" s="1"/>
  <c r="G30" i="26" l="1"/>
  <c r="H4" i="32"/>
  <c r="H17" i="32" s="1"/>
  <c r="G17" i="32" l="1"/>
  <c r="G28" i="32" s="1"/>
  <c r="H11" i="32"/>
  <c r="H12" i="32" l="1"/>
  <c r="G24" i="32"/>
  <c r="D27" i="15" l="1"/>
  <c r="D23" i="1" s="1"/>
  <c r="E18" i="15"/>
  <c r="E6" i="1"/>
  <c r="D20" i="26" s="1"/>
  <c r="D5" i="28"/>
  <c r="D2" i="32" s="1"/>
  <c r="H15" i="32" s="1"/>
  <c r="N8" i="15"/>
  <c r="E27" i="15"/>
  <c r="E23" i="1" s="1"/>
  <c r="D30" i="26" l="1"/>
  <c r="C30" i="26"/>
  <c r="C15" i="32"/>
  <c r="D15" i="32"/>
  <c r="D11" i="32"/>
  <c r="H24" i="32" s="1"/>
  <c r="D12" i="32" l="1"/>
  <c r="C24" i="32"/>
  <c r="D24" i="32"/>
  <c r="H14" i="28" l="1"/>
  <c r="I13" i="1"/>
  <c r="H34" i="15"/>
  <c r="H30" i="1" s="1"/>
  <c r="D3" i="32" l="1"/>
  <c r="D62" i="15"/>
  <c r="F6" i="2"/>
  <c r="E24" i="2" l="1"/>
  <c r="C16" i="32"/>
  <c r="E3" i="32"/>
  <c r="D16" i="32" s="1"/>
  <c r="G6" i="2"/>
  <c r="F24" i="2" s="1"/>
  <c r="E62" i="15"/>
  <c r="F62" i="15" l="1"/>
  <c r="F3" i="32"/>
  <c r="E16" i="32" s="1"/>
  <c r="H6" i="2"/>
  <c r="G24" i="2" s="1"/>
  <c r="G3" i="32" l="1"/>
  <c r="F16" i="32" s="1"/>
  <c r="G62" i="15"/>
  <c r="I6" i="2"/>
  <c r="H24" i="2" s="1"/>
  <c r="H3" i="32" l="1"/>
  <c r="H16" i="32" s="1"/>
  <c r="H62" i="15"/>
  <c r="J6" i="2"/>
  <c r="J24" i="2" s="1"/>
  <c r="I24" i="2" l="1"/>
  <c r="G16" i="32"/>
  <c r="Q25" i="15" l="1"/>
  <c r="P25" i="15"/>
  <c r="M9" i="30" l="1"/>
  <c r="N9" i="30" l="1"/>
  <c r="O9" i="30" l="1"/>
  <c r="K15" i="30" l="1"/>
  <c r="L15" i="30"/>
  <c r="K21" i="30" l="1"/>
  <c r="L21" i="30"/>
  <c r="K41" i="30" l="1"/>
  <c r="L41" i="30"/>
  <c r="F43" i="28" l="1"/>
  <c r="F7" i="29" s="1"/>
  <c r="H43" i="28"/>
  <c r="E43" i="28" l="1"/>
  <c r="E7" i="29" s="1"/>
  <c r="E21" i="29" s="1"/>
  <c r="G43" i="28"/>
  <c r="G7" i="29" s="1"/>
  <c r="H7" i="29"/>
  <c r="H7" i="32"/>
  <c r="H20" i="32" s="1"/>
  <c r="D43" i="28"/>
  <c r="D7" i="29" s="1"/>
  <c r="H21" i="29" l="1"/>
  <c r="C21" i="29"/>
  <c r="D21" i="29"/>
  <c r="G20" i="32"/>
  <c r="G31" i="32" s="1"/>
  <c r="F21" i="29"/>
  <c r="G21" i="29"/>
  <c r="K38" i="30" l="1"/>
  <c r="L38" i="30"/>
  <c r="M12" i="30" l="1"/>
  <c r="D65" i="15"/>
  <c r="F10" i="2"/>
  <c r="E65" i="15"/>
  <c r="G10" i="2"/>
  <c r="L12" i="30"/>
  <c r="K12" i="30"/>
  <c r="O38" i="30"/>
  <c r="O12" i="30" l="1"/>
  <c r="F65" i="15"/>
  <c r="H10" i="2"/>
  <c r="M38" i="30"/>
  <c r="F27" i="2"/>
  <c r="N38" i="30"/>
  <c r="N12" i="30"/>
  <c r="E27" i="2"/>
  <c r="D54" i="2" s="1"/>
  <c r="H65" i="15" l="1"/>
  <c r="J10" i="2"/>
  <c r="J27" i="2" s="1"/>
  <c r="O6" i="30"/>
  <c r="H59" i="15"/>
  <c r="J3" i="2"/>
  <c r="G27" i="2"/>
  <c r="I3" i="2" l="1"/>
  <c r="G65" i="15"/>
  <c r="I10" i="2"/>
  <c r="I27" i="2" s="1"/>
  <c r="I21" i="2" l="1"/>
  <c r="H27" i="2"/>
  <c r="K18" i="30" l="1"/>
  <c r="L18" i="30" l="1"/>
  <c r="M18" i="30" l="1"/>
  <c r="O18" i="30"/>
  <c r="N18" i="30"/>
  <c r="J11" i="2" l="1"/>
  <c r="G66" i="15" l="1"/>
  <c r="I11" i="2"/>
  <c r="H66" i="15"/>
  <c r="E66" i="15"/>
  <c r="G11" i="2"/>
  <c r="F66" i="15"/>
  <c r="H11" i="2"/>
  <c r="G28" i="2" l="1"/>
  <c r="D66" i="15"/>
  <c r="F11" i="2"/>
  <c r="H28" i="2"/>
  <c r="I28" i="2"/>
  <c r="F28" i="2" l="1"/>
  <c r="J28" i="2"/>
  <c r="E28" i="2"/>
  <c r="D55" i="2" s="1"/>
  <c r="G9" i="32" l="1"/>
  <c r="G36" i="28"/>
  <c r="G9" i="29" s="1"/>
  <c r="D9" i="32"/>
  <c r="D36" i="28"/>
  <c r="D9" i="29" s="1"/>
  <c r="E9" i="32"/>
  <c r="E36" i="28"/>
  <c r="E9" i="29" s="1"/>
  <c r="F9" i="32"/>
  <c r="F36" i="28"/>
  <c r="F9" i="29" s="1"/>
  <c r="E22" i="32" l="1"/>
  <c r="E33" i="32" s="1"/>
  <c r="D23" i="29"/>
  <c r="C22" i="32"/>
  <c r="C33" i="32" s="1"/>
  <c r="C23" i="29"/>
  <c r="D22" i="32"/>
  <c r="D33" i="32" s="1"/>
  <c r="F23" i="29"/>
  <c r="E23" i="29"/>
  <c r="F22" i="32"/>
  <c r="F33" i="32" s="1"/>
  <c r="H9" i="32" l="1"/>
  <c r="H22" i="32" s="1"/>
  <c r="H36" i="28"/>
  <c r="H9" i="29" s="1"/>
  <c r="H23" i="29" s="1"/>
  <c r="D10" i="32"/>
  <c r="D10" i="29"/>
  <c r="C23" i="32" l="1"/>
  <c r="C34" i="32" s="1"/>
  <c r="G23" i="29"/>
  <c r="G22" i="32"/>
  <c r="G33" i="32" s="1"/>
  <c r="H5" i="32" l="1"/>
  <c r="H18" i="32" s="1"/>
  <c r="J13" i="2"/>
  <c r="J30" i="2" s="1"/>
  <c r="G68" i="15" l="1"/>
  <c r="G5" i="32"/>
  <c r="G18" i="32" s="1"/>
  <c r="I13" i="2"/>
  <c r="H68" i="15"/>
  <c r="H30" i="2" l="1"/>
  <c r="F18" i="32"/>
  <c r="F29" i="32" s="1"/>
  <c r="G29" i="32"/>
  <c r="I30" i="2"/>
  <c r="D23" i="28" l="1"/>
  <c r="D8" i="29" s="1"/>
  <c r="F23" i="28"/>
  <c r="F8" i="29" s="1"/>
  <c r="E23" i="28"/>
  <c r="E8" i="29" s="1"/>
  <c r="E22" i="29" l="1"/>
  <c r="D22" i="29"/>
  <c r="C22" i="29"/>
  <c r="G23" i="28"/>
  <c r="G8" i="29" s="1"/>
  <c r="F22" i="29" l="1"/>
  <c r="H23" i="28"/>
  <c r="H8" i="29" l="1"/>
  <c r="H22" i="29" s="1"/>
  <c r="H8" i="32"/>
  <c r="H21" i="32" s="1"/>
  <c r="G21" i="32" l="1"/>
  <c r="G32" i="32" s="1"/>
  <c r="G22" i="29"/>
  <c r="K39" i="30" l="1"/>
  <c r="E37" i="30"/>
  <c r="K19" i="30"/>
  <c r="L19" i="30" l="1"/>
  <c r="C76" i="30"/>
  <c r="K37" i="30"/>
  <c r="K17" i="30"/>
  <c r="L39" i="30"/>
  <c r="F37" i="30"/>
  <c r="L37" i="30" l="1"/>
  <c r="D76" i="30"/>
  <c r="L17" i="30"/>
  <c r="M39" i="30" l="1"/>
  <c r="G37" i="30"/>
  <c r="M37" i="30" l="1"/>
  <c r="O39" i="30"/>
  <c r="I37" i="30"/>
  <c r="N39" i="30"/>
  <c r="H37" i="30"/>
  <c r="M19" i="30"/>
  <c r="P37" i="30" l="1"/>
  <c r="E76" i="30" s="1"/>
  <c r="M17" i="30"/>
  <c r="N37" i="30"/>
  <c r="O37" i="30"/>
  <c r="N19" i="30"/>
  <c r="O19" i="30"/>
  <c r="N17" i="30" l="1"/>
  <c r="O17" i="30"/>
  <c r="H30" i="28" l="1"/>
  <c r="H6" i="32" l="1"/>
  <c r="H6" i="29"/>
  <c r="F30" i="28" l="1"/>
  <c r="F6" i="29" s="1"/>
  <c r="F6" i="32"/>
  <c r="E30" i="28"/>
  <c r="E6" i="29" s="1"/>
  <c r="E6" i="32"/>
  <c r="D30" i="28"/>
  <c r="D6" i="29" s="1"/>
  <c r="H20" i="29" s="1"/>
  <c r="D6" i="32"/>
  <c r="H19" i="32" s="1"/>
  <c r="G30" i="28"/>
  <c r="G6" i="29" s="1"/>
  <c r="G6" i="32"/>
  <c r="G19" i="32" s="1"/>
  <c r="F19" i="32" l="1"/>
  <c r="G30" i="32"/>
  <c r="D19" i="32"/>
  <c r="D30" i="32" s="1"/>
  <c r="F20" i="29"/>
  <c r="D20" i="29"/>
  <c r="G20" i="29"/>
  <c r="C19" i="32"/>
  <c r="C30" i="32" s="1"/>
  <c r="E19" i="32"/>
  <c r="E30" i="32" s="1"/>
  <c r="F30" i="32"/>
  <c r="C20" i="29"/>
  <c r="E20" i="29"/>
  <c r="F10" i="32" l="1"/>
  <c r="F50" i="28"/>
  <c r="F10" i="29" s="1"/>
  <c r="E10" i="32" l="1"/>
  <c r="E50" i="28"/>
  <c r="E10" i="29" s="1"/>
  <c r="D24" i="29" l="1"/>
  <c r="E24" i="29"/>
  <c r="D23" i="32"/>
  <c r="D34" i="32" s="1"/>
  <c r="E23" i="32"/>
  <c r="E34" i="32" s="1"/>
  <c r="G10" i="32" l="1"/>
  <c r="G50" i="28"/>
  <c r="G10" i="29" s="1"/>
  <c r="H10" i="32" l="1"/>
  <c r="H23" i="32" s="1"/>
  <c r="H50" i="28"/>
  <c r="H10" i="29" s="1"/>
  <c r="H24" i="29" s="1"/>
  <c r="F24" i="29"/>
  <c r="F23" i="32"/>
  <c r="F34" i="32" s="1"/>
  <c r="G24" i="29" l="1"/>
  <c r="G23" i="32"/>
  <c r="G34" i="32" s="1"/>
  <c r="O24" i="15" l="1"/>
  <c r="P24" i="15"/>
  <c r="Q24" i="15"/>
  <c r="R24" i="15"/>
  <c r="K26" i="30" l="1"/>
  <c r="K44" i="30"/>
  <c r="N44" i="30" l="1"/>
  <c r="L44" i="30"/>
  <c r="O44" i="30"/>
  <c r="M44" i="30" l="1"/>
  <c r="L26" i="30"/>
  <c r="D9" i="1"/>
  <c r="C10" i="28"/>
  <c r="C30" i="15"/>
  <c r="C26" i="1" s="1"/>
  <c r="M5" i="15"/>
  <c r="G64" i="30" l="1"/>
  <c r="C17" i="26"/>
  <c r="M26" i="30"/>
  <c r="P6" i="30"/>
  <c r="K6" i="30" l="1"/>
  <c r="C64" i="30"/>
  <c r="B27" i="26"/>
  <c r="B37" i="26" s="1"/>
  <c r="F3" i="2"/>
  <c r="J21" i="2" s="1"/>
  <c r="D59" i="15"/>
  <c r="M6" i="30"/>
  <c r="N26" i="30"/>
  <c r="F64" i="30"/>
  <c r="N6" i="30"/>
  <c r="E64" i="30"/>
  <c r="H3" i="2"/>
  <c r="G59" i="15"/>
  <c r="O26" i="30"/>
  <c r="H21" i="2" l="1"/>
  <c r="F59" i="15"/>
  <c r="E59" i="15"/>
  <c r="G3" i="2"/>
  <c r="G21" i="2" s="1"/>
  <c r="E21" i="2"/>
  <c r="L6" i="30"/>
  <c r="D64" i="30"/>
  <c r="F21" i="2" l="1"/>
  <c r="D2" i="28" l="1"/>
  <c r="D24" i="15"/>
  <c r="D20" i="1" s="1"/>
  <c r="E3" i="1"/>
  <c r="F3" i="1" l="1"/>
  <c r="E24" i="15"/>
  <c r="E20" i="1" s="1"/>
  <c r="E2" i="28"/>
  <c r="H2" i="28"/>
  <c r="I3" i="1"/>
  <c r="F24" i="15" l="1"/>
  <c r="F20" i="1" s="1"/>
  <c r="G3" i="1"/>
  <c r="F2" i="28"/>
  <c r="D48" i="26"/>
  <c r="D52" i="26" s="1"/>
  <c r="N22" i="15"/>
  <c r="H48" i="26" l="1"/>
  <c r="H52" i="26" s="1"/>
  <c r="G24" i="15"/>
  <c r="G20" i="1" s="1"/>
  <c r="H3" i="1"/>
  <c r="G2" i="28"/>
  <c r="H24" i="15"/>
  <c r="H20" i="1" s="1"/>
  <c r="H10" i="28"/>
  <c r="I9" i="1"/>
  <c r="R5" i="15"/>
  <c r="E48" i="26"/>
  <c r="E52" i="26" s="1"/>
  <c r="O22" i="15"/>
  <c r="H17" i="26" l="1"/>
  <c r="P22" i="15"/>
  <c r="F48" i="26"/>
  <c r="F52" i="26" s="1"/>
  <c r="N5" i="15"/>
  <c r="D30" i="15"/>
  <c r="D26" i="1" s="1"/>
  <c r="D10" i="28"/>
  <c r="E9" i="1"/>
  <c r="E30" i="15" l="1"/>
  <c r="E26" i="1" s="1"/>
  <c r="O5" i="15"/>
  <c r="F9" i="1"/>
  <c r="E10" i="28"/>
  <c r="D17" i="26"/>
  <c r="C27" i="26" s="1"/>
  <c r="G48" i="26"/>
  <c r="G52" i="26" s="1"/>
  <c r="Q22" i="15"/>
  <c r="R22" i="15"/>
  <c r="P5" i="15" l="1"/>
  <c r="F30" i="15"/>
  <c r="F26" i="1" s="1"/>
  <c r="F10" i="28"/>
  <c r="G9" i="1"/>
  <c r="E17" i="26"/>
  <c r="D27" i="26" s="1"/>
  <c r="F17" i="26" l="1"/>
  <c r="E27" i="26" s="1"/>
  <c r="G10" i="28"/>
  <c r="G30" i="15"/>
  <c r="G26" i="1" s="1"/>
  <c r="H9" i="1"/>
  <c r="Q5" i="15"/>
  <c r="H30" i="15"/>
  <c r="H26" i="1" s="1"/>
  <c r="G17" i="26" l="1"/>
  <c r="F27" i="26" l="1"/>
  <c r="G27" i="26"/>
  <c r="B57" i="28" l="1"/>
  <c r="K47" i="30" l="1"/>
  <c r="K45" i="30" l="1"/>
  <c r="M46" i="30"/>
  <c r="L47" i="30"/>
  <c r="K29" i="30"/>
  <c r="E25" i="30"/>
  <c r="C50" i="28"/>
  <c r="C10" i="29" s="1"/>
  <c r="B24" i="29" s="1"/>
  <c r="B37" i="29" s="1"/>
  <c r="N46" i="30" l="1"/>
  <c r="K46" i="30"/>
  <c r="L46" i="30"/>
  <c r="C24" i="29"/>
  <c r="L29" i="30"/>
  <c r="D67" i="30"/>
  <c r="F25" i="30"/>
  <c r="E43" i="30"/>
  <c r="L45" i="30"/>
  <c r="F43" i="30"/>
  <c r="C80" i="30"/>
  <c r="K25" i="30"/>
  <c r="L25" i="30" l="1"/>
  <c r="D80" i="30"/>
  <c r="L43" i="30"/>
  <c r="O46" i="30"/>
  <c r="M45" i="30"/>
  <c r="C77" i="30"/>
  <c r="K43" i="30"/>
  <c r="M29" i="30"/>
  <c r="G25" i="30"/>
  <c r="M47" i="30"/>
  <c r="F14" i="2"/>
  <c r="D69" i="15"/>
  <c r="E54" i="15"/>
  <c r="M25" i="30" l="1"/>
  <c r="D77" i="30"/>
  <c r="E67" i="30"/>
  <c r="N47" i="30"/>
  <c r="G43" i="30"/>
  <c r="N29" i="30"/>
  <c r="F67" i="30"/>
  <c r="H25" i="30"/>
  <c r="K10" i="30"/>
  <c r="N45" i="30"/>
  <c r="H43" i="30"/>
  <c r="C11" i="28"/>
  <c r="C15" i="28" s="1"/>
  <c r="C4" i="29" s="1"/>
  <c r="M6" i="15"/>
  <c r="C31" i="15"/>
  <c r="C27" i="1" s="1"/>
  <c r="D10" i="1"/>
  <c r="D16" i="15"/>
  <c r="O45" i="30"/>
  <c r="D70" i="15"/>
  <c r="D5" i="29"/>
  <c r="D13" i="29" s="1"/>
  <c r="C14" i="29" s="1"/>
  <c r="G14" i="2"/>
  <c r="E69" i="15"/>
  <c r="F54" i="15"/>
  <c r="E31" i="2"/>
  <c r="F15" i="2"/>
  <c r="O47" i="30"/>
  <c r="M43" i="30" l="1"/>
  <c r="N25" i="30"/>
  <c r="D58" i="2"/>
  <c r="N43" i="30"/>
  <c r="I43" i="30"/>
  <c r="P43" i="30" s="1"/>
  <c r="L10" i="30"/>
  <c r="O29" i="30"/>
  <c r="G67" i="30"/>
  <c r="I25" i="30"/>
  <c r="P25" i="30" s="1"/>
  <c r="C16" i="28"/>
  <c r="C35" i="15"/>
  <c r="C31" i="1" s="1"/>
  <c r="D55" i="15"/>
  <c r="E16" i="2"/>
  <c r="B18" i="29"/>
  <c r="B31" i="29" s="1"/>
  <c r="C34" i="29"/>
  <c r="C36" i="29"/>
  <c r="C35" i="29"/>
  <c r="C33" i="29"/>
  <c r="C37" i="29"/>
  <c r="F7" i="2"/>
  <c r="D63" i="15"/>
  <c r="C18" i="26"/>
  <c r="D14" i="1"/>
  <c r="H14" i="2"/>
  <c r="F69" i="15"/>
  <c r="G54" i="15"/>
  <c r="E5" i="29"/>
  <c r="E13" i="29" s="1"/>
  <c r="D14" i="29" s="1"/>
  <c r="E70" i="15"/>
  <c r="C19" i="29"/>
  <c r="C32" i="29" s="1"/>
  <c r="E56" i="2"/>
  <c r="F36" i="2"/>
  <c r="F42" i="2" s="1"/>
  <c r="E54" i="2"/>
  <c r="E55" i="2"/>
  <c r="E32" i="2"/>
  <c r="D59" i="2" s="1"/>
  <c r="F18" i="2"/>
  <c r="E57" i="2"/>
  <c r="F31" i="2"/>
  <c r="G15" i="2"/>
  <c r="J14" i="2"/>
  <c r="J31" i="2" s="1"/>
  <c r="I54" i="15"/>
  <c r="E58" i="2" l="1"/>
  <c r="C4" i="26"/>
  <c r="C50" i="1"/>
  <c r="C51" i="1"/>
  <c r="C52" i="1"/>
  <c r="C48" i="1"/>
  <c r="E44" i="2"/>
  <c r="E43" i="2" s="1"/>
  <c r="D52" i="1"/>
  <c r="D36" i="1"/>
  <c r="C49" i="1"/>
  <c r="C53" i="1"/>
  <c r="D51" i="1"/>
  <c r="D48" i="1"/>
  <c r="B28" i="26"/>
  <c r="B38" i="26" s="1"/>
  <c r="E25" i="2"/>
  <c r="E80" i="30"/>
  <c r="O25" i="30"/>
  <c r="G7" i="2"/>
  <c r="E63" i="15"/>
  <c r="E77" i="30"/>
  <c r="O43" i="30"/>
  <c r="D19" i="29"/>
  <c r="H5" i="29"/>
  <c r="F56" i="2"/>
  <c r="F55" i="2"/>
  <c r="G36" i="2"/>
  <c r="G42" i="2" s="1"/>
  <c r="G18" i="2"/>
  <c r="F57" i="2"/>
  <c r="F54" i="2"/>
  <c r="F70" i="15"/>
  <c r="F5" i="29"/>
  <c r="F13" i="29" s="1"/>
  <c r="E14" i="29" s="1"/>
  <c r="J15" i="2"/>
  <c r="J32" i="2" s="1"/>
  <c r="F32" i="2"/>
  <c r="E59" i="2" s="1"/>
  <c r="G31" i="2"/>
  <c r="H15" i="2"/>
  <c r="H19" i="29" l="1"/>
  <c r="H13" i="29"/>
  <c r="F25" i="2"/>
  <c r="B11" i="26"/>
  <c r="G55" i="2"/>
  <c r="G56" i="2"/>
  <c r="H36" i="2"/>
  <c r="H42" i="2" s="1"/>
  <c r="H18" i="2"/>
  <c r="G54" i="2"/>
  <c r="G32" i="2"/>
  <c r="F59" i="2" s="1"/>
  <c r="G57" i="2"/>
  <c r="J18" i="2"/>
  <c r="J36" i="2"/>
  <c r="J42" i="2" s="1"/>
  <c r="E19" i="29"/>
  <c r="F58" i="2"/>
  <c r="I14" i="2"/>
  <c r="G69" i="15"/>
  <c r="H54" i="15"/>
  <c r="H69" i="15"/>
  <c r="H31" i="2" l="1"/>
  <c r="G58" i="2" s="1"/>
  <c r="I15" i="2"/>
  <c r="I31" i="2"/>
  <c r="H58" i="2" s="1"/>
  <c r="G5" i="29"/>
  <c r="G13" i="29" s="1"/>
  <c r="F14" i="29" s="1"/>
  <c r="G70" i="15"/>
  <c r="H70" i="15"/>
  <c r="G14" i="29" l="1"/>
  <c r="I36" i="2"/>
  <c r="I42" i="2" s="1"/>
  <c r="I18" i="2"/>
  <c r="H57" i="2"/>
  <c r="H56" i="2"/>
  <c r="H54" i="2"/>
  <c r="H32" i="2"/>
  <c r="G59" i="2" s="1"/>
  <c r="H55" i="2"/>
  <c r="I32" i="2"/>
  <c r="H59" i="2" s="1"/>
  <c r="F19" i="29"/>
  <c r="G19" i="29"/>
  <c r="D68" i="30" l="1"/>
  <c r="F7" i="1" l="1"/>
  <c r="O9" i="15"/>
  <c r="E6" i="28"/>
  <c r="E51" i="26" l="1"/>
  <c r="E12" i="29"/>
  <c r="E21" i="26"/>
  <c r="K16" i="30" l="1"/>
  <c r="C68" i="30"/>
  <c r="L16" i="30"/>
  <c r="E7" i="1" l="1"/>
  <c r="D6" i="28"/>
  <c r="D28" i="15"/>
  <c r="D24" i="1" s="1"/>
  <c r="N9" i="15"/>
  <c r="E28" i="15"/>
  <c r="E24" i="1" s="1"/>
  <c r="N23" i="15" l="1"/>
  <c r="D51" i="26"/>
  <c r="D12" i="29"/>
  <c r="O23" i="15"/>
  <c r="D21" i="26"/>
  <c r="D26" i="29" l="1"/>
  <c r="C31" i="26"/>
  <c r="D31" i="26"/>
  <c r="O26" i="15"/>
  <c r="D4" i="30" l="1"/>
  <c r="B66" i="30"/>
  <c r="B69" i="30" s="1"/>
  <c r="J8" i="30"/>
  <c r="D47" i="15"/>
  <c r="C61" i="15"/>
  <c r="E5" i="2"/>
  <c r="J4" i="30" l="1"/>
  <c r="K14" i="30"/>
  <c r="E11" i="30"/>
  <c r="D23" i="2"/>
  <c r="E8" i="2"/>
  <c r="D10" i="15"/>
  <c r="D48" i="15" s="1"/>
  <c r="C4" i="28"/>
  <c r="C7" i="28" s="1"/>
  <c r="M7" i="15"/>
  <c r="M10" i="15" s="1"/>
  <c r="C26" i="15"/>
  <c r="C22" i="1" s="1"/>
  <c r="D5" i="1"/>
  <c r="B81" i="30"/>
  <c r="D49" i="30"/>
  <c r="L14" i="30"/>
  <c r="F11" i="30"/>
  <c r="B74" i="30"/>
  <c r="C3" i="29"/>
  <c r="C64" i="15"/>
  <c r="D61" i="15"/>
  <c r="F5" i="2"/>
  <c r="K8" i="30"/>
  <c r="C66" i="30"/>
  <c r="B58" i="30" l="1"/>
  <c r="B57" i="30"/>
  <c r="B56" i="30"/>
  <c r="B55" i="30"/>
  <c r="B53" i="30"/>
  <c r="B54" i="30"/>
  <c r="P10" i="30"/>
  <c r="P3" i="30"/>
  <c r="F23" i="30"/>
  <c r="L11" i="30"/>
  <c r="P30" i="30"/>
  <c r="P22" i="30"/>
  <c r="P24" i="30"/>
  <c r="P36" i="30"/>
  <c r="P42" i="30"/>
  <c r="J49" i="30"/>
  <c r="B59" i="30" s="1"/>
  <c r="K5" i="2"/>
  <c r="K11" i="30"/>
  <c r="E23" i="30"/>
  <c r="E23" i="2"/>
  <c r="D50" i="2" s="1"/>
  <c r="D3" i="30"/>
  <c r="B17" i="29"/>
  <c r="B30" i="29" s="1"/>
  <c r="B82" i="30"/>
  <c r="D50" i="30"/>
  <c r="C2" i="29"/>
  <c r="K8" i="2"/>
  <c r="K7" i="2"/>
  <c r="K6" i="2"/>
  <c r="C48" i="2"/>
  <c r="C49" i="2"/>
  <c r="E17" i="2"/>
  <c r="K3" i="2"/>
  <c r="C51" i="2"/>
  <c r="D26" i="2"/>
  <c r="C53" i="2" s="1"/>
  <c r="K4" i="2"/>
  <c r="C50" i="2"/>
  <c r="E35" i="2"/>
  <c r="E38" i="2" s="1"/>
  <c r="D51" i="2"/>
  <c r="D48" i="2"/>
  <c r="E61" i="15"/>
  <c r="G5" i="2"/>
  <c r="B78" i="30"/>
  <c r="C19" i="26"/>
  <c r="D8" i="1"/>
  <c r="C8" i="28"/>
  <c r="C29" i="15"/>
  <c r="C25" i="1" s="1"/>
  <c r="D17" i="15"/>
  <c r="C36" i="15" s="1"/>
  <c r="L8" i="30"/>
  <c r="D66" i="30"/>
  <c r="F76" i="30" l="1"/>
  <c r="F80" i="30"/>
  <c r="F79" i="30"/>
  <c r="F77" i="30"/>
  <c r="C52" i="2"/>
  <c r="C75" i="30"/>
  <c r="K23" i="30"/>
  <c r="L23" i="30"/>
  <c r="E26" i="15"/>
  <c r="E22" i="1" s="1"/>
  <c r="E40" i="2"/>
  <c r="E39" i="2" s="1"/>
  <c r="C43" i="1"/>
  <c r="C47" i="1"/>
  <c r="C44" i="1"/>
  <c r="C3" i="26"/>
  <c r="C46" i="1"/>
  <c r="C45" i="1"/>
  <c r="C42" i="1"/>
  <c r="D35" i="1"/>
  <c r="D38" i="1" s="1"/>
  <c r="D45" i="1"/>
  <c r="D42" i="1"/>
  <c r="D15" i="1"/>
  <c r="D46" i="1"/>
  <c r="F23" i="2"/>
  <c r="J3" i="30"/>
  <c r="B60" i="30" s="1"/>
  <c r="F61" i="15"/>
  <c r="H5" i="2"/>
  <c r="M14" i="30"/>
  <c r="C32" i="1"/>
  <c r="B29" i="26"/>
  <c r="B39" i="26" s="1"/>
  <c r="C22" i="26"/>
  <c r="M8" i="30"/>
  <c r="E4" i="28"/>
  <c r="F5" i="1"/>
  <c r="E9" i="2"/>
  <c r="B16" i="29"/>
  <c r="B29" i="29" s="1"/>
  <c r="C11" i="29"/>
  <c r="B25" i="29" l="1"/>
  <c r="C33" i="1" s="1"/>
  <c r="D75" i="30"/>
  <c r="F75" i="30" s="1"/>
  <c r="E66" i="30"/>
  <c r="G23" i="2"/>
  <c r="B32" i="26"/>
  <c r="B42" i="26" s="1"/>
  <c r="C40" i="26"/>
  <c r="C37" i="26"/>
  <c r="C41" i="26"/>
  <c r="B10" i="26"/>
  <c r="C5" i="26"/>
  <c r="C6" i="26" s="1"/>
  <c r="G5" i="1"/>
  <c r="F26" i="15"/>
  <c r="F22" i="1" s="1"/>
  <c r="F4" i="28"/>
  <c r="D16" i="1"/>
  <c r="D4" i="28"/>
  <c r="E5" i="1"/>
  <c r="D26" i="15"/>
  <c r="D22" i="1" s="1"/>
  <c r="D44" i="1" s="1"/>
  <c r="C23" i="26" l="1"/>
  <c r="B12" i="26"/>
  <c r="B13" i="26" s="1"/>
  <c r="B33" i="26" l="1"/>
  <c r="E32" i="15" l="1"/>
  <c r="E28" i="1" s="1"/>
  <c r="O7" i="15"/>
  <c r="E12" i="28"/>
  <c r="F11" i="1"/>
  <c r="G11" i="1"/>
  <c r="F12" i="28"/>
  <c r="F32" i="15"/>
  <c r="F28" i="1" s="1"/>
  <c r="P7" i="15"/>
  <c r="N7" i="15"/>
  <c r="D12" i="28"/>
  <c r="E11" i="1"/>
  <c r="D32" i="15"/>
  <c r="D28" i="1" s="1"/>
  <c r="D50" i="1" s="1"/>
  <c r="E19" i="26" l="1"/>
  <c r="D19" i="26"/>
  <c r="F19" i="26"/>
  <c r="E29" i="26" l="1"/>
  <c r="C29" i="26"/>
  <c r="C39" i="26" s="1"/>
  <c r="D29" i="26"/>
  <c r="P8" i="30" l="1"/>
  <c r="J5" i="2" l="1"/>
  <c r="J23" i="2" s="1"/>
  <c r="O8" i="30"/>
  <c r="G61" i="15" l="1"/>
  <c r="I5" i="2"/>
  <c r="I23" i="2" s="1"/>
  <c r="N8" i="30"/>
  <c r="H61" i="15"/>
  <c r="H23" i="2" l="1"/>
  <c r="G26" i="15" l="1"/>
  <c r="G22" i="1" s="1"/>
  <c r="G4" i="28"/>
  <c r="H5" i="1"/>
  <c r="N14" i="30"/>
  <c r="F66" i="30"/>
  <c r="O14" i="30" l="1"/>
  <c r="G66" i="30"/>
  <c r="H26" i="15" l="1"/>
  <c r="H22" i="1" s="1"/>
  <c r="H4" i="28"/>
  <c r="I5" i="1"/>
  <c r="G12" i="28" l="1"/>
  <c r="Q7" i="15"/>
  <c r="H11" i="1"/>
  <c r="G32" i="15"/>
  <c r="G28" i="1" s="1"/>
  <c r="G19" i="26" l="1"/>
  <c r="F29" i="26" s="1"/>
  <c r="R7" i="15" l="1"/>
  <c r="I11" i="1"/>
  <c r="H19" i="26" s="1"/>
  <c r="G29" i="26" s="1"/>
  <c r="H12" i="28"/>
  <c r="H32" i="15"/>
  <c r="H28" i="1" s="1"/>
  <c r="D60" i="15" l="1"/>
  <c r="F4" i="2"/>
  <c r="E47" i="15"/>
  <c r="K7" i="30"/>
  <c r="C65" i="30"/>
  <c r="E22" i="2" l="1"/>
  <c r="D49" i="2" s="1"/>
  <c r="F8" i="2"/>
  <c r="L7" i="30"/>
  <c r="D65" i="30"/>
  <c r="D69" i="30" s="1"/>
  <c r="F4" i="30"/>
  <c r="C74" i="30"/>
  <c r="D64" i="15"/>
  <c r="D3" i="29"/>
  <c r="E60" i="15"/>
  <c r="G4" i="2"/>
  <c r="F47" i="15"/>
  <c r="C17" i="29" l="1"/>
  <c r="C30" i="29" s="1"/>
  <c r="E3" i="30"/>
  <c r="F22" i="2"/>
  <c r="E49" i="2" s="1"/>
  <c r="G8" i="2"/>
  <c r="E64" i="15"/>
  <c r="E3" i="29"/>
  <c r="D74" i="30"/>
  <c r="F74" i="30" s="1"/>
  <c r="C78" i="30"/>
  <c r="D78" i="30" s="1"/>
  <c r="F78" i="30" s="1"/>
  <c r="F35" i="2"/>
  <c r="F38" i="2" s="1"/>
  <c r="E51" i="2"/>
  <c r="E26" i="2"/>
  <c r="D53" i="2" s="1"/>
  <c r="F17" i="2"/>
  <c r="E48" i="2"/>
  <c r="E50" i="2"/>
  <c r="F49" i="30"/>
  <c r="D58" i="30" s="1"/>
  <c r="D56" i="30" l="1"/>
  <c r="D55" i="30"/>
  <c r="D57" i="30"/>
  <c r="D54" i="30"/>
  <c r="H4" i="2"/>
  <c r="F60" i="15"/>
  <c r="D52" i="2"/>
  <c r="D17" i="29"/>
  <c r="F3" i="30"/>
  <c r="F51" i="2"/>
  <c r="G17" i="2"/>
  <c r="G35" i="2"/>
  <c r="G38" i="2" s="1"/>
  <c r="F26" i="2"/>
  <c r="E53" i="2" s="1"/>
  <c r="F48" i="2"/>
  <c r="F50" i="2"/>
  <c r="K3" i="30"/>
  <c r="D25" i="15"/>
  <c r="D21" i="1" s="1"/>
  <c r="D43" i="1" s="1"/>
  <c r="D3" i="28"/>
  <c r="D7" i="28" s="1"/>
  <c r="E4" i="1"/>
  <c r="E10" i="15"/>
  <c r="M7" i="30"/>
  <c r="E65" i="30"/>
  <c r="D2" i="29" l="1"/>
  <c r="E50" i="30"/>
  <c r="G60" i="15"/>
  <c r="I4" i="2"/>
  <c r="L3" i="30"/>
  <c r="D60" i="30" s="1"/>
  <c r="D29" i="15"/>
  <c r="D25" i="1" s="1"/>
  <c r="D47" i="1" s="1"/>
  <c r="D8" i="28"/>
  <c r="E48" i="15"/>
  <c r="E52" i="2"/>
  <c r="P7" i="30"/>
  <c r="F4" i="1"/>
  <c r="E25" i="15"/>
  <c r="E21" i="1" s="1"/>
  <c r="E3" i="28"/>
  <c r="E7" i="28" s="1"/>
  <c r="F10" i="15"/>
  <c r="E8" i="1"/>
  <c r="N7" i="30"/>
  <c r="F65" i="30"/>
  <c r="G22" i="2"/>
  <c r="F49" i="2" s="1"/>
  <c r="I3" i="29" l="1"/>
  <c r="J3" i="29"/>
  <c r="E43" i="1"/>
  <c r="F50" i="30"/>
  <c r="E2" i="29"/>
  <c r="D16" i="29" s="1"/>
  <c r="D29" i="29" s="1"/>
  <c r="O7" i="30"/>
  <c r="G65" i="30"/>
  <c r="H22" i="2"/>
  <c r="H3" i="28"/>
  <c r="I4" i="1"/>
  <c r="E46" i="1"/>
  <c r="E42" i="1"/>
  <c r="E35" i="1"/>
  <c r="E38" i="1" s="1"/>
  <c r="E45" i="1"/>
  <c r="D3" i="26"/>
  <c r="C10" i="26" s="1"/>
  <c r="F40" i="2"/>
  <c r="F39" i="2" s="1"/>
  <c r="E44" i="1"/>
  <c r="F9" i="2"/>
  <c r="F8" i="1"/>
  <c r="E8" i="28"/>
  <c r="E29" i="15"/>
  <c r="E25" i="1" s="1"/>
  <c r="E47" i="1" s="1"/>
  <c r="F48" i="15"/>
  <c r="H60" i="15"/>
  <c r="J4" i="2"/>
  <c r="J22" i="2" s="1"/>
  <c r="C16" i="29"/>
  <c r="C29" i="29" s="1"/>
  <c r="E3" i="26" l="1"/>
  <c r="D10" i="26" s="1"/>
  <c r="F35" i="1"/>
  <c r="F38" i="1" s="1"/>
  <c r="G40" i="2"/>
  <c r="G39" i="2" s="1"/>
  <c r="F45" i="1"/>
  <c r="F42" i="1"/>
  <c r="F44" i="1"/>
  <c r="G9" i="2"/>
  <c r="I22" i="2"/>
  <c r="F3" i="28"/>
  <c r="G4" i="1"/>
  <c r="F25" i="15"/>
  <c r="F21" i="1" s="1"/>
  <c r="F43" i="1" s="1"/>
  <c r="G25" i="15" l="1"/>
  <c r="G21" i="1" s="1"/>
  <c r="G3" i="28"/>
  <c r="H4" i="1"/>
  <c r="H25" i="15"/>
  <c r="H21" i="1" s="1"/>
  <c r="O6" i="15" l="1"/>
  <c r="O10" i="15" s="1"/>
  <c r="F10" i="1"/>
  <c r="E11" i="28"/>
  <c r="F16" i="15"/>
  <c r="E15" i="28" l="1"/>
  <c r="E4" i="29" s="1"/>
  <c r="E18" i="26"/>
  <c r="F14" i="1"/>
  <c r="E16" i="28"/>
  <c r="F55" i="15"/>
  <c r="G16" i="2"/>
  <c r="F17" i="15"/>
  <c r="F36" i="1" l="1"/>
  <c r="E4" i="26"/>
  <c r="F51" i="1"/>
  <c r="G44" i="2"/>
  <c r="G43" i="2" s="1"/>
  <c r="F52" i="1"/>
  <c r="F48" i="1"/>
  <c r="F15" i="1"/>
  <c r="F50" i="1"/>
  <c r="E22" i="26"/>
  <c r="E36" i="29"/>
  <c r="E35" i="29"/>
  <c r="E34" i="29"/>
  <c r="E33" i="29"/>
  <c r="E37" i="29"/>
  <c r="E32" i="29"/>
  <c r="E11" i="29"/>
  <c r="H10" i="1" l="1"/>
  <c r="Q6" i="15"/>
  <c r="Q10" i="15" s="1"/>
  <c r="G31" i="15"/>
  <c r="G27" i="1" s="1"/>
  <c r="G11" i="28"/>
  <c r="G15" i="28" s="1"/>
  <c r="G4" i="29" s="1"/>
  <c r="H16" i="15"/>
  <c r="F16" i="1"/>
  <c r="F11" i="28"/>
  <c r="F15" i="28" s="1"/>
  <c r="F4" i="29" s="1"/>
  <c r="F31" i="15"/>
  <c r="F27" i="1" s="1"/>
  <c r="F49" i="1" s="1"/>
  <c r="G10" i="1"/>
  <c r="P6" i="15"/>
  <c r="P10" i="15" s="1"/>
  <c r="G16" i="15"/>
  <c r="E37" i="26"/>
  <c r="E40" i="26"/>
  <c r="E39" i="26"/>
  <c r="E5" i="26"/>
  <c r="E6" i="26" s="1"/>
  <c r="E23" i="26" l="1"/>
  <c r="F18" i="26"/>
  <c r="E28" i="26" s="1"/>
  <c r="E38" i="26" s="1"/>
  <c r="G14" i="1"/>
  <c r="G16" i="28"/>
  <c r="G35" i="15"/>
  <c r="G31" i="1" s="1"/>
  <c r="H55" i="15"/>
  <c r="I16" i="2"/>
  <c r="G18" i="26"/>
  <c r="H14" i="1"/>
  <c r="F35" i="15"/>
  <c r="F31" i="1" s="1"/>
  <c r="F53" i="1" s="1"/>
  <c r="F16" i="28"/>
  <c r="G55" i="15"/>
  <c r="H16" i="2"/>
  <c r="E18" i="29"/>
  <c r="E31" i="29" s="1"/>
  <c r="F34" i="29"/>
  <c r="F36" i="29"/>
  <c r="F35" i="29"/>
  <c r="F33" i="29"/>
  <c r="F37" i="29"/>
  <c r="F32" i="29"/>
  <c r="F18" i="29"/>
  <c r="F31" i="29" s="1"/>
  <c r="G34" i="29"/>
  <c r="G35" i="29"/>
  <c r="G36" i="29"/>
  <c r="G33" i="29"/>
  <c r="G37" i="29"/>
  <c r="G32" i="29"/>
  <c r="F28" i="26" l="1"/>
  <c r="G4" i="26"/>
  <c r="H51" i="1"/>
  <c r="H36" i="1"/>
  <c r="H52" i="1"/>
  <c r="I44" i="2"/>
  <c r="I43" i="2" s="1"/>
  <c r="H48" i="1"/>
  <c r="H50" i="1"/>
  <c r="R6" i="15"/>
  <c r="R10" i="15" s="1"/>
  <c r="H31" i="15"/>
  <c r="H27" i="1" s="1"/>
  <c r="H49" i="1" s="1"/>
  <c r="H11" i="28"/>
  <c r="H15" i="28" s="1"/>
  <c r="H4" i="29" s="1"/>
  <c r="I10" i="1"/>
  <c r="I16" i="15"/>
  <c r="G49" i="1"/>
  <c r="G53" i="1"/>
  <c r="G51" i="1"/>
  <c r="G52" i="1"/>
  <c r="G36" i="1"/>
  <c r="F4" i="26"/>
  <c r="E11" i="26" s="1"/>
  <c r="H44" i="2"/>
  <c r="H43" i="2" s="1"/>
  <c r="G48" i="1"/>
  <c r="G50" i="1"/>
  <c r="H35" i="15" l="1"/>
  <c r="H31" i="1" s="1"/>
  <c r="H53" i="1" s="1"/>
  <c r="H16" i="28"/>
  <c r="I55" i="15"/>
  <c r="J16" i="2"/>
  <c r="H18" i="26"/>
  <c r="G28" i="26" s="1"/>
  <c r="I14" i="1"/>
  <c r="G18" i="29"/>
  <c r="G31" i="29" s="1"/>
  <c r="F11" i="26"/>
  <c r="J44" i="2" l="1"/>
  <c r="J43" i="2" s="1"/>
  <c r="I36" i="1"/>
  <c r="H4" i="26"/>
  <c r="G11" i="26" s="1"/>
  <c r="J7" i="2" l="1"/>
  <c r="J25" i="2" s="1"/>
  <c r="I47" i="15"/>
  <c r="M10" i="30"/>
  <c r="G4" i="30"/>
  <c r="I4" i="30"/>
  <c r="O10" i="30"/>
  <c r="H7" i="2"/>
  <c r="F63" i="15"/>
  <c r="G47" i="15"/>
  <c r="M4" i="30" l="1"/>
  <c r="F64" i="15"/>
  <c r="F3" i="29"/>
  <c r="N10" i="30"/>
  <c r="H4" i="30"/>
  <c r="G63" i="15"/>
  <c r="I7" i="2"/>
  <c r="I25" i="2" s="1"/>
  <c r="H47" i="15"/>
  <c r="H64" i="15" s="1"/>
  <c r="H3" i="29"/>
  <c r="H17" i="29" s="1"/>
  <c r="E74" i="30" s="1"/>
  <c r="G25" i="2"/>
  <c r="H8" i="2"/>
  <c r="H63" i="15"/>
  <c r="J8" i="2"/>
  <c r="J26" i="2" s="1"/>
  <c r="N4" i="30" l="1"/>
  <c r="O4" i="30"/>
  <c r="J35" i="2"/>
  <c r="J38" i="2" s="1"/>
  <c r="J17" i="2"/>
  <c r="G3" i="29"/>
  <c r="G17" i="29" s="1"/>
  <c r="G64" i="15"/>
  <c r="H17" i="2"/>
  <c r="G26" i="2"/>
  <c r="F53" i="2" s="1"/>
  <c r="G51" i="2"/>
  <c r="H35" i="2"/>
  <c r="H38" i="2" s="1"/>
  <c r="G48" i="2"/>
  <c r="G50" i="2"/>
  <c r="G49" i="2"/>
  <c r="I3" i="30"/>
  <c r="H25" i="2"/>
  <c r="I8" i="2"/>
  <c r="G3" i="30"/>
  <c r="E17" i="29"/>
  <c r="E30" i="29" s="1"/>
  <c r="M3" i="30" l="1"/>
  <c r="F52" i="2"/>
  <c r="I35" i="2"/>
  <c r="I38" i="2" s="1"/>
  <c r="H51" i="2"/>
  <c r="H26" i="2"/>
  <c r="H48" i="2"/>
  <c r="I17" i="2"/>
  <c r="H50" i="2"/>
  <c r="H49" i="2"/>
  <c r="F17" i="29"/>
  <c r="F30" i="29" s="1"/>
  <c r="H3" i="30"/>
  <c r="G30" i="29"/>
  <c r="I26" i="2"/>
  <c r="N3" i="30" l="1"/>
  <c r="H53" i="2"/>
  <c r="H52" i="2"/>
  <c r="O3" i="30"/>
  <c r="G53" i="2"/>
  <c r="G52" i="2"/>
  <c r="G68" i="30" l="1"/>
  <c r="G69" i="30" s="1"/>
  <c r="I11" i="30"/>
  <c r="P11" i="30" s="1"/>
  <c r="M16" i="30" l="1"/>
  <c r="E68" i="30"/>
  <c r="E69" i="30" s="1"/>
  <c r="G11" i="30"/>
  <c r="G7" i="1"/>
  <c r="F28" i="15"/>
  <c r="F24" i="1" s="1"/>
  <c r="F46" i="1" s="1"/>
  <c r="P9" i="15"/>
  <c r="F6" i="28"/>
  <c r="F7" i="28" s="1"/>
  <c r="G10" i="15"/>
  <c r="H51" i="26"/>
  <c r="H12" i="29"/>
  <c r="I7" i="1"/>
  <c r="H6" i="28"/>
  <c r="H7" i="28" s="1"/>
  <c r="R9" i="15"/>
  <c r="I10" i="15"/>
  <c r="I23" i="30"/>
  <c r="P23" i="30" l="1"/>
  <c r="E75" i="30" s="1"/>
  <c r="H26" i="29"/>
  <c r="F51" i="26"/>
  <c r="P23" i="15"/>
  <c r="F29" i="15"/>
  <c r="F25" i="1" s="1"/>
  <c r="F47" i="1" s="1"/>
  <c r="F8" i="28"/>
  <c r="G48" i="15"/>
  <c r="G17" i="15"/>
  <c r="F36" i="15" s="1"/>
  <c r="F21" i="26"/>
  <c r="G8" i="1"/>
  <c r="H2" i="29"/>
  <c r="H16" i="29" s="1"/>
  <c r="I50" i="30"/>
  <c r="G50" i="30"/>
  <c r="F2" i="29"/>
  <c r="M11" i="30"/>
  <c r="G23" i="30"/>
  <c r="I48" i="15"/>
  <c r="H8" i="28"/>
  <c r="I17" i="15"/>
  <c r="H21" i="26"/>
  <c r="I8" i="1"/>
  <c r="I49" i="30"/>
  <c r="N16" i="30"/>
  <c r="F68" i="30"/>
  <c r="F69" i="30" s="1"/>
  <c r="H11" i="30"/>
  <c r="O16" i="30"/>
  <c r="G60" i="30" l="1"/>
  <c r="G57" i="30"/>
  <c r="G58" i="30"/>
  <c r="G53" i="30"/>
  <c r="G55" i="30"/>
  <c r="P26" i="15"/>
  <c r="F12" i="29"/>
  <c r="E26" i="29" s="1"/>
  <c r="E38" i="29" s="1"/>
  <c r="I35" i="1"/>
  <c r="I38" i="1" s="1"/>
  <c r="J40" i="2"/>
  <c r="J39" i="2" s="1"/>
  <c r="J9" i="2"/>
  <c r="H3" i="26"/>
  <c r="I15" i="1"/>
  <c r="M23" i="30"/>
  <c r="G49" i="30"/>
  <c r="E31" i="26"/>
  <c r="E41" i="26" s="1"/>
  <c r="F22" i="26"/>
  <c r="H22" i="26"/>
  <c r="H11" i="29"/>
  <c r="F32" i="1"/>
  <c r="N11" i="30"/>
  <c r="H23" i="30"/>
  <c r="O11" i="30"/>
  <c r="G28" i="15"/>
  <c r="G24" i="1" s="1"/>
  <c r="G46" i="1" s="1"/>
  <c r="Q9" i="15"/>
  <c r="G6" i="28"/>
  <c r="G7" i="28" s="1"/>
  <c r="H50" i="30" s="1"/>
  <c r="H7" i="1"/>
  <c r="H10" i="15"/>
  <c r="H28" i="15"/>
  <c r="H24" i="1" s="1"/>
  <c r="E16" i="29"/>
  <c r="E29" i="29" s="1"/>
  <c r="F11" i="29"/>
  <c r="G51" i="26"/>
  <c r="Q23" i="15"/>
  <c r="G12" i="29"/>
  <c r="R23" i="15"/>
  <c r="G43" i="1"/>
  <c r="G35" i="1"/>
  <c r="G38" i="1" s="1"/>
  <c r="G42" i="1"/>
  <c r="G44" i="1"/>
  <c r="H9" i="2"/>
  <c r="H40" i="2"/>
  <c r="H39" i="2" s="1"/>
  <c r="F3" i="26"/>
  <c r="G45" i="1"/>
  <c r="G15" i="1"/>
  <c r="E60" i="30" l="1"/>
  <c r="E55" i="30"/>
  <c r="E57" i="30"/>
  <c r="E53" i="30"/>
  <c r="E56" i="30"/>
  <c r="E58" i="30"/>
  <c r="E54" i="30"/>
  <c r="F26" i="29"/>
  <c r="F38" i="29" s="1"/>
  <c r="G26" i="29"/>
  <c r="G38" i="29" s="1"/>
  <c r="E25" i="29"/>
  <c r="F33" i="1" s="1"/>
  <c r="G16" i="1"/>
  <c r="G21" i="26"/>
  <c r="H8" i="1"/>
  <c r="H46" i="1" s="1"/>
  <c r="M49" i="30"/>
  <c r="E59" i="30" s="1"/>
  <c r="R26" i="15"/>
  <c r="Q26" i="15"/>
  <c r="G2" i="29"/>
  <c r="F40" i="26"/>
  <c r="F39" i="26"/>
  <c r="F37" i="26"/>
  <c r="F38" i="26"/>
  <c r="E32" i="26"/>
  <c r="E42" i="26" s="1"/>
  <c r="H49" i="30"/>
  <c r="G56" i="30" s="1"/>
  <c r="N23" i="30"/>
  <c r="O23" i="30"/>
  <c r="G54" i="30" s="1"/>
  <c r="I16" i="1"/>
  <c r="E10" i="26"/>
  <c r="F5" i="26"/>
  <c r="F6" i="26" s="1"/>
  <c r="H48" i="15"/>
  <c r="G29" i="15"/>
  <c r="G25" i="1" s="1"/>
  <c r="G47" i="1" s="1"/>
  <c r="G8" i="28"/>
  <c r="H17" i="15"/>
  <c r="H29" i="15"/>
  <c r="H25" i="1" s="1"/>
  <c r="H5" i="26"/>
  <c r="H6" i="26" s="1"/>
  <c r="F56" i="30" l="1"/>
  <c r="F60" i="30"/>
  <c r="F57" i="30"/>
  <c r="F58" i="30"/>
  <c r="F55" i="30"/>
  <c r="F53" i="30"/>
  <c r="F54" i="30"/>
  <c r="H47" i="1"/>
  <c r="F16" i="29"/>
  <c r="F29" i="29" s="1"/>
  <c r="G11" i="29"/>
  <c r="G16" i="29"/>
  <c r="G29" i="29" s="1"/>
  <c r="H44" i="1"/>
  <c r="H42" i="1"/>
  <c r="I40" i="2"/>
  <c r="I39" i="2" s="1"/>
  <c r="I9" i="2"/>
  <c r="H35" i="1"/>
  <c r="H38" i="1" s="1"/>
  <c r="G3" i="26"/>
  <c r="H45" i="1"/>
  <c r="H43" i="1"/>
  <c r="H15" i="1"/>
  <c r="N49" i="30"/>
  <c r="F59" i="30" s="1"/>
  <c r="O49" i="30"/>
  <c r="G59" i="30" s="1"/>
  <c r="H23" i="26"/>
  <c r="G36" i="15"/>
  <c r="H36" i="15"/>
  <c r="E12" i="26"/>
  <c r="E13" i="26" s="1"/>
  <c r="F23" i="26"/>
  <c r="F31" i="26"/>
  <c r="F41" i="26" s="1"/>
  <c r="G22" i="26"/>
  <c r="G31" i="26"/>
  <c r="H29" i="29" l="1"/>
  <c r="G41" i="26"/>
  <c r="H16" i="1"/>
  <c r="H32" i="1"/>
  <c r="G32" i="1"/>
  <c r="F10" i="26"/>
  <c r="G5" i="26"/>
  <c r="G6" i="26" s="1"/>
  <c r="G10" i="26"/>
  <c r="F25" i="29"/>
  <c r="G25" i="29"/>
  <c r="G40" i="26"/>
  <c r="F32" i="26"/>
  <c r="F42" i="26" s="1"/>
  <c r="G37" i="26"/>
  <c r="G39" i="26"/>
  <c r="G38" i="26"/>
  <c r="G32" i="26"/>
  <c r="G42" i="26" s="1"/>
  <c r="E33" i="26"/>
  <c r="G33" i="1" l="1"/>
  <c r="G23" i="26"/>
  <c r="F12" i="26"/>
  <c r="F13" i="26" s="1"/>
  <c r="G12" i="26"/>
  <c r="G13" i="26" s="1"/>
  <c r="H33" i="1"/>
  <c r="F33" i="26" l="1"/>
  <c r="G33" i="26"/>
  <c r="D11" i="28" l="1"/>
  <c r="D15" i="28" s="1"/>
  <c r="D4" i="29" s="1"/>
  <c r="D31" i="15"/>
  <c r="D27" i="1" s="1"/>
  <c r="D49" i="1" s="1"/>
  <c r="E10" i="1"/>
  <c r="N6" i="15"/>
  <c r="N10" i="15" s="1"/>
  <c r="E16" i="15"/>
  <c r="E31" i="15"/>
  <c r="E27" i="1" s="1"/>
  <c r="H18" i="29" l="1"/>
  <c r="D38" i="29"/>
  <c r="I10" i="29"/>
  <c r="I8" i="29"/>
  <c r="I9" i="29"/>
  <c r="I6" i="29"/>
  <c r="I4" i="29"/>
  <c r="I7" i="29"/>
  <c r="I5" i="29"/>
  <c r="D18" i="26"/>
  <c r="E14" i="1"/>
  <c r="D16" i="28"/>
  <c r="D35" i="15"/>
  <c r="D31" i="1" s="1"/>
  <c r="D53" i="1" s="1"/>
  <c r="E55" i="15"/>
  <c r="F16" i="2"/>
  <c r="E17" i="15"/>
  <c r="E35" i="15"/>
  <c r="E31" i="1" s="1"/>
  <c r="D36" i="29"/>
  <c r="H36" i="29" s="1"/>
  <c r="D37" i="29"/>
  <c r="H37" i="29" s="1"/>
  <c r="D33" i="29"/>
  <c r="H33" i="29" s="1"/>
  <c r="D35" i="29"/>
  <c r="H35" i="29" s="1"/>
  <c r="C18" i="29"/>
  <c r="C31" i="29" s="1"/>
  <c r="D34" i="29"/>
  <c r="H34" i="29" s="1"/>
  <c r="D32" i="29"/>
  <c r="H32" i="29" s="1"/>
  <c r="D11" i="29"/>
  <c r="H25" i="29" s="1"/>
  <c r="D30" i="29"/>
  <c r="H30" i="29" s="1"/>
  <c r="D18" i="29"/>
  <c r="D31" i="29" s="1"/>
  <c r="H31" i="29" l="1"/>
  <c r="E53" i="1"/>
  <c r="E52" i="1"/>
  <c r="E36" i="1"/>
  <c r="E51" i="1"/>
  <c r="D4" i="26"/>
  <c r="F44" i="2"/>
  <c r="F43" i="2" s="1"/>
  <c r="E48" i="1"/>
  <c r="E15" i="1"/>
  <c r="E16" i="1" s="1"/>
  <c r="E50" i="1"/>
  <c r="C25" i="29"/>
  <c r="D25" i="29"/>
  <c r="E49" i="1"/>
  <c r="D36" i="15"/>
  <c r="E36" i="15"/>
  <c r="C28" i="26"/>
  <c r="C38" i="26" s="1"/>
  <c r="D22" i="26"/>
  <c r="D28" i="26"/>
  <c r="D38" i="26" l="1"/>
  <c r="E32" i="1"/>
  <c r="E33" i="1" s="1"/>
  <c r="D32" i="1"/>
  <c r="D33" i="1" s="1"/>
  <c r="C11" i="26"/>
  <c r="D5" i="26"/>
  <c r="D6" i="26" s="1"/>
  <c r="D11" i="26"/>
  <c r="D41" i="26"/>
  <c r="C32" i="26"/>
  <c r="C42" i="26" s="1"/>
  <c r="D40" i="26"/>
  <c r="D37" i="26"/>
  <c r="D39" i="26"/>
  <c r="D32" i="26"/>
  <c r="D42" i="26" s="1"/>
  <c r="C12" i="26" l="1"/>
  <c r="C13" i="26" s="1"/>
  <c r="D23" i="26"/>
  <c r="D12" i="26"/>
  <c r="D13" i="26" s="1"/>
  <c r="D33" i="26" l="1"/>
  <c r="C33" i="26"/>
  <c r="E4" i="30"/>
  <c r="C67" i="30"/>
  <c r="C69" i="30" s="1"/>
  <c r="L9" i="30"/>
  <c r="K9" i="30"/>
  <c r="K4" i="30" l="1"/>
  <c r="P4" i="30"/>
  <c r="E81" i="30" s="1"/>
  <c r="E49" i="30"/>
  <c r="C58" i="30" s="1"/>
  <c r="C81" i="30"/>
  <c r="D81" i="30" s="1"/>
  <c r="F81" i="30" s="1"/>
  <c r="L4" i="30"/>
  <c r="D53" i="30" s="1"/>
  <c r="C60" i="30" l="1"/>
  <c r="H60" i="30" s="1"/>
  <c r="C55" i="30"/>
  <c r="H55" i="30" s="1"/>
  <c r="H58" i="30"/>
  <c r="C57" i="30"/>
  <c r="H57" i="30" s="1"/>
  <c r="C53" i="30"/>
  <c r="H53" i="30" s="1"/>
  <c r="C56" i="30"/>
  <c r="H56" i="30" s="1"/>
  <c r="C54" i="30"/>
  <c r="H54" i="30" s="1"/>
  <c r="L49" i="30"/>
  <c r="D59" i="30" s="1"/>
  <c r="P49" i="30"/>
  <c r="C82" i="30"/>
  <c r="G81" i="30" s="1"/>
  <c r="K49" i="30"/>
  <c r="C59" i="30" l="1"/>
  <c r="H59" i="30" s="1"/>
  <c r="E82" i="30"/>
  <c r="E78" i="30"/>
  <c r="D82" i="30"/>
  <c r="F82" i="30" s="1"/>
  <c r="G79" i="30"/>
  <c r="G76" i="30"/>
  <c r="G80" i="30"/>
  <c r="G77" i="30"/>
  <c r="G75" i="30"/>
  <c r="G74" i="30"/>
  <c r="G82" i="30" l="1"/>
  <c r="L26" i="15"/>
  <c r="C50" i="26"/>
  <c r="C52" i="26" s="1"/>
  <c r="N24" i="15"/>
  <c r="C12" i="29"/>
  <c r="C26" i="29" l="1"/>
  <c r="C38" i="29" s="1"/>
  <c r="H38" i="29" s="1"/>
  <c r="B26" i="29"/>
  <c r="B38" i="29" s="1"/>
  <c r="N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K14" authorId="0" shapeId="0" xr:uid="{63E59D06-898C-49AF-A29C-EF84A97A9A25}">
      <text>
        <r>
          <rPr>
            <b/>
            <sz val="9"/>
            <color indexed="81"/>
            <rFont val="Tahoma"/>
            <family val="2"/>
          </rPr>
          <t>Newten Dumanoir:</t>
        </r>
        <r>
          <rPr>
            <sz val="9"/>
            <color indexed="81"/>
            <rFont val="Tahoma"/>
            <family val="2"/>
          </rPr>
          <t xml:space="preserve">
La branche reçoit dont la montant est +</t>
        </r>
      </text>
    </comment>
    <comment ref="K15" authorId="0" shapeId="0" xr:uid="{359C4AD4-7550-45A4-AFA3-32B6228ED679}">
      <text>
        <r>
          <rPr>
            <b/>
            <sz val="9"/>
            <color indexed="81"/>
            <rFont val="Tahoma"/>
            <family val="2"/>
          </rPr>
          <t>Newten Dumanoir:</t>
        </r>
        <r>
          <rPr>
            <sz val="9"/>
            <color indexed="81"/>
            <rFont val="Tahoma"/>
            <family val="2"/>
          </rPr>
          <t xml:space="preserve">
La branche reçoit dont la montant est +</t>
        </r>
      </text>
    </comment>
    <comment ref="K16" authorId="0" shapeId="0" xr:uid="{C32DC3DA-E428-4198-9CF3-E35C78622D20}">
      <text>
        <r>
          <rPr>
            <b/>
            <sz val="9"/>
            <color indexed="81"/>
            <rFont val="Tahoma"/>
            <family val="2"/>
          </rPr>
          <t>Newten Dumanoir:</t>
        </r>
        <r>
          <rPr>
            <sz val="9"/>
            <color indexed="81"/>
            <rFont val="Tahoma"/>
            <family val="2"/>
          </rPr>
          <t xml:space="preserve">
La branche verse jusqu'en 2023 , c'est en </t>
        </r>
        <r>
          <rPr>
            <b/>
            <sz val="9"/>
            <color indexed="81"/>
            <rFont val="Tahoma"/>
            <family val="2"/>
          </rPr>
          <t>charges</t>
        </r>
        <r>
          <rPr>
            <sz val="9"/>
            <color indexed="81"/>
            <rFont val="Tahoma"/>
            <family val="2"/>
          </rPr>
          <t xml:space="preserve"> sont on met en négatif &gt; ligne 54du fichier sous P, onglet Vieillesse
A compter de 2024, elle perçoit, donc c'est en positif ; c'est en produits
&gt; ligne 208 du fichier sous P, onglet Vieillesse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J3" authorId="0" shapeId="0" xr:uid="{B3A8FABD-3087-463C-A0BD-EB5349589300}">
      <text>
        <r>
          <rPr>
            <b/>
            <sz val="9"/>
            <color indexed="81"/>
            <rFont val="Tahoma"/>
            <family val="2"/>
          </rPr>
          <t>Newten Dumanoir:</t>
        </r>
        <r>
          <rPr>
            <sz val="9"/>
            <color indexed="81"/>
            <rFont val="Tahoma"/>
            <family val="2"/>
          </rPr>
          <t xml:space="preserve">
Part des Prestations sociales dans les charges.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B15" authorId="0" shapeId="0" xr:uid="{379256E9-A122-43FC-9D0C-203B39A1B1AA}">
      <text>
        <r>
          <rPr>
            <b/>
            <sz val="9"/>
            <color indexed="81"/>
            <rFont val="Tahoma"/>
            <family val="2"/>
          </rPr>
          <t>Newten Dumanoir:</t>
        </r>
        <r>
          <rPr>
            <sz val="9"/>
            <color indexed="81"/>
            <rFont val="Tahoma"/>
            <family val="2"/>
          </rPr>
          <t xml:space="preserve">
à compter de 2020, la branche vieillesse est déficitaire et perçoit une contribution du RG</t>
        </r>
      </text>
    </comment>
    <comment ref="E32" authorId="0" shapeId="0" xr:uid="{C70007FE-053B-4C61-A0EA-AF3A041DF2FD}">
      <text>
        <r>
          <rPr>
            <b/>
            <sz val="9"/>
            <color indexed="81"/>
            <rFont val="Tahoma"/>
            <family val="2"/>
          </rPr>
          <t>Newten Dumanoir:</t>
        </r>
        <r>
          <rPr>
            <sz val="9"/>
            <color indexed="81"/>
            <rFont val="Tahoma"/>
            <family val="2"/>
          </rPr>
          <t xml:space="preserve">
Absence de données dans fichier sous P</t>
        </r>
      </text>
    </comment>
    <comment ref="F32" authorId="0" shapeId="0" xr:uid="{BE6BFC4F-D963-4DA5-B040-DED292C9CB01}">
      <text>
        <r>
          <rPr>
            <b/>
            <sz val="9"/>
            <color indexed="81"/>
            <rFont val="Tahoma"/>
            <family val="2"/>
          </rPr>
          <t>Newten Dumanoir:</t>
        </r>
        <r>
          <rPr>
            <sz val="9"/>
            <color indexed="81"/>
            <rFont val="Tahoma"/>
            <family val="2"/>
          </rPr>
          <t xml:space="preserve">
Absence de données dans fichier sous P</t>
        </r>
      </text>
    </comment>
    <comment ref="G32" authorId="0" shapeId="0" xr:uid="{A121479C-1D2A-4F93-9037-2D39D037AF68}">
      <text>
        <r>
          <rPr>
            <b/>
            <sz val="9"/>
            <color indexed="81"/>
            <rFont val="Tahoma"/>
            <family val="2"/>
          </rPr>
          <t>Newten Dumanoir:</t>
        </r>
        <r>
          <rPr>
            <sz val="9"/>
            <color indexed="81"/>
            <rFont val="Tahoma"/>
            <family val="2"/>
          </rPr>
          <t xml:space="preserve">
Absence de données dans fichier sous P</t>
        </r>
      </text>
    </comment>
    <comment ref="H32" authorId="0" shapeId="0" xr:uid="{BEF6CA87-4238-49A7-BD21-AFDCD30C64EF}">
      <text>
        <r>
          <rPr>
            <b/>
            <sz val="9"/>
            <color indexed="81"/>
            <rFont val="Tahoma"/>
            <family val="2"/>
          </rPr>
          <t>Newten Dumanoir:</t>
        </r>
        <r>
          <rPr>
            <sz val="9"/>
            <color indexed="81"/>
            <rFont val="Tahoma"/>
            <family val="2"/>
          </rPr>
          <t xml:space="preserve">
Absence de données dans fichier sous P</t>
        </r>
      </text>
    </comment>
    <comment ref="I32" authorId="0" shapeId="0" xr:uid="{676BAF52-B4F1-4AD9-A9B3-CE1006F78BBF}">
      <text>
        <r>
          <rPr>
            <b/>
            <sz val="9"/>
            <color indexed="81"/>
            <rFont val="Tahoma"/>
            <family val="2"/>
          </rPr>
          <t>Newten Dumanoir:</t>
        </r>
        <r>
          <rPr>
            <sz val="9"/>
            <color indexed="81"/>
            <rFont val="Tahoma"/>
            <family val="2"/>
          </rPr>
          <t xml:space="preserve">
Absence de données dans fichier sous P</t>
        </r>
      </text>
    </comment>
  </commentList>
</comments>
</file>

<file path=xl/sharedStrings.xml><?xml version="1.0" encoding="utf-8"?>
<sst xmlns="http://schemas.openxmlformats.org/spreadsheetml/2006/main" count="725" uniqueCount="299">
  <si>
    <t>Evolution</t>
  </si>
  <si>
    <t>Prévisions</t>
  </si>
  <si>
    <t>En millions d'euros</t>
  </si>
  <si>
    <t>Charges maladie</t>
  </si>
  <si>
    <t>Charges vieillesse</t>
  </si>
  <si>
    <t>Charges famille</t>
  </si>
  <si>
    <t xml:space="preserve">Total charges </t>
  </si>
  <si>
    <t>Produits maladie</t>
  </si>
  <si>
    <t>Produits vieillesse</t>
  </si>
  <si>
    <t>Produits famille</t>
  </si>
  <si>
    <t>Total produits</t>
  </si>
  <si>
    <t>SOLDES</t>
  </si>
  <si>
    <t>Prestations maladie</t>
  </si>
  <si>
    <t>Prestations vieillesse</t>
  </si>
  <si>
    <t>Prestations famille</t>
  </si>
  <si>
    <t xml:space="preserve">Total Prestations </t>
  </si>
  <si>
    <t>Cotisations maladie</t>
  </si>
  <si>
    <t>Cotisations vieillesse</t>
  </si>
  <si>
    <t>Cotisations famille</t>
  </si>
  <si>
    <t>Total Cotisations</t>
  </si>
  <si>
    <t>Total charges</t>
  </si>
  <si>
    <t>Poids dans l'ensemble des charges</t>
  </si>
  <si>
    <t>Poids dans l'ensemble des produits</t>
  </si>
  <si>
    <t>Réalisations</t>
  </si>
  <si>
    <t>Tableau 1</t>
  </si>
  <si>
    <t>Tableau 2</t>
  </si>
  <si>
    <t>(montants en millions d’euros)</t>
  </si>
  <si>
    <t>CHARGES</t>
  </si>
  <si>
    <t>PRODUITS</t>
  </si>
  <si>
    <t>Autres charges</t>
  </si>
  <si>
    <t>Autres produits</t>
  </si>
  <si>
    <t>Bénéficiaires - maladie</t>
  </si>
  <si>
    <t>GLOBAL  SALARIES</t>
  </si>
  <si>
    <t>Charges AT</t>
  </si>
  <si>
    <t>Produits AT</t>
  </si>
  <si>
    <t>Prestations AT</t>
  </si>
  <si>
    <t>Cotisations AT</t>
  </si>
  <si>
    <t>GLOBAL SALARIES</t>
  </si>
  <si>
    <t>Régime des SA – Toutes branches</t>
  </si>
  <si>
    <t>RESULTAT NET SA</t>
  </si>
  <si>
    <t>TOTAL CHARGES MAL-MAT-INV-DEC</t>
  </si>
  <si>
    <t>TOTAL CHARGES AT-MP</t>
  </si>
  <si>
    <t>TOTAL CHARGES FAMILLE</t>
  </si>
  <si>
    <t>TOTAL CHARGES RETRAITE</t>
  </si>
  <si>
    <t>TOTAL CHARGES</t>
  </si>
  <si>
    <t>verif</t>
  </si>
  <si>
    <t>TOTAL PRODUITS MAL-MAT-INV-DEC</t>
  </si>
  <si>
    <t>TOTAL PRODUITS AT-MP</t>
  </si>
  <si>
    <t>TOTAL PRODUITS FAMILLE</t>
  </si>
  <si>
    <t>TOTAL PRODUITS RETRAITE</t>
  </si>
  <si>
    <t>TOTAL PRODUITS</t>
  </si>
  <si>
    <t>TOTAL ITAF MAL-MAT-INV-DEC</t>
  </si>
  <si>
    <t>TOTAL ITAF AT-MP</t>
  </si>
  <si>
    <t>TOTAL ITAF FAMILLE</t>
  </si>
  <si>
    <t>TOTAL ITAF RETRAITE</t>
  </si>
  <si>
    <t>TOTAL ITAF</t>
  </si>
  <si>
    <t>TOTAL COMPENSATION MAL-MAT-INV-DEC</t>
  </si>
  <si>
    <t>TOTAL COMPENSATION AT-MP</t>
  </si>
  <si>
    <t>TOTAL COMPENSATION FAMILLE</t>
  </si>
  <si>
    <t>TOTAL COMPENSATION RETRAITE</t>
  </si>
  <si>
    <t>TOTAL COMPENSATION DEMO</t>
  </si>
  <si>
    <t>TOTAL COT PEC ETAT MAL-MAT-INV-DEC</t>
  </si>
  <si>
    <t>TOTAL COT PEC ETAT AT-MP</t>
  </si>
  <si>
    <t>TOTAL COT PEC ETAT FAMILLE</t>
  </si>
  <si>
    <t>TOTAL COT PEC ETAT RETRAITE</t>
  </si>
  <si>
    <t>TOTAL COT PEC</t>
  </si>
  <si>
    <t>TOTAL CSG MAL-MAT-INV-DEC</t>
  </si>
  <si>
    <t>TOTAL CSG AT-MP</t>
  </si>
  <si>
    <t>TOTAL CSG FAMILLE</t>
  </si>
  <si>
    <t>TOTAL CSG RETRAITE</t>
  </si>
  <si>
    <t>TOTAL CSG</t>
  </si>
  <si>
    <t>Charges</t>
  </si>
  <si>
    <t>Dont prestations légales</t>
  </si>
  <si>
    <t>Produit</t>
  </si>
  <si>
    <t>Dont cotisations sociales</t>
  </si>
  <si>
    <t>Dont compensation démographique</t>
  </si>
  <si>
    <t>Dont contribution généralisée</t>
  </si>
  <si>
    <t>Dont impôts et taxes affectées</t>
  </si>
  <si>
    <t>Charges ATEXA</t>
  </si>
  <si>
    <t>Produits ATEXA</t>
  </si>
  <si>
    <t>PRESTATIONS SOCIALES (yc  prest extra,...)</t>
  </si>
  <si>
    <t>Prestations sociales</t>
  </si>
  <si>
    <t>"Maladie-Maternité-Invalidité-Décès"</t>
  </si>
  <si>
    <t>Prestations sociales "AT-MP"</t>
  </si>
  <si>
    <t>Prestations sociales "Famille"</t>
  </si>
  <si>
    <t>Prestations sociales "Vieillesse-Veuvage"</t>
  </si>
  <si>
    <t>CHARGES TECHNIQUES DIVERSES</t>
  </si>
  <si>
    <t>TOTAL CHARGES TECHNIQUES + DIVERSES</t>
  </si>
  <si>
    <t>CHARGES FINANCIERES</t>
  </si>
  <si>
    <t>CHARGES EXCEPTIONNELLES</t>
  </si>
  <si>
    <t>DOTATIONS AUX PROVISIONS</t>
  </si>
  <si>
    <t>CHARGES DE GESTION COURANTE</t>
  </si>
  <si>
    <t>TOTAL DES CHARGES</t>
  </si>
  <si>
    <t>Total</t>
  </si>
  <si>
    <t>Contribution à la croissance</t>
  </si>
  <si>
    <t>REGIME DES SA - TOUTES BRANCHES 
(en million d'euros)</t>
  </si>
  <si>
    <t>Bénéficiaires de pensions d'invalidité</t>
  </si>
  <si>
    <t>VERIF</t>
  </si>
  <si>
    <t>maladie</t>
  </si>
  <si>
    <t>famille</t>
  </si>
  <si>
    <t>retraite</t>
  </si>
  <si>
    <t>Evolution par branche</t>
  </si>
  <si>
    <t>AT</t>
  </si>
  <si>
    <t>Solde par branche</t>
  </si>
  <si>
    <t>Rythme annuel moyen</t>
  </si>
  <si>
    <t>Contribution à la croissance des charges SA</t>
  </si>
  <si>
    <t>Solde maladie</t>
  </si>
  <si>
    <t>Solde AT</t>
  </si>
  <si>
    <t>Solde famille</t>
  </si>
  <si>
    <t>Solde vieillesse</t>
  </si>
  <si>
    <t>Effectifs en moyenne annuelle sauf pour :</t>
  </si>
  <si>
    <t>Les invalides, les actifs cotisants et les familles bénéficiaires</t>
  </si>
  <si>
    <t>Familles bénéficiaires de prestations familiales dans l'année</t>
  </si>
  <si>
    <t>- Personnes protégées en maladie et bénéficiaires d’un avantage retraite : dénombrement en moyenne annuelle </t>
  </si>
  <si>
    <t>- Familles bénéficiaires : dénombrement annuel </t>
  </si>
  <si>
    <t>- Bénéficiaires de pensions d’invalidité : dénombrement au 31 décembre </t>
  </si>
  <si>
    <r>
      <t>- Actifs cotisants vieillesse : dénombrement au  1</t>
    </r>
    <r>
      <rPr>
        <vertAlign val="superscript"/>
        <sz val="8"/>
        <rFont val="Arial"/>
        <family val="2"/>
      </rPr>
      <t>er</t>
    </r>
    <r>
      <rPr>
        <sz val="8"/>
        <rFont val="Arial"/>
        <family val="2"/>
      </rPr>
      <t xml:space="preserve"> juillet  </t>
    </r>
  </si>
  <si>
    <t>VERIF CHARGE</t>
  </si>
  <si>
    <t>MALADIE</t>
  </si>
  <si>
    <t>FAMILLE</t>
  </si>
  <si>
    <t>TOTAL</t>
  </si>
  <si>
    <t>Actifs cotisants vieillesse au 1er juillet</t>
  </si>
  <si>
    <t>&lt;= MAJ avec fichiers sous P</t>
  </si>
  <si>
    <t>TOTAL REPRISES SUR PROV AT-MP</t>
  </si>
  <si>
    <t>TOTAL REPRISES SUR PROV FAMILLE</t>
  </si>
  <si>
    <t>TOTAL REPRISES SUR PROV RETRAITE</t>
  </si>
  <si>
    <t>TOTAL REPRISES SUR PROV</t>
  </si>
  <si>
    <t>TOTAL REPRISES SUR PROV MAL-MAT-INV-DEC</t>
  </si>
  <si>
    <t>Contribution à l'évolution par branche</t>
  </si>
  <si>
    <t>Dont reprises sur provisions</t>
  </si>
  <si>
    <t>Contribution selon la branche à l’évolution du montant total des dépenses SA</t>
  </si>
  <si>
    <t>Contribution selon la branche à l’évolution du montant total des recettes SA</t>
  </si>
  <si>
    <t>Contribution de chaque branche à l’évolution du montant total des prestations SA</t>
  </si>
  <si>
    <t>Contribution de chaque branche à l’évolution du montant total des cotisations sociales SA</t>
  </si>
  <si>
    <t>(après transferts)</t>
  </si>
  <si>
    <t>Dont cotisations prises en charge par l'Etat</t>
  </si>
  <si>
    <t>TOTAL ALLEG GENERAUX MAL-MAT-INV-DEC</t>
  </si>
  <si>
    <t>TOTAL ALLEG GENERAUX AT-MP</t>
  </si>
  <si>
    <t>TOTAL ALLEG GENERAUX FAMILLE</t>
  </si>
  <si>
    <t>TOTAL ALLEG GENERAUX RETRAITE</t>
  </si>
  <si>
    <t>TOTAL ALLEG GENERAUX</t>
  </si>
  <si>
    <t>Transferts d’équilibrage des soldes venant du Régime Général (RG)
(en millions d’euros</t>
  </si>
  <si>
    <t>Maladie</t>
  </si>
  <si>
    <t>Famille</t>
  </si>
  <si>
    <t xml:space="preserve">TOTAL INTEGRATION RG </t>
  </si>
  <si>
    <t>Retraite</t>
  </si>
  <si>
    <t>REGIME DES SA - TOUTES BRANCHES 
(évolution)</t>
  </si>
  <si>
    <t>Bénéficiaires de pensions vieillesse</t>
  </si>
  <si>
    <t xml:space="preserve">VIEILLESSE </t>
  </si>
  <si>
    <t>2023/2022</t>
  </si>
  <si>
    <t>Total dépenses</t>
  </si>
  <si>
    <t>PRESTATIONS légales</t>
  </si>
  <si>
    <t>CHARGES TECHNIQUES</t>
  </si>
  <si>
    <t>prestations légales</t>
  </si>
  <si>
    <t>PL</t>
  </si>
  <si>
    <t>Graphique 2</t>
  </si>
  <si>
    <t>Graphique 3</t>
  </si>
  <si>
    <t>Tableau 4</t>
  </si>
  <si>
    <t>Graphique 4</t>
  </si>
  <si>
    <t>Graphique 5</t>
  </si>
  <si>
    <t>Tableau 6</t>
  </si>
  <si>
    <t>Contriution ev moy</t>
  </si>
  <si>
    <t>Graphique 6</t>
  </si>
  <si>
    <t>Graphique 7</t>
  </si>
  <si>
    <t>Tableau 8</t>
  </si>
  <si>
    <t>Graphique 9</t>
  </si>
  <si>
    <t>Tableau 9</t>
  </si>
  <si>
    <t>2024/2023</t>
  </si>
  <si>
    <t>Tableau 5</t>
  </si>
  <si>
    <t>Tableau 7</t>
  </si>
  <si>
    <t>PRESTATIONS sociales</t>
  </si>
  <si>
    <t>Graphique 1</t>
  </si>
  <si>
    <t xml:space="preserve">Cotisations - Evolution du nombre d’heures de travail par secteur </t>
  </si>
  <si>
    <t>Heures de travail
(en milliers d'heures)</t>
  </si>
  <si>
    <t>Réalisation</t>
  </si>
  <si>
    <t>Production agricole</t>
  </si>
  <si>
    <t>Cdi</t>
  </si>
  <si>
    <t>SOUS TOTAL</t>
  </si>
  <si>
    <t>Transformation</t>
  </si>
  <si>
    <t>Cdd</t>
  </si>
  <si>
    <t>Tertiaire</t>
  </si>
  <si>
    <t>Activités diverses</t>
  </si>
  <si>
    <t>TOTAL HEURES DE TRAVAIL</t>
  </si>
  <si>
    <t xml:space="preserve">Heures de travail </t>
  </si>
  <si>
    <t xml:space="preserve">Rythme annuel moyen </t>
  </si>
  <si>
    <t>Contribution moyenne</t>
  </si>
  <si>
    <t>(en milliers d’heures)</t>
  </si>
  <si>
    <t>Evol 2024</t>
  </si>
  <si>
    <t xml:space="preserve">Cotisations - Evolution du salaire horaire moyen </t>
  </si>
  <si>
    <t>Salaire horaire moyen
(en €)</t>
  </si>
  <si>
    <t>SALAIRE HORAIRE MOYEN</t>
  </si>
  <si>
    <t>Salaire horaire moyen</t>
  </si>
  <si>
    <t>(en €)</t>
  </si>
  <si>
    <t>TOTAL SALAIRE HORAIRE MOYEN</t>
  </si>
  <si>
    <t xml:space="preserve">Cotisations - Evolution de l’assiette des salaires </t>
  </si>
  <si>
    <t>Masse salariale
(en milliers d’euros)</t>
  </si>
  <si>
    <t>TOTAL MASSE SALARIALE</t>
  </si>
  <si>
    <t>Masse salariale</t>
  </si>
  <si>
    <t>(en milliers d'euros)</t>
  </si>
  <si>
    <t>Effectifs</t>
  </si>
  <si>
    <t>TCDC SA (Charges)</t>
  </si>
  <si>
    <t>CHARGES_PRODUITS</t>
  </si>
  <si>
    <t>Prest._cotisa.</t>
  </si>
  <si>
    <t>Tableau 3</t>
  </si>
  <si>
    <t>Résultat Net</t>
  </si>
  <si>
    <t>Soldes</t>
  </si>
  <si>
    <t>Graphique 10</t>
  </si>
  <si>
    <t>2025/2024</t>
  </si>
  <si>
    <t>2025(p)</t>
  </si>
  <si>
    <t>dont CDD</t>
  </si>
  <si>
    <t>dont CDI</t>
  </si>
  <si>
    <t>Evol 2025</t>
  </si>
  <si>
    <t>CDD</t>
  </si>
  <si>
    <t>Prestation légales</t>
  </si>
  <si>
    <t>Montants</t>
  </si>
  <si>
    <t>Part</t>
  </si>
  <si>
    <t>Contribution à évol. moyenne</t>
  </si>
  <si>
    <t>Maladie - Intégration CNAMTS</t>
  </si>
  <si>
    <t>Retraite - Intégration CNAV</t>
  </si>
  <si>
    <t>Famille - Intégration Cnaf</t>
  </si>
  <si>
    <t>Total intégration RG</t>
  </si>
  <si>
    <t>TableauxNote</t>
  </si>
  <si>
    <t>2026/2025</t>
  </si>
  <si>
    <t>2026(p)</t>
  </si>
  <si>
    <t>Evol 2026</t>
  </si>
  <si>
    <t>Prestations sociales SAPSA</t>
  </si>
  <si>
    <t>Charges SASPA</t>
  </si>
  <si>
    <t>Produits SASPA</t>
  </si>
  <si>
    <t>Prestations SASPA</t>
  </si>
  <si>
    <t>Cotsations SASPA</t>
  </si>
  <si>
    <t>Solde SASPA</t>
  </si>
  <si>
    <t>TOTAL CJARGES SASPA</t>
  </si>
  <si>
    <t>TOTAL PRODUITS SASPA</t>
  </si>
  <si>
    <t>TOTAL ITAF SASPA</t>
  </si>
  <si>
    <t>TOTAL COMPENSATION  SASPA</t>
  </si>
  <si>
    <t>TOTAL CDG SASPA</t>
  </si>
  <si>
    <t>TOTAL REPRISES SUR PROV SASPA</t>
  </si>
  <si>
    <t>TOTAL ALLEG GENERAUX SASPA</t>
  </si>
  <si>
    <t>SASPA</t>
  </si>
  <si>
    <t>ProduitsSASPA</t>
  </si>
  <si>
    <t>Cotisations SASPA</t>
  </si>
  <si>
    <t>SASPA - Intégration Cnav</t>
  </si>
  <si>
    <t>Graphique</t>
  </si>
  <si>
    <t>Proportions</t>
  </si>
  <si>
    <t>Evolutions</t>
  </si>
  <si>
    <t>Graphique 8</t>
  </si>
  <si>
    <t>Dont prestations sociales</t>
  </si>
  <si>
    <t>2027/2026</t>
  </si>
  <si>
    <t>2027(p)</t>
  </si>
  <si>
    <t>Cotisations AT (Hors prise en charge)</t>
  </si>
  <si>
    <t>Prévision 2024</t>
  </si>
  <si>
    <t>Prévision 2025</t>
  </si>
  <si>
    <t>Prévision 2026</t>
  </si>
  <si>
    <t>Prévision 2027</t>
  </si>
  <si>
    <t>Prestations sociales "SASPA"</t>
  </si>
  <si>
    <t>Evol 2027</t>
  </si>
  <si>
    <t>Tode</t>
  </si>
  <si>
    <t xml:space="preserve">Cdd </t>
  </si>
  <si>
    <t xml:space="preserve">Cdd  </t>
  </si>
  <si>
    <t>Moyenne</t>
  </si>
  <si>
    <t>graphique 8</t>
  </si>
  <si>
    <t>Contribution du RG</t>
  </si>
  <si>
    <t>Evol 2028</t>
  </si>
  <si>
    <t>2028/2027</t>
  </si>
  <si>
    <t>2028(p)</t>
  </si>
  <si>
    <t>Réalisation 2023</t>
  </si>
  <si>
    <t>Prévision 2028</t>
  </si>
  <si>
    <t>Prévision des montants de dépenses totales et de prestations du régime des salariés agricoles de 2024 à 2028</t>
  </si>
  <si>
    <t>Prévision des montants de recettes totales et de cotisations sociales du régime des salariés agricoles de 2024 à 2028</t>
  </si>
  <si>
    <t>Prestations sociales "SAPSA"</t>
  </si>
  <si>
    <t>Onglet</t>
  </si>
  <si>
    <t>Contribution annuelle moyenne</t>
  </si>
  <si>
    <r>
      <t>CHARG</t>
    </r>
    <r>
      <rPr>
        <b/>
        <sz val="9"/>
        <color theme="1"/>
        <rFont val="Arial"/>
        <family val="2"/>
      </rPr>
      <t>ES TECHNIQUES (yc versements RG</t>
    </r>
    <r>
      <rPr>
        <b/>
        <sz val="9"/>
        <rFont val="Arial"/>
        <family val="2"/>
      </rPr>
      <t>)</t>
    </r>
  </si>
  <si>
    <t>REGIME DES SA - TOUTES BRANCHES - RETRAITE
(en million d'euros)</t>
  </si>
  <si>
    <t>Total produits (yc contrib RG)</t>
  </si>
  <si>
    <t>Index</t>
  </si>
  <si>
    <t xml:space="preserve">Index </t>
  </si>
  <si>
    <t>2029/2028</t>
  </si>
  <si>
    <t>ok</t>
  </si>
  <si>
    <t>2029(p)</t>
  </si>
  <si>
    <t>Prévision 2029</t>
  </si>
  <si>
    <t>Prévision des montants de dépenses totales et de prestations du régime des salariés agricoles de 2024 à 2029</t>
  </si>
  <si>
    <t>Prévision des montants de recettes totales et de cotisations sociales du régime des salariés agricoles de 2024 à 2029</t>
  </si>
  <si>
    <t>Prévisions de résultat net par branche de 2024 à 2029</t>
  </si>
  <si>
    <t>Evol 2029</t>
  </si>
  <si>
    <t>Rythme annuel moyen 2025 -2029</t>
  </si>
  <si>
    <t xml:space="preserve">Direction des Statistiques et de la Science des Données </t>
  </si>
  <si>
    <r>
      <t>Directrice de la publication</t>
    </r>
    <r>
      <rPr>
        <b/>
        <sz val="10"/>
        <color indexed="8"/>
        <rFont val="Arial"/>
        <family val="2"/>
      </rPr>
      <t xml:space="preserve"> </t>
    </r>
    <r>
      <rPr>
        <sz val="10"/>
        <color indexed="8"/>
        <rFont val="Arial"/>
        <family val="2"/>
      </rPr>
      <t>: Nadia JOUBERT</t>
    </r>
  </si>
  <si>
    <t>joubert.nadia@ccmsa.msa.fr</t>
  </si>
  <si>
    <t>Département Synthèse et Valorisation</t>
  </si>
  <si>
    <t>Responsable : David FOUCAUD</t>
  </si>
  <si>
    <t>foucaud.david@ccmsa.msa.fr</t>
  </si>
  <si>
    <t>Service Analyse du financement et prévisions</t>
  </si>
  <si>
    <t>Auteure : Newten DUMANOIR</t>
  </si>
  <si>
    <t>dumanoir.newten@ccmsa.msa.fr</t>
  </si>
  <si>
    <t>Mars 2026</t>
  </si>
  <si>
    <t>Prévisions démographiques et financières</t>
  </si>
  <si>
    <t>du régime des salariés agricoles</t>
  </si>
  <si>
    <t>de 2025 à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</si>
</sst>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0.0"/>
    <numFmt numFmtId="166" formatCode="0.0%"/>
    <numFmt numFmtId="167" formatCode="#,##0.000"/>
    <numFmt numFmtId="168" formatCode="0.0"/>
    <numFmt numFmtId="169" formatCode="\+0.0%;\-0.0%;General"/>
    <numFmt numFmtId="170" formatCode="#,##0.0_ ;\-#,##0.0\ "/>
    <numFmt numFmtId="171" formatCode="\+0.0%;\-0.0%"/>
    <numFmt numFmtId="172" formatCode="_-* #,##0\ _€_-;\-* #,##0\ _€_-;_-* &quot;-&quot;??\ _€_-;_-@_-"/>
    <numFmt numFmtId="173" formatCode="\+0.0;\-0.0"/>
    <numFmt numFmtId="174" formatCode="_-* #,##0.0\ _€_-;\-* #,##0.0\ _€_-;_-* &quot;-&quot;??\ _€_-;_-@_-"/>
    <numFmt numFmtId="175" formatCode="0.0_ ;\-0.0\ "/>
  </numFmts>
  <fonts count="120" x14ac:knownFonts="1">
    <font>
      <sz val="10"/>
      <name val="Arial"/>
    </font>
    <font>
      <sz val="10"/>
      <name val="Arial"/>
      <family val="2"/>
    </font>
    <font>
      <sz val="11"/>
      <name val="Arial"/>
      <family val="2"/>
    </font>
    <font>
      <sz val="10"/>
      <name val="Arial"/>
      <family val="2"/>
    </font>
    <font>
      <sz val="8"/>
      <name val="Arial"/>
      <family val="2"/>
    </font>
    <font>
      <b/>
      <sz val="11"/>
      <name val="Arial"/>
      <family val="2"/>
    </font>
    <font>
      <i/>
      <sz val="10"/>
      <name val="Arial"/>
      <family val="2"/>
    </font>
    <font>
      <u/>
      <sz val="10"/>
      <name val="Arial"/>
      <family val="2"/>
    </font>
    <font>
      <b/>
      <sz val="10"/>
      <name val="Arial"/>
      <family val="2"/>
    </font>
    <font>
      <b/>
      <sz val="9"/>
      <name val="Arial"/>
      <family val="2"/>
    </font>
    <font>
      <sz val="9"/>
      <name val="Arial"/>
      <family val="2"/>
    </font>
    <font>
      <b/>
      <i/>
      <sz val="9"/>
      <name val="Arial"/>
      <family val="2"/>
    </font>
    <font>
      <sz val="8"/>
      <name val="Arial"/>
      <family val="2"/>
    </font>
    <font>
      <sz val="9"/>
      <name val="Arial"/>
      <family val="2"/>
    </font>
    <font>
      <sz val="10"/>
      <color indexed="10"/>
      <name val="Arial"/>
      <family val="2"/>
    </font>
    <font>
      <b/>
      <sz val="10"/>
      <color indexed="10"/>
      <name val="Arial"/>
      <family val="2"/>
    </font>
    <font>
      <b/>
      <i/>
      <sz val="8"/>
      <color indexed="10"/>
      <name val="Arial"/>
      <family val="2"/>
    </font>
    <font>
      <b/>
      <i/>
      <sz val="8"/>
      <name val="Arial"/>
      <family val="2"/>
    </font>
    <font>
      <sz val="10"/>
      <color indexed="17"/>
      <name val="Arial"/>
      <family val="2"/>
    </font>
    <font>
      <b/>
      <sz val="10"/>
      <color indexed="17"/>
      <name val="Arial"/>
      <family val="2"/>
    </font>
    <font>
      <sz val="10"/>
      <color indexed="12"/>
      <name val="Arial"/>
      <family val="2"/>
    </font>
    <font>
      <b/>
      <sz val="10"/>
      <color indexed="12"/>
      <name val="Arial"/>
      <family val="2"/>
    </font>
    <font>
      <sz val="10"/>
      <color indexed="14"/>
      <name val="Arial"/>
      <family val="2"/>
    </font>
    <font>
      <b/>
      <sz val="10"/>
      <color indexed="14"/>
      <name val="Arial"/>
      <family val="2"/>
    </font>
    <font>
      <sz val="10"/>
      <color indexed="53"/>
      <name val="Arial"/>
      <family val="2"/>
    </font>
    <font>
      <b/>
      <sz val="10"/>
      <color indexed="53"/>
      <name val="Arial"/>
      <family val="2"/>
    </font>
    <font>
      <i/>
      <sz val="8"/>
      <name val="Arial"/>
      <family val="2"/>
    </font>
    <font>
      <b/>
      <sz val="8"/>
      <name val="Arial"/>
      <family val="2"/>
    </font>
    <font>
      <sz val="10"/>
      <color rgb="FFFF0000"/>
      <name val="Arial"/>
      <family val="2"/>
    </font>
    <font>
      <sz val="11"/>
      <color rgb="FFFF0000"/>
      <name val="Arial"/>
      <family val="2"/>
    </font>
    <font>
      <b/>
      <sz val="9"/>
      <color rgb="FF0070C0"/>
      <name val="Arial"/>
      <family val="2"/>
    </font>
    <font>
      <sz val="10"/>
      <color rgb="FF0070C0"/>
      <name val="Arial"/>
      <family val="2"/>
    </font>
    <font>
      <sz val="9"/>
      <color rgb="FF0070C0"/>
      <name val="Arial"/>
      <family val="2"/>
    </font>
    <font>
      <b/>
      <sz val="10"/>
      <color rgb="FFCC0099"/>
      <name val="Arial"/>
      <family val="2"/>
    </font>
    <font>
      <b/>
      <sz val="8"/>
      <color rgb="FFCC0099"/>
      <name val="Arial"/>
      <family val="2"/>
    </font>
    <font>
      <i/>
      <sz val="8"/>
      <color rgb="FFCC0099"/>
      <name val="Arial"/>
      <family val="2"/>
    </font>
    <font>
      <vertAlign val="superscript"/>
      <sz val="8"/>
      <name val="Arial"/>
      <family val="2"/>
    </font>
    <font>
      <sz val="10"/>
      <color rgb="FFD60093"/>
      <name val="Arial"/>
      <family val="2"/>
    </font>
    <font>
      <b/>
      <sz val="10"/>
      <color rgb="FFD60093"/>
      <name val="Arial"/>
      <family val="2"/>
    </font>
    <font>
      <b/>
      <u/>
      <sz val="9"/>
      <color rgb="FF365F91"/>
      <name val="Arial"/>
      <family val="2"/>
    </font>
    <font>
      <u/>
      <sz val="9"/>
      <color rgb="FF376092"/>
      <name val="Arial"/>
      <family val="2"/>
    </font>
    <font>
      <b/>
      <sz val="8"/>
      <color theme="4" tint="-0.249977111117893"/>
      <name val="Arial"/>
      <family val="2"/>
    </font>
    <font>
      <b/>
      <sz val="10"/>
      <color rgb="FF92D050"/>
      <name val="Arial"/>
      <family val="2"/>
    </font>
    <font>
      <sz val="10"/>
      <color theme="7"/>
      <name val="Arial"/>
      <family val="2"/>
    </font>
    <font>
      <b/>
      <sz val="10"/>
      <color theme="0"/>
      <name val="Arial"/>
      <family val="2"/>
    </font>
    <font>
      <sz val="10"/>
      <color rgb="FF00B050"/>
      <name val="Arial"/>
      <family val="2"/>
    </font>
    <font>
      <sz val="11"/>
      <color rgb="FF00B050"/>
      <name val="Arial"/>
      <family val="2"/>
    </font>
    <font>
      <sz val="9"/>
      <color indexed="81"/>
      <name val="Tahoma"/>
      <family val="2"/>
    </font>
    <font>
      <b/>
      <sz val="9"/>
      <color indexed="81"/>
      <name val="Tahoma"/>
      <family val="2"/>
    </font>
    <font>
      <sz val="10"/>
      <name val="Arial"/>
      <family val="2"/>
    </font>
    <font>
      <b/>
      <u/>
      <sz val="10"/>
      <color rgb="FF365F91"/>
      <name val="Arial"/>
      <family val="2"/>
    </font>
    <font>
      <b/>
      <u/>
      <sz val="8"/>
      <color rgb="FF365F91"/>
      <name val="Arial"/>
      <family val="2"/>
    </font>
    <font>
      <b/>
      <sz val="8"/>
      <color theme="0" tint="-0.14999847407452621"/>
      <name val="Arial"/>
      <family val="2"/>
    </font>
    <font>
      <b/>
      <sz val="9"/>
      <color theme="0"/>
      <name val="Calibri"/>
      <family val="2"/>
      <scheme val="minor"/>
    </font>
    <font>
      <sz val="10"/>
      <color theme="0"/>
      <name val="Calibri"/>
      <family val="2"/>
      <scheme val="minor"/>
    </font>
    <font>
      <sz val="9"/>
      <color theme="0"/>
      <name val="Calibri"/>
      <family val="2"/>
      <scheme val="minor"/>
    </font>
    <font>
      <sz val="9"/>
      <name val="Calibri"/>
      <family val="2"/>
      <scheme val="minor"/>
    </font>
    <font>
      <sz val="9"/>
      <color rgb="FF000000"/>
      <name val="Calibri"/>
      <family val="2"/>
      <scheme val="minor"/>
    </font>
    <font>
      <sz val="10"/>
      <name val="Calibri"/>
      <family val="2"/>
      <scheme val="minor"/>
    </font>
    <font>
      <b/>
      <i/>
      <sz val="9"/>
      <name val="Calibri"/>
      <family val="2"/>
      <scheme val="minor"/>
    </font>
    <font>
      <b/>
      <i/>
      <sz val="9"/>
      <color rgb="FF000000"/>
      <name val="Calibri"/>
      <family val="2"/>
      <scheme val="minor"/>
    </font>
    <font>
      <b/>
      <sz val="9"/>
      <name val="Calibri"/>
      <family val="2"/>
      <scheme val="minor"/>
    </font>
    <font>
      <b/>
      <sz val="10"/>
      <name val="Calibri"/>
      <family val="2"/>
      <scheme val="minor"/>
    </font>
    <font>
      <sz val="9"/>
      <color rgb="FF000000"/>
      <name val="Arial"/>
      <family val="2"/>
    </font>
    <font>
      <b/>
      <i/>
      <sz val="9"/>
      <color rgb="FF000000"/>
      <name val="Arial"/>
      <family val="2"/>
    </font>
    <font>
      <b/>
      <sz val="9"/>
      <color rgb="FF000000"/>
      <name val="Arial"/>
      <family val="2"/>
    </font>
    <font>
      <sz val="9"/>
      <color rgb="FFFF0000"/>
      <name val="Arial"/>
      <family val="2"/>
    </font>
    <font>
      <b/>
      <sz val="9"/>
      <color rgb="FF000000"/>
      <name val="Calibri"/>
      <family val="2"/>
      <scheme val="minor"/>
    </font>
    <font>
      <sz val="10"/>
      <color theme="0"/>
      <name val="Arial"/>
      <family val="2"/>
    </font>
    <font>
      <sz val="11"/>
      <color theme="0"/>
      <name val="Arial"/>
      <family val="2"/>
    </font>
    <font>
      <i/>
      <sz val="10"/>
      <color theme="0"/>
      <name val="Arial"/>
      <family val="2"/>
    </font>
    <font>
      <b/>
      <i/>
      <sz val="10"/>
      <color rgb="FF00B050"/>
      <name val="Arial"/>
      <family val="2"/>
    </font>
    <font>
      <b/>
      <sz val="9"/>
      <color rgb="FFFF0000"/>
      <name val="Arial"/>
      <family val="2"/>
    </font>
    <font>
      <b/>
      <i/>
      <sz val="10"/>
      <color theme="0"/>
      <name val="Arial"/>
      <family val="2"/>
    </font>
    <font>
      <sz val="10"/>
      <color theme="3"/>
      <name val="Arial"/>
      <family val="2"/>
    </font>
    <font>
      <sz val="8"/>
      <color theme="0"/>
      <name val="Arial"/>
      <family val="2"/>
    </font>
    <font>
      <b/>
      <sz val="11"/>
      <color theme="0"/>
      <name val="Arial"/>
      <family val="2"/>
    </font>
    <font>
      <b/>
      <sz val="9"/>
      <color theme="0"/>
      <name val="Arial"/>
      <family val="2"/>
    </font>
    <font>
      <sz val="8"/>
      <color theme="1"/>
      <name val="Arial"/>
      <family val="2"/>
    </font>
    <font>
      <b/>
      <sz val="10"/>
      <color theme="1"/>
      <name val="Arial"/>
      <family val="2"/>
    </font>
    <font>
      <b/>
      <u/>
      <sz val="11"/>
      <name val="Arial"/>
      <family val="2"/>
    </font>
    <font>
      <b/>
      <sz val="8"/>
      <color theme="1"/>
      <name val="Arial"/>
      <family val="2"/>
    </font>
    <font>
      <sz val="10"/>
      <color theme="1"/>
      <name val="Arial"/>
      <family val="2"/>
    </font>
    <font>
      <sz val="9"/>
      <color theme="1"/>
      <name val="Arial"/>
      <family val="2"/>
    </font>
    <font>
      <b/>
      <sz val="9"/>
      <color theme="1"/>
      <name val="Arial"/>
      <family val="2"/>
    </font>
    <font>
      <sz val="9"/>
      <color theme="0"/>
      <name val="Arial"/>
      <family val="2"/>
    </font>
    <font>
      <b/>
      <i/>
      <sz val="9"/>
      <color theme="1"/>
      <name val="Arial"/>
      <family val="2"/>
    </font>
    <font>
      <b/>
      <i/>
      <sz val="8"/>
      <color theme="1"/>
      <name val="Arial"/>
      <family val="2"/>
    </font>
    <font>
      <i/>
      <sz val="8"/>
      <color theme="1"/>
      <name val="Arial"/>
      <family val="2"/>
    </font>
    <font>
      <i/>
      <sz val="11"/>
      <color theme="7" tint="0.79998168889431442"/>
      <name val="Arial"/>
      <family val="2"/>
    </font>
    <font>
      <sz val="8"/>
      <color theme="7" tint="0.79998168889431442"/>
      <name val="Arial"/>
      <family val="2"/>
    </font>
    <font>
      <sz val="11"/>
      <color theme="0" tint="-0.14999847407452621"/>
      <name val="Arial"/>
      <family val="2"/>
    </font>
    <font>
      <sz val="11"/>
      <color theme="0" tint="-4.9989318521683403E-2"/>
      <name val="Arial"/>
      <family val="2"/>
    </font>
    <font>
      <b/>
      <i/>
      <sz val="8"/>
      <color theme="0" tint="-0.14999847407452621"/>
      <name val="Arial"/>
      <family val="2"/>
    </font>
    <font>
      <i/>
      <sz val="10"/>
      <color theme="1"/>
      <name val="Arial"/>
      <family val="2"/>
    </font>
    <font>
      <i/>
      <sz val="8"/>
      <color theme="0"/>
      <name val="Arial"/>
      <family val="2"/>
    </font>
    <font>
      <i/>
      <sz val="8"/>
      <color theme="8" tint="-0.249977111117893"/>
      <name val="Arial"/>
      <family val="2"/>
    </font>
    <font>
      <b/>
      <i/>
      <sz val="8"/>
      <color theme="8" tint="-0.249977111117893"/>
      <name val="Arial"/>
      <family val="2"/>
    </font>
    <font>
      <sz val="10"/>
      <color theme="0" tint="-0.14999847407452621"/>
      <name val="Arial"/>
      <family val="2"/>
    </font>
    <font>
      <b/>
      <sz val="10"/>
      <color theme="0" tint="-0.14999847407452621"/>
      <name val="Arial"/>
      <family val="2"/>
    </font>
    <font>
      <sz val="10"/>
      <color theme="6" tint="-0.499984740745262"/>
      <name val="Arial"/>
      <family val="2"/>
    </font>
    <font>
      <sz val="10"/>
      <color rgb="FFFF00FF"/>
      <name val="Arial"/>
      <family val="2"/>
    </font>
    <font>
      <b/>
      <sz val="10"/>
      <color rgb="FFFF00FF"/>
      <name val="Arial"/>
      <family val="2"/>
    </font>
    <font>
      <sz val="10"/>
      <color rgb="FFFF6600"/>
      <name val="Arial"/>
      <family val="2"/>
    </font>
    <font>
      <sz val="10"/>
      <color rgb="FFCC0099"/>
      <name val="Arial"/>
      <family val="2"/>
    </font>
    <font>
      <sz val="9"/>
      <color theme="1"/>
      <name val="Calibri"/>
      <family val="2"/>
      <scheme val="minor"/>
    </font>
    <font>
      <b/>
      <i/>
      <sz val="9"/>
      <color theme="1"/>
      <name val="Calibri"/>
      <family val="2"/>
      <scheme val="minor"/>
    </font>
    <font>
      <b/>
      <sz val="9"/>
      <color theme="1"/>
      <name val="Calibri"/>
      <family val="2"/>
      <scheme val="minor"/>
    </font>
    <font>
      <b/>
      <sz val="10"/>
      <color theme="1"/>
      <name val="Calibri"/>
      <family val="2"/>
      <scheme val="minor"/>
    </font>
    <font>
      <b/>
      <sz val="10"/>
      <color rgb="FFFF0000"/>
      <name val="Arial"/>
      <family val="2"/>
    </font>
    <font>
      <sz val="8"/>
      <color rgb="FFFF0000"/>
      <name val="Arial"/>
      <family val="2"/>
    </font>
    <font>
      <b/>
      <sz val="11"/>
      <color theme="1"/>
      <name val="Calibri"/>
      <family val="2"/>
      <scheme val="minor"/>
    </font>
    <font>
      <u/>
      <sz val="10"/>
      <color theme="10"/>
      <name val="Arial"/>
    </font>
    <font>
      <b/>
      <sz val="14"/>
      <color rgb="FF0070C0"/>
      <name val="Calibri"/>
      <family val="2"/>
      <scheme val="minor"/>
    </font>
    <font>
      <sz val="10"/>
      <color rgb="FF000000"/>
      <name val="Arial"/>
      <family val="2"/>
    </font>
    <font>
      <b/>
      <sz val="10"/>
      <color indexed="8"/>
      <name val="Arial"/>
      <family val="2"/>
    </font>
    <font>
      <sz val="10"/>
      <color indexed="8"/>
      <name val="Arial"/>
      <family val="2"/>
    </font>
    <font>
      <u/>
      <sz val="10"/>
      <color theme="10"/>
      <name val="Arial"/>
      <family val="2"/>
    </font>
    <font>
      <b/>
      <sz val="11"/>
      <color rgb="FF0066CC"/>
      <name val="Arial"/>
      <family val="2"/>
    </font>
    <font>
      <b/>
      <sz val="20"/>
      <color rgb="FF0066CC"/>
      <name val="Calibri"/>
      <family val="2"/>
    </font>
  </fonts>
  <fills count="2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4"/>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bgColor indexed="64"/>
      </patternFill>
    </fill>
    <fill>
      <patternFill patternType="solid">
        <fgColor rgb="FF002060"/>
        <bgColor indexed="64"/>
      </patternFill>
    </fill>
    <fill>
      <patternFill patternType="solid">
        <fgColor theme="8" tint="-0.499984740745262"/>
        <bgColor indexed="64"/>
      </patternFill>
    </fill>
    <fill>
      <patternFill patternType="solid">
        <fgColor rgb="FFFFFFCC"/>
        <bgColor indexed="64"/>
      </patternFill>
    </fill>
    <fill>
      <patternFill patternType="solid">
        <fgColor theme="6" tint="0.59999389629810485"/>
        <bgColor indexed="64"/>
      </patternFill>
    </fill>
  </fills>
  <borders count="148">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medium">
        <color indexed="62"/>
      </left>
      <right style="medium">
        <color indexed="62"/>
      </right>
      <top style="medium">
        <color indexed="62"/>
      </top>
      <bottom/>
      <diagonal/>
    </border>
    <border>
      <left style="medium">
        <color indexed="62"/>
      </left>
      <right style="medium">
        <color indexed="62"/>
      </right>
      <top/>
      <bottom style="medium">
        <color indexed="62"/>
      </bottom>
      <diagonal/>
    </border>
    <border>
      <left/>
      <right style="medium">
        <color indexed="62"/>
      </right>
      <top/>
      <bottom style="medium">
        <color indexed="62"/>
      </bottom>
      <diagonal/>
    </border>
    <border>
      <left/>
      <right style="medium">
        <color indexed="62"/>
      </right>
      <top style="medium">
        <color indexed="62"/>
      </top>
      <bottom style="medium">
        <color indexed="62"/>
      </bottom>
      <diagonal/>
    </border>
    <border>
      <left style="thin">
        <color indexed="64"/>
      </left>
      <right/>
      <top/>
      <bottom/>
      <diagonal/>
    </border>
    <border>
      <left style="thin">
        <color indexed="64"/>
      </left>
      <right style="thin">
        <color indexed="64"/>
      </right>
      <top/>
      <bottom/>
      <diagonal/>
    </border>
    <border>
      <left/>
      <right/>
      <top style="thin">
        <color indexed="64"/>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ck">
        <color rgb="FF808080"/>
      </right>
      <top style="thick">
        <color rgb="FF808080"/>
      </top>
      <bottom style="medium">
        <color rgb="FF808080"/>
      </bottom>
      <diagonal/>
    </border>
    <border>
      <left style="thick">
        <color rgb="FF808080"/>
      </left>
      <right/>
      <top style="thick">
        <color rgb="FF808080"/>
      </top>
      <bottom style="medium">
        <color rgb="FF808080"/>
      </bottom>
      <diagonal/>
    </border>
    <border>
      <left/>
      <right/>
      <top style="thick">
        <color rgb="FF808080"/>
      </top>
      <bottom style="medium">
        <color rgb="FF808080"/>
      </bottom>
      <diagonal/>
    </border>
    <border>
      <left/>
      <right style="thin">
        <color indexed="64"/>
      </right>
      <top/>
      <bottom/>
      <diagonal/>
    </border>
    <border>
      <left/>
      <right style="thick">
        <color rgb="FF808080"/>
      </right>
      <top/>
      <bottom style="medium">
        <color rgb="FF808080"/>
      </bottom>
      <diagonal/>
    </border>
    <border>
      <left style="medium">
        <color rgb="FF808080"/>
      </left>
      <right style="thick">
        <color rgb="FF808080"/>
      </right>
      <top style="medium">
        <color rgb="FF808080"/>
      </top>
      <bottom/>
      <diagonal/>
    </border>
    <border>
      <left/>
      <right style="thick">
        <color rgb="FF808080"/>
      </right>
      <top style="medium">
        <color rgb="FF808080"/>
      </top>
      <bottom/>
      <diagonal/>
    </border>
    <border>
      <left/>
      <right style="thick">
        <color rgb="FF808080"/>
      </right>
      <top/>
      <bottom/>
      <diagonal/>
    </border>
    <border>
      <left style="medium">
        <color rgb="FF808080"/>
      </left>
      <right style="thick">
        <color rgb="FF808080"/>
      </right>
      <top/>
      <bottom/>
      <diagonal/>
    </border>
    <border>
      <left/>
      <right style="medium">
        <color rgb="FF808080"/>
      </right>
      <top/>
      <bottom/>
      <diagonal/>
    </border>
    <border>
      <left style="medium">
        <color rgb="FF808080"/>
      </left>
      <right style="thick">
        <color rgb="FF808080"/>
      </right>
      <top/>
      <bottom style="medium">
        <color rgb="FF808080"/>
      </bottom>
      <diagonal/>
    </border>
    <border>
      <left style="thick">
        <color rgb="FF808080"/>
      </left>
      <right style="thick">
        <color rgb="FF808080"/>
      </right>
      <top style="dotted">
        <color rgb="FF808080"/>
      </top>
      <bottom style="medium">
        <color rgb="FF808080"/>
      </bottom>
      <diagonal/>
    </border>
    <border>
      <left/>
      <right style="thick">
        <color rgb="FF808080"/>
      </right>
      <top style="dotted">
        <color rgb="FF808080"/>
      </top>
      <bottom style="medium">
        <color rgb="FF808080"/>
      </bottom>
      <diagonal/>
    </border>
    <border>
      <left/>
      <right style="thick">
        <color rgb="FF808080"/>
      </right>
      <top style="medium">
        <color rgb="FF808080"/>
      </top>
      <bottom style="thick">
        <color rgb="FF808080"/>
      </bottom>
      <diagonal/>
    </border>
    <border>
      <left style="thick">
        <color rgb="FF365F91"/>
      </left>
      <right/>
      <top style="thick">
        <color rgb="FF365F91"/>
      </top>
      <bottom/>
      <diagonal/>
    </border>
    <border>
      <left/>
      <right style="thick">
        <color rgb="FF365F91"/>
      </right>
      <top style="thick">
        <color rgb="FF365F91"/>
      </top>
      <bottom/>
      <diagonal/>
    </border>
    <border>
      <left style="thick">
        <color rgb="FF365F91"/>
      </left>
      <right/>
      <top style="thick">
        <color rgb="FF365F91"/>
      </top>
      <bottom style="thick">
        <color rgb="FF365F91"/>
      </bottom>
      <diagonal/>
    </border>
    <border>
      <left/>
      <right style="thick">
        <color rgb="FF365F91"/>
      </right>
      <top style="thick">
        <color rgb="FF365F91"/>
      </top>
      <bottom style="thick">
        <color rgb="FF365F91"/>
      </bottom>
      <diagonal/>
    </border>
    <border>
      <left style="thick">
        <color rgb="FF365F91"/>
      </left>
      <right style="thick">
        <color rgb="FF365F91"/>
      </right>
      <top style="thick">
        <color rgb="FF365F91"/>
      </top>
      <bottom/>
      <diagonal/>
    </border>
    <border>
      <left style="thick">
        <color rgb="FF365F91"/>
      </left>
      <right/>
      <top/>
      <bottom style="medium">
        <color rgb="FF808080"/>
      </bottom>
      <diagonal/>
    </border>
    <border>
      <left/>
      <right style="thick">
        <color rgb="FF365F91"/>
      </right>
      <top/>
      <bottom style="medium">
        <color rgb="FF808080"/>
      </bottom>
      <diagonal/>
    </border>
    <border>
      <left style="thick">
        <color rgb="FF365F91"/>
      </left>
      <right/>
      <top style="thick">
        <color rgb="FF365F91"/>
      </top>
      <bottom style="medium">
        <color rgb="FF808080"/>
      </bottom>
      <diagonal/>
    </border>
    <border>
      <left style="thick">
        <color theme="0" tint="-0.34998626667073579"/>
      </left>
      <right style="thick">
        <color rgb="FF365F91"/>
      </right>
      <top style="thick">
        <color rgb="FF365F91"/>
      </top>
      <bottom style="medium">
        <color rgb="FF808080"/>
      </bottom>
      <diagonal/>
    </border>
    <border>
      <left style="thick">
        <color rgb="FF365F91"/>
      </left>
      <right style="thick">
        <color rgb="FF365F91"/>
      </right>
      <top style="thick">
        <color rgb="FF365F91"/>
      </top>
      <bottom style="medium">
        <color rgb="FF808080"/>
      </bottom>
      <diagonal/>
    </border>
    <border>
      <left style="thick">
        <color rgb="FF365F91"/>
      </left>
      <right style="thick">
        <color rgb="FF365F91"/>
      </right>
      <top/>
      <bottom style="medium">
        <color rgb="FF808080"/>
      </bottom>
      <diagonal/>
    </border>
    <border>
      <left style="thick">
        <color rgb="FF365F91"/>
      </left>
      <right style="medium">
        <color rgb="FF808080"/>
      </right>
      <top style="medium">
        <color rgb="FF808080"/>
      </top>
      <bottom/>
      <diagonal/>
    </border>
    <border>
      <left/>
      <right style="thick">
        <color rgb="FF365F91"/>
      </right>
      <top/>
      <bottom/>
      <diagonal/>
    </border>
    <border>
      <left style="thick">
        <color rgb="FF365F91"/>
      </left>
      <right style="thick">
        <color rgb="FF365F91"/>
      </right>
      <top/>
      <bottom/>
      <diagonal/>
    </border>
    <border>
      <left style="thick">
        <color rgb="FF365F91"/>
      </left>
      <right style="medium">
        <color rgb="FF808080"/>
      </right>
      <top/>
      <bottom/>
      <diagonal/>
    </border>
    <border>
      <left style="thick">
        <color rgb="FF365F91"/>
      </left>
      <right style="medium">
        <color rgb="FF808080"/>
      </right>
      <top/>
      <bottom style="medium">
        <color rgb="FF808080"/>
      </bottom>
      <diagonal/>
    </border>
    <border>
      <left style="thick">
        <color rgb="FF365F91"/>
      </left>
      <right style="thick">
        <color rgb="FF365F91"/>
      </right>
      <top style="medium">
        <color theme="0" tint="-0.34998626667073579"/>
      </top>
      <bottom style="medium">
        <color rgb="FF808080"/>
      </bottom>
      <diagonal/>
    </border>
    <border>
      <left style="thick">
        <color rgb="FF365F91"/>
      </left>
      <right style="medium">
        <color rgb="FF808080"/>
      </right>
      <top style="medium">
        <color theme="0" tint="-0.499984740745262"/>
      </top>
      <bottom style="medium">
        <color theme="0" tint="-0.499984740745262"/>
      </bottom>
      <diagonal/>
    </border>
    <border>
      <left/>
      <right style="medium">
        <color rgb="FF808080"/>
      </right>
      <top style="medium">
        <color theme="0" tint="-0.499984740745262"/>
      </top>
      <bottom style="medium">
        <color theme="0" tint="-0.499984740745262"/>
      </bottom>
      <diagonal/>
    </border>
    <border>
      <left/>
      <right style="thick">
        <color rgb="FF365F91"/>
      </right>
      <top style="medium">
        <color theme="0" tint="-0.499984740745262"/>
      </top>
      <bottom style="medium">
        <color theme="0" tint="-0.499984740745262"/>
      </bottom>
      <diagonal/>
    </border>
    <border>
      <left style="thick">
        <color rgb="FF365F91"/>
      </left>
      <right style="thick">
        <color rgb="FF365F91"/>
      </right>
      <top style="medium">
        <color theme="0" tint="-0.499984740745262"/>
      </top>
      <bottom style="medium">
        <color theme="0" tint="-0.499984740745262"/>
      </bottom>
      <diagonal/>
    </border>
    <border>
      <left style="thick">
        <color rgb="FF808080"/>
      </left>
      <right style="thick">
        <color rgb="FF808080"/>
      </right>
      <top style="medium">
        <color rgb="FF808080"/>
      </top>
      <bottom/>
      <diagonal/>
    </border>
    <border>
      <left style="thick">
        <color rgb="FF808080"/>
      </left>
      <right style="thick">
        <color rgb="FF808080"/>
      </right>
      <top/>
      <bottom style="dashed">
        <color rgb="FF808080"/>
      </bottom>
      <diagonal/>
    </border>
    <border>
      <left/>
      <right style="thick">
        <color rgb="FF808080"/>
      </right>
      <top/>
      <bottom style="dashed">
        <color rgb="FF80808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ck">
        <color rgb="FF365F91"/>
      </top>
      <bottom/>
      <diagonal/>
    </border>
    <border>
      <left style="thick">
        <color theme="0" tint="-0.34998626667073579"/>
      </left>
      <right style="thick">
        <color rgb="FF365F91"/>
      </right>
      <top style="medium">
        <color indexed="64"/>
      </top>
      <bottom/>
      <diagonal/>
    </border>
    <border>
      <left style="thick">
        <color theme="0" tint="-0.34998626667073579"/>
      </left>
      <right/>
      <top style="medium">
        <color indexed="64"/>
      </top>
      <bottom/>
      <diagonal/>
    </border>
    <border>
      <left style="thick">
        <color theme="0" tint="-0.34998626667073579"/>
      </left>
      <right style="thick">
        <color rgb="FF365F91"/>
      </right>
      <top/>
      <bottom style="medium">
        <color indexed="64"/>
      </bottom>
      <diagonal/>
    </border>
    <border>
      <left style="thick">
        <color theme="0" tint="-0.34998626667073579"/>
      </left>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rgb="FF365F91"/>
      </right>
      <top style="medium">
        <color indexed="64"/>
      </top>
      <bottom/>
      <diagonal/>
    </border>
    <border>
      <left style="thick">
        <color rgb="FF365F91"/>
      </left>
      <right style="thick">
        <color rgb="FF365F91"/>
      </right>
      <top style="medium">
        <color indexed="64"/>
      </top>
      <bottom/>
      <diagonal/>
    </border>
    <border>
      <left/>
      <right style="medium">
        <color rgb="FF808080"/>
      </right>
      <top style="medium">
        <color indexed="64"/>
      </top>
      <bottom/>
      <diagonal/>
    </border>
    <border>
      <left style="thick">
        <color rgb="FF365F91"/>
      </left>
      <right style="medium">
        <color indexed="64"/>
      </right>
      <top style="medium">
        <color indexed="64"/>
      </top>
      <bottom/>
      <diagonal/>
    </border>
    <border>
      <left style="thick">
        <color rgb="FF365F91"/>
      </left>
      <right style="thick">
        <color rgb="FF365F91"/>
      </right>
      <top/>
      <bottom style="medium">
        <color indexed="64"/>
      </bottom>
      <diagonal/>
    </border>
    <border>
      <left/>
      <right style="medium">
        <color rgb="FF808080"/>
      </right>
      <top/>
      <bottom style="medium">
        <color indexed="64"/>
      </bottom>
      <diagonal/>
    </border>
    <border>
      <left/>
      <right style="thick">
        <color rgb="FF365F91"/>
      </right>
      <top/>
      <bottom style="medium">
        <color indexed="64"/>
      </bottom>
      <diagonal/>
    </border>
    <border>
      <left style="thick">
        <color rgb="FF365F91"/>
      </left>
      <right style="medium">
        <color indexed="64"/>
      </right>
      <top/>
      <bottom style="medium">
        <color indexed="64"/>
      </bottom>
      <diagonal/>
    </border>
    <border>
      <left style="thin">
        <color indexed="64"/>
      </left>
      <right style="hair">
        <color indexed="64"/>
      </right>
      <top/>
      <bottom/>
      <diagonal/>
    </border>
    <border>
      <left/>
      <right style="thin">
        <color indexed="64"/>
      </right>
      <top style="medium">
        <color indexed="64"/>
      </top>
      <bottom/>
      <diagonal/>
    </border>
    <border>
      <left/>
      <right style="thick">
        <color rgb="FF808080"/>
      </right>
      <top style="medium">
        <color indexed="64"/>
      </top>
      <bottom style="medium">
        <color rgb="FF808080"/>
      </bottom>
      <diagonal/>
    </border>
    <border>
      <left style="thick">
        <color rgb="FF808080"/>
      </left>
      <right/>
      <top style="medium">
        <color indexed="64"/>
      </top>
      <bottom style="medium">
        <color rgb="FF808080"/>
      </bottom>
      <diagonal/>
    </border>
    <border>
      <left/>
      <right/>
      <top style="medium">
        <color indexed="64"/>
      </top>
      <bottom style="medium">
        <color rgb="FF808080"/>
      </bottom>
      <diagonal/>
    </border>
    <border>
      <left/>
      <right style="medium">
        <color indexed="64"/>
      </right>
      <top style="medium">
        <color indexed="64"/>
      </top>
      <bottom style="medium">
        <color rgb="FF808080"/>
      </bottom>
      <diagonal/>
    </border>
    <border>
      <left style="medium">
        <color indexed="64"/>
      </left>
      <right/>
      <top/>
      <bottom style="thin">
        <color indexed="64"/>
      </bottom>
      <diagonal/>
    </border>
    <border>
      <left style="medium">
        <color indexed="64"/>
      </left>
      <right style="thick">
        <color rgb="FF808080"/>
      </right>
      <top style="medium">
        <color rgb="FF808080"/>
      </top>
      <bottom/>
      <diagonal/>
    </border>
    <border>
      <left style="medium">
        <color indexed="64"/>
      </left>
      <right style="thick">
        <color rgb="FF808080"/>
      </right>
      <top/>
      <bottom/>
      <diagonal/>
    </border>
    <border>
      <left style="medium">
        <color indexed="64"/>
      </left>
      <right style="thick">
        <color rgb="FF808080"/>
      </right>
      <top/>
      <bottom style="medium">
        <color rgb="FF808080"/>
      </bottom>
      <diagonal/>
    </border>
    <border>
      <left style="thick">
        <color rgb="FF808080"/>
      </left>
      <right style="thick">
        <color rgb="FF808080"/>
      </right>
      <top style="dotted">
        <color rgb="FF808080"/>
      </top>
      <bottom/>
      <diagonal/>
    </border>
    <border>
      <left/>
      <right style="thick">
        <color rgb="FF808080"/>
      </right>
      <top style="dotted">
        <color rgb="FF808080"/>
      </top>
      <bottom/>
      <diagonal/>
    </border>
    <border>
      <left style="thick">
        <color rgb="FF365F91"/>
      </left>
      <right/>
      <top style="medium">
        <color rgb="FF808080"/>
      </top>
      <bottom/>
      <diagonal/>
    </border>
    <border>
      <left/>
      <right style="thick">
        <color rgb="FF365F91"/>
      </right>
      <top style="medium">
        <color rgb="FF808080"/>
      </top>
      <bottom/>
      <diagonal/>
    </border>
    <border>
      <left style="thin">
        <color indexed="64"/>
      </left>
      <right/>
      <top/>
      <bottom style="medium">
        <color rgb="FF808080"/>
      </bottom>
      <diagonal/>
    </border>
    <border>
      <left style="medium">
        <color rgb="FF808080"/>
      </left>
      <right/>
      <top style="medium">
        <color rgb="FF808080"/>
      </top>
      <bottom style="medium">
        <color rgb="FF808080"/>
      </bottom>
      <diagonal/>
    </border>
    <border>
      <left/>
      <right style="thick">
        <color rgb="FF808080"/>
      </right>
      <top style="medium">
        <color rgb="FF808080"/>
      </top>
      <bottom style="medium">
        <color rgb="FF808080"/>
      </bottom>
      <diagonal/>
    </border>
    <border>
      <left style="thick">
        <color rgb="FF365F91"/>
      </left>
      <right/>
      <top style="medium">
        <color rgb="FF808080"/>
      </top>
      <bottom style="medium">
        <color theme="0" tint="-0.499984740745262"/>
      </bottom>
      <diagonal/>
    </border>
    <border>
      <left/>
      <right style="thick">
        <color rgb="FF365F91"/>
      </right>
      <top style="medium">
        <color rgb="FF808080"/>
      </top>
      <bottom style="medium">
        <color theme="0" tint="-0.499984740745262"/>
      </bottom>
      <diagonal/>
    </border>
    <border>
      <left style="thick">
        <color rgb="FF365F91"/>
      </left>
      <right style="thick">
        <color rgb="FF365F91"/>
      </right>
      <top/>
      <bottom style="medium">
        <color theme="0" tint="-0.499984740745262"/>
      </bottom>
      <diagonal/>
    </border>
    <border>
      <left/>
      <right style="medium">
        <color rgb="FF808080"/>
      </right>
      <top/>
      <bottom style="medium">
        <color theme="0" tint="-0.499984740745262"/>
      </bottom>
      <diagonal/>
    </border>
    <border>
      <left/>
      <right style="thick">
        <color rgb="FF365F91"/>
      </right>
      <top/>
      <bottom style="medium">
        <color theme="0" tint="-0.499984740745262"/>
      </bottom>
      <diagonal/>
    </border>
    <border>
      <left style="medium">
        <color indexed="64"/>
      </left>
      <right/>
      <top style="medium">
        <color indexed="64"/>
      </top>
      <bottom style="medium">
        <color indexed="64"/>
      </bottom>
      <diagonal/>
    </border>
    <border>
      <left/>
      <right style="thick">
        <color rgb="FF808080"/>
      </right>
      <top style="medium">
        <color indexed="64"/>
      </top>
      <bottom style="medium">
        <color indexed="64"/>
      </bottom>
      <diagonal/>
    </border>
    <border>
      <left style="thick">
        <color rgb="FF808080"/>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rgb="FF365F91"/>
      </left>
      <right/>
      <top style="medium">
        <color rgb="FF808080"/>
      </top>
      <bottom style="medium">
        <color indexed="64"/>
      </bottom>
      <diagonal/>
    </border>
    <border>
      <left/>
      <right style="thick">
        <color rgb="FF365F91"/>
      </right>
      <top style="medium">
        <color rgb="FF808080"/>
      </top>
      <bottom style="medium">
        <color indexed="64"/>
      </bottom>
      <diagonal/>
    </border>
    <border>
      <left style="thick">
        <color rgb="FF365F91"/>
      </left>
      <right style="thick">
        <color rgb="FF365F91"/>
      </right>
      <top style="medium">
        <color rgb="FF808080"/>
      </top>
      <bottom style="thin">
        <color indexed="64"/>
      </bottom>
      <diagonal/>
    </border>
    <border>
      <left style="thin">
        <color indexed="64"/>
      </left>
      <right style="thin">
        <color indexed="64"/>
      </right>
      <top style="thin">
        <color indexed="64"/>
      </top>
      <bottom style="thin">
        <color theme="7" tint="-0.249977111117893"/>
      </bottom>
      <diagonal/>
    </border>
    <border>
      <left style="thin">
        <color theme="7" tint="-0.249977111117893"/>
      </left>
      <right/>
      <top style="thin">
        <color theme="7" tint="-0.249977111117893"/>
      </top>
      <bottom style="thin">
        <color indexed="64"/>
      </bottom>
      <diagonal/>
    </border>
    <border>
      <left style="thin">
        <color theme="7" tint="-0.249977111117893"/>
      </left>
      <right/>
      <top style="thin">
        <color indexed="64"/>
      </top>
      <bottom style="thin">
        <color indexed="64"/>
      </bottom>
      <diagonal/>
    </border>
    <border>
      <left style="thin">
        <color theme="7" tint="-0.249977111117893"/>
      </left>
      <right/>
      <top style="thin">
        <color indexed="64"/>
      </top>
      <bottom style="thin">
        <color theme="7" tint="-0.249977111117893"/>
      </bottom>
      <diagonal/>
    </border>
    <border>
      <left style="thin">
        <color theme="7" tint="-0.249977111117893"/>
      </left>
      <right/>
      <top/>
      <bottom style="thin">
        <color theme="7" tint="-0.249977111117893"/>
      </bottom>
      <diagonal/>
    </border>
    <border>
      <left style="thick">
        <color theme="7" tint="-0.249977111117893"/>
      </left>
      <right style="thin">
        <color indexed="64"/>
      </right>
      <top style="thick">
        <color theme="7" tint="-0.249977111117893"/>
      </top>
      <bottom style="thin">
        <color indexed="64"/>
      </bottom>
      <diagonal/>
    </border>
    <border>
      <left style="thin">
        <color indexed="64"/>
      </left>
      <right style="thin">
        <color indexed="64"/>
      </right>
      <top style="thick">
        <color theme="7" tint="-0.249977111117893"/>
      </top>
      <bottom style="thin">
        <color indexed="64"/>
      </bottom>
      <diagonal/>
    </border>
    <border>
      <left style="thin">
        <color indexed="64"/>
      </left>
      <right style="thick">
        <color theme="7" tint="-0.249977111117893"/>
      </right>
      <top style="thick">
        <color theme="7" tint="-0.249977111117893"/>
      </top>
      <bottom style="thin">
        <color indexed="64"/>
      </bottom>
      <diagonal/>
    </border>
    <border>
      <left style="thick">
        <color theme="7" tint="-0.249977111117893"/>
      </left>
      <right style="thin">
        <color indexed="64"/>
      </right>
      <top style="thin">
        <color indexed="64"/>
      </top>
      <bottom style="thin">
        <color indexed="64"/>
      </bottom>
      <diagonal/>
    </border>
    <border>
      <left style="thin">
        <color indexed="64"/>
      </left>
      <right style="thick">
        <color theme="7" tint="-0.249977111117893"/>
      </right>
      <top style="thin">
        <color indexed="64"/>
      </top>
      <bottom style="thin">
        <color indexed="64"/>
      </bottom>
      <diagonal/>
    </border>
    <border>
      <left style="thick">
        <color theme="7" tint="-0.249977111117893"/>
      </left>
      <right style="thin">
        <color indexed="64"/>
      </right>
      <top style="thin">
        <color indexed="64"/>
      </top>
      <bottom style="thin">
        <color theme="7" tint="-0.249977111117893"/>
      </bottom>
      <diagonal/>
    </border>
    <border>
      <left style="thin">
        <color indexed="64"/>
      </left>
      <right style="thick">
        <color theme="7" tint="-0.249977111117893"/>
      </right>
      <top style="thin">
        <color indexed="64"/>
      </top>
      <bottom style="thin">
        <color theme="7" tint="-0.249977111117893"/>
      </bottom>
      <diagonal/>
    </border>
    <border>
      <left style="thick">
        <color theme="7" tint="-0.249977111117893"/>
      </left>
      <right style="thin">
        <color indexed="64"/>
      </right>
      <top/>
      <bottom style="thick">
        <color theme="7" tint="-0.249977111117893"/>
      </bottom>
      <diagonal/>
    </border>
    <border>
      <left style="thin">
        <color indexed="64"/>
      </left>
      <right style="thin">
        <color indexed="64"/>
      </right>
      <top/>
      <bottom style="thick">
        <color theme="7" tint="-0.249977111117893"/>
      </bottom>
      <diagonal/>
    </border>
    <border>
      <left style="thin">
        <color indexed="64"/>
      </left>
      <right style="thick">
        <color theme="7" tint="-0.249977111117893"/>
      </right>
      <top/>
      <bottom style="thick">
        <color theme="7" tint="-0.249977111117893"/>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7">
    <xf numFmtId="0" fontId="0"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164" fontId="49" fillId="0" borderId="0" applyFont="0" applyFill="0" applyBorder="0" applyAlignment="0" applyProtection="0"/>
    <xf numFmtId="9" fontId="1" fillId="0" borderId="0" applyFont="0" applyFill="0" applyBorder="0" applyAlignment="0" applyProtection="0"/>
    <xf numFmtId="0" fontId="112" fillId="0" borderId="0" applyNumberFormat="0" applyFill="0" applyBorder="0" applyAlignment="0" applyProtection="0"/>
  </cellStyleXfs>
  <cellXfs count="716">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Fill="1" applyBorder="1" applyAlignment="1">
      <alignment horizontal="center" vertical="center"/>
    </xf>
    <xf numFmtId="0" fontId="2" fillId="0" borderId="0" xfId="0" applyFont="1"/>
    <xf numFmtId="0" fontId="2" fillId="0" borderId="4" xfId="0" applyFont="1" applyBorder="1" applyAlignment="1">
      <alignment vertical="center"/>
    </xf>
    <xf numFmtId="0" fontId="2"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2" fillId="0" borderId="12" xfId="0" applyFont="1" applyBorder="1" applyAlignment="1">
      <alignment horizontal="center"/>
    </xf>
    <xf numFmtId="0" fontId="5" fillId="0" borderId="0" xfId="0" applyFont="1"/>
    <xf numFmtId="0" fontId="2" fillId="0" borderId="13" xfId="0" applyFont="1" applyBorder="1" applyAlignment="1">
      <alignment horizontal="center"/>
    </xf>
    <xf numFmtId="0" fontId="2" fillId="2" borderId="4" xfId="0" applyFont="1" applyFill="1" applyBorder="1" applyAlignment="1">
      <alignment vertical="center"/>
    </xf>
    <xf numFmtId="0" fontId="2" fillId="2" borderId="5" xfId="0" applyFont="1" applyFill="1" applyBorder="1" applyAlignment="1">
      <alignment vertical="center"/>
    </xf>
    <xf numFmtId="9" fontId="2" fillId="0" borderId="0" xfId="0" applyNumberFormat="1" applyFont="1"/>
    <xf numFmtId="9" fontId="3" fillId="0" borderId="0" xfId="0" applyNumberFormat="1" applyFont="1"/>
    <xf numFmtId="0" fontId="3" fillId="2" borderId="5"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9" fontId="6" fillId="2" borderId="20" xfId="1" applyFont="1" applyFill="1" applyBorder="1" applyAlignment="1">
      <alignment horizontal="right" vertical="center"/>
    </xf>
    <xf numFmtId="0" fontId="6" fillId="0" borderId="0" xfId="0" applyFont="1"/>
    <xf numFmtId="165" fontId="5" fillId="0" borderId="0" xfId="0" applyNumberFormat="1" applyFont="1" applyFill="1" applyBorder="1" applyAlignment="1">
      <alignment horizontal="right" vertical="center" indent="1"/>
    </xf>
    <xf numFmtId="0" fontId="7" fillId="0" borderId="0" xfId="0" applyFont="1"/>
    <xf numFmtId="166" fontId="8" fillId="2" borderId="13" xfId="1" applyNumberFormat="1" applyFont="1" applyFill="1" applyBorder="1"/>
    <xf numFmtId="167" fontId="2" fillId="2" borderId="21" xfId="0" applyNumberFormat="1" applyFont="1" applyFill="1" applyBorder="1" applyAlignment="1">
      <alignment vertical="center"/>
    </xf>
    <xf numFmtId="9" fontId="6" fillId="2" borderId="21" xfId="0" applyNumberFormat="1" applyFont="1" applyFill="1" applyBorder="1" applyAlignment="1">
      <alignment vertical="center"/>
    </xf>
    <xf numFmtId="0" fontId="2" fillId="0" borderId="21" xfId="0" applyFont="1" applyBorder="1" applyAlignment="1">
      <alignment horizontal="center" vertical="center"/>
    </xf>
    <xf numFmtId="0" fontId="2" fillId="0" borderId="21" xfId="0" applyFont="1" applyBorder="1" applyAlignment="1">
      <alignment horizontal="right" vertical="center"/>
    </xf>
    <xf numFmtId="0" fontId="3" fillId="0" borderId="21" xfId="0" applyFont="1" applyBorder="1" applyAlignment="1">
      <alignment vertical="center"/>
    </xf>
    <xf numFmtId="0" fontId="2" fillId="2" borderId="21" xfId="0" applyFont="1" applyFill="1" applyBorder="1" applyAlignment="1">
      <alignment vertical="center"/>
    </xf>
    <xf numFmtId="0" fontId="2" fillId="0" borderId="21" xfId="0" applyNumberFormat="1" applyFont="1" applyFill="1" applyBorder="1" applyAlignment="1">
      <alignment horizontal="center" vertical="center"/>
    </xf>
    <xf numFmtId="0" fontId="2" fillId="0" borderId="21" xfId="0" applyFont="1" applyBorder="1" applyAlignment="1">
      <alignment horizontal="center"/>
    </xf>
    <xf numFmtId="0" fontId="3" fillId="0" borderId="21" xfId="0" applyFont="1" applyBorder="1"/>
    <xf numFmtId="166" fontId="2" fillId="0" borderId="21" xfId="0" applyNumberFormat="1" applyFont="1" applyBorder="1" applyAlignment="1">
      <alignment horizontal="right"/>
    </xf>
    <xf numFmtId="166" fontId="2" fillId="2" borderId="21" xfId="0" applyNumberFormat="1" applyFont="1" applyFill="1" applyBorder="1" applyAlignment="1">
      <alignment horizontal="right"/>
    </xf>
    <xf numFmtId="166" fontId="5" fillId="2" borderId="21" xfId="0" applyNumberFormat="1" applyFont="1" applyFill="1" applyBorder="1" applyAlignment="1">
      <alignment horizontal="right"/>
    </xf>
    <xf numFmtId="165" fontId="3" fillId="0" borderId="15" xfId="0" applyNumberFormat="1" applyFont="1" applyFill="1" applyBorder="1" applyAlignment="1">
      <alignment horizontal="right" vertical="center"/>
    </xf>
    <xf numFmtId="165" fontId="2" fillId="2" borderId="20" xfId="0" applyNumberFormat="1" applyFont="1" applyFill="1" applyBorder="1" applyAlignment="1">
      <alignment horizontal="right" vertical="center"/>
    </xf>
    <xf numFmtId="165" fontId="5" fillId="2" borderId="21" xfId="0" applyNumberFormat="1" applyFont="1" applyFill="1" applyBorder="1" applyAlignment="1">
      <alignment horizontal="right" vertical="center"/>
    </xf>
    <xf numFmtId="165" fontId="2" fillId="0" borderId="0" xfId="0" applyNumberFormat="1" applyFont="1"/>
    <xf numFmtId="165" fontId="2" fillId="0" borderId="21" xfId="0" applyNumberFormat="1" applyFont="1" applyFill="1" applyBorder="1" applyAlignment="1">
      <alignment horizontal="right" vertical="center"/>
    </xf>
    <xf numFmtId="165" fontId="2" fillId="2" borderId="21" xfId="0" applyNumberFormat="1" applyFont="1" applyFill="1" applyBorder="1" applyAlignment="1">
      <alignment horizontal="right" vertical="center"/>
    </xf>
    <xf numFmtId="0" fontId="10" fillId="0" borderId="28" xfId="0" applyFont="1" applyBorder="1"/>
    <xf numFmtId="0" fontId="10" fillId="0" borderId="28" xfId="0" applyFont="1" applyBorder="1" applyAlignment="1">
      <alignment wrapText="1"/>
    </xf>
    <xf numFmtId="165" fontId="10" fillId="0" borderId="29" xfId="0" applyNumberFormat="1" applyFont="1" applyBorder="1"/>
    <xf numFmtId="165" fontId="10" fillId="0" borderId="29" xfId="0" applyNumberFormat="1" applyFont="1" applyBorder="1" applyAlignment="1">
      <alignment wrapText="1"/>
    </xf>
    <xf numFmtId="166" fontId="10" fillId="0" borderId="29" xfId="0" applyNumberFormat="1" applyFont="1" applyBorder="1" applyAlignment="1">
      <alignment horizontal="right" wrapText="1" indent="1"/>
    </xf>
    <xf numFmtId="166" fontId="2" fillId="0" borderId="0" xfId="0" applyNumberFormat="1" applyFont="1"/>
    <xf numFmtId="166" fontId="3" fillId="0" borderId="0" xfId="0" applyNumberFormat="1" applyFont="1"/>
    <xf numFmtId="0" fontId="13" fillId="0" borderId="0" xfId="0" applyFont="1"/>
    <xf numFmtId="0" fontId="14" fillId="0" borderId="0" xfId="0" applyFont="1"/>
    <xf numFmtId="0" fontId="15" fillId="0" borderId="0" xfId="0" applyFont="1"/>
    <xf numFmtId="0" fontId="10" fillId="0" borderId="31" xfId="0" applyFont="1" applyFill="1" applyBorder="1"/>
    <xf numFmtId="0" fontId="8"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166" fontId="0" fillId="0" borderId="0" xfId="0" applyNumberFormat="1"/>
    <xf numFmtId="0" fontId="8" fillId="0" borderId="21" xfId="0" applyFont="1" applyBorder="1"/>
    <xf numFmtId="165" fontId="8" fillId="0" borderId="21" xfId="0" applyNumberFormat="1" applyFont="1" applyBorder="1"/>
    <xf numFmtId="0" fontId="4" fillId="0" borderId="21" xfId="0" applyFont="1" applyBorder="1" applyAlignment="1">
      <alignment horizontal="left" indent="2"/>
    </xf>
    <xf numFmtId="165" fontId="4" fillId="0" borderId="21" xfId="0" applyNumberFormat="1" applyFont="1" applyBorder="1"/>
    <xf numFmtId="0" fontId="8" fillId="0" borderId="21" xfId="0" applyFont="1" applyBorder="1" applyAlignment="1">
      <alignment horizontal="left"/>
    </xf>
    <xf numFmtId="0" fontId="5" fillId="2" borderId="21" xfId="0" applyFont="1" applyFill="1" applyBorder="1" applyAlignment="1">
      <alignment vertical="center"/>
    </xf>
    <xf numFmtId="165" fontId="26" fillId="0" borderId="21" xfId="0" applyNumberFormat="1" applyFont="1" applyFill="1" applyBorder="1" applyAlignment="1">
      <alignment horizontal="center"/>
    </xf>
    <xf numFmtId="0" fontId="9" fillId="0" borderId="31" xfId="0" applyFont="1" applyFill="1" applyBorder="1"/>
    <xf numFmtId="165" fontId="0" fillId="0" borderId="21" xfId="0" applyNumberFormat="1" applyFill="1" applyBorder="1"/>
    <xf numFmtId="166" fontId="27" fillId="0" borderId="21" xfId="0" applyNumberFormat="1" applyFont="1" applyFill="1" applyBorder="1" applyAlignment="1">
      <alignment horizontal="center"/>
    </xf>
    <xf numFmtId="166" fontId="12" fillId="0" borderId="21" xfId="0" applyNumberFormat="1" applyFont="1" applyFill="1" applyBorder="1" applyAlignment="1">
      <alignment horizontal="center"/>
    </xf>
    <xf numFmtId="168" fontId="10" fillId="0" borderId="21" xfId="0" applyNumberFormat="1" applyFont="1" applyFill="1" applyBorder="1"/>
    <xf numFmtId="10" fontId="10" fillId="0" borderId="21" xfId="0" applyNumberFormat="1" applyFont="1" applyFill="1" applyBorder="1"/>
    <xf numFmtId="168" fontId="9" fillId="0" borderId="21" xfId="0" applyNumberFormat="1" applyFont="1" applyFill="1" applyBorder="1"/>
    <xf numFmtId="0" fontId="0" fillId="0" borderId="21" xfId="0" applyBorder="1"/>
    <xf numFmtId="0" fontId="9" fillId="4" borderId="21" xfId="0" applyFont="1" applyFill="1" applyBorder="1"/>
    <xf numFmtId="168" fontId="0" fillId="0" borderId="21" xfId="0" applyNumberFormat="1" applyBorder="1"/>
    <xf numFmtId="168" fontId="8" fillId="0" borderId="21" xfId="0" applyNumberFormat="1" applyFont="1" applyBorder="1"/>
    <xf numFmtId="165" fontId="16" fillId="0" borderId="0" xfId="0" applyNumberFormat="1" applyFont="1"/>
    <xf numFmtId="165" fontId="14" fillId="0" borderId="0" xfId="0" applyNumberFormat="1" applyFont="1"/>
    <xf numFmtId="165" fontId="15" fillId="0" borderId="0" xfId="0" applyNumberFormat="1" applyFont="1"/>
    <xf numFmtId="165" fontId="0" fillId="0" borderId="0" xfId="0" applyNumberFormat="1"/>
    <xf numFmtId="165" fontId="17" fillId="0" borderId="0" xfId="0" applyNumberFormat="1" applyFont="1"/>
    <xf numFmtId="0" fontId="28" fillId="0" borderId="0" xfId="0" applyFont="1"/>
    <xf numFmtId="0" fontId="29" fillId="0" borderId="0" xfId="0" applyFont="1"/>
    <xf numFmtId="165" fontId="9" fillId="5" borderId="21" xfId="0" applyNumberFormat="1" applyFont="1" applyFill="1" applyBorder="1"/>
    <xf numFmtId="166" fontId="10" fillId="0" borderId="21" xfId="0" applyNumberFormat="1" applyFont="1" applyBorder="1"/>
    <xf numFmtId="166" fontId="9" fillId="5" borderId="21" xfId="0" applyNumberFormat="1" applyFont="1" applyFill="1" applyBorder="1"/>
    <xf numFmtId="168" fontId="10" fillId="0" borderId="21" xfId="0" applyNumberFormat="1" applyFont="1" applyBorder="1"/>
    <xf numFmtId="168" fontId="9" fillId="5" borderId="21" xfId="0" applyNumberFormat="1" applyFont="1" applyFill="1" applyBorder="1"/>
    <xf numFmtId="169" fontId="8" fillId="0" borderId="21" xfId="0" applyNumberFormat="1" applyFont="1" applyBorder="1"/>
    <xf numFmtId="169" fontId="12" fillId="0" borderId="21" xfId="0" applyNumberFormat="1" applyFont="1" applyBorder="1"/>
    <xf numFmtId="165" fontId="31" fillId="0" borderId="21" xfId="0" applyNumberFormat="1" applyFont="1" applyFill="1" applyBorder="1"/>
    <xf numFmtId="168" fontId="32" fillId="0" borderId="21" xfId="0" applyNumberFormat="1" applyFont="1" applyFill="1" applyBorder="1"/>
    <xf numFmtId="10" fontId="32" fillId="0" borderId="21" xfId="0" applyNumberFormat="1" applyFont="1" applyFill="1" applyBorder="1"/>
    <xf numFmtId="168" fontId="30" fillId="0" borderId="21" xfId="0" applyNumberFormat="1" applyFont="1" applyFill="1" applyBorder="1"/>
    <xf numFmtId="0" fontId="31" fillId="0" borderId="0" xfId="0" applyFont="1"/>
    <xf numFmtId="0" fontId="2" fillId="3" borderId="21" xfId="0" applyFont="1" applyFill="1" applyBorder="1" applyAlignment="1">
      <alignment horizontal="center" vertical="center"/>
    </xf>
    <xf numFmtId="0" fontId="35" fillId="0" borderId="0" xfId="0" applyFont="1"/>
    <xf numFmtId="167" fontId="35" fillId="0" borderId="0" xfId="0" applyNumberFormat="1" applyFont="1"/>
    <xf numFmtId="0" fontId="27" fillId="0" borderId="0" xfId="0" applyFont="1" applyFill="1" applyBorder="1" applyAlignment="1">
      <alignment horizontal="right" indent="2"/>
    </xf>
    <xf numFmtId="0" fontId="33" fillId="0" borderId="0" xfId="0" applyFont="1" applyFill="1"/>
    <xf numFmtId="165" fontId="34" fillId="0" borderId="0" xfId="0" applyNumberFormat="1" applyFont="1" applyFill="1"/>
    <xf numFmtId="166" fontId="0" fillId="0" borderId="0" xfId="0" applyNumberFormat="1" applyFill="1"/>
    <xf numFmtId="0" fontId="0" fillId="0" borderId="0" xfId="0" applyFill="1"/>
    <xf numFmtId="0" fontId="4" fillId="0" borderId="0" xfId="0" applyFont="1" applyAlignment="1">
      <alignment horizontal="left" vertical="center"/>
    </xf>
    <xf numFmtId="0" fontId="2" fillId="0" borderId="23" xfId="0" applyFont="1" applyBorder="1" applyAlignment="1">
      <alignment horizontal="center" vertical="center"/>
    </xf>
    <xf numFmtId="0" fontId="37" fillId="0" borderId="0" xfId="0" applyFont="1"/>
    <xf numFmtId="0" fontId="38" fillId="0" borderId="0" xfId="0" applyFont="1"/>
    <xf numFmtId="0" fontId="39" fillId="0" borderId="0" xfId="0" applyFont="1" applyAlignment="1">
      <alignment horizontal="left" vertical="center"/>
    </xf>
    <xf numFmtId="0" fontId="2" fillId="0" borderId="26" xfId="0" applyFont="1" applyBorder="1" applyAlignment="1">
      <alignment horizontal="right" vertical="center"/>
    </xf>
    <xf numFmtId="0" fontId="3" fillId="0" borderId="0" xfId="0" applyFont="1" applyBorder="1" applyAlignment="1">
      <alignment vertical="center"/>
    </xf>
    <xf numFmtId="0" fontId="40" fillId="0" borderId="0" xfId="0" applyFont="1" applyAlignment="1">
      <alignment horizontal="left" vertical="center"/>
    </xf>
    <xf numFmtId="169" fontId="0" fillId="0" borderId="0" xfId="0" applyNumberFormat="1"/>
    <xf numFmtId="168" fontId="0" fillId="0" borderId="0" xfId="0" applyNumberFormat="1"/>
    <xf numFmtId="0" fontId="8" fillId="0" borderId="0" xfId="0" applyFont="1" applyFill="1"/>
    <xf numFmtId="171" fontId="8" fillId="7" borderId="21" xfId="1" applyNumberFormat="1" applyFont="1" applyFill="1" applyBorder="1"/>
    <xf numFmtId="0" fontId="2" fillId="0" borderId="21" xfId="0" applyFont="1" applyBorder="1" applyAlignment="1">
      <alignment horizontal="center"/>
    </xf>
    <xf numFmtId="166" fontId="3" fillId="8" borderId="13" xfId="1" applyNumberFormat="1" applyFont="1" applyFill="1" applyBorder="1"/>
    <xf numFmtId="171" fontId="3" fillId="8" borderId="13" xfId="1" applyNumberFormat="1" applyFont="1" applyFill="1" applyBorder="1"/>
    <xf numFmtId="0" fontId="1" fillId="0" borderId="0" xfId="0" applyFont="1"/>
    <xf numFmtId="166" fontId="0" fillId="0" borderId="0" xfId="1" applyNumberFormat="1" applyFont="1"/>
    <xf numFmtId="166" fontId="12" fillId="0" borderId="21" xfId="1" applyNumberFormat="1" applyFont="1" applyFill="1" applyBorder="1" applyAlignment="1">
      <alignment horizontal="center"/>
    </xf>
    <xf numFmtId="166" fontId="6" fillId="2" borderId="21" xfId="0" applyNumberFormat="1" applyFont="1" applyFill="1" applyBorder="1" applyAlignment="1">
      <alignment vertical="center"/>
    </xf>
    <xf numFmtId="166" fontId="6" fillId="2" borderId="20" xfId="1" applyNumberFormat="1" applyFont="1" applyFill="1" applyBorder="1" applyAlignment="1">
      <alignment horizontal="right" vertical="center"/>
    </xf>
    <xf numFmtId="0" fontId="45" fillId="0" borderId="0" xfId="0" applyFont="1"/>
    <xf numFmtId="0" fontId="46" fillId="0" borderId="0" xfId="0" applyFont="1"/>
    <xf numFmtId="165" fontId="8" fillId="0" borderId="21" xfId="0" applyNumberFormat="1" applyFont="1" applyFill="1" applyBorder="1"/>
    <xf numFmtId="165" fontId="4" fillId="0" borderId="21" xfId="0" applyNumberFormat="1" applyFont="1" applyFill="1" applyBorder="1"/>
    <xf numFmtId="165" fontId="10" fillId="0" borderId="21" xfId="0" applyNumberFormat="1" applyFont="1" applyFill="1" applyBorder="1"/>
    <xf numFmtId="0" fontId="2" fillId="8" borderId="0" xfId="0" applyFont="1" applyFill="1"/>
    <xf numFmtId="0" fontId="45" fillId="0" borderId="8" xfId="0" applyFont="1" applyBorder="1" applyAlignment="1">
      <alignment vertical="center"/>
    </xf>
    <xf numFmtId="0" fontId="10" fillId="0" borderId="0" xfId="0" applyFont="1"/>
    <xf numFmtId="0" fontId="50" fillId="0" borderId="0" xfId="0" applyFont="1"/>
    <xf numFmtId="0" fontId="51" fillId="0" borderId="0" xfId="0" applyFont="1"/>
    <xf numFmtId="0" fontId="56" fillId="0" borderId="44" xfId="3" applyFont="1" applyBorder="1" applyAlignment="1">
      <alignment horizontal="left" vertical="center"/>
    </xf>
    <xf numFmtId="0" fontId="56" fillId="0" borderId="45" xfId="3" applyFont="1" applyBorder="1" applyAlignment="1">
      <alignment horizontal="left" vertical="center"/>
    </xf>
    <xf numFmtId="3" fontId="10" fillId="0" borderId="0" xfId="0" applyNumberFormat="1" applyFont="1"/>
    <xf numFmtId="0" fontId="59" fillId="0" borderId="49" xfId="3" applyFont="1" applyBorder="1" applyAlignment="1">
      <alignment horizontal="left" vertical="center"/>
    </xf>
    <xf numFmtId="165" fontId="56" fillId="0" borderId="45" xfId="3" applyNumberFormat="1" applyFont="1" applyBorder="1" applyAlignment="1">
      <alignment horizontal="left" vertical="center"/>
    </xf>
    <xf numFmtId="0" fontId="10" fillId="0" borderId="64" xfId="0" applyFont="1" applyBorder="1" applyAlignment="1">
      <alignment horizontal="left" vertical="center"/>
    </xf>
    <xf numFmtId="0" fontId="10" fillId="0" borderId="58" xfId="0" applyFont="1" applyBorder="1" applyAlignment="1">
      <alignment horizontal="left" vertical="center"/>
    </xf>
    <xf numFmtId="0" fontId="11" fillId="0" borderId="58" xfId="0" applyFont="1" applyBorder="1" applyAlignment="1">
      <alignment horizontal="left" vertical="center"/>
    </xf>
    <xf numFmtId="0" fontId="66" fillId="0" borderId="0" xfId="0" applyFont="1" applyAlignment="1">
      <alignment vertical="top" wrapText="1"/>
    </xf>
    <xf numFmtId="10" fontId="10" fillId="0" borderId="0" xfId="1" applyNumberFormat="1" applyFont="1"/>
    <xf numFmtId="0" fontId="50" fillId="0" borderId="0" xfId="0" applyFont="1" applyAlignment="1">
      <alignment horizontal="left" vertical="center"/>
    </xf>
    <xf numFmtId="0" fontId="1" fillId="0" borderId="9" xfId="0" applyFont="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167" fontId="0" fillId="13" borderId="21" xfId="0" applyNumberFormat="1" applyFill="1" applyBorder="1"/>
    <xf numFmtId="165" fontId="0" fillId="13" borderId="21" xfId="0" applyNumberFormat="1" applyFill="1" applyBorder="1"/>
    <xf numFmtId="165" fontId="0" fillId="13" borderId="16" xfId="0" applyNumberFormat="1" applyFill="1" applyBorder="1"/>
    <xf numFmtId="165" fontId="8" fillId="13" borderId="21" xfId="0" applyNumberFormat="1" applyFont="1" applyFill="1" applyBorder="1"/>
    <xf numFmtId="14" fontId="0" fillId="0" borderId="0" xfId="0" applyNumberFormat="1"/>
    <xf numFmtId="169" fontId="3" fillId="0" borderId="14" xfId="1" applyNumberFormat="1" applyFont="1" applyFill="1" applyBorder="1"/>
    <xf numFmtId="0" fontId="61" fillId="0" borderId="76" xfId="3" applyFont="1" applyBorder="1" applyAlignment="1">
      <alignment horizontal="right" vertical="center"/>
    </xf>
    <xf numFmtId="0" fontId="56" fillId="0" borderId="77" xfId="3" applyFont="1" applyBorder="1" applyAlignment="1">
      <alignment horizontal="left" vertical="center"/>
    </xf>
    <xf numFmtId="0" fontId="61" fillId="0" borderId="78" xfId="3" applyFont="1" applyBorder="1" applyAlignment="1">
      <alignment horizontal="right" vertical="center"/>
    </xf>
    <xf numFmtId="165" fontId="56" fillId="0" borderId="79" xfId="3" applyNumberFormat="1" applyFont="1" applyBorder="1" applyAlignment="1">
      <alignment horizontal="left" vertical="center"/>
    </xf>
    <xf numFmtId="0" fontId="56" fillId="0" borderId="80" xfId="3" applyFont="1" applyBorder="1" applyAlignment="1">
      <alignment horizontal="left" vertical="center"/>
    </xf>
    <xf numFmtId="165" fontId="56" fillId="0" borderId="81" xfId="3" applyNumberFormat="1" applyFont="1" applyBorder="1" applyAlignment="1">
      <alignment horizontal="left" vertical="center"/>
    </xf>
    <xf numFmtId="2" fontId="10" fillId="0" borderId="0" xfId="0" applyNumberFormat="1" applyFont="1"/>
    <xf numFmtId="0" fontId="10" fillId="0" borderId="87" xfId="0" applyFont="1" applyBorder="1" applyAlignment="1">
      <alignment horizontal="left" vertical="center"/>
    </xf>
    <xf numFmtId="0" fontId="45" fillId="0" borderId="31" xfId="0" applyFont="1" applyBorder="1" applyAlignment="1">
      <alignment vertical="center"/>
    </xf>
    <xf numFmtId="165" fontId="71" fillId="0" borderId="0" xfId="0" applyNumberFormat="1" applyFont="1" applyFill="1" applyBorder="1" applyAlignment="1">
      <alignment horizontal="right" vertical="center"/>
    </xf>
    <xf numFmtId="0" fontId="43" fillId="0" borderId="0" xfId="0" applyFont="1"/>
    <xf numFmtId="166" fontId="31" fillId="0" borderId="0" xfId="1" applyNumberFormat="1" applyFont="1"/>
    <xf numFmtId="0" fontId="4" fillId="0" borderId="21" xfId="0" applyFont="1" applyFill="1" applyBorder="1" applyAlignment="1">
      <alignment horizontal="left" indent="2"/>
    </xf>
    <xf numFmtId="0" fontId="1" fillId="6" borderId="0" xfId="0" applyFont="1" applyFill="1"/>
    <xf numFmtId="166" fontId="68" fillId="15" borderId="0" xfId="1" applyNumberFormat="1" applyFont="1" applyFill="1"/>
    <xf numFmtId="166" fontId="69" fillId="15" borderId="0" xfId="1" applyNumberFormat="1" applyFont="1" applyFill="1"/>
    <xf numFmtId="166" fontId="68" fillId="15" borderId="0" xfId="0" applyNumberFormat="1" applyFont="1" applyFill="1"/>
    <xf numFmtId="165" fontId="75" fillId="15" borderId="21" xfId="0" applyNumberFormat="1" applyFont="1" applyFill="1" applyBorder="1"/>
    <xf numFmtId="169" fontId="44" fillId="15" borderId="21" xfId="0" applyNumberFormat="1" applyFont="1" applyFill="1" applyBorder="1"/>
    <xf numFmtId="169" fontId="75" fillId="15" borderId="21" xfId="0" applyNumberFormat="1" applyFont="1" applyFill="1" applyBorder="1"/>
    <xf numFmtId="0" fontId="75" fillId="15" borderId="21" xfId="0" applyFont="1" applyFill="1" applyBorder="1" applyAlignment="1">
      <alignment horizontal="left" indent="2"/>
    </xf>
    <xf numFmtId="0" fontId="2" fillId="3" borderId="21" xfId="0" applyFont="1" applyFill="1" applyBorder="1" applyAlignment="1">
      <alignment horizontal="center" vertical="center"/>
    </xf>
    <xf numFmtId="0" fontId="2" fillId="3" borderId="16" xfId="0" applyFont="1" applyFill="1" applyBorder="1" applyAlignment="1">
      <alignment horizontal="center" vertical="center"/>
    </xf>
    <xf numFmtId="168" fontId="0" fillId="0" borderId="4" xfId="0" applyNumberFormat="1" applyBorder="1"/>
    <xf numFmtId="168" fontId="28" fillId="0" borderId="4" xfId="0" applyNumberFormat="1" applyFont="1" applyBorder="1"/>
    <xf numFmtId="165" fontId="0" fillId="0" borderId="0" xfId="0" applyNumberFormat="1" applyFill="1"/>
    <xf numFmtId="165" fontId="20" fillId="0" borderId="0" xfId="0" applyNumberFormat="1" applyFont="1" applyFill="1"/>
    <xf numFmtId="0" fontId="2" fillId="0" borderId="26" xfId="0" applyFont="1" applyBorder="1" applyAlignment="1">
      <alignment vertical="center"/>
    </xf>
    <xf numFmtId="165" fontId="2" fillId="0" borderId="26" xfId="0" applyNumberFormat="1" applyFont="1" applyBorder="1"/>
    <xf numFmtId="0" fontId="2" fillId="0" borderId="26" xfId="0" applyFont="1" applyBorder="1"/>
    <xf numFmtId="0" fontId="2" fillId="0" borderId="5" xfId="0" applyFont="1" applyBorder="1"/>
    <xf numFmtId="165" fontId="2" fillId="0" borderId="5" xfId="0" applyNumberFormat="1" applyFont="1" applyBorder="1"/>
    <xf numFmtId="0" fontId="2" fillId="0" borderId="1" xfId="0" applyFont="1" applyBorder="1" applyAlignment="1">
      <alignment vertical="center"/>
    </xf>
    <xf numFmtId="169" fontId="8" fillId="2" borderId="21" xfId="1" applyNumberFormat="1" applyFont="1" applyFill="1" applyBorder="1"/>
    <xf numFmtId="0" fontId="1" fillId="0" borderId="31" xfId="0" applyFont="1" applyFill="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3" fillId="0" borderId="31" xfId="0" applyFont="1" applyBorder="1" applyAlignment="1">
      <alignment vertical="center"/>
    </xf>
    <xf numFmtId="165" fontId="5" fillId="2" borderId="20" xfId="0" applyNumberFormat="1" applyFont="1" applyFill="1" applyBorder="1" applyAlignment="1">
      <alignment horizontal="right" vertical="center"/>
    </xf>
    <xf numFmtId="168" fontId="8" fillId="2" borderId="21" xfId="1" applyNumberFormat="1" applyFont="1" applyFill="1" applyBorder="1"/>
    <xf numFmtId="0" fontId="1" fillId="0" borderId="21" xfId="0" applyFont="1" applyBorder="1" applyAlignment="1">
      <alignment vertical="center"/>
    </xf>
    <xf numFmtId="0" fontId="77" fillId="15" borderId="7" xfId="0" applyFont="1" applyFill="1" applyBorder="1" applyAlignment="1">
      <alignment horizontal="center" vertical="center"/>
    </xf>
    <xf numFmtId="0" fontId="44" fillId="15" borderId="0" xfId="0" applyFont="1" applyFill="1"/>
    <xf numFmtId="0" fontId="2" fillId="3" borderId="21" xfId="0" applyFont="1" applyFill="1" applyBorder="1" applyAlignment="1">
      <alignment horizontal="center" vertical="center"/>
    </xf>
    <xf numFmtId="166" fontId="5" fillId="7" borderId="21" xfId="0" applyNumberFormat="1" applyFont="1" applyFill="1" applyBorder="1" applyAlignment="1">
      <alignment horizontal="right"/>
    </xf>
    <xf numFmtId="0" fontId="2" fillId="0" borderId="0" xfId="0" applyFont="1" applyAlignment="1">
      <alignment horizontal="center"/>
    </xf>
    <xf numFmtId="0" fontId="76" fillId="15" borderId="0" xfId="0" applyFont="1" applyFill="1" applyAlignment="1"/>
    <xf numFmtId="166" fontId="3" fillId="0" borderId="0" xfId="1" applyNumberFormat="1" applyFont="1"/>
    <xf numFmtId="166" fontId="4" fillId="0" borderId="0" xfId="1" applyNumberFormat="1" applyFont="1" applyAlignment="1">
      <alignment horizontal="center"/>
    </xf>
    <xf numFmtId="165" fontId="22" fillId="0" borderId="0" xfId="0" applyNumberFormat="1" applyFont="1" applyFill="1"/>
    <xf numFmtId="0" fontId="10" fillId="0" borderId="63" xfId="0" applyFont="1" applyBorder="1" applyAlignment="1">
      <alignment horizontal="left" vertical="center"/>
    </xf>
    <xf numFmtId="0" fontId="10" fillId="0" borderId="66" xfId="0" applyFont="1" applyBorder="1" applyAlignment="1">
      <alignment horizontal="left" vertical="center"/>
    </xf>
    <xf numFmtId="0" fontId="10" fillId="0" borderId="67" xfId="0" applyFont="1" applyBorder="1" applyAlignment="1">
      <alignment horizontal="left" vertical="center"/>
    </xf>
    <xf numFmtId="0" fontId="12" fillId="0" borderId="21" xfId="0" applyNumberFormat="1" applyFont="1" applyFill="1" applyBorder="1" applyAlignment="1">
      <alignment horizontal="center"/>
    </xf>
    <xf numFmtId="0" fontId="52" fillId="0" borderId="0" xfId="0" quotePrefix="1" applyFont="1"/>
    <xf numFmtId="0" fontId="56" fillId="0" borderId="103" xfId="3" applyFont="1" applyBorder="1" applyAlignment="1">
      <alignment vertical="center"/>
    </xf>
    <xf numFmtId="0" fontId="56" fillId="0" borderId="104" xfId="3" applyFont="1" applyBorder="1" applyAlignment="1">
      <alignment vertical="center"/>
    </xf>
    <xf numFmtId="0" fontId="58" fillId="0" borderId="104" xfId="3" applyFont="1" applyBorder="1" applyAlignment="1">
      <alignment vertical="center"/>
    </xf>
    <xf numFmtId="3" fontId="60" fillId="0" borderId="50" xfId="3" applyNumberFormat="1" applyFont="1" applyBorder="1" applyAlignment="1">
      <alignment horizontal="right" vertical="center"/>
    </xf>
    <xf numFmtId="0" fontId="56" fillId="0" borderId="103" xfId="3" applyFont="1" applyBorder="1" applyAlignment="1">
      <alignment horizontal="left" vertical="center"/>
    </xf>
    <xf numFmtId="0" fontId="58" fillId="0" borderId="104" xfId="3" applyFont="1" applyBorder="1" applyAlignment="1">
      <alignment horizontal="left" vertical="center"/>
    </xf>
    <xf numFmtId="0" fontId="58" fillId="0" borderId="105" xfId="3" applyFont="1" applyBorder="1" applyAlignment="1">
      <alignment horizontal="left" vertical="center"/>
    </xf>
    <xf numFmtId="0" fontId="56" fillId="0" borderId="104" xfId="3" applyFont="1" applyBorder="1" applyAlignment="1">
      <alignment horizontal="left" vertical="center"/>
    </xf>
    <xf numFmtId="0" fontId="59" fillId="0" borderId="106" xfId="3" applyFont="1" applyBorder="1" applyAlignment="1">
      <alignment horizontal="left" vertical="center"/>
    </xf>
    <xf numFmtId="3" fontId="60" fillId="0" borderId="107" xfId="3" applyNumberFormat="1" applyFont="1" applyBorder="1" applyAlignment="1">
      <alignment horizontal="right" vertical="center"/>
    </xf>
    <xf numFmtId="3" fontId="62" fillId="0" borderId="87" xfId="3" applyNumberFormat="1" applyFont="1" applyBorder="1" applyAlignment="1">
      <alignment horizontal="right" vertical="center"/>
    </xf>
    <xf numFmtId="3" fontId="62" fillId="0" borderId="77" xfId="3" applyNumberFormat="1" applyFont="1" applyBorder="1" applyAlignment="1">
      <alignment horizontal="right" vertical="center"/>
    </xf>
    <xf numFmtId="3" fontId="62" fillId="0" borderId="79" xfId="3" applyNumberFormat="1" applyFont="1" applyBorder="1" applyAlignment="1">
      <alignment horizontal="right" vertical="center"/>
    </xf>
    <xf numFmtId="0" fontId="61" fillId="0" borderId="0" xfId="3" applyFont="1" applyAlignment="1">
      <alignment horizontal="right" vertical="center"/>
    </xf>
    <xf numFmtId="0" fontId="58" fillId="0" borderId="0" xfId="3" applyFont="1" applyAlignment="1">
      <alignment horizontal="right" vertical="center"/>
    </xf>
    <xf numFmtId="3" fontId="62" fillId="0" borderId="0" xfId="3" applyNumberFormat="1" applyFont="1" applyAlignment="1">
      <alignment horizontal="right" vertical="center"/>
    </xf>
    <xf numFmtId="172" fontId="10" fillId="0" borderId="0" xfId="0" applyNumberFormat="1" applyFont="1"/>
    <xf numFmtId="0" fontId="9" fillId="0" borderId="108" xfId="0" applyFont="1" applyBorder="1" applyAlignment="1">
      <alignment horizontal="left" vertical="center"/>
    </xf>
    <xf numFmtId="0" fontId="9" fillId="0" borderId="109" xfId="0" applyFont="1" applyBorder="1" applyAlignment="1">
      <alignment horizontal="right" vertical="center"/>
    </xf>
    <xf numFmtId="165" fontId="57" fillId="0" borderId="0" xfId="0" applyNumberFormat="1" applyFont="1" applyAlignment="1">
      <alignment horizontal="right" vertical="center"/>
    </xf>
    <xf numFmtId="165" fontId="60" fillId="0" borderId="0" xfId="0" applyNumberFormat="1" applyFont="1" applyAlignment="1">
      <alignment horizontal="right" vertical="center"/>
    </xf>
    <xf numFmtId="0" fontId="61" fillId="0" borderId="111" xfId="3" applyFont="1" applyBorder="1" applyAlignment="1">
      <alignment horizontal="right" vertical="center"/>
    </xf>
    <xf numFmtId="0" fontId="58" fillId="0" borderId="112" xfId="3" applyFont="1" applyBorder="1" applyAlignment="1">
      <alignment horizontal="right" vertical="center"/>
    </xf>
    <xf numFmtId="165" fontId="67" fillId="0" borderId="0" xfId="0" applyNumberFormat="1" applyFont="1" applyAlignment="1">
      <alignment horizontal="right" vertical="center"/>
    </xf>
    <xf numFmtId="0" fontId="56" fillId="0" borderId="0" xfId="3" applyFont="1" applyAlignment="1">
      <alignment horizontal="left" vertical="center"/>
    </xf>
    <xf numFmtId="0" fontId="10" fillId="0" borderId="63" xfId="0" applyFont="1" applyBorder="1" applyAlignment="1">
      <alignment vertical="center"/>
    </xf>
    <xf numFmtId="0" fontId="10" fillId="0" borderId="66" xfId="0" applyFont="1" applyBorder="1" applyAlignment="1">
      <alignment vertical="center"/>
    </xf>
    <xf numFmtId="0" fontId="10" fillId="0" borderId="67" xfId="0" applyFont="1" applyBorder="1" applyAlignment="1">
      <alignment vertical="center"/>
    </xf>
    <xf numFmtId="10" fontId="72" fillId="0" borderId="0" xfId="5" applyNumberFormat="1" applyFont="1"/>
    <xf numFmtId="166" fontId="10" fillId="0" borderId="0" xfId="0" applyNumberFormat="1" applyFont="1"/>
    <xf numFmtId="0" fontId="80" fillId="0" borderId="0" xfId="0" applyFont="1"/>
    <xf numFmtId="0" fontId="28" fillId="0" borderId="0" xfId="0" applyFont="1" applyFill="1"/>
    <xf numFmtId="165" fontId="42" fillId="0" borderId="0" xfId="0" applyNumberFormat="1" applyFont="1" applyFill="1"/>
    <xf numFmtId="165" fontId="19" fillId="0" borderId="0" xfId="0" applyNumberFormat="1" applyFont="1" applyFill="1"/>
    <xf numFmtId="165" fontId="21" fillId="0" borderId="0" xfId="0" applyNumberFormat="1" applyFont="1" applyFill="1"/>
    <xf numFmtId="165" fontId="25" fillId="0" borderId="0" xfId="0" applyNumberFormat="1" applyFont="1" applyFill="1"/>
    <xf numFmtId="165" fontId="38" fillId="0" borderId="0" xfId="0" applyNumberFormat="1" applyFont="1" applyFill="1"/>
    <xf numFmtId="168" fontId="68" fillId="15" borderId="21" xfId="0" applyNumberFormat="1" applyFont="1" applyFill="1" applyBorder="1"/>
    <xf numFmtId="165" fontId="26" fillId="0" borderId="21" xfId="0" applyNumberFormat="1" applyFont="1" applyFill="1" applyBorder="1" applyAlignment="1">
      <alignment horizontal="right"/>
    </xf>
    <xf numFmtId="3" fontId="60" fillId="12" borderId="50" xfId="3" applyNumberFormat="1" applyFont="1" applyFill="1" applyBorder="1" applyAlignment="1">
      <alignment horizontal="right" vertical="center"/>
    </xf>
    <xf numFmtId="3" fontId="60" fillId="12" borderId="107" xfId="3" applyNumberFormat="1" applyFont="1" applyFill="1" applyBorder="1" applyAlignment="1">
      <alignment horizontal="right" vertical="center"/>
    </xf>
    <xf numFmtId="3" fontId="62" fillId="12" borderId="87" xfId="3" applyNumberFormat="1" applyFont="1" applyFill="1" applyBorder="1" applyAlignment="1">
      <alignment horizontal="right" vertical="center"/>
    </xf>
    <xf numFmtId="3" fontId="62" fillId="12" borderId="77" xfId="3" applyNumberFormat="1" applyFont="1" applyFill="1" applyBorder="1" applyAlignment="1">
      <alignment horizontal="right" vertical="center"/>
    </xf>
    <xf numFmtId="3" fontId="62" fillId="12" borderId="79" xfId="3" applyNumberFormat="1" applyFont="1" applyFill="1" applyBorder="1" applyAlignment="1">
      <alignment horizontal="right" vertical="center"/>
    </xf>
    <xf numFmtId="0" fontId="55" fillId="17" borderId="98" xfId="3" applyFont="1" applyFill="1" applyBorder="1" applyAlignment="1">
      <alignment horizontal="center" vertical="center"/>
    </xf>
    <xf numFmtId="0" fontId="55" fillId="17" borderId="42" xfId="3" applyFont="1" applyFill="1" applyBorder="1" applyAlignment="1">
      <alignment horizontal="center" vertical="center"/>
    </xf>
    <xf numFmtId="0" fontId="9" fillId="0" borderId="61" xfId="0" applyFont="1" applyFill="1" applyBorder="1" applyAlignment="1">
      <alignment horizontal="center" vertical="center"/>
    </xf>
    <xf numFmtId="0" fontId="9" fillId="0" borderId="60" xfId="0" applyFont="1" applyFill="1" applyBorder="1" applyAlignment="1">
      <alignment horizontal="center" vertical="center"/>
    </xf>
    <xf numFmtId="172" fontId="9" fillId="0" borderId="65" xfId="4" applyNumberFormat="1" applyFont="1" applyFill="1" applyBorder="1" applyAlignment="1">
      <alignment horizontal="right" vertical="center"/>
    </xf>
    <xf numFmtId="3" fontId="62" fillId="0" borderId="80" xfId="3" applyNumberFormat="1" applyFont="1" applyFill="1" applyBorder="1" applyAlignment="1">
      <alignment horizontal="right" vertical="center"/>
    </xf>
    <xf numFmtId="3" fontId="62" fillId="0" borderId="81" xfId="3" applyNumberFormat="1" applyFont="1" applyFill="1" applyBorder="1" applyAlignment="1">
      <alignment horizontal="right" vertical="center"/>
    </xf>
    <xf numFmtId="172" fontId="10" fillId="0" borderId="65" xfId="4" applyNumberFormat="1" applyFont="1" applyFill="1" applyBorder="1" applyAlignment="1">
      <alignment horizontal="right" vertical="center"/>
    </xf>
    <xf numFmtId="171" fontId="10" fillId="0" borderId="47" xfId="0" applyNumberFormat="1" applyFont="1" applyFill="1" applyBorder="1" applyAlignment="1">
      <alignment horizontal="right" vertical="center" wrapText="1"/>
    </xf>
    <xf numFmtId="171" fontId="26" fillId="0" borderId="65" xfId="0" applyNumberFormat="1" applyFont="1" applyFill="1" applyBorder="1" applyAlignment="1">
      <alignment horizontal="right" vertical="center" wrapText="1"/>
    </xf>
    <xf numFmtId="173" fontId="26" fillId="0" borderId="65" xfId="0" applyNumberFormat="1" applyFont="1" applyFill="1" applyBorder="1" applyAlignment="1">
      <alignment horizontal="right" vertical="center" wrapText="1"/>
    </xf>
    <xf numFmtId="172" fontId="11" fillId="0" borderId="68" xfId="4" applyNumberFormat="1" applyFont="1" applyFill="1" applyBorder="1" applyAlignment="1">
      <alignment horizontal="right" vertical="center"/>
    </xf>
    <xf numFmtId="171" fontId="9" fillId="0" borderId="69" xfId="0" applyNumberFormat="1" applyFont="1" applyFill="1" applyBorder="1" applyAlignment="1">
      <alignment horizontal="right" vertical="center" wrapText="1"/>
    </xf>
    <xf numFmtId="171" fontId="17" fillId="0" borderId="72" xfId="0" applyNumberFormat="1" applyFont="1" applyFill="1" applyBorder="1" applyAlignment="1">
      <alignment horizontal="right" vertical="center" wrapText="1"/>
    </xf>
    <xf numFmtId="175" fontId="17" fillId="0" borderId="72" xfId="0" applyNumberFormat="1" applyFont="1" applyFill="1" applyBorder="1" applyAlignment="1">
      <alignment horizontal="right" vertical="center" wrapText="1"/>
    </xf>
    <xf numFmtId="172" fontId="10" fillId="0" borderId="62" xfId="4" applyNumberFormat="1" applyFont="1" applyFill="1" applyBorder="1" applyAlignment="1">
      <alignment horizontal="right" vertical="center"/>
    </xf>
    <xf numFmtId="172" fontId="11" fillId="0" borderId="62" xfId="4" applyNumberFormat="1" applyFont="1" applyFill="1" applyBorder="1" applyAlignment="1">
      <alignment horizontal="right" vertical="center"/>
    </xf>
    <xf numFmtId="171" fontId="9" fillId="0" borderId="47" xfId="0" applyNumberFormat="1" applyFont="1" applyFill="1" applyBorder="1" applyAlignment="1">
      <alignment horizontal="right" vertical="center" wrapText="1"/>
    </xf>
    <xf numFmtId="171" fontId="17" fillId="0" borderId="65" xfId="0" applyNumberFormat="1" applyFont="1" applyFill="1" applyBorder="1" applyAlignment="1">
      <alignment horizontal="right" vertical="center" wrapText="1"/>
    </xf>
    <xf numFmtId="173" fontId="17" fillId="0" borderId="65" xfId="0" applyNumberFormat="1" applyFont="1" applyFill="1" applyBorder="1" applyAlignment="1">
      <alignment horizontal="right" vertical="center" wrapText="1"/>
    </xf>
    <xf numFmtId="171" fontId="11" fillId="0" borderId="83" xfId="0" applyNumberFormat="1" applyFont="1" applyFill="1" applyBorder="1" applyAlignment="1">
      <alignment horizontal="right" vertical="center"/>
    </xf>
    <xf numFmtId="171" fontId="17" fillId="0" borderId="80" xfId="0" applyNumberFormat="1" applyFont="1" applyFill="1" applyBorder="1" applyAlignment="1">
      <alignment horizontal="right" vertical="center" wrapText="1"/>
    </xf>
    <xf numFmtId="173" fontId="17" fillId="0" borderId="80" xfId="0" applyNumberFormat="1" applyFont="1" applyFill="1" applyBorder="1" applyAlignment="1">
      <alignment horizontal="right" vertical="center" wrapText="1"/>
    </xf>
    <xf numFmtId="171" fontId="11" fillId="0" borderId="85" xfId="0" applyNumberFormat="1" applyFont="1" applyFill="1" applyBorder="1" applyAlignment="1">
      <alignment horizontal="right" vertical="center"/>
    </xf>
    <xf numFmtId="171" fontId="17" fillId="0" borderId="81" xfId="0" applyNumberFormat="1" applyFont="1" applyFill="1" applyBorder="1" applyAlignment="1">
      <alignment horizontal="right" vertical="center" wrapText="1"/>
    </xf>
    <xf numFmtId="173" fontId="17" fillId="0" borderId="81" xfId="0" applyNumberFormat="1" applyFont="1" applyFill="1" applyBorder="1" applyAlignment="1">
      <alignment horizontal="right" vertical="center" wrapText="1"/>
    </xf>
    <xf numFmtId="172" fontId="10" fillId="12" borderId="65" xfId="4" applyNumberFormat="1" applyFont="1" applyFill="1" applyBorder="1" applyAlignment="1">
      <alignment horizontal="right" vertical="center"/>
    </xf>
    <xf numFmtId="171" fontId="10" fillId="12" borderId="47" xfId="0" applyNumberFormat="1" applyFont="1" applyFill="1" applyBorder="1" applyAlignment="1">
      <alignment horizontal="right" vertical="center" wrapText="1"/>
    </xf>
    <xf numFmtId="171" fontId="10" fillId="12" borderId="64" xfId="0" applyNumberFormat="1" applyFont="1" applyFill="1" applyBorder="1" applyAlignment="1">
      <alignment horizontal="right" vertical="center" wrapText="1"/>
    </xf>
    <xf numFmtId="172" fontId="11" fillId="12" borderId="68" xfId="4" applyNumberFormat="1" applyFont="1" applyFill="1" applyBorder="1" applyAlignment="1">
      <alignment horizontal="right" vertical="center"/>
    </xf>
    <xf numFmtId="171" fontId="9" fillId="12" borderId="69" xfId="0" applyNumberFormat="1" applyFont="1" applyFill="1" applyBorder="1" applyAlignment="1">
      <alignment horizontal="right" vertical="center" wrapText="1"/>
    </xf>
    <xf numFmtId="171" fontId="9" fillId="12" borderId="70" xfId="0" applyNumberFormat="1" applyFont="1" applyFill="1" applyBorder="1" applyAlignment="1">
      <alignment horizontal="right" vertical="center" wrapText="1"/>
    </xf>
    <xf numFmtId="171" fontId="9" fillId="12" borderId="71" xfId="0" applyNumberFormat="1" applyFont="1" applyFill="1" applyBorder="1" applyAlignment="1">
      <alignment horizontal="right" vertical="center" wrapText="1"/>
    </xf>
    <xf numFmtId="172" fontId="10" fillId="12" borderId="62" xfId="4" applyNumberFormat="1" applyFont="1" applyFill="1" applyBorder="1" applyAlignment="1">
      <alignment horizontal="right" vertical="center"/>
    </xf>
    <xf numFmtId="172" fontId="11" fillId="12" borderId="62" xfId="4" applyNumberFormat="1" applyFont="1" applyFill="1" applyBorder="1" applyAlignment="1">
      <alignment horizontal="right" vertical="center"/>
    </xf>
    <xf numFmtId="172" fontId="9" fillId="12" borderId="65" xfId="4" applyNumberFormat="1" applyFont="1" applyFill="1" applyBorder="1" applyAlignment="1">
      <alignment horizontal="right" vertical="center"/>
    </xf>
    <xf numFmtId="171" fontId="9" fillId="12" borderId="47" xfId="0" applyNumberFormat="1" applyFont="1" applyFill="1" applyBorder="1" applyAlignment="1">
      <alignment horizontal="right" vertical="center" wrapText="1"/>
    </xf>
    <xf numFmtId="171" fontId="9" fillId="12" borderId="64" xfId="0" applyNumberFormat="1" applyFont="1" applyFill="1" applyBorder="1" applyAlignment="1">
      <alignment horizontal="right" vertical="center" wrapText="1"/>
    </xf>
    <xf numFmtId="3" fontId="62" fillId="12" borderId="80" xfId="3" applyNumberFormat="1" applyFont="1" applyFill="1" applyBorder="1" applyAlignment="1">
      <alignment horizontal="right" vertical="center"/>
    </xf>
    <xf numFmtId="171" fontId="11" fillId="12" borderId="83" xfId="0" applyNumberFormat="1" applyFont="1" applyFill="1" applyBorder="1" applyAlignment="1">
      <alignment horizontal="right" vertical="center"/>
    </xf>
    <xf numFmtId="171" fontId="11" fillId="12" borderId="84" xfId="0" applyNumberFormat="1" applyFont="1" applyFill="1" applyBorder="1" applyAlignment="1">
      <alignment horizontal="right" vertical="center"/>
    </xf>
    <xf numFmtId="3" fontId="62" fillId="12" borderId="81" xfId="3" applyNumberFormat="1" applyFont="1" applyFill="1" applyBorder="1" applyAlignment="1">
      <alignment horizontal="right" vertical="center"/>
    </xf>
    <xf numFmtId="171" fontId="11" fillId="12" borderId="85" xfId="0" applyNumberFormat="1" applyFont="1" applyFill="1" applyBorder="1" applyAlignment="1">
      <alignment horizontal="right" vertical="center"/>
    </xf>
    <xf numFmtId="171" fontId="11" fillId="12" borderId="86" xfId="0" applyNumberFormat="1" applyFont="1" applyFill="1" applyBorder="1" applyAlignment="1">
      <alignment horizontal="right" vertical="center"/>
    </xf>
    <xf numFmtId="0" fontId="77" fillId="17" borderId="61" xfId="0" applyFont="1" applyFill="1" applyBorder="1" applyAlignment="1">
      <alignment horizontal="center" vertical="center"/>
    </xf>
    <xf numFmtId="0" fontId="54" fillId="17" borderId="23" xfId="0" applyFont="1" applyFill="1" applyBorder="1" applyAlignment="1">
      <alignment horizontal="center" vertical="center"/>
    </xf>
    <xf numFmtId="0" fontId="55" fillId="17" borderId="38" xfId="3" applyFont="1" applyFill="1" applyBorder="1" applyAlignment="1">
      <alignment horizontal="center" vertical="center"/>
    </xf>
    <xf numFmtId="0" fontId="54" fillId="17" borderId="41" xfId="0" applyFont="1" applyFill="1" applyBorder="1" applyAlignment="1">
      <alignment horizontal="center" vertical="center"/>
    </xf>
    <xf numFmtId="0" fontId="9" fillId="0" borderId="59" xfId="0" applyFont="1" applyFill="1" applyBorder="1" applyAlignment="1">
      <alignment horizontal="center" vertical="center"/>
    </xf>
    <xf numFmtId="2" fontId="63" fillId="0" borderId="65" xfId="0" applyNumberFormat="1" applyFont="1" applyFill="1" applyBorder="1" applyAlignment="1">
      <alignment horizontal="right" vertical="center"/>
    </xf>
    <xf numFmtId="171" fontId="63" fillId="0" borderId="65" xfId="0" applyNumberFormat="1" applyFont="1" applyFill="1" applyBorder="1" applyAlignment="1">
      <alignment horizontal="right" vertical="center"/>
    </xf>
    <xf numFmtId="2" fontId="64" fillId="0" borderId="65" xfId="0" applyNumberFormat="1" applyFont="1" applyFill="1" applyBorder="1" applyAlignment="1">
      <alignment horizontal="right" vertical="center"/>
    </xf>
    <xf numFmtId="171" fontId="64" fillId="0" borderId="65" xfId="0" applyNumberFormat="1" applyFont="1" applyFill="1" applyBorder="1" applyAlignment="1">
      <alignment horizontal="right" vertical="center"/>
    </xf>
    <xf numFmtId="2" fontId="65" fillId="0" borderId="115" xfId="0" applyNumberFormat="1" applyFont="1" applyFill="1" applyBorder="1" applyAlignment="1">
      <alignment horizontal="right" vertical="center"/>
    </xf>
    <xf numFmtId="171" fontId="65" fillId="0" borderId="115" xfId="0" applyNumberFormat="1" applyFont="1" applyFill="1" applyBorder="1" applyAlignment="1">
      <alignment horizontal="right" vertical="center"/>
    </xf>
    <xf numFmtId="171" fontId="26" fillId="0" borderId="115" xfId="0" applyNumberFormat="1" applyFont="1" applyFill="1" applyBorder="1" applyAlignment="1">
      <alignment horizontal="right" vertical="center" wrapText="1"/>
    </xf>
    <xf numFmtId="165" fontId="67" fillId="0" borderId="0" xfId="0" applyNumberFormat="1" applyFont="1" applyFill="1" applyAlignment="1">
      <alignment horizontal="right" vertical="center"/>
    </xf>
    <xf numFmtId="0" fontId="84" fillId="0" borderId="61" xfId="0" applyFont="1" applyFill="1" applyBorder="1" applyAlignment="1">
      <alignment horizontal="center" vertical="center"/>
    </xf>
    <xf numFmtId="3" fontId="83" fillId="0" borderId="65" xfId="0" applyNumberFormat="1" applyFont="1" applyFill="1" applyBorder="1" applyAlignment="1">
      <alignment horizontal="right" vertical="center"/>
    </xf>
    <xf numFmtId="171" fontId="83" fillId="0" borderId="65" xfId="0" applyNumberFormat="1" applyFont="1" applyFill="1" applyBorder="1" applyAlignment="1">
      <alignment horizontal="right" vertical="center"/>
    </xf>
    <xf numFmtId="171" fontId="88" fillId="0" borderId="65" xfId="0" applyNumberFormat="1" applyFont="1" applyFill="1" applyBorder="1" applyAlignment="1">
      <alignment horizontal="right" vertical="center" wrapText="1"/>
    </xf>
    <xf numFmtId="173" fontId="88" fillId="0" borderId="65" xfId="0" applyNumberFormat="1" applyFont="1" applyFill="1" applyBorder="1" applyAlignment="1">
      <alignment horizontal="right" vertical="center" wrapText="1"/>
    </xf>
    <xf numFmtId="3" fontId="86" fillId="0" borderId="68" xfId="0" applyNumberFormat="1" applyFont="1" applyFill="1" applyBorder="1" applyAlignment="1">
      <alignment horizontal="right" vertical="center"/>
    </xf>
    <xf numFmtId="171" fontId="86" fillId="0" borderId="65" xfId="0" applyNumberFormat="1" applyFont="1" applyFill="1" applyBorder="1" applyAlignment="1">
      <alignment horizontal="right" vertical="center"/>
    </xf>
    <xf numFmtId="171" fontId="87" fillId="0" borderId="72" xfId="0" applyNumberFormat="1" applyFont="1" applyFill="1" applyBorder="1" applyAlignment="1">
      <alignment horizontal="right" vertical="center" wrapText="1"/>
    </xf>
    <xf numFmtId="173" fontId="87" fillId="0" borderId="65" xfId="0" applyNumberFormat="1" applyFont="1" applyFill="1" applyBorder="1" applyAlignment="1">
      <alignment horizontal="right" vertical="center" wrapText="1"/>
    </xf>
    <xf numFmtId="3" fontId="83" fillId="0" borderId="62" xfId="0" applyNumberFormat="1" applyFont="1" applyFill="1" applyBorder="1" applyAlignment="1">
      <alignment horizontal="right" vertical="center"/>
    </xf>
    <xf numFmtId="3" fontId="86" fillId="0" borderId="62" xfId="0" applyNumberFormat="1" applyFont="1" applyFill="1" applyBorder="1" applyAlignment="1">
      <alignment horizontal="right" vertical="center"/>
    </xf>
    <xf numFmtId="3" fontId="84" fillId="0" borderId="65" xfId="0" applyNumberFormat="1" applyFont="1" applyFill="1" applyBorder="1" applyAlignment="1">
      <alignment horizontal="right" vertical="center"/>
    </xf>
    <xf numFmtId="171" fontId="84" fillId="0" borderId="65" xfId="0" applyNumberFormat="1" applyFont="1" applyFill="1" applyBorder="1" applyAlignment="1">
      <alignment horizontal="right" vertical="center"/>
    </xf>
    <xf numFmtId="171" fontId="87" fillId="0" borderId="65" xfId="0" applyNumberFormat="1" applyFont="1" applyFill="1" applyBorder="1" applyAlignment="1">
      <alignment horizontal="right" vertical="center" wrapText="1"/>
    </xf>
    <xf numFmtId="3" fontId="83" fillId="0" borderId="88" xfId="0" applyNumberFormat="1" applyFont="1" applyFill="1" applyBorder="1" applyAlignment="1">
      <alignment horizontal="right" vertical="center"/>
    </xf>
    <xf numFmtId="171" fontId="83" fillId="0" borderId="89" xfId="0" applyNumberFormat="1" applyFont="1" applyFill="1" applyBorder="1" applyAlignment="1">
      <alignment horizontal="right" vertical="center"/>
    </xf>
    <xf numFmtId="171" fontId="88" fillId="0" borderId="89" xfId="0" applyNumberFormat="1" applyFont="1" applyFill="1" applyBorder="1" applyAlignment="1">
      <alignment horizontal="right" vertical="center" wrapText="1"/>
    </xf>
    <xf numFmtId="173" fontId="88" fillId="0" borderId="91" xfId="0" applyNumberFormat="1" applyFont="1" applyFill="1" applyBorder="1" applyAlignment="1">
      <alignment horizontal="right" vertical="center" wrapText="1"/>
    </xf>
    <xf numFmtId="3" fontId="84" fillId="0" borderId="92" xfId="0" applyNumberFormat="1" applyFont="1" applyFill="1" applyBorder="1" applyAlignment="1">
      <alignment horizontal="right" vertical="center"/>
    </xf>
    <xf numFmtId="171" fontId="84" fillId="0" borderId="92" xfId="0" applyNumberFormat="1" applyFont="1" applyFill="1" applyBorder="1" applyAlignment="1">
      <alignment horizontal="right" vertical="center"/>
    </xf>
    <xf numFmtId="171" fontId="88" fillId="0" borderId="92" xfId="0" applyNumberFormat="1" applyFont="1" applyFill="1" applyBorder="1" applyAlignment="1">
      <alignment horizontal="right" vertical="center" wrapText="1"/>
    </xf>
    <xf numFmtId="173" fontId="88" fillId="0" borderId="95" xfId="0" applyNumberFormat="1" applyFont="1" applyFill="1" applyBorder="1" applyAlignment="1">
      <alignment horizontal="right" vertical="center" wrapText="1"/>
    </xf>
    <xf numFmtId="3" fontId="83" fillId="12" borderId="65" xfId="0" applyNumberFormat="1" applyFont="1" applyFill="1" applyBorder="1" applyAlignment="1">
      <alignment horizontal="right" vertical="center"/>
    </xf>
    <xf numFmtId="171" fontId="83" fillId="12" borderId="47" xfId="0" applyNumberFormat="1" applyFont="1" applyFill="1" applyBorder="1" applyAlignment="1">
      <alignment horizontal="right" vertical="center" wrapText="1"/>
    </xf>
    <xf numFmtId="171" fontId="83" fillId="12" borderId="64" xfId="0" applyNumberFormat="1" applyFont="1" applyFill="1" applyBorder="1" applyAlignment="1">
      <alignment horizontal="right" vertical="center" wrapText="1"/>
    </xf>
    <xf numFmtId="3" fontId="86" fillId="12" borderId="68" xfId="0" applyNumberFormat="1" applyFont="1" applyFill="1" applyBorder="1" applyAlignment="1">
      <alignment horizontal="right" vertical="center"/>
    </xf>
    <xf numFmtId="171" fontId="84" fillId="12" borderId="69" xfId="0" applyNumberFormat="1" applyFont="1" applyFill="1" applyBorder="1" applyAlignment="1">
      <alignment horizontal="right" vertical="center" wrapText="1"/>
    </xf>
    <xf numFmtId="171" fontId="84" fillId="12" borderId="70" xfId="0" applyNumberFormat="1" applyFont="1" applyFill="1" applyBorder="1" applyAlignment="1">
      <alignment horizontal="right" vertical="center" wrapText="1"/>
    </xf>
    <xf numFmtId="171" fontId="84" fillId="12" borderId="71" xfId="0" applyNumberFormat="1" applyFont="1" applyFill="1" applyBorder="1" applyAlignment="1">
      <alignment horizontal="right" vertical="center" wrapText="1"/>
    </xf>
    <xf numFmtId="3" fontId="83" fillId="12" borderId="62" xfId="0" applyNumberFormat="1" applyFont="1" applyFill="1" applyBorder="1" applyAlignment="1">
      <alignment horizontal="right" vertical="center"/>
    </xf>
    <xf numFmtId="3" fontId="86" fillId="12" borderId="62" xfId="0" applyNumberFormat="1" applyFont="1" applyFill="1" applyBorder="1" applyAlignment="1">
      <alignment horizontal="right" vertical="center"/>
    </xf>
    <xf numFmtId="3" fontId="84" fillId="12" borderId="124" xfId="0" applyNumberFormat="1" applyFont="1" applyFill="1" applyBorder="1" applyAlignment="1">
      <alignment horizontal="right" vertical="center"/>
    </xf>
    <xf numFmtId="171" fontId="84" fillId="12" borderId="47" xfId="0" applyNumberFormat="1" applyFont="1" applyFill="1" applyBorder="1" applyAlignment="1">
      <alignment horizontal="right" vertical="center" wrapText="1"/>
    </xf>
    <xf numFmtId="171" fontId="84" fillId="12" borderId="64" xfId="0" applyNumberFormat="1" applyFont="1" applyFill="1" applyBorder="1" applyAlignment="1">
      <alignment horizontal="right" vertical="center" wrapText="1"/>
    </xf>
    <xf numFmtId="171" fontId="83" fillId="12" borderId="90" xfId="0" applyNumberFormat="1" applyFont="1" applyFill="1" applyBorder="1" applyAlignment="1">
      <alignment horizontal="right" vertical="center" wrapText="1"/>
    </xf>
    <xf numFmtId="171" fontId="83" fillId="12" borderId="88" xfId="0" applyNumberFormat="1" applyFont="1" applyFill="1" applyBorder="1" applyAlignment="1">
      <alignment horizontal="right" vertical="center" wrapText="1"/>
    </xf>
    <xf numFmtId="1" fontId="84" fillId="12" borderId="92" xfId="0" applyNumberFormat="1" applyFont="1" applyFill="1" applyBorder="1" applyAlignment="1">
      <alignment horizontal="right" vertical="center"/>
    </xf>
    <xf numFmtId="171" fontId="84" fillId="12" borderId="93" xfId="0" applyNumberFormat="1" applyFont="1" applyFill="1" applyBorder="1" applyAlignment="1">
      <alignment horizontal="right" vertical="center" wrapText="1"/>
    </xf>
    <xf numFmtId="166" fontId="84" fillId="12" borderId="94" xfId="1" applyNumberFormat="1" applyFont="1" applyFill="1" applyBorder="1" applyAlignment="1">
      <alignment horizontal="right" vertical="center" wrapText="1"/>
    </xf>
    <xf numFmtId="2" fontId="83" fillId="12" borderId="65" xfId="0" applyNumberFormat="1" applyFont="1" applyFill="1" applyBorder="1" applyAlignment="1">
      <alignment horizontal="right" vertical="center"/>
    </xf>
    <xf numFmtId="2" fontId="86" fillId="12" borderId="68" xfId="0" applyNumberFormat="1" applyFont="1" applyFill="1" applyBorder="1" applyAlignment="1">
      <alignment horizontal="right" vertical="center"/>
    </xf>
    <xf numFmtId="2" fontId="84" fillId="12" borderId="115" xfId="0" applyNumberFormat="1" applyFont="1" applyFill="1" applyBorder="1" applyAlignment="1">
      <alignment horizontal="right" vertical="center"/>
    </xf>
    <xf numFmtId="171" fontId="84" fillId="12" borderId="116" xfId="0" applyNumberFormat="1" applyFont="1" applyFill="1" applyBorder="1" applyAlignment="1">
      <alignment horizontal="right" vertical="center" wrapText="1"/>
    </xf>
    <xf numFmtId="171" fontId="84" fillId="12" borderId="117" xfId="0" applyNumberFormat="1" applyFont="1" applyFill="1" applyBorder="1" applyAlignment="1">
      <alignment horizontal="right" vertical="center" wrapText="1"/>
    </xf>
    <xf numFmtId="0" fontId="89" fillId="0" borderId="0" xfId="0" applyFont="1"/>
    <xf numFmtId="165" fontId="90" fillId="0" borderId="0" xfId="0" applyNumberFormat="1" applyFont="1"/>
    <xf numFmtId="166" fontId="90" fillId="0" borderId="0" xfId="0" applyNumberFormat="1" applyFont="1"/>
    <xf numFmtId="0" fontId="76" fillId="18" borderId="0" xfId="0" applyFont="1" applyFill="1"/>
    <xf numFmtId="0" fontId="9" fillId="5" borderId="27" xfId="0" applyFont="1" applyFill="1" applyBorder="1" applyAlignment="1">
      <alignment horizontal="center"/>
    </xf>
    <xf numFmtId="0" fontId="9" fillId="5" borderId="28" xfId="0" applyFont="1" applyFill="1" applyBorder="1" applyAlignment="1">
      <alignment horizontal="center"/>
    </xf>
    <xf numFmtId="0" fontId="9" fillId="5" borderId="29" xfId="0" applyFont="1" applyFill="1" applyBorder="1" applyAlignment="1">
      <alignment horizontal="center"/>
    </xf>
    <xf numFmtId="0" fontId="11" fillId="5" borderId="28" xfId="0" applyFont="1" applyFill="1" applyBorder="1"/>
    <xf numFmtId="166" fontId="9" fillId="5" borderId="29" xfId="0" applyNumberFormat="1" applyFont="1" applyFill="1" applyBorder="1" applyAlignment="1">
      <alignment horizontal="right" wrapText="1" indent="1"/>
    </xf>
    <xf numFmtId="165" fontId="11" fillId="5" borderId="29" xfId="0" applyNumberFormat="1" applyFont="1" applyFill="1" applyBorder="1" applyAlignment="1">
      <alignment horizontal="right" wrapText="1" indent="1"/>
    </xf>
    <xf numFmtId="0" fontId="91" fillId="0" borderId="0" xfId="0" applyFont="1"/>
    <xf numFmtId="0" fontId="92" fillId="0" borderId="0" xfId="0" applyFont="1"/>
    <xf numFmtId="165" fontId="74" fillId="8" borderId="15" xfId="0" applyNumberFormat="1" applyFont="1" applyFill="1" applyBorder="1" applyAlignment="1">
      <alignment horizontal="right" vertical="center"/>
    </xf>
    <xf numFmtId="165" fontId="74" fillId="0" borderId="15" xfId="0" applyNumberFormat="1" applyFont="1" applyFill="1" applyBorder="1" applyAlignment="1">
      <alignment horizontal="right" vertical="center"/>
    </xf>
    <xf numFmtId="0" fontId="70" fillId="0" borderId="0" xfId="0" applyFont="1" applyFill="1"/>
    <xf numFmtId="169" fontId="74" fillId="0" borderId="13" xfId="1" applyNumberFormat="1" applyFont="1" applyFill="1" applyBorder="1"/>
    <xf numFmtId="169" fontId="74" fillId="0" borderId="14" xfId="1" applyNumberFormat="1" applyFont="1" applyFill="1" applyBorder="1"/>
    <xf numFmtId="169" fontId="74" fillId="0" borderId="19" xfId="1" applyNumberFormat="1" applyFont="1" applyFill="1" applyBorder="1"/>
    <xf numFmtId="0" fontId="69" fillId="0" borderId="0" xfId="0" applyFont="1" applyFill="1" applyAlignment="1"/>
    <xf numFmtId="0" fontId="68" fillId="17" borderId="21" xfId="0" applyFont="1" applyFill="1" applyBorder="1" applyAlignment="1"/>
    <xf numFmtId="0" fontId="77" fillId="17" borderId="21" xfId="0" applyNumberFormat="1" applyFont="1" applyFill="1" applyBorder="1" applyAlignment="1">
      <alignment horizontal="center" vertical="center"/>
    </xf>
    <xf numFmtId="0" fontId="75" fillId="16" borderId="21" xfId="0" applyNumberFormat="1" applyFont="1" applyFill="1" applyBorder="1" applyAlignment="1">
      <alignment horizontal="center" vertical="center"/>
    </xf>
    <xf numFmtId="166" fontId="75" fillId="16" borderId="32" xfId="1" applyNumberFormat="1" applyFont="1" applyFill="1" applyBorder="1" applyAlignment="1">
      <alignment horizontal="center" vertical="center"/>
    </xf>
    <xf numFmtId="0" fontId="9" fillId="7" borderId="31" xfId="0" applyFont="1" applyFill="1" applyBorder="1"/>
    <xf numFmtId="165" fontId="9" fillId="7" borderId="21" xfId="0" applyNumberFormat="1" applyFont="1" applyFill="1" applyBorder="1"/>
    <xf numFmtId="165" fontId="84" fillId="7" borderId="21" xfId="0" applyNumberFormat="1" applyFont="1" applyFill="1" applyBorder="1"/>
    <xf numFmtId="166" fontId="27" fillId="7" borderId="21" xfId="0" applyNumberFormat="1" applyFont="1" applyFill="1" applyBorder="1" applyAlignment="1">
      <alignment horizontal="center"/>
    </xf>
    <xf numFmtId="166" fontId="4" fillId="7" borderId="21" xfId="1" applyNumberFormat="1" applyFont="1" applyFill="1" applyBorder="1" applyAlignment="1">
      <alignment horizontal="center"/>
    </xf>
    <xf numFmtId="168" fontId="9" fillId="7" borderId="21" xfId="0" applyNumberFormat="1" applyFont="1" applyFill="1" applyBorder="1"/>
    <xf numFmtId="168" fontId="84" fillId="7" borderId="21" xfId="0" applyNumberFormat="1" applyFont="1" applyFill="1" applyBorder="1"/>
    <xf numFmtId="0" fontId="68" fillId="16" borderId="21" xfId="0" applyFont="1" applyFill="1" applyBorder="1" applyAlignment="1">
      <alignment horizontal="center"/>
    </xf>
    <xf numFmtId="166" fontId="4" fillId="7" borderId="21" xfId="0" applyNumberFormat="1" applyFont="1" applyFill="1" applyBorder="1" applyAlignment="1">
      <alignment horizontal="center"/>
    </xf>
    <xf numFmtId="0" fontId="1" fillId="7" borderId="21" xfId="0" applyFont="1" applyFill="1" applyBorder="1"/>
    <xf numFmtId="0" fontId="9" fillId="7" borderId="21" xfId="0" applyFont="1" applyFill="1" applyBorder="1"/>
    <xf numFmtId="0" fontId="93" fillId="0" borderId="0" xfId="0" applyFont="1" applyAlignment="1">
      <alignment horizontal="right"/>
    </xf>
    <xf numFmtId="165" fontId="93" fillId="0" borderId="0" xfId="0" applyNumberFormat="1" applyFont="1" applyFill="1"/>
    <xf numFmtId="168" fontId="1" fillId="0" borderId="21" xfId="0" applyNumberFormat="1" applyFont="1" applyBorder="1"/>
    <xf numFmtId="168" fontId="1" fillId="0" borderId="21" xfId="0" applyNumberFormat="1" applyFont="1" applyFill="1" applyBorder="1" applyAlignment="1">
      <alignment horizontal="right"/>
    </xf>
    <xf numFmtId="0" fontId="68" fillId="17" borderId="0" xfId="0" applyFont="1" applyFill="1" applyAlignment="1">
      <alignment horizontal="right"/>
    </xf>
    <xf numFmtId="168" fontId="1" fillId="0" borderId="21" xfId="0" applyNumberFormat="1" applyFont="1" applyFill="1" applyBorder="1"/>
    <xf numFmtId="0" fontId="68" fillId="17" borderId="21" xfId="0" applyFont="1" applyFill="1" applyBorder="1" applyAlignment="1">
      <alignment horizontal="center" vertical="center"/>
    </xf>
    <xf numFmtId="0" fontId="44" fillId="14" borderId="21" xfId="0" applyFont="1" applyFill="1" applyBorder="1"/>
    <xf numFmtId="174" fontId="44" fillId="14" borderId="21" xfId="4" applyNumberFormat="1" applyFont="1" applyFill="1" applyBorder="1"/>
    <xf numFmtId="166" fontId="73" fillId="14" borderId="21" xfId="1" applyNumberFormat="1" applyFont="1" applyFill="1" applyBorder="1"/>
    <xf numFmtId="166" fontId="44" fillId="14" borderId="21" xfId="0" applyNumberFormat="1" applyFont="1" applyFill="1" applyBorder="1"/>
    <xf numFmtId="168" fontId="44" fillId="14" borderId="21" xfId="0" applyNumberFormat="1" applyFont="1" applyFill="1" applyBorder="1"/>
    <xf numFmtId="0" fontId="0" fillId="0" borderId="21" xfId="0" applyFill="1" applyBorder="1"/>
    <xf numFmtId="0" fontId="1" fillId="0" borderId="21" xfId="0" applyFont="1" applyFill="1" applyBorder="1"/>
    <xf numFmtId="0" fontId="6" fillId="0" borderId="21" xfId="0" applyFont="1" applyFill="1" applyBorder="1"/>
    <xf numFmtId="174" fontId="82" fillId="0" borderId="21" xfId="4" applyNumberFormat="1" applyFont="1" applyFill="1" applyBorder="1" applyAlignment="1">
      <alignment horizontal="right"/>
    </xf>
    <xf numFmtId="166" fontId="82" fillId="0" borderId="21" xfId="1" applyNumberFormat="1" applyFont="1" applyFill="1" applyBorder="1"/>
    <xf numFmtId="168" fontId="82" fillId="0" borderId="21" xfId="0" applyNumberFormat="1" applyFont="1" applyFill="1" applyBorder="1"/>
    <xf numFmtId="166" fontId="82" fillId="0" borderId="21" xfId="0" applyNumberFormat="1" applyFont="1" applyFill="1" applyBorder="1"/>
    <xf numFmtId="165" fontId="94" fillId="0" borderId="21" xfId="0" applyNumberFormat="1" applyFont="1" applyFill="1" applyBorder="1"/>
    <xf numFmtId="168" fontId="94" fillId="0" borderId="21" xfId="0" applyNumberFormat="1" applyFont="1" applyFill="1" applyBorder="1"/>
    <xf numFmtId="166" fontId="94" fillId="0" borderId="21" xfId="1" applyNumberFormat="1" applyFont="1" applyFill="1" applyBorder="1"/>
    <xf numFmtId="0" fontId="94" fillId="0" borderId="21" xfId="0" applyNumberFormat="1" applyFont="1" applyFill="1" applyBorder="1"/>
    <xf numFmtId="166" fontId="94" fillId="0" borderId="21" xfId="0" applyNumberFormat="1" applyFont="1" applyFill="1" applyBorder="1"/>
    <xf numFmtId="165" fontId="82" fillId="0" borderId="21" xfId="0" applyNumberFormat="1" applyFont="1" applyFill="1" applyBorder="1"/>
    <xf numFmtId="0" fontId="95" fillId="17" borderId="0" xfId="0" applyFont="1" applyFill="1"/>
    <xf numFmtId="0" fontId="96" fillId="0" borderId="0" xfId="0" applyFont="1"/>
    <xf numFmtId="165" fontId="96" fillId="0" borderId="0" xfId="0" applyNumberFormat="1" applyFont="1"/>
    <xf numFmtId="0" fontId="97" fillId="0" borderId="0" xfId="0" applyFont="1" applyAlignment="1">
      <alignment horizontal="right"/>
    </xf>
    <xf numFmtId="165" fontId="97" fillId="0" borderId="0" xfId="0" applyNumberFormat="1" applyFont="1"/>
    <xf numFmtId="0" fontId="44" fillId="17" borderId="21" xfId="0" applyFont="1" applyFill="1" applyBorder="1" applyAlignment="1">
      <alignment vertical="center" wrapText="1"/>
    </xf>
    <xf numFmtId="0" fontId="44" fillId="17" borderId="21" xfId="0" applyFont="1" applyFill="1" applyBorder="1" applyAlignment="1">
      <alignment horizontal="center" vertical="center"/>
    </xf>
    <xf numFmtId="0" fontId="68" fillId="17" borderId="21" xfId="0" applyFont="1" applyFill="1" applyBorder="1"/>
    <xf numFmtId="0" fontId="79" fillId="0" borderId="21" xfId="0" applyFont="1" applyFill="1" applyBorder="1"/>
    <xf numFmtId="0" fontId="78" fillId="0" borderId="21" xfId="0" applyFont="1" applyFill="1" applyBorder="1" applyAlignment="1">
      <alignment horizontal="left" indent="2"/>
    </xf>
    <xf numFmtId="166" fontId="68" fillId="19" borderId="0" xfId="0" applyNumberFormat="1" applyFont="1" applyFill="1"/>
    <xf numFmtId="166" fontId="75" fillId="19" borderId="21" xfId="1" applyNumberFormat="1" applyFont="1" applyFill="1" applyBorder="1"/>
    <xf numFmtId="168" fontId="44" fillId="17" borderId="21" xfId="0" applyNumberFormat="1" applyFont="1" applyFill="1" applyBorder="1"/>
    <xf numFmtId="166" fontId="44" fillId="15" borderId="0" xfId="0" applyNumberFormat="1" applyFont="1" applyFill="1" applyAlignment="1">
      <alignment horizontal="center" vertical="center"/>
    </xf>
    <xf numFmtId="0" fontId="79" fillId="0" borderId="21" xfId="0" applyFont="1" applyBorder="1"/>
    <xf numFmtId="169" fontId="79" fillId="0" borderId="21" xfId="0" applyNumberFormat="1" applyFont="1" applyBorder="1"/>
    <xf numFmtId="169" fontId="79" fillId="0" borderId="21" xfId="0" applyNumberFormat="1" applyFont="1" applyFill="1" applyBorder="1"/>
    <xf numFmtId="169" fontId="78" fillId="0" borderId="21" xfId="0" applyNumberFormat="1" applyFont="1" applyFill="1" applyBorder="1"/>
    <xf numFmtId="0" fontId="79" fillId="0" borderId="21" xfId="0" applyFont="1" applyFill="1" applyBorder="1" applyAlignment="1">
      <alignment horizontal="left"/>
    </xf>
    <xf numFmtId="0" fontId="8" fillId="0" borderId="21" xfId="0" applyFont="1" applyFill="1" applyBorder="1"/>
    <xf numFmtId="0" fontId="44" fillId="17" borderId="21" xfId="0" applyFont="1" applyFill="1" applyBorder="1" applyAlignment="1">
      <alignment horizontal="center" vertical="center" wrapText="1"/>
    </xf>
    <xf numFmtId="168" fontId="8" fillId="0" borderId="21" xfId="0" applyNumberFormat="1" applyFont="1" applyFill="1" applyBorder="1"/>
    <xf numFmtId="0" fontId="98" fillId="0" borderId="0" xfId="0" applyFont="1" applyFill="1"/>
    <xf numFmtId="0" fontId="99" fillId="0" borderId="0" xfId="0" applyFont="1" applyFill="1"/>
    <xf numFmtId="165" fontId="14" fillId="0" borderId="0" xfId="0" applyNumberFormat="1" applyFont="1" applyFill="1"/>
    <xf numFmtId="165" fontId="15" fillId="0" borderId="0" xfId="0" applyNumberFormat="1" applyFont="1" applyFill="1"/>
    <xf numFmtId="165" fontId="16" fillId="0" borderId="0" xfId="0" applyNumberFormat="1" applyFont="1" applyFill="1"/>
    <xf numFmtId="165" fontId="17" fillId="0" borderId="0" xfId="0" applyNumberFormat="1" applyFont="1" applyFill="1"/>
    <xf numFmtId="0" fontId="9" fillId="0" borderId="0" xfId="0" applyFont="1" applyFill="1" applyAlignment="1">
      <alignment horizontal="center" vertical="center"/>
    </xf>
    <xf numFmtId="0" fontId="9" fillId="0" borderId="0" xfId="0" applyFont="1" applyAlignment="1">
      <alignment horizontal="center" vertical="center"/>
    </xf>
    <xf numFmtId="0" fontId="69" fillId="17" borderId="23" xfId="0" applyFont="1" applyFill="1" applyBorder="1" applyAlignment="1">
      <alignment horizontal="center" vertical="center"/>
    </xf>
    <xf numFmtId="0" fontId="69" fillId="17" borderId="1" xfId="0" applyFont="1" applyFill="1" applyBorder="1" applyAlignment="1">
      <alignment horizontal="center" vertical="center"/>
    </xf>
    <xf numFmtId="0" fontId="69" fillId="17" borderId="26" xfId="0" applyFont="1" applyFill="1" applyBorder="1" applyAlignment="1">
      <alignment horizontal="right" vertical="center"/>
    </xf>
    <xf numFmtId="0" fontId="69" fillId="17" borderId="25" xfId="0" applyFont="1" applyFill="1" applyBorder="1" applyAlignment="1">
      <alignment horizontal="center" vertical="center"/>
    </xf>
    <xf numFmtId="0" fontId="69" fillId="17" borderId="3" xfId="0" applyFont="1" applyFill="1" applyBorder="1" applyAlignment="1">
      <alignment horizontal="center" vertical="center"/>
    </xf>
    <xf numFmtId="0" fontId="69" fillId="17" borderId="21" xfId="0" applyFont="1" applyFill="1" applyBorder="1" applyAlignment="1">
      <alignment horizontal="center" vertical="center"/>
    </xf>
    <xf numFmtId="0" fontId="69" fillId="17" borderId="16" xfId="0" applyFont="1" applyFill="1" applyBorder="1" applyAlignment="1">
      <alignment horizontal="center" vertical="center"/>
    </xf>
    <xf numFmtId="167" fontId="0" fillId="0" borderId="21" xfId="0" applyNumberFormat="1" applyFill="1" applyBorder="1"/>
    <xf numFmtId="4" fontId="0" fillId="0" borderId="21" xfId="0" applyNumberFormat="1" applyFill="1" applyBorder="1"/>
    <xf numFmtId="165" fontId="0" fillId="0" borderId="16" xfId="0" applyNumberFormat="1" applyFill="1" applyBorder="1"/>
    <xf numFmtId="165" fontId="8" fillId="17" borderId="21" xfId="0" applyNumberFormat="1" applyFont="1" applyFill="1" applyBorder="1"/>
    <xf numFmtId="174" fontId="1" fillId="0" borderId="21" xfId="4" applyNumberFormat="1" applyFont="1" applyFill="1" applyBorder="1"/>
    <xf numFmtId="166" fontId="1" fillId="0" borderId="21" xfId="1" applyNumberFormat="1" applyFont="1" applyFill="1" applyBorder="1"/>
    <xf numFmtId="166" fontId="8" fillId="0" borderId="21" xfId="1" applyNumberFormat="1" applyFont="1" applyFill="1" applyBorder="1"/>
    <xf numFmtId="0" fontId="69" fillId="17" borderId="13" xfId="0" applyFont="1" applyFill="1" applyBorder="1" applyAlignment="1">
      <alignment horizontal="center"/>
    </xf>
    <xf numFmtId="0" fontId="69" fillId="17" borderId="2" xfId="0" applyFont="1" applyFill="1" applyBorder="1" applyAlignment="1">
      <alignment horizontal="right" vertical="center"/>
    </xf>
    <xf numFmtId="0" fontId="69" fillId="17" borderId="12" xfId="0" applyFont="1" applyFill="1" applyBorder="1" applyAlignment="1">
      <alignment horizontal="center"/>
    </xf>
    <xf numFmtId="0" fontId="69" fillId="17" borderId="13" xfId="0" applyFont="1" applyFill="1" applyBorder="1" applyAlignment="1">
      <alignment horizontal="center" vertical="center"/>
    </xf>
    <xf numFmtId="0" fontId="69" fillId="17" borderId="24" xfId="0" applyFont="1" applyFill="1" applyBorder="1" applyAlignment="1">
      <alignment horizontal="center" vertical="center"/>
    </xf>
    <xf numFmtId="0" fontId="95" fillId="17" borderId="0" xfId="0" applyFont="1" applyFill="1" applyBorder="1" applyAlignment="1">
      <alignment wrapText="1"/>
    </xf>
    <xf numFmtId="0" fontId="77" fillId="20" borderId="0" xfId="0" applyFont="1" applyFill="1" applyBorder="1" applyAlignment="1">
      <alignment horizontal="center" vertical="center"/>
    </xf>
    <xf numFmtId="0" fontId="9" fillId="5" borderId="21" xfId="0" applyFont="1" applyFill="1" applyBorder="1" applyAlignment="1">
      <alignment horizontal="center"/>
    </xf>
    <xf numFmtId="0" fontId="3" fillId="0" borderId="21" xfId="0" applyFont="1" applyFill="1" applyBorder="1" applyAlignment="1">
      <alignment vertical="center"/>
    </xf>
    <xf numFmtId="0" fontId="1" fillId="0" borderId="21" xfId="0" applyFont="1" applyFill="1" applyBorder="1" applyAlignment="1">
      <alignment vertical="center"/>
    </xf>
    <xf numFmtId="0" fontId="11" fillId="5" borderId="21" xfId="0" applyFont="1" applyFill="1" applyBorder="1"/>
    <xf numFmtId="0" fontId="10" fillId="0" borderId="21" xfId="0" applyFont="1" applyFill="1" applyBorder="1" applyAlignment="1">
      <alignment vertical="center" wrapText="1"/>
    </xf>
    <xf numFmtId="170" fontId="10" fillId="0" borderId="21" xfId="0" applyNumberFormat="1" applyFont="1" applyFill="1" applyBorder="1" applyAlignment="1">
      <alignment horizontal="right" vertical="center" wrapText="1"/>
    </xf>
    <xf numFmtId="170" fontId="83" fillId="0" borderId="21" xfId="0" applyNumberFormat="1" applyFont="1" applyFill="1" applyBorder="1" applyAlignment="1">
      <alignment horizontal="right" vertical="center" wrapText="1"/>
    </xf>
    <xf numFmtId="0" fontId="9" fillId="5" borderId="21" xfId="0" applyFont="1" applyFill="1" applyBorder="1" applyAlignment="1">
      <alignment horizontal="right" vertical="center" wrapText="1"/>
    </xf>
    <xf numFmtId="0" fontId="77" fillId="17" borderId="21" xfId="0" applyFont="1" applyFill="1" applyBorder="1" applyAlignment="1">
      <alignment horizontal="center"/>
    </xf>
    <xf numFmtId="0" fontId="77" fillId="17" borderId="21" xfId="0" applyFont="1" applyFill="1" applyBorder="1" applyAlignment="1">
      <alignment horizontal="center" vertical="center" wrapText="1"/>
    </xf>
    <xf numFmtId="0" fontId="12" fillId="0" borderId="21" xfId="0" applyFont="1" applyBorder="1"/>
    <xf numFmtId="3" fontId="81" fillId="0" borderId="21" xfId="0" applyNumberFormat="1" applyFont="1" applyFill="1" applyBorder="1" applyAlignment="1"/>
    <xf numFmtId="0" fontId="12" fillId="0" borderId="21" xfId="0" applyFont="1" applyBorder="1" applyAlignment="1">
      <alignment wrapText="1"/>
    </xf>
    <xf numFmtId="3" fontId="27" fillId="0" borderId="21" xfId="0" applyNumberFormat="1" applyFont="1" applyFill="1" applyBorder="1" applyAlignment="1">
      <alignment horizontal="right" vertical="center"/>
    </xf>
    <xf numFmtId="0" fontId="4" fillId="0" borderId="21" xfId="0" applyFont="1" applyBorder="1" applyAlignment="1">
      <alignment vertical="center" wrapText="1"/>
    </xf>
    <xf numFmtId="3" fontId="81" fillId="0" borderId="21" xfId="0" applyNumberFormat="1" applyFont="1" applyFill="1" applyBorder="1" applyAlignment="1">
      <alignment vertical="center"/>
    </xf>
    <xf numFmtId="0" fontId="4" fillId="0" borderId="21" xfId="0" applyFont="1" applyBorder="1"/>
    <xf numFmtId="0" fontId="12" fillId="0" borderId="21" xfId="0" applyFont="1" applyFill="1" applyBorder="1"/>
    <xf numFmtId="169" fontId="12" fillId="0" borderId="21" xfId="0" applyNumberFormat="1" applyFont="1" applyFill="1" applyBorder="1" applyAlignment="1">
      <alignment horizontal="center" wrapText="1"/>
    </xf>
    <xf numFmtId="0" fontId="12" fillId="0" borderId="21" xfId="0" applyFont="1" applyFill="1" applyBorder="1" applyAlignment="1">
      <alignment wrapText="1"/>
    </xf>
    <xf numFmtId="0" fontId="12" fillId="0" borderId="21" xfId="0" applyFont="1" applyFill="1" applyBorder="1" applyAlignment="1">
      <alignment vertical="center" wrapText="1"/>
    </xf>
    <xf numFmtId="169" fontId="12" fillId="0" borderId="21" xfId="0" applyNumberFormat="1" applyFont="1" applyFill="1" applyBorder="1" applyAlignment="1">
      <alignment horizontal="center" vertical="center" wrapText="1"/>
    </xf>
    <xf numFmtId="0" fontId="12" fillId="10" borderId="21" xfId="0" applyFont="1" applyFill="1" applyBorder="1" applyAlignment="1">
      <alignment wrapText="1"/>
    </xf>
    <xf numFmtId="169" fontId="12" fillId="10" borderId="21" xfId="0" applyNumberFormat="1" applyFont="1" applyFill="1" applyBorder="1" applyAlignment="1">
      <alignment horizontal="center" wrapText="1"/>
    </xf>
    <xf numFmtId="169" fontId="27" fillId="10" borderId="21" xfId="0" applyNumberFormat="1" applyFont="1" applyFill="1" applyBorder="1" applyAlignment="1">
      <alignment horizontal="center" wrapText="1"/>
    </xf>
    <xf numFmtId="0" fontId="12" fillId="0" borderId="21" xfId="0" applyFont="1" applyFill="1" applyBorder="1" applyAlignment="1">
      <alignment horizontal="left" wrapText="1"/>
    </xf>
    <xf numFmtId="0" fontId="2" fillId="0" borderId="21" xfId="0" applyFont="1" applyBorder="1" applyAlignment="1">
      <alignment horizontal="center" vertical="center"/>
    </xf>
    <xf numFmtId="0" fontId="3" fillId="7" borderId="5" xfId="0" applyFont="1" applyFill="1" applyBorder="1" applyAlignment="1">
      <alignment vertical="center"/>
    </xf>
    <xf numFmtId="169" fontId="79" fillId="7" borderId="21" xfId="1" applyNumberFormat="1" applyFont="1" applyFill="1" applyBorder="1"/>
    <xf numFmtId="0" fontId="1" fillId="0" borderId="7" xfId="0" applyFont="1" applyBorder="1" applyAlignment="1">
      <alignment vertical="center"/>
    </xf>
    <xf numFmtId="0" fontId="1" fillId="0" borderId="11" xfId="0" applyFont="1" applyBorder="1" applyAlignment="1">
      <alignment vertical="center"/>
    </xf>
    <xf numFmtId="166" fontId="76" fillId="15" borderId="0" xfId="1" applyNumberFormat="1" applyFont="1" applyFill="1"/>
    <xf numFmtId="166" fontId="44" fillId="15" borderId="0" xfId="0" applyNumberFormat="1" applyFont="1" applyFill="1"/>
    <xf numFmtId="165" fontId="4" fillId="13" borderId="21" xfId="0" applyNumberFormat="1" applyFont="1" applyFill="1" applyBorder="1"/>
    <xf numFmtId="169" fontId="78" fillId="13" borderId="21" xfId="0" applyNumberFormat="1" applyFont="1" applyFill="1" applyBorder="1"/>
    <xf numFmtId="168" fontId="1" fillId="13" borderId="21" xfId="0" applyNumberFormat="1" applyFont="1" applyFill="1" applyBorder="1"/>
    <xf numFmtId="169" fontId="79" fillId="13" borderId="21" xfId="0" applyNumberFormat="1" applyFont="1" applyFill="1" applyBorder="1"/>
    <xf numFmtId="0" fontId="4" fillId="10" borderId="21" xfId="0" applyFont="1" applyFill="1" applyBorder="1" applyAlignment="1">
      <alignment vertical="center" wrapText="1"/>
    </xf>
    <xf numFmtId="3" fontId="81" fillId="10" borderId="21" xfId="0" applyNumberFormat="1" applyFont="1" applyFill="1" applyBorder="1" applyAlignment="1"/>
    <xf numFmtId="169" fontId="27" fillId="9" borderId="21" xfId="0" applyNumberFormat="1" applyFont="1" applyFill="1" applyBorder="1" applyAlignment="1">
      <alignment horizontal="center" wrapText="1"/>
    </xf>
    <xf numFmtId="169" fontId="27" fillId="9" borderId="21" xfId="0" applyNumberFormat="1" applyFont="1" applyFill="1" applyBorder="1" applyAlignment="1">
      <alignment horizontal="center" vertical="center" wrapText="1"/>
    </xf>
    <xf numFmtId="165" fontId="18" fillId="21" borderId="0" xfId="0" applyNumberFormat="1" applyFont="1" applyFill="1"/>
    <xf numFmtId="165" fontId="20" fillId="21" borderId="0" xfId="0" applyNumberFormat="1" applyFont="1" applyFill="1"/>
    <xf numFmtId="165" fontId="22" fillId="21" borderId="0" xfId="0" applyNumberFormat="1" applyFont="1" applyFill="1"/>
    <xf numFmtId="165" fontId="37" fillId="21" borderId="0" xfId="0" applyNumberFormat="1" applyFont="1" applyFill="1"/>
    <xf numFmtId="3" fontId="27" fillId="0" borderId="21" xfId="0" applyNumberFormat="1" applyFont="1" applyFill="1" applyBorder="1" applyAlignment="1">
      <alignment horizontal="center" vertical="center"/>
    </xf>
    <xf numFmtId="3" fontId="27" fillId="12" borderId="21" xfId="0" applyNumberFormat="1" applyFont="1" applyFill="1" applyBorder="1" applyAlignment="1">
      <alignment horizontal="center" vertical="center"/>
    </xf>
    <xf numFmtId="3" fontId="81" fillId="0" borderId="21" xfId="0" applyNumberFormat="1" applyFont="1" applyFill="1" applyBorder="1" applyAlignment="1">
      <alignment horizontal="center" vertical="center"/>
    </xf>
    <xf numFmtId="3" fontId="81" fillId="12" borderId="21" xfId="0" applyNumberFormat="1" applyFont="1" applyFill="1" applyBorder="1" applyAlignment="1">
      <alignment horizontal="center" vertical="center"/>
    </xf>
    <xf numFmtId="3" fontId="81" fillId="10" borderId="21" xfId="0" applyNumberFormat="1" applyFont="1" applyFill="1" applyBorder="1" applyAlignment="1">
      <alignment horizontal="center" vertical="center"/>
    </xf>
    <xf numFmtId="0" fontId="0" fillId="0" borderId="0" xfId="0" applyAlignment="1">
      <alignment horizontal="center" vertical="center"/>
    </xf>
    <xf numFmtId="165" fontId="1" fillId="0" borderId="15" xfId="0" applyNumberFormat="1" applyFont="1" applyFill="1" applyBorder="1" applyAlignment="1">
      <alignment horizontal="right" vertical="center"/>
    </xf>
    <xf numFmtId="165" fontId="1" fillId="0" borderId="16" xfId="0" applyNumberFormat="1" applyFont="1" applyFill="1" applyBorder="1" applyAlignment="1">
      <alignment horizontal="right" vertical="center"/>
    </xf>
    <xf numFmtId="165" fontId="1" fillId="0" borderId="22" xfId="0" applyNumberFormat="1" applyFont="1" applyFill="1" applyBorder="1" applyAlignment="1">
      <alignment horizontal="right" vertical="center"/>
    </xf>
    <xf numFmtId="165" fontId="1" fillId="0" borderId="18" xfId="0" applyNumberFormat="1" applyFont="1" applyFill="1" applyBorder="1" applyAlignment="1">
      <alignment horizontal="right" vertical="center"/>
    </xf>
    <xf numFmtId="165" fontId="1" fillId="0" borderId="17" xfId="0" applyNumberFormat="1" applyFont="1" applyFill="1" applyBorder="1" applyAlignment="1">
      <alignment horizontal="right" vertical="center"/>
    </xf>
    <xf numFmtId="165" fontId="1" fillId="0" borderId="31" xfId="0" applyNumberFormat="1" applyFont="1" applyFill="1" applyBorder="1" applyAlignment="1">
      <alignment horizontal="right" vertical="center"/>
    </xf>
    <xf numFmtId="165" fontId="1" fillId="0" borderId="96" xfId="0" applyNumberFormat="1" applyFont="1" applyFill="1" applyBorder="1" applyAlignment="1">
      <alignment horizontal="right" vertical="center"/>
    </xf>
    <xf numFmtId="167" fontId="1" fillId="0" borderId="15" xfId="0" applyNumberFormat="1" applyFont="1" applyFill="1" applyBorder="1" applyAlignment="1">
      <alignment horizontal="right" vertical="center"/>
    </xf>
    <xf numFmtId="167" fontId="1" fillId="0" borderId="17" xfId="0" applyNumberFormat="1" applyFont="1" applyFill="1" applyBorder="1" applyAlignment="1">
      <alignment horizontal="right" vertical="center"/>
    </xf>
    <xf numFmtId="167" fontId="1" fillId="0" borderId="18" xfId="0" applyNumberFormat="1" applyFont="1" applyFill="1" applyBorder="1" applyAlignment="1">
      <alignment horizontal="right" vertical="center"/>
    </xf>
    <xf numFmtId="167" fontId="1" fillId="0" borderId="31" xfId="0" applyNumberFormat="1" applyFont="1" applyFill="1" applyBorder="1" applyAlignment="1">
      <alignment horizontal="right" vertical="center"/>
    </xf>
    <xf numFmtId="167" fontId="1" fillId="0" borderId="16" xfId="0" applyNumberFormat="1" applyFont="1" applyFill="1" applyBorder="1" applyAlignment="1">
      <alignment vertical="center"/>
    </xf>
    <xf numFmtId="165" fontId="100" fillId="21" borderId="0" xfId="0" applyNumberFormat="1" applyFont="1" applyFill="1"/>
    <xf numFmtId="165" fontId="101" fillId="21" borderId="0" xfId="0" applyNumberFormat="1" applyFont="1" applyFill="1"/>
    <xf numFmtId="165" fontId="102" fillId="0" borderId="0" xfId="0" applyNumberFormat="1" applyFont="1" applyFill="1"/>
    <xf numFmtId="165" fontId="103" fillId="21" borderId="0" xfId="0" applyNumberFormat="1" applyFont="1" applyFill="1"/>
    <xf numFmtId="165" fontId="104" fillId="21" borderId="0" xfId="0" applyNumberFormat="1" applyFont="1" applyFill="1"/>
    <xf numFmtId="165" fontId="33" fillId="0" borderId="0" xfId="0" applyNumberFormat="1" applyFont="1" applyFill="1"/>
    <xf numFmtId="165" fontId="10" fillId="8" borderId="21" xfId="0" applyNumberFormat="1" applyFont="1" applyFill="1" applyBorder="1"/>
    <xf numFmtId="165" fontId="83" fillId="0" borderId="21" xfId="0" applyNumberFormat="1" applyFont="1" applyFill="1" applyBorder="1"/>
    <xf numFmtId="168" fontId="83" fillId="0" borderId="21" xfId="0" applyNumberFormat="1" applyFont="1" applyFill="1" applyBorder="1"/>
    <xf numFmtId="1" fontId="95" fillId="17" borderId="0" xfId="0" applyNumberFormat="1" applyFont="1" applyFill="1" applyAlignment="1">
      <alignment horizontal="center"/>
    </xf>
    <xf numFmtId="3" fontId="105" fillId="0" borderId="44" xfId="0" applyNumberFormat="1" applyFont="1" applyBorder="1" applyAlignment="1">
      <alignment horizontal="right" vertical="center"/>
    </xf>
    <xf numFmtId="3" fontId="105" fillId="12" borderId="45" xfId="0" applyNumberFormat="1" applyFont="1" applyFill="1" applyBorder="1" applyAlignment="1">
      <alignment horizontal="right" vertical="center"/>
    </xf>
    <xf numFmtId="3" fontId="105" fillId="12" borderId="47" xfId="0" applyNumberFormat="1" applyFont="1" applyFill="1" applyBorder="1" applyAlignment="1">
      <alignment horizontal="right" vertical="center"/>
    </xf>
    <xf numFmtId="3" fontId="105" fillId="0" borderId="45" xfId="0" applyNumberFormat="1" applyFont="1" applyBorder="1" applyAlignment="1">
      <alignment horizontal="right" vertical="center"/>
    </xf>
    <xf numFmtId="3" fontId="105" fillId="12" borderId="44" xfId="0" applyNumberFormat="1" applyFont="1" applyFill="1" applyBorder="1" applyAlignment="1">
      <alignment horizontal="right" vertical="center"/>
    </xf>
    <xf numFmtId="165" fontId="105" fillId="9" borderId="45" xfId="0" applyNumberFormat="1" applyFont="1" applyFill="1" applyBorder="1" applyAlignment="1">
      <alignment horizontal="right" vertical="center"/>
    </xf>
    <xf numFmtId="165" fontId="105" fillId="12" borderId="45" xfId="0" applyNumberFormat="1" applyFont="1" applyFill="1" applyBorder="1" applyAlignment="1">
      <alignment horizontal="right" vertical="center"/>
    </xf>
    <xf numFmtId="165" fontId="105" fillId="12" borderId="75" xfId="0" applyNumberFormat="1" applyFont="1" applyFill="1" applyBorder="1" applyAlignment="1">
      <alignment horizontal="right" vertical="center"/>
    </xf>
    <xf numFmtId="165" fontId="106" fillId="12" borderId="45" xfId="0" applyNumberFormat="1" applyFont="1" applyFill="1" applyBorder="1" applyAlignment="1">
      <alignment horizontal="right" vertical="center"/>
    </xf>
    <xf numFmtId="165" fontId="105" fillId="12" borderId="73" xfId="0" applyNumberFormat="1" applyFont="1" applyFill="1" applyBorder="1" applyAlignment="1">
      <alignment horizontal="right" vertical="center"/>
    </xf>
    <xf numFmtId="165" fontId="105" fillId="12" borderId="74" xfId="0" applyNumberFormat="1" applyFont="1" applyFill="1" applyBorder="1" applyAlignment="1">
      <alignment horizontal="right" vertical="center"/>
    </xf>
    <xf numFmtId="165" fontId="107" fillId="12" borderId="51" xfId="0" applyNumberFormat="1" applyFont="1" applyFill="1" applyBorder="1" applyAlignment="1">
      <alignment horizontal="right" vertical="center"/>
    </xf>
    <xf numFmtId="3" fontId="105" fillId="0" borderId="45" xfId="0" applyNumberFormat="1" applyFont="1" applyFill="1" applyBorder="1" applyAlignment="1">
      <alignment horizontal="right" vertical="center"/>
    </xf>
    <xf numFmtId="3" fontId="106" fillId="0" borderId="50" xfId="3" applyNumberFormat="1" applyFont="1" applyFill="1" applyBorder="1" applyAlignment="1">
      <alignment horizontal="right" vertical="center"/>
    </xf>
    <xf numFmtId="3" fontId="106" fillId="12" borderId="50" xfId="3" applyNumberFormat="1" applyFont="1" applyFill="1" applyBorder="1" applyAlignment="1">
      <alignment horizontal="right" vertical="center"/>
    </xf>
    <xf numFmtId="3" fontId="105" fillId="0" borderId="44" xfId="0" applyNumberFormat="1" applyFont="1" applyFill="1" applyBorder="1" applyAlignment="1">
      <alignment horizontal="right" vertical="center"/>
    </xf>
    <xf numFmtId="3" fontId="106" fillId="0" borderId="107" xfId="3" applyNumberFormat="1" applyFont="1" applyFill="1" applyBorder="1" applyAlignment="1">
      <alignment horizontal="right" vertical="center"/>
    </xf>
    <xf numFmtId="3" fontId="106" fillId="12" borderId="107" xfId="3" applyNumberFormat="1" applyFont="1" applyFill="1" applyBorder="1" applyAlignment="1">
      <alignment horizontal="right" vertical="center"/>
    </xf>
    <xf numFmtId="3" fontId="108" fillId="0" borderId="120" xfId="3" applyNumberFormat="1" applyFont="1" applyFill="1" applyBorder="1" applyAlignment="1">
      <alignment horizontal="right" vertical="center"/>
    </xf>
    <xf numFmtId="3" fontId="108" fillId="0" borderId="121" xfId="3" applyNumberFormat="1" applyFont="1" applyFill="1" applyBorder="1" applyAlignment="1">
      <alignment horizontal="right" vertical="center"/>
    </xf>
    <xf numFmtId="3" fontId="108" fillId="12" borderId="121" xfId="3" applyNumberFormat="1" applyFont="1" applyFill="1" applyBorder="1" applyAlignment="1">
      <alignment horizontal="right" vertical="center"/>
    </xf>
    <xf numFmtId="3" fontId="108" fillId="0" borderId="77" xfId="3" applyNumberFormat="1" applyFont="1" applyFill="1" applyBorder="1" applyAlignment="1">
      <alignment horizontal="right" vertical="center"/>
    </xf>
    <xf numFmtId="3" fontId="108" fillId="12" borderId="77" xfId="3" applyNumberFormat="1" applyFont="1" applyFill="1" applyBorder="1" applyAlignment="1">
      <alignment horizontal="right" vertical="center"/>
    </xf>
    <xf numFmtId="3" fontId="108" fillId="0" borderId="79" xfId="3" applyNumberFormat="1" applyFont="1" applyFill="1" applyBorder="1" applyAlignment="1">
      <alignment horizontal="right" vertical="center"/>
    </xf>
    <xf numFmtId="3" fontId="108" fillId="12" borderId="79" xfId="3" applyNumberFormat="1" applyFont="1" applyFill="1" applyBorder="1" applyAlignment="1">
      <alignment horizontal="right" vertical="center"/>
    </xf>
    <xf numFmtId="165" fontId="109" fillId="13" borderId="21" xfId="0" applyNumberFormat="1" applyFont="1" applyFill="1" applyBorder="1"/>
    <xf numFmtId="166" fontId="110" fillId="19" borderId="21" xfId="1" applyNumberFormat="1" applyFont="1" applyFill="1" applyBorder="1"/>
    <xf numFmtId="169" fontId="109" fillId="13" borderId="21" xfId="0" applyNumberFormat="1" applyFont="1" applyFill="1" applyBorder="1"/>
    <xf numFmtId="169" fontId="109" fillId="0" borderId="21" xfId="0" applyNumberFormat="1" applyFont="1" applyFill="1" applyBorder="1"/>
    <xf numFmtId="168" fontId="1" fillId="22" borderId="21" xfId="0" applyNumberFormat="1" applyFont="1" applyFill="1" applyBorder="1"/>
    <xf numFmtId="170" fontId="10" fillId="0" borderId="4" xfId="0" applyNumberFormat="1" applyFont="1" applyFill="1" applyBorder="1" applyAlignment="1">
      <alignment horizontal="right" vertical="center" wrapText="1"/>
    </xf>
    <xf numFmtId="170" fontId="9" fillId="5" borderId="4" xfId="0" applyNumberFormat="1" applyFont="1" applyFill="1" applyBorder="1" applyAlignment="1">
      <alignment horizontal="right" vertical="center" wrapText="1"/>
    </xf>
    <xf numFmtId="170" fontId="83" fillId="0" borderId="125" xfId="0" applyNumberFormat="1" applyFont="1" applyFill="1" applyBorder="1" applyAlignment="1">
      <alignment horizontal="right" vertical="center" wrapText="1"/>
    </xf>
    <xf numFmtId="170" fontId="10" fillId="0" borderId="127" xfId="0" applyNumberFormat="1" applyFont="1" applyFill="1" applyBorder="1" applyAlignment="1">
      <alignment horizontal="right" vertical="center" wrapText="1"/>
    </xf>
    <xf numFmtId="170" fontId="10" fillId="0" borderId="128" xfId="0" applyNumberFormat="1" applyFont="1" applyFill="1" applyBorder="1" applyAlignment="1">
      <alignment horizontal="right" vertical="center" wrapText="1"/>
    </xf>
    <xf numFmtId="170" fontId="9" fillId="5" borderId="129" xfId="0" applyNumberFormat="1" applyFont="1" applyFill="1" applyBorder="1" applyAlignment="1">
      <alignment horizontal="right" vertical="center" wrapText="1"/>
    </xf>
    <xf numFmtId="170" fontId="10" fillId="0" borderId="133" xfId="0" applyNumberFormat="1" applyFont="1" applyFill="1" applyBorder="1" applyAlignment="1">
      <alignment horizontal="right" vertical="center" wrapText="1"/>
    </xf>
    <xf numFmtId="170" fontId="10" fillId="0" borderId="134" xfId="0" applyNumberFormat="1" applyFont="1" applyFill="1" applyBorder="1" applyAlignment="1">
      <alignment horizontal="right" vertical="center" wrapText="1"/>
    </xf>
    <xf numFmtId="170" fontId="83" fillId="0" borderId="133" xfId="0" applyNumberFormat="1" applyFont="1" applyFill="1" applyBorder="1" applyAlignment="1">
      <alignment horizontal="right" vertical="center" wrapText="1"/>
    </xf>
    <xf numFmtId="170" fontId="83" fillId="0" borderId="134" xfId="0" applyNumberFormat="1" applyFont="1" applyFill="1" applyBorder="1" applyAlignment="1">
      <alignment horizontal="right" vertical="center" wrapText="1"/>
    </xf>
    <xf numFmtId="170" fontId="83" fillId="0" borderId="135" xfId="0" applyNumberFormat="1" applyFont="1" applyFill="1" applyBorder="1" applyAlignment="1">
      <alignment horizontal="right" vertical="center" wrapText="1"/>
    </xf>
    <xf numFmtId="170" fontId="83" fillId="0" borderId="136" xfId="0" applyNumberFormat="1" applyFont="1" applyFill="1" applyBorder="1" applyAlignment="1">
      <alignment horizontal="right" vertical="center" wrapText="1"/>
    </xf>
    <xf numFmtId="170" fontId="9" fillId="5" borderId="137" xfId="0" applyNumberFormat="1" applyFont="1" applyFill="1" applyBorder="1" applyAlignment="1">
      <alignment horizontal="right" vertical="center" wrapText="1"/>
    </xf>
    <xf numFmtId="170" fontId="9" fillId="5" borderId="138" xfId="0" applyNumberFormat="1" applyFont="1" applyFill="1" applyBorder="1" applyAlignment="1">
      <alignment horizontal="right" vertical="center" wrapText="1"/>
    </xf>
    <xf numFmtId="170" fontId="9" fillId="5" borderId="139" xfId="0" applyNumberFormat="1" applyFont="1" applyFill="1" applyBorder="1" applyAlignment="1">
      <alignment horizontal="right" vertical="center" wrapText="1"/>
    </xf>
    <xf numFmtId="166" fontId="33" fillId="0" borderId="0" xfId="1" applyNumberFormat="1" applyFont="1" applyFill="1"/>
    <xf numFmtId="0" fontId="0" fillId="0" borderId="140" xfId="0" applyBorder="1"/>
    <xf numFmtId="0" fontId="0" fillId="0" borderId="141" xfId="0" applyBorder="1"/>
    <xf numFmtId="0" fontId="0" fillId="7" borderId="0" xfId="0" applyFill="1"/>
    <xf numFmtId="0" fontId="0" fillId="0" borderId="143" xfId="0" applyBorder="1"/>
    <xf numFmtId="0" fontId="0" fillId="0" borderId="144" xfId="0" applyBorder="1"/>
    <xf numFmtId="0" fontId="113" fillId="0" borderId="143" xfId="0" applyFont="1" applyBorder="1" applyAlignment="1">
      <alignment horizontal="center"/>
    </xf>
    <xf numFmtId="0" fontId="113" fillId="0" borderId="144" xfId="0" applyFont="1" applyBorder="1" applyAlignment="1">
      <alignment horizontal="center"/>
    </xf>
    <xf numFmtId="0" fontId="111" fillId="0" borderId="143" xfId="0" applyFont="1" applyBorder="1"/>
    <xf numFmtId="0" fontId="114" fillId="0" borderId="143" xfId="0" applyFont="1" applyBorder="1" applyAlignment="1">
      <alignment vertical="center"/>
    </xf>
    <xf numFmtId="0" fontId="117" fillId="0" borderId="143" xfId="6" applyFont="1" applyBorder="1" applyAlignment="1" applyProtection="1">
      <alignment vertical="center"/>
    </xf>
    <xf numFmtId="0" fontId="78" fillId="0" borderId="143" xfId="0" applyFont="1" applyBorder="1" applyAlignment="1">
      <alignment vertical="center"/>
    </xf>
    <xf numFmtId="0" fontId="112" fillId="0" borderId="143" xfId="6" applyBorder="1" applyAlignment="1" applyProtection="1">
      <alignment vertical="center"/>
    </xf>
    <xf numFmtId="0" fontId="1" fillId="0" borderId="143" xfId="6" applyFont="1" applyBorder="1" applyAlignment="1" applyProtection="1">
      <alignment vertical="center"/>
    </xf>
    <xf numFmtId="0" fontId="1" fillId="0" borderId="143" xfId="0" applyFont="1" applyBorder="1" applyAlignment="1">
      <alignment vertical="center"/>
    </xf>
    <xf numFmtId="0" fontId="0" fillId="0" borderId="145" xfId="0" applyBorder="1"/>
    <xf numFmtId="0" fontId="0" fillId="0" borderId="146" xfId="0" applyBorder="1"/>
    <xf numFmtId="0" fontId="0" fillId="0" borderId="147" xfId="0" applyBorder="1"/>
    <xf numFmtId="17" fontId="118" fillId="0" borderId="142" xfId="0" quotePrefix="1" applyNumberFormat="1" applyFont="1" applyBorder="1" applyAlignment="1">
      <alignment horizontal="right"/>
    </xf>
    <xf numFmtId="0" fontId="0" fillId="0" borderId="0" xfId="0" applyBorder="1"/>
    <xf numFmtId="0" fontId="113" fillId="0" borderId="0" xfId="0" applyFont="1" applyBorder="1" applyAlignment="1">
      <alignment horizontal="center"/>
    </xf>
    <xf numFmtId="0" fontId="1" fillId="0" borderId="0" xfId="0" applyFont="1" applyBorder="1"/>
    <xf numFmtId="0" fontId="119" fillId="0" borderId="143" xfId="0" applyFont="1" applyBorder="1" applyAlignment="1">
      <alignment horizontal="center"/>
    </xf>
    <xf numFmtId="0" fontId="119" fillId="0" borderId="0" xfId="0" applyFont="1" applyBorder="1" applyAlignment="1">
      <alignment horizontal="center"/>
    </xf>
    <xf numFmtId="0" fontId="119" fillId="0" borderId="144" xfId="0" applyFont="1" applyBorder="1" applyAlignment="1">
      <alignment horizontal="center"/>
    </xf>
    <xf numFmtId="0" fontId="77" fillId="17" borderId="21" xfId="0" applyFont="1" applyFill="1" applyBorder="1" applyAlignment="1">
      <alignment horizontal="center" vertical="center"/>
    </xf>
    <xf numFmtId="0" fontId="77" fillId="17" borderId="21" xfId="0" applyFont="1" applyFill="1" applyBorder="1" applyAlignment="1">
      <alignment horizontal="center" vertical="center" wrapText="1"/>
    </xf>
    <xf numFmtId="0" fontId="69" fillId="17" borderId="21" xfId="0" applyFont="1" applyFill="1" applyBorder="1" applyAlignment="1">
      <alignment horizontal="center" vertical="center"/>
    </xf>
    <xf numFmtId="0" fontId="69" fillId="17" borderId="6" xfId="0" applyFont="1" applyFill="1" applyBorder="1" applyAlignment="1">
      <alignment horizontal="center" vertical="center"/>
    </xf>
    <xf numFmtId="0" fontId="69" fillId="17" borderId="23" xfId="0" applyFont="1" applyFill="1" applyBorder="1" applyAlignment="1">
      <alignment horizontal="center" vertical="center"/>
    </xf>
    <xf numFmtId="0" fontId="69" fillId="17" borderId="36" xfId="0" applyFont="1" applyFill="1" applyBorder="1" applyAlignment="1">
      <alignment horizontal="center" vertical="center"/>
    </xf>
    <xf numFmtId="0" fontId="69" fillId="17" borderId="33" xfId="0" applyFont="1" applyFill="1" applyBorder="1" applyAlignment="1">
      <alignment horizontal="center" vertical="center"/>
    </xf>
    <xf numFmtId="0" fontId="69" fillId="17" borderId="24" xfId="0" applyFont="1" applyFill="1" applyBorder="1" applyAlignment="1">
      <alignment horizontal="center" vertical="center"/>
    </xf>
    <xf numFmtId="0" fontId="5" fillId="2" borderId="21" xfId="0" applyFont="1" applyFill="1" applyBorder="1" applyAlignment="1">
      <alignment horizontal="center"/>
    </xf>
    <xf numFmtId="0" fontId="5" fillId="2" borderId="4" xfId="0" applyFont="1" applyFill="1" applyBorder="1" applyAlignment="1">
      <alignment horizontal="center"/>
    </xf>
    <xf numFmtId="0" fontId="69" fillId="17" borderId="13" xfId="0" applyFont="1" applyFill="1" applyBorder="1" applyAlignment="1">
      <alignment horizontal="center"/>
    </xf>
    <xf numFmtId="0" fontId="69" fillId="17" borderId="36" xfId="0" applyFont="1" applyFill="1" applyBorder="1" applyAlignment="1">
      <alignment horizontal="center"/>
    </xf>
    <xf numFmtId="0" fontId="69" fillId="17" borderId="33" xfId="0" applyFont="1" applyFill="1" applyBorder="1" applyAlignment="1">
      <alignment horizontal="center"/>
    </xf>
    <xf numFmtId="0" fontId="69" fillId="17" borderId="24" xfId="0" applyFont="1" applyFill="1" applyBorder="1" applyAlignment="1">
      <alignment horizontal="center"/>
    </xf>
    <xf numFmtId="0" fontId="69" fillId="17" borderId="4" xfId="0" applyFont="1" applyFill="1" applyBorder="1" applyAlignment="1">
      <alignment horizontal="center" vertical="center"/>
    </xf>
    <xf numFmtId="0" fontId="69" fillId="17" borderId="5" xfId="0" applyFont="1" applyFill="1" applyBorder="1" applyAlignment="1">
      <alignment horizontal="center" vertical="center"/>
    </xf>
    <xf numFmtId="0" fontId="69" fillId="17" borderId="37" xfId="0" applyFont="1" applyFill="1" applyBorder="1" applyAlignment="1">
      <alignment horizontal="center" vertical="center"/>
    </xf>
    <xf numFmtId="0" fontId="44" fillId="11" borderId="0" xfId="0" applyFont="1" applyFill="1" applyAlignment="1">
      <alignment horizontal="left"/>
    </xf>
    <xf numFmtId="0" fontId="44" fillId="15" borderId="0" xfId="0" applyFont="1" applyFill="1" applyAlignment="1">
      <alignment horizontal="left"/>
    </xf>
    <xf numFmtId="0" fontId="8" fillId="0" borderId="16" xfId="0" applyFont="1" applyFill="1" applyBorder="1" applyAlignment="1">
      <alignment horizontal="center" vertical="center"/>
    </xf>
    <xf numFmtId="0" fontId="8" fillId="0" borderId="12" xfId="0" applyFont="1" applyFill="1" applyBorder="1" applyAlignment="1">
      <alignment horizontal="center" vertical="center"/>
    </xf>
    <xf numFmtId="0" fontId="44" fillId="17" borderId="21" xfId="0" applyFont="1" applyFill="1" applyBorder="1" applyAlignment="1">
      <alignment horizontal="center"/>
    </xf>
    <xf numFmtId="0" fontId="68" fillId="17" borderId="21" xfId="0" applyFont="1" applyFill="1" applyBorder="1" applyAlignment="1"/>
    <xf numFmtId="0" fontId="68" fillId="17" borderId="21" xfId="0" applyFont="1" applyFill="1" applyBorder="1" applyAlignment="1">
      <alignment horizontal="center"/>
    </xf>
    <xf numFmtId="3" fontId="44" fillId="16" borderId="21" xfId="0" applyNumberFormat="1" applyFont="1" applyFill="1" applyBorder="1" applyAlignment="1">
      <alignment horizontal="center"/>
    </xf>
    <xf numFmtId="0" fontId="68" fillId="17" borderId="16" xfId="0" applyFont="1" applyFill="1" applyBorder="1" applyAlignment="1">
      <alignment horizontal="center" vertical="center"/>
    </xf>
    <xf numFmtId="0" fontId="68" fillId="17" borderId="12" xfId="0" applyFont="1" applyFill="1" applyBorder="1" applyAlignment="1">
      <alignment horizontal="center" vertical="center"/>
    </xf>
    <xf numFmtId="0" fontId="76" fillId="15" borderId="0" xfId="0" applyFont="1" applyFill="1" applyAlignment="1">
      <alignment horizontal="left"/>
    </xf>
    <xf numFmtId="0" fontId="2" fillId="0" borderId="21" xfId="0" applyFont="1" applyBorder="1" applyAlignment="1">
      <alignment horizontal="center"/>
    </xf>
    <xf numFmtId="0" fontId="2" fillId="0" borderId="21" xfId="0" applyFont="1" applyFill="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3" xfId="0" applyFont="1" applyBorder="1" applyAlignment="1">
      <alignment horizontal="center"/>
    </xf>
    <xf numFmtId="0" fontId="9" fillId="5" borderId="131"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32" xfId="0" applyFont="1" applyFill="1" applyBorder="1" applyAlignment="1">
      <alignment horizontal="center" vertical="center" wrapText="1"/>
    </xf>
    <xf numFmtId="0" fontId="9" fillId="5" borderId="134" xfId="0" applyFont="1" applyFill="1" applyBorder="1" applyAlignment="1">
      <alignment horizontal="center" vertical="center" wrapText="1"/>
    </xf>
    <xf numFmtId="0" fontId="41" fillId="0" borderId="21"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5" borderId="126" xfId="0" applyFont="1" applyFill="1" applyBorder="1" applyAlignment="1">
      <alignment horizontal="center" vertical="center" wrapText="1"/>
    </xf>
    <xf numFmtId="0" fontId="9" fillId="5" borderId="127" xfId="0" applyFont="1" applyFill="1" applyBorder="1" applyAlignment="1">
      <alignment horizontal="center" vertical="center" wrapText="1"/>
    </xf>
    <xf numFmtId="0" fontId="9" fillId="5" borderId="130" xfId="0" applyFont="1" applyFill="1" applyBorder="1" applyAlignment="1">
      <alignment horizontal="center" vertical="center" wrapText="1"/>
    </xf>
    <xf numFmtId="0" fontId="9" fillId="5" borderId="133" xfId="0" applyFont="1" applyFill="1" applyBorder="1" applyAlignment="1">
      <alignment horizontal="center" vertical="center" wrapText="1"/>
    </xf>
    <xf numFmtId="0" fontId="9" fillId="5" borderId="21" xfId="0" applyFont="1" applyFill="1" applyBorder="1" applyAlignment="1">
      <alignment horizontal="center" wrapText="1"/>
    </xf>
    <xf numFmtId="0" fontId="9" fillId="5" borderId="21" xfId="0" applyFont="1" applyFill="1" applyBorder="1" applyAlignment="1">
      <alignment horizontal="center"/>
    </xf>
    <xf numFmtId="0" fontId="9" fillId="5" borderId="34" xfId="0" applyFont="1" applyFill="1" applyBorder="1" applyAlignment="1">
      <alignment horizontal="center"/>
    </xf>
    <xf numFmtId="0" fontId="9" fillId="5" borderId="35" xfId="0" applyFont="1" applyFill="1" applyBorder="1" applyAlignment="1">
      <alignment horizontal="center"/>
    </xf>
    <xf numFmtId="0" fontId="9" fillId="5" borderId="30" xfId="0" applyFont="1" applyFill="1" applyBorder="1" applyAlignment="1">
      <alignment horizontal="center"/>
    </xf>
    <xf numFmtId="0" fontId="9" fillId="5" borderId="27" xfId="0" applyFont="1" applyFill="1" applyBorder="1" applyAlignment="1">
      <alignment horizontal="center" wrapText="1"/>
    </xf>
    <xf numFmtId="0" fontId="9" fillId="5" borderId="28" xfId="0" applyFont="1" applyFill="1" applyBorder="1" applyAlignment="1">
      <alignment horizontal="center" wrapText="1"/>
    </xf>
    <xf numFmtId="0" fontId="87" fillId="0" borderId="56" xfId="0" applyFont="1" applyFill="1" applyBorder="1" applyAlignment="1">
      <alignment horizontal="center" vertical="center" wrapText="1"/>
    </xf>
    <xf numFmtId="0" fontId="87" fillId="0" borderId="62" xfId="0" applyFont="1" applyFill="1" applyBorder="1" applyAlignment="1">
      <alignment horizontal="center" vertical="center" wrapText="1"/>
    </xf>
    <xf numFmtId="0" fontId="10" fillId="0" borderId="63" xfId="0" applyFont="1" applyBorder="1" applyAlignment="1">
      <alignment horizontal="left" vertical="center"/>
    </xf>
    <xf numFmtId="0" fontId="10" fillId="0" borderId="66" xfId="0" applyFont="1" applyBorder="1" applyAlignment="1">
      <alignment horizontal="left" vertical="center"/>
    </xf>
    <xf numFmtId="0" fontId="10" fillId="0" borderId="67" xfId="0" applyFont="1" applyBorder="1" applyAlignment="1">
      <alignment horizontal="left" vertical="center"/>
    </xf>
    <xf numFmtId="0" fontId="17" fillId="0" borderId="56"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122" xfId="0" applyFont="1" applyBorder="1" applyAlignment="1">
      <alignment horizontal="center" vertical="center"/>
    </xf>
    <xf numFmtId="0" fontId="9" fillId="0" borderId="123" xfId="0" applyFont="1" applyBorder="1" applyAlignment="1">
      <alignment horizontal="center" vertical="center"/>
    </xf>
    <xf numFmtId="0" fontId="85" fillId="17" borderId="52" xfId="0" applyFont="1" applyFill="1" applyBorder="1" applyAlignment="1">
      <alignment horizontal="center" vertical="center"/>
    </xf>
    <xf numFmtId="0" fontId="85" fillId="17" borderId="82" xfId="0" applyFont="1" applyFill="1" applyBorder="1" applyAlignment="1">
      <alignment horizontal="center" vertical="center"/>
    </xf>
    <xf numFmtId="0" fontId="85" fillId="17" borderId="53" xfId="0" applyFont="1" applyFill="1" applyBorder="1" applyAlignment="1">
      <alignment horizontal="center" vertical="center"/>
    </xf>
    <xf numFmtId="0" fontId="56" fillId="0" borderId="43" xfId="3" applyFont="1" applyBorder="1" applyAlignment="1">
      <alignment horizontal="left" vertical="center"/>
    </xf>
    <xf numFmtId="0" fontId="56" fillId="0" borderId="46" xfId="3" applyFont="1" applyBorder="1" applyAlignment="1">
      <alignment horizontal="left" vertical="center"/>
    </xf>
    <xf numFmtId="0" fontId="56" fillId="0" borderId="48" xfId="3" applyFont="1" applyBorder="1" applyAlignment="1">
      <alignment horizontal="left" vertical="center"/>
    </xf>
    <xf numFmtId="0" fontId="58" fillId="0" borderId="46" xfId="3" applyFont="1" applyBorder="1" applyAlignment="1">
      <alignment horizontal="left" vertical="center"/>
    </xf>
    <xf numFmtId="0" fontId="58" fillId="0" borderId="48" xfId="3" applyFont="1" applyBorder="1" applyAlignment="1">
      <alignment horizontal="left" vertical="center"/>
    </xf>
    <xf numFmtId="0" fontId="61" fillId="0" borderId="118" xfId="3" applyFont="1" applyBorder="1" applyAlignment="1">
      <alignment horizontal="center" vertical="center"/>
    </xf>
    <xf numFmtId="0" fontId="61" fillId="0" borderId="119" xfId="3" applyFont="1" applyBorder="1" applyAlignment="1">
      <alignment horizontal="center" vertical="center"/>
    </xf>
    <xf numFmtId="0" fontId="83" fillId="0" borderId="54" xfId="0" applyFont="1" applyFill="1" applyBorder="1" applyAlignment="1">
      <alignment horizontal="center" vertical="center"/>
    </xf>
    <xf numFmtId="0" fontId="83" fillId="0" borderId="55" xfId="0" applyFont="1" applyFill="1" applyBorder="1" applyAlignment="1">
      <alignment horizontal="center" vertical="center"/>
    </xf>
    <xf numFmtId="0" fontId="53" fillId="17" borderId="6" xfId="0" applyFont="1" applyFill="1" applyBorder="1" applyAlignment="1">
      <alignment horizontal="center" vertical="center" wrapText="1"/>
    </xf>
    <xf numFmtId="0" fontId="53" fillId="17" borderId="110" xfId="0" applyFont="1" applyFill="1" applyBorder="1" applyAlignment="1">
      <alignment horizontal="center" vertical="center" wrapText="1"/>
    </xf>
    <xf numFmtId="0" fontId="55" fillId="17" borderId="39" xfId="3" applyFont="1" applyFill="1" applyBorder="1" applyAlignment="1">
      <alignment horizontal="center" vertical="center"/>
    </xf>
    <xf numFmtId="0" fontId="55" fillId="17" borderId="40" xfId="3" applyFont="1" applyFill="1" applyBorder="1" applyAlignment="1">
      <alignment horizontal="center" vertical="center"/>
    </xf>
    <xf numFmtId="0" fontId="55" fillId="17" borderId="38" xfId="3" applyFont="1" applyFill="1" applyBorder="1" applyAlignment="1">
      <alignment horizontal="center" vertical="center"/>
    </xf>
    <xf numFmtId="0" fontId="56" fillId="0" borderId="43" xfId="3" applyFont="1" applyBorder="1" applyAlignment="1">
      <alignment horizontal="center" vertical="center"/>
    </xf>
    <xf numFmtId="0" fontId="56" fillId="0" borderId="46" xfId="3" applyFont="1" applyBorder="1" applyAlignment="1">
      <alignment horizontal="center" vertical="center"/>
    </xf>
    <xf numFmtId="0" fontId="56" fillId="0" borderId="48" xfId="3" applyFont="1" applyBorder="1" applyAlignment="1">
      <alignment horizontal="center" vertical="center"/>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53" fillId="17" borderId="76" xfId="0" applyFont="1" applyFill="1" applyBorder="1" applyAlignment="1">
      <alignment horizontal="center" vertical="center" wrapText="1"/>
    </xf>
    <xf numFmtId="0" fontId="54" fillId="17" borderId="97" xfId="0" applyFont="1" applyFill="1" applyBorder="1" applyAlignment="1">
      <alignment horizontal="center" vertical="center"/>
    </xf>
    <xf numFmtId="0" fontId="53" fillId="17" borderId="102" xfId="0" applyFont="1" applyFill="1" applyBorder="1" applyAlignment="1">
      <alignment horizontal="center" vertical="center"/>
    </xf>
    <xf numFmtId="0" fontId="54" fillId="17" borderId="41" xfId="0" applyFont="1" applyFill="1" applyBorder="1" applyAlignment="1">
      <alignment horizontal="center" vertical="center"/>
    </xf>
    <xf numFmtId="0" fontId="55" fillId="17" borderId="99" xfId="3" applyFont="1" applyFill="1" applyBorder="1" applyAlignment="1">
      <alignment horizontal="center" vertical="center"/>
    </xf>
    <xf numFmtId="0" fontId="55" fillId="17" borderId="100" xfId="3" applyFont="1" applyFill="1" applyBorder="1" applyAlignment="1">
      <alignment horizontal="center" vertical="center"/>
    </xf>
    <xf numFmtId="0" fontId="55" fillId="17" borderId="101" xfId="3" applyFont="1" applyFill="1" applyBorder="1" applyAlignment="1">
      <alignment horizontal="center" vertical="center"/>
    </xf>
    <xf numFmtId="0" fontId="61" fillId="0" borderId="76" xfId="3" applyFont="1" applyBorder="1" applyAlignment="1">
      <alignment horizontal="center" vertical="center"/>
    </xf>
    <xf numFmtId="0" fontId="61" fillId="0" borderId="77" xfId="3" applyFont="1" applyBorder="1" applyAlignment="1">
      <alignment horizontal="center" vertical="center"/>
    </xf>
  </cellXfs>
  <cellStyles count="7">
    <cellStyle name="Lien hypertexte" xfId="6" builtinId="8"/>
    <cellStyle name="Milliers" xfId="4" builtinId="3"/>
    <cellStyle name="Normal" xfId="0" builtinId="0"/>
    <cellStyle name="Normal 2" xfId="3" xr:uid="{00000000-0005-0000-0000-000002000000}"/>
    <cellStyle name="Pourcentage" xfId="1" builtinId="5"/>
    <cellStyle name="Pourcentage 2" xfId="2" xr:uid="{00000000-0005-0000-0000-000004000000}"/>
    <cellStyle name="Pourcentage 2 2" xfId="5" xr:uid="{00000000-0005-0000-0000-000005000000}"/>
  </cellStyles>
  <dxfs count="0"/>
  <tableStyles count="0" defaultTableStyle="TableStyleMedium2" defaultPivotStyle="PivotStyleLight16"/>
  <colors>
    <mruColors>
      <color rgb="FF0066CC"/>
      <color rgb="FFCC6600"/>
      <color rgb="FF006600"/>
      <color rgb="FF008000"/>
      <color rgb="FFCC0099"/>
      <color rgb="FFFF6600"/>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5671346753552E-2"/>
          <c:y val="5.2909960765971632E-2"/>
          <c:w val="0.82191812589937285"/>
          <c:h val="0.80000355321381844"/>
        </c:manualLayout>
      </c:layout>
      <c:barChart>
        <c:barDir val="col"/>
        <c:grouping val="clustered"/>
        <c:varyColors val="0"/>
        <c:ser>
          <c:idx val="0"/>
          <c:order val="0"/>
          <c:tx>
            <c:v>Recettes totales (hors contribution RG)</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50AC-4038-A0FA-597624B61B06}"/>
              </c:ext>
            </c:extLst>
          </c:dPt>
          <c:dPt>
            <c:idx val="1"/>
            <c:invertIfNegative val="0"/>
            <c:bubble3D val="0"/>
            <c:extLst>
              <c:ext xmlns:c16="http://schemas.microsoft.com/office/drawing/2014/chart" uri="{C3380CC4-5D6E-409C-BE32-E72D297353CC}">
                <c16:uniqueId val="{00000002-50AC-4038-A0FA-597624B61B06}"/>
              </c:ext>
            </c:extLst>
          </c:dPt>
          <c:dPt>
            <c:idx val="2"/>
            <c:invertIfNegative val="0"/>
            <c:bubble3D val="0"/>
            <c:extLst>
              <c:ext xmlns:c16="http://schemas.microsoft.com/office/drawing/2014/chart" uri="{C3380CC4-5D6E-409C-BE32-E72D297353CC}">
                <c16:uniqueId val="{00000004-50AC-4038-A0FA-597624B61B06}"/>
              </c:ext>
            </c:extLst>
          </c:dPt>
          <c:dPt>
            <c:idx val="3"/>
            <c:invertIfNegative val="0"/>
            <c:bubble3D val="0"/>
            <c:extLst>
              <c:ext xmlns:c16="http://schemas.microsoft.com/office/drawing/2014/chart" uri="{C3380CC4-5D6E-409C-BE32-E72D297353CC}">
                <c16:uniqueId val="{00000006-50AC-4038-A0FA-597624B61B06}"/>
              </c:ext>
            </c:extLst>
          </c:dPt>
          <c:dPt>
            <c:idx val="4"/>
            <c:invertIfNegative val="0"/>
            <c:bubble3D val="0"/>
            <c:extLst>
              <c:ext xmlns:c16="http://schemas.microsoft.com/office/drawing/2014/chart" uri="{C3380CC4-5D6E-409C-BE32-E72D297353CC}">
                <c16:uniqueId val="{00000008-50AC-4038-A0FA-597624B61B06}"/>
              </c:ext>
            </c:extLst>
          </c:dPt>
          <c:dPt>
            <c:idx val="5"/>
            <c:invertIfNegative val="0"/>
            <c:bubble3D val="0"/>
            <c:extLst>
              <c:ext xmlns:c16="http://schemas.microsoft.com/office/drawing/2014/chart" uri="{C3380CC4-5D6E-409C-BE32-E72D297353CC}">
                <c16:uniqueId val="{0000000A-50AC-4038-A0FA-597624B61B06}"/>
              </c:ext>
            </c:extLst>
          </c:dPt>
          <c:dLbls>
            <c:dLbl>
              <c:idx val="0"/>
              <c:layout>
                <c:manualLayout>
                  <c:x val="0"/>
                  <c:y val="-5.640726936787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AC-4038-A0FA-597624B61B06}"/>
                </c:ext>
              </c:extLst>
            </c:dLbl>
            <c:dLbl>
              <c:idx val="1"/>
              <c:layout>
                <c:manualLayout>
                  <c:x val="3.1419231443956797E-17"/>
                  <c:y val="4.20988698726708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AC-4038-A0FA-597624B61B06}"/>
                </c:ext>
              </c:extLst>
            </c:dLbl>
            <c:dLbl>
              <c:idx val="2"/>
              <c:layout>
                <c:manualLayout>
                  <c:x val="4.0466067893030417E-4"/>
                  <c:y val="4.69457477913269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AC-4038-A0FA-597624B61B06}"/>
                </c:ext>
              </c:extLst>
            </c:dLbl>
            <c:dLbl>
              <c:idx val="3"/>
              <c:layout>
                <c:manualLayout>
                  <c:x val="6.4026371470924381E-3"/>
                  <c:y val="4.03287000524944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AC-4038-A0FA-597624B61B06}"/>
                </c:ext>
              </c:extLst>
            </c:dLbl>
            <c:dLbl>
              <c:idx val="4"/>
              <c:layout>
                <c:manualLayout>
                  <c:x val="-3.5088411443350374E-3"/>
                  <c:y val="-1.4300538014143784E-3"/>
                </c:manualLayout>
              </c:layout>
              <c:spPr>
                <a:solidFill>
                  <a:schemeClr val="accent5">
                    <a:lumMod val="75000"/>
                  </a:schemeClr>
                </a:solidFill>
                <a:ln>
                  <a:noFill/>
                </a:ln>
              </c:spPr>
              <c:txPr>
                <a:bodyPr/>
                <a:lstStyle/>
                <a:p>
                  <a:pPr>
                    <a:defRPr sz="8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AC-4038-A0FA-597624B61B06}"/>
                </c:ext>
              </c:extLst>
            </c:dLbl>
            <c:dLbl>
              <c:idx val="5"/>
              <c:layout>
                <c:manualLayout>
                  <c:x val="8.0389226563113113E-3"/>
                  <c:y val="-2.58553988461165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AC-4038-A0FA-597624B61B06}"/>
                </c:ext>
              </c:extLst>
            </c:dLbl>
            <c:spPr>
              <a:solidFill>
                <a:schemeClr val="accent5">
                  <a:lumMod val="75000"/>
                </a:schemeClr>
              </a:solidFill>
            </c:spPr>
            <c:txPr>
              <a:bodyPr/>
              <a:lstStyle/>
              <a:p>
                <a:pPr>
                  <a:defRPr sz="8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NET'!$B$28:$G$28</c:f>
              <c:strCache>
                <c:ptCount val="6"/>
                <c:pt idx="0">
                  <c:v>2024</c:v>
                </c:pt>
                <c:pt idx="1">
                  <c:v>2025(p)</c:v>
                </c:pt>
                <c:pt idx="2">
                  <c:v>2026(p)</c:v>
                </c:pt>
                <c:pt idx="3">
                  <c:v>2027(p)</c:v>
                </c:pt>
                <c:pt idx="4">
                  <c:v>2028(p)</c:v>
                </c:pt>
                <c:pt idx="5">
                  <c:v>2029(p)</c:v>
                </c:pt>
              </c:strCache>
            </c:strRef>
          </c:cat>
          <c:val>
            <c:numRef>
              <c:f>'RESULTAT NET'!$C$4:$H$4</c:f>
              <c:numCache>
                <c:formatCode>#\ ##0.0</c:formatCode>
                <c:ptCount val="6"/>
                <c:pt idx="0">
                  <c:v>16613.676011039999</c:v>
                </c:pt>
                <c:pt idx="1">
                  <c:v>16984.793778861065</c:v>
                </c:pt>
                <c:pt idx="2">
                  <c:v>17457.820637978592</c:v>
                </c:pt>
                <c:pt idx="3">
                  <c:v>18067.026958986229</c:v>
                </c:pt>
                <c:pt idx="4">
                  <c:v>18723.311329522607</c:v>
                </c:pt>
                <c:pt idx="5">
                  <c:v>19417.542876484156</c:v>
                </c:pt>
              </c:numCache>
            </c:numRef>
          </c:val>
          <c:extLst>
            <c:ext xmlns:c16="http://schemas.microsoft.com/office/drawing/2014/chart" uri="{C3380CC4-5D6E-409C-BE32-E72D297353CC}">
              <c16:uniqueId val="{0000000B-50AC-4038-A0FA-597624B61B06}"/>
            </c:ext>
          </c:extLst>
        </c:ser>
        <c:ser>
          <c:idx val="2"/>
          <c:order val="2"/>
          <c:tx>
            <c:v>Cotisations sociales</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50AC-4038-A0FA-597624B61B06}"/>
              </c:ext>
            </c:extLst>
          </c:dPt>
          <c:dPt>
            <c:idx val="2"/>
            <c:invertIfNegative val="0"/>
            <c:bubble3D val="0"/>
            <c:extLst>
              <c:ext xmlns:c16="http://schemas.microsoft.com/office/drawing/2014/chart" uri="{C3380CC4-5D6E-409C-BE32-E72D297353CC}">
                <c16:uniqueId val="{0000000F-50AC-4038-A0FA-597624B61B06}"/>
              </c:ext>
            </c:extLst>
          </c:dPt>
          <c:dPt>
            <c:idx val="3"/>
            <c:invertIfNegative val="0"/>
            <c:bubble3D val="0"/>
            <c:extLst>
              <c:ext xmlns:c16="http://schemas.microsoft.com/office/drawing/2014/chart" uri="{C3380CC4-5D6E-409C-BE32-E72D297353CC}">
                <c16:uniqueId val="{00000011-50AC-4038-A0FA-597624B61B06}"/>
              </c:ext>
            </c:extLst>
          </c:dPt>
          <c:dPt>
            <c:idx val="4"/>
            <c:invertIfNegative val="0"/>
            <c:bubble3D val="0"/>
            <c:extLst>
              <c:ext xmlns:c16="http://schemas.microsoft.com/office/drawing/2014/chart" uri="{C3380CC4-5D6E-409C-BE32-E72D297353CC}">
                <c16:uniqueId val="{00000013-50AC-4038-A0FA-597624B61B06}"/>
              </c:ext>
            </c:extLst>
          </c:dPt>
          <c:dPt>
            <c:idx val="5"/>
            <c:invertIfNegative val="0"/>
            <c:bubble3D val="0"/>
            <c:extLst>
              <c:ext xmlns:c16="http://schemas.microsoft.com/office/drawing/2014/chart" uri="{C3380CC4-5D6E-409C-BE32-E72D297353CC}">
                <c16:uniqueId val="{00000015-50AC-4038-A0FA-597624B61B06}"/>
              </c:ext>
            </c:extLst>
          </c:dPt>
          <c:dLbls>
            <c:dLbl>
              <c:idx val="0"/>
              <c:layout>
                <c:manualLayout>
                  <c:x val="1.7165957531190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0AC-4038-A0FA-597624B61B06}"/>
                </c:ext>
              </c:extLst>
            </c:dLbl>
            <c:dLbl>
              <c:idx val="1"/>
              <c:layout>
                <c:manualLayout>
                  <c:x val="3.7958731726646716E-3"/>
                  <c:y val="4.96707277327600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AC-4038-A0FA-597624B61B06}"/>
                </c:ext>
              </c:extLst>
            </c:dLbl>
            <c:dLbl>
              <c:idx val="2"/>
              <c:layout>
                <c:manualLayout>
                  <c:x val="5.4393847553040695E-3"/>
                  <c:y val="5.16796990648020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AC-4038-A0FA-597624B61B06}"/>
                </c:ext>
              </c:extLst>
            </c:dLbl>
            <c:dLbl>
              <c:idx val="3"/>
              <c:layout>
                <c:manualLayout>
                  <c:x val="9.684618865798876E-3"/>
                  <c:y val="-7.240713441506890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0AC-4038-A0FA-597624B61B06}"/>
                </c:ext>
              </c:extLst>
            </c:dLbl>
            <c:dLbl>
              <c:idx val="4"/>
              <c:layout>
                <c:manualLayout>
                  <c:x val="6.494895619369361E-3"/>
                  <c:y val="3.94952568373435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AC-4038-A0FA-597624B61B06}"/>
                </c:ext>
              </c:extLst>
            </c:dLbl>
            <c:dLbl>
              <c:idx val="5"/>
              <c:layout>
                <c:manualLayout>
                  <c:x val="3.3051723729400021E-3"/>
                  <c:y val="-7.240713441506890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0AC-4038-A0FA-597624B61B06}"/>
                </c:ext>
              </c:extLst>
            </c:dLbl>
            <c:spPr>
              <a:solidFill>
                <a:schemeClr val="accent1"/>
              </a:solidFill>
            </c:spPr>
            <c:txPr>
              <a:bodyPr/>
              <a:lstStyle/>
              <a:p>
                <a:pPr>
                  <a:defRPr sz="800" b="1">
                    <a:solidFill>
                      <a:schemeClr val="bg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NET'!$B$28:$G$28</c:f>
              <c:strCache>
                <c:ptCount val="6"/>
                <c:pt idx="0">
                  <c:v>2024</c:v>
                </c:pt>
                <c:pt idx="1">
                  <c:v>2025(p)</c:v>
                </c:pt>
                <c:pt idx="2">
                  <c:v>2026(p)</c:v>
                </c:pt>
                <c:pt idx="3">
                  <c:v>2027(p)</c:v>
                </c:pt>
                <c:pt idx="4">
                  <c:v>2028(p)</c:v>
                </c:pt>
                <c:pt idx="5">
                  <c:v>2029(p)</c:v>
                </c:pt>
              </c:strCache>
            </c:strRef>
          </c:cat>
          <c:val>
            <c:numRef>
              <c:f>'RESULTAT NET'!$C$5:$H$5</c:f>
              <c:numCache>
                <c:formatCode>#\ ##0.0</c:formatCode>
                <c:ptCount val="6"/>
                <c:pt idx="0">
                  <c:v>6640.469457180001</c:v>
                </c:pt>
                <c:pt idx="1">
                  <c:v>7020.8582871647177</c:v>
                </c:pt>
                <c:pt idx="2">
                  <c:v>7350.1007637862222</c:v>
                </c:pt>
                <c:pt idx="3">
                  <c:v>7650.1645526523807</c:v>
                </c:pt>
                <c:pt idx="4">
                  <c:v>7942.0058720731695</c:v>
                </c:pt>
                <c:pt idx="5">
                  <c:v>8247.1729518072716</c:v>
                </c:pt>
              </c:numCache>
            </c:numRef>
          </c:val>
          <c:extLst>
            <c:ext xmlns:c16="http://schemas.microsoft.com/office/drawing/2014/chart" uri="{C3380CC4-5D6E-409C-BE32-E72D297353CC}">
              <c16:uniqueId val="{00000017-50AC-4038-A0FA-597624B61B06}"/>
            </c:ext>
          </c:extLst>
        </c:ser>
        <c:dLbls>
          <c:showLegendKey val="0"/>
          <c:showVal val="0"/>
          <c:showCatName val="0"/>
          <c:showSerName val="0"/>
          <c:showPercent val="0"/>
          <c:showBubbleSize val="0"/>
        </c:dLbls>
        <c:gapWidth val="150"/>
        <c:axId val="138998240"/>
        <c:axId val="138996672"/>
      </c:barChart>
      <c:lineChart>
        <c:grouping val="standard"/>
        <c:varyColors val="0"/>
        <c:ser>
          <c:idx val="1"/>
          <c:order val="1"/>
          <c:tx>
            <c:v>Evolution des recettes totales</c:v>
          </c:tx>
          <c:spPr>
            <a:ln w="19050">
              <a:prstDash val="sysDot"/>
            </a:ln>
          </c:spPr>
          <c:dPt>
            <c:idx val="1"/>
            <c:bubble3D val="0"/>
            <c:spPr>
              <a:ln w="19050">
                <a:prstDash val="solid"/>
              </a:ln>
            </c:spPr>
            <c:extLst>
              <c:ext xmlns:c16="http://schemas.microsoft.com/office/drawing/2014/chart" uri="{C3380CC4-5D6E-409C-BE32-E72D297353CC}">
                <c16:uniqueId val="{00000019-50AC-4038-A0FA-597624B61B06}"/>
              </c:ext>
            </c:extLst>
          </c:dPt>
          <c:dPt>
            <c:idx val="2"/>
            <c:bubble3D val="0"/>
            <c:extLst>
              <c:ext xmlns:c16="http://schemas.microsoft.com/office/drawing/2014/chart" uri="{C3380CC4-5D6E-409C-BE32-E72D297353CC}">
                <c16:uniqueId val="{0000001A-50AC-4038-A0FA-597624B61B06}"/>
              </c:ext>
            </c:extLst>
          </c:dPt>
          <c:dPt>
            <c:idx val="3"/>
            <c:bubble3D val="0"/>
            <c:extLst>
              <c:ext xmlns:c16="http://schemas.microsoft.com/office/drawing/2014/chart" uri="{C3380CC4-5D6E-409C-BE32-E72D297353CC}">
                <c16:uniqueId val="{0000001B-50AC-4038-A0FA-597624B61B06}"/>
              </c:ext>
            </c:extLst>
          </c:dPt>
          <c:dPt>
            <c:idx val="4"/>
            <c:bubble3D val="0"/>
            <c:extLst>
              <c:ext xmlns:c16="http://schemas.microsoft.com/office/drawing/2014/chart" uri="{C3380CC4-5D6E-409C-BE32-E72D297353CC}">
                <c16:uniqueId val="{0000001C-50AC-4038-A0FA-597624B61B06}"/>
              </c:ext>
            </c:extLst>
          </c:dPt>
          <c:dPt>
            <c:idx val="5"/>
            <c:bubble3D val="0"/>
            <c:extLst>
              <c:ext xmlns:c16="http://schemas.microsoft.com/office/drawing/2014/chart" uri="{C3380CC4-5D6E-409C-BE32-E72D297353CC}">
                <c16:uniqueId val="{0000001D-50AC-4038-A0FA-597624B61B06}"/>
              </c:ext>
            </c:extLst>
          </c:dPt>
          <c:dPt>
            <c:idx val="6"/>
            <c:bubble3D val="0"/>
            <c:extLst>
              <c:ext xmlns:c16="http://schemas.microsoft.com/office/drawing/2014/chart" uri="{C3380CC4-5D6E-409C-BE32-E72D297353CC}">
                <c16:uniqueId val="{0000001E-50AC-4038-A0FA-597624B61B06}"/>
              </c:ext>
            </c:extLst>
          </c:dPt>
          <c:dPt>
            <c:idx val="7"/>
            <c:bubble3D val="0"/>
            <c:extLst>
              <c:ext xmlns:c16="http://schemas.microsoft.com/office/drawing/2014/chart" uri="{C3380CC4-5D6E-409C-BE32-E72D297353CC}">
                <c16:uniqueId val="{0000001F-50AC-4038-A0FA-597624B61B06}"/>
              </c:ext>
            </c:extLst>
          </c:dPt>
          <c:dPt>
            <c:idx val="8"/>
            <c:bubble3D val="0"/>
            <c:extLst>
              <c:ext xmlns:c16="http://schemas.microsoft.com/office/drawing/2014/chart" uri="{C3380CC4-5D6E-409C-BE32-E72D297353CC}">
                <c16:uniqueId val="{00000020-50AC-4038-A0FA-597624B61B06}"/>
              </c:ext>
            </c:extLst>
          </c:dPt>
          <c:dLbls>
            <c:dLbl>
              <c:idx val="0"/>
              <c:layout>
                <c:manualLayout>
                  <c:x val="-6.0602893151749389E-2"/>
                  <c:y val="-6.37385028374387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0AC-4038-A0FA-597624B61B06}"/>
                </c:ext>
              </c:extLst>
            </c:dLbl>
            <c:dLbl>
              <c:idx val="1"/>
              <c:layout>
                <c:manualLayout>
                  <c:x val="-2.6070496564002128E-2"/>
                  <c:y val="6.8200844887510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0AC-4038-A0FA-597624B61B06}"/>
                </c:ext>
              </c:extLst>
            </c:dLbl>
            <c:dLbl>
              <c:idx val="2"/>
              <c:layout>
                <c:manualLayout>
                  <c:x val="-8.2207844390037893E-2"/>
                  <c:y val="-3.63090864560372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0AC-4038-A0FA-597624B61B06}"/>
                </c:ext>
              </c:extLst>
            </c:dLbl>
            <c:dLbl>
              <c:idx val="3"/>
              <c:layout>
                <c:manualLayout>
                  <c:x val="-4.3841812992296163E-2"/>
                  <c:y val="-4.481032882231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0AC-4038-A0FA-597624B61B06}"/>
                </c:ext>
              </c:extLst>
            </c:dLbl>
            <c:dLbl>
              <c:idx val="4"/>
              <c:layout>
                <c:manualLayout>
                  <c:x val="-4.5040733939016496E-2"/>
                  <c:y val="6.3545176511055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0AC-4038-A0FA-597624B61B06}"/>
                </c:ext>
              </c:extLst>
            </c:dLbl>
            <c:dLbl>
              <c:idx val="5"/>
              <c:layout>
                <c:manualLayout>
                  <c:x val="-4.513775164590627E-2"/>
                  <c:y val="4.4704898904581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0AC-4038-A0FA-597624B61B06}"/>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0AC-4038-A0FA-597624B61B06}"/>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0AC-4038-A0FA-597624B61B06}"/>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0AC-4038-A0FA-597624B61B06}"/>
                </c:ext>
              </c:extLst>
            </c:dLbl>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'RESULTAT NET'!$B$18:$G$18</c:f>
              <c:numCache>
                <c:formatCode>\+0.0%;\-0.0%;General</c:formatCode>
                <c:ptCount val="6"/>
                <c:pt idx="0">
                  <c:v>4.6507523153003882E-2</c:v>
                </c:pt>
                <c:pt idx="1">
                  <c:v>2.2338088667098965E-2</c:v>
                </c:pt>
                <c:pt idx="2">
                  <c:v>2.7850020746571946E-2</c:v>
                </c:pt>
                <c:pt idx="3">
                  <c:v>3.4895897583134827E-2</c:v>
                </c:pt>
                <c:pt idx="4">
                  <c:v>3.6324978759715298E-2</c:v>
                </c:pt>
                <c:pt idx="5">
                  <c:v>3.707845982707636E-2</c:v>
                </c:pt>
              </c:numCache>
            </c:numRef>
          </c:val>
          <c:smooth val="0"/>
          <c:extLst>
            <c:ext xmlns:c16="http://schemas.microsoft.com/office/drawing/2014/chart" uri="{C3380CC4-5D6E-409C-BE32-E72D297353CC}">
              <c16:uniqueId val="{00000022-50AC-4038-A0FA-597624B61B06}"/>
            </c:ext>
          </c:extLst>
        </c:ser>
        <c:dLbls>
          <c:dLblPos val="ctr"/>
          <c:showLegendKey val="0"/>
          <c:showVal val="1"/>
          <c:showCatName val="0"/>
          <c:showSerName val="0"/>
          <c:showPercent val="0"/>
          <c:showBubbleSize val="0"/>
        </c:dLbls>
        <c:marker val="1"/>
        <c:smooth val="0"/>
        <c:axId val="444780776"/>
        <c:axId val="444775680"/>
      </c:lineChart>
      <c:catAx>
        <c:axId val="138998240"/>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138996672"/>
        <c:crosses val="autoZero"/>
        <c:auto val="1"/>
        <c:lblAlgn val="ctr"/>
        <c:lblOffset val="100"/>
        <c:noMultiLvlLbl val="0"/>
      </c:catAx>
      <c:valAx>
        <c:axId val="138996672"/>
        <c:scaling>
          <c:orientation val="minMax"/>
          <c:max val="20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138998240"/>
        <c:crosses val="autoZero"/>
        <c:crossBetween val="between"/>
        <c:majorUnit val="2000"/>
        <c:dispUnits>
          <c:builtInUnit val="thousands"/>
          <c:dispUnitsLbl>
            <c:layout>
              <c:manualLayout>
                <c:xMode val="edge"/>
                <c:yMode val="edge"/>
                <c:x val="3.7081888702323652E-3"/>
                <c:y val="0.34801803565451872"/>
              </c:manualLayout>
            </c:layout>
            <c:tx>
              <c:rich>
                <a:bodyPr/>
                <a:lstStyle/>
                <a:p>
                  <a:pPr>
                    <a:defRPr sz="800" b="1">
                      <a:solidFill>
                        <a:schemeClr val="accent1">
                          <a:lumMod val="75000"/>
                        </a:schemeClr>
                      </a:solidFill>
                    </a:defRPr>
                  </a:pPr>
                  <a:r>
                    <a:rPr lang="fr-FR"/>
                    <a:t>Milliards  d'euros</a:t>
                  </a:r>
                </a:p>
              </c:rich>
            </c:tx>
          </c:dispUnitsLbl>
        </c:dispUnits>
      </c:valAx>
      <c:valAx>
        <c:axId val="444775680"/>
        <c:scaling>
          <c:orientation val="minMax"/>
          <c:max val="6.0000000000000012E-2"/>
          <c:min val="0"/>
        </c:scaling>
        <c:delete val="0"/>
        <c:axPos val="r"/>
        <c:title>
          <c:tx>
            <c:rich>
              <a:bodyPr rot="-5400000" vert="horz"/>
              <a:lstStyle/>
              <a:p>
                <a:pPr>
                  <a:defRPr sz="800" b="0">
                    <a:solidFill>
                      <a:srgbClr val="C00000"/>
                    </a:solidFill>
                  </a:defRPr>
                </a:pPr>
                <a:r>
                  <a:rPr lang="fr-FR" sz="800" b="0">
                    <a:solidFill>
                      <a:srgbClr val="C00000"/>
                    </a:solidFill>
                  </a:rPr>
                  <a:t>Evolution en %</a:t>
                </a:r>
              </a:p>
            </c:rich>
          </c:tx>
          <c:layout>
            <c:manualLayout>
              <c:xMode val="edge"/>
              <c:yMode val="edge"/>
              <c:x val="0.96705151894472652"/>
              <c:y val="0.36227952738501956"/>
            </c:manualLayout>
          </c:layout>
          <c:overlay val="0"/>
        </c:title>
        <c:numFmt formatCode="\+0.0%;\-0.0%;General" sourceLinked="0"/>
        <c:majorTickMark val="out"/>
        <c:minorTickMark val="none"/>
        <c:tickLblPos val="nextTo"/>
        <c:txPr>
          <a:bodyPr/>
          <a:lstStyle/>
          <a:p>
            <a:pPr>
              <a:defRPr sz="800">
                <a:solidFill>
                  <a:schemeClr val="accent2"/>
                </a:solidFill>
              </a:defRPr>
            </a:pPr>
            <a:endParaRPr lang="fr-FR"/>
          </a:p>
        </c:txPr>
        <c:crossAx val="444780776"/>
        <c:crosses val="max"/>
        <c:crossBetween val="between"/>
        <c:majorUnit val="1.0000000000000002E-2"/>
      </c:valAx>
      <c:catAx>
        <c:axId val="444780776"/>
        <c:scaling>
          <c:orientation val="minMax"/>
        </c:scaling>
        <c:delete val="1"/>
        <c:axPos val="b"/>
        <c:numFmt formatCode="General" sourceLinked="1"/>
        <c:majorTickMark val="out"/>
        <c:minorTickMark val="none"/>
        <c:tickLblPos val="nextTo"/>
        <c:crossAx val="444775680"/>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3.3286898974344198E-2"/>
          <c:y val="0.90730930263398857"/>
          <c:w val="0.94458380218681937"/>
          <c:h val="9.2198442719746393E-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Maladie</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0A76-43FE-B588-0F85A3829570}"/>
              </c:ext>
            </c:extLst>
          </c:dPt>
          <c:dPt>
            <c:idx val="1"/>
            <c:invertIfNegative val="0"/>
            <c:bubble3D val="0"/>
            <c:extLst>
              <c:ext xmlns:c16="http://schemas.microsoft.com/office/drawing/2014/chart" uri="{C3380CC4-5D6E-409C-BE32-E72D297353CC}">
                <c16:uniqueId val="{00000001-0A76-43FE-B588-0F85A3829570}"/>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0A76-43FE-B588-0F85A3829570}"/>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0A76-43FE-B588-0F85A3829570}"/>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0A76-43FE-B588-0F85A3829570}"/>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0A76-43FE-B588-0F85A3829570}"/>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A76-43FE-B588-0F85A3829570}"/>
              </c:ext>
            </c:extLst>
          </c:dPt>
          <c:cat>
            <c:strRef>
              <c:f>'Prest._cotisa.'!$C$47:$H$47</c:f>
              <c:strCache>
                <c:ptCount val="6"/>
                <c:pt idx="0">
                  <c:v>2024</c:v>
                </c:pt>
                <c:pt idx="1">
                  <c:v>2025(p)</c:v>
                </c:pt>
                <c:pt idx="2">
                  <c:v>2026(p)</c:v>
                </c:pt>
                <c:pt idx="3">
                  <c:v>2027(p)</c:v>
                </c:pt>
                <c:pt idx="4">
                  <c:v>2028(p)</c:v>
                </c:pt>
                <c:pt idx="5">
                  <c:v>2029(p)</c:v>
                </c:pt>
              </c:strCache>
            </c:strRef>
          </c:cat>
          <c:val>
            <c:numRef>
              <c:f>'Prest._cotisa.'!$C$48:$H$48</c:f>
              <c:numCache>
                <c:formatCode>#\ ##0.0</c:formatCode>
                <c:ptCount val="6"/>
                <c:pt idx="0">
                  <c:v>1.1727496007060427</c:v>
                </c:pt>
                <c:pt idx="1">
                  <c:v>1.1067873466473153</c:v>
                </c:pt>
                <c:pt idx="2">
                  <c:v>1.298099590038873</c:v>
                </c:pt>
                <c:pt idx="3">
                  <c:v>1.6157431836882132</c:v>
                </c:pt>
                <c:pt idx="4">
                  <c:v>1.603025741512099</c:v>
                </c:pt>
                <c:pt idx="5">
                  <c:v>1.6948067536339424</c:v>
                </c:pt>
              </c:numCache>
            </c:numRef>
          </c:val>
          <c:extLst>
            <c:ext xmlns:c16="http://schemas.microsoft.com/office/drawing/2014/chart" uri="{C3380CC4-5D6E-409C-BE32-E72D297353CC}">
              <c16:uniqueId val="{0000000C-0A76-43FE-B588-0F85A3829570}"/>
            </c:ext>
          </c:extLst>
        </c:ser>
        <c:ser>
          <c:idx val="1"/>
          <c:order val="1"/>
          <c:tx>
            <c:v>ATMP</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0A76-43FE-B588-0F85A3829570}"/>
              </c:ext>
            </c:extLst>
          </c:dPt>
          <c:dPt>
            <c:idx val="3"/>
            <c:invertIfNegative val="0"/>
            <c:bubble3D val="0"/>
            <c:extLst>
              <c:ext xmlns:c16="http://schemas.microsoft.com/office/drawing/2014/chart" uri="{C3380CC4-5D6E-409C-BE32-E72D297353CC}">
                <c16:uniqueId val="{00000010-0A76-43FE-B588-0F85A3829570}"/>
              </c:ext>
            </c:extLst>
          </c:dPt>
          <c:dPt>
            <c:idx val="4"/>
            <c:invertIfNegative val="0"/>
            <c:bubble3D val="0"/>
            <c:extLst>
              <c:ext xmlns:c16="http://schemas.microsoft.com/office/drawing/2014/chart" uri="{C3380CC4-5D6E-409C-BE32-E72D297353CC}">
                <c16:uniqueId val="{00000012-0A76-43FE-B588-0F85A3829570}"/>
              </c:ext>
            </c:extLst>
          </c:dPt>
          <c:dPt>
            <c:idx val="5"/>
            <c:invertIfNegative val="0"/>
            <c:bubble3D val="0"/>
            <c:extLst>
              <c:ext xmlns:c16="http://schemas.microsoft.com/office/drawing/2014/chart" uri="{C3380CC4-5D6E-409C-BE32-E72D297353CC}">
                <c16:uniqueId val="{00000014-0A76-43FE-B588-0F85A3829570}"/>
              </c:ext>
            </c:extLst>
          </c:dPt>
          <c:dPt>
            <c:idx val="6"/>
            <c:invertIfNegative val="0"/>
            <c:bubble3D val="0"/>
            <c:extLst>
              <c:ext xmlns:c16="http://schemas.microsoft.com/office/drawing/2014/chart" uri="{C3380CC4-5D6E-409C-BE32-E72D297353CC}">
                <c16:uniqueId val="{00000016-0A76-43FE-B588-0F85A3829570}"/>
              </c:ext>
            </c:extLst>
          </c:dPt>
          <c:cat>
            <c:strRef>
              <c:f>'Prest._cotisa.'!$C$47:$H$47</c:f>
              <c:strCache>
                <c:ptCount val="6"/>
                <c:pt idx="0">
                  <c:v>2024</c:v>
                </c:pt>
                <c:pt idx="1">
                  <c:v>2025(p)</c:v>
                </c:pt>
                <c:pt idx="2">
                  <c:v>2026(p)</c:v>
                </c:pt>
                <c:pt idx="3">
                  <c:v>2027(p)</c:v>
                </c:pt>
                <c:pt idx="4">
                  <c:v>2028(p)</c:v>
                </c:pt>
                <c:pt idx="5">
                  <c:v>2029(p)</c:v>
                </c:pt>
              </c:strCache>
            </c:strRef>
          </c:cat>
          <c:val>
            <c:numRef>
              <c:f>'Prest._cotisa.'!$C$49:$H$49</c:f>
              <c:numCache>
                <c:formatCode>#\ ##0.0</c:formatCode>
                <c:ptCount val="6"/>
                <c:pt idx="0">
                  <c:v>5.5782169203525897E-2</c:v>
                </c:pt>
                <c:pt idx="1">
                  <c:v>0.143443141150673</c:v>
                </c:pt>
                <c:pt idx="2">
                  <c:v>0.1394428310877176</c:v>
                </c:pt>
                <c:pt idx="3">
                  <c:v>0.14538257245731706</c:v>
                </c:pt>
                <c:pt idx="4">
                  <c:v>0.14204492493306828</c:v>
                </c:pt>
                <c:pt idx="5">
                  <c:v>0.13791525095855059</c:v>
                </c:pt>
              </c:numCache>
            </c:numRef>
          </c:val>
          <c:extLst>
            <c:ext xmlns:c16="http://schemas.microsoft.com/office/drawing/2014/chart" uri="{C3380CC4-5D6E-409C-BE32-E72D297353CC}">
              <c16:uniqueId val="{00000017-0A76-43FE-B588-0F85A3829570}"/>
            </c:ext>
          </c:extLst>
        </c:ser>
        <c:ser>
          <c:idx val="2"/>
          <c:order val="2"/>
          <c:tx>
            <c:v>Retraite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0A76-43FE-B588-0F85A3829570}"/>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0A76-43FE-B588-0F85A3829570}"/>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0A76-43FE-B588-0F85A3829570}"/>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0A76-43FE-B588-0F85A3829570}"/>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0A76-43FE-B588-0F85A3829570}"/>
              </c:ext>
            </c:extLst>
          </c:dPt>
          <c:cat>
            <c:strRef>
              <c:f>'Prest._cotisa.'!$C$47:$H$47</c:f>
              <c:strCache>
                <c:ptCount val="6"/>
                <c:pt idx="0">
                  <c:v>2024</c:v>
                </c:pt>
                <c:pt idx="1">
                  <c:v>2025(p)</c:v>
                </c:pt>
                <c:pt idx="2">
                  <c:v>2026(p)</c:v>
                </c:pt>
                <c:pt idx="3">
                  <c:v>2027(p)</c:v>
                </c:pt>
                <c:pt idx="4">
                  <c:v>2028(p)</c:v>
                </c:pt>
                <c:pt idx="5">
                  <c:v>2029(p)</c:v>
                </c:pt>
              </c:strCache>
            </c:strRef>
          </c:cat>
          <c:val>
            <c:numRef>
              <c:f>'Prest._cotisa.'!$C$51:$H$51</c:f>
              <c:numCache>
                <c:formatCode>#\ ##0.0</c:formatCode>
                <c:ptCount val="6"/>
                <c:pt idx="0">
                  <c:v>3.6216970313713759</c:v>
                </c:pt>
                <c:pt idx="1">
                  <c:v>1.5791318521200102</c:v>
                </c:pt>
                <c:pt idx="2">
                  <c:v>1.2066038920578843</c:v>
                </c:pt>
                <c:pt idx="3">
                  <c:v>1.5932310861300862</c:v>
                </c:pt>
                <c:pt idx="4">
                  <c:v>1.6584006558833937</c:v>
                </c:pt>
                <c:pt idx="5">
                  <c:v>1.6807542248967067</c:v>
                </c:pt>
              </c:numCache>
            </c:numRef>
          </c:val>
          <c:extLst>
            <c:ext xmlns:c16="http://schemas.microsoft.com/office/drawing/2014/chart" uri="{C3380CC4-5D6E-409C-BE32-E72D297353CC}">
              <c16:uniqueId val="{00000022-0A76-43FE-B588-0F85A3829570}"/>
            </c:ext>
          </c:extLst>
        </c:ser>
        <c:ser>
          <c:idx val="3"/>
          <c:order val="3"/>
          <c:tx>
            <c:v>Famille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0A76-43FE-B588-0F85A3829570}"/>
              </c:ext>
            </c:extLst>
          </c:dPt>
          <c:dPt>
            <c:idx val="3"/>
            <c:invertIfNegative val="0"/>
            <c:bubble3D val="0"/>
            <c:extLst>
              <c:ext xmlns:c16="http://schemas.microsoft.com/office/drawing/2014/chart" uri="{C3380CC4-5D6E-409C-BE32-E72D297353CC}">
                <c16:uniqueId val="{00000026-0A76-43FE-B588-0F85A3829570}"/>
              </c:ext>
            </c:extLst>
          </c:dPt>
          <c:dPt>
            <c:idx val="4"/>
            <c:invertIfNegative val="0"/>
            <c:bubble3D val="0"/>
            <c:extLst>
              <c:ext xmlns:c16="http://schemas.microsoft.com/office/drawing/2014/chart" uri="{C3380CC4-5D6E-409C-BE32-E72D297353CC}">
                <c16:uniqueId val="{00000028-0A76-43FE-B588-0F85A3829570}"/>
              </c:ext>
            </c:extLst>
          </c:dPt>
          <c:dPt>
            <c:idx val="5"/>
            <c:invertIfNegative val="0"/>
            <c:bubble3D val="0"/>
            <c:extLst>
              <c:ext xmlns:c16="http://schemas.microsoft.com/office/drawing/2014/chart" uri="{C3380CC4-5D6E-409C-BE32-E72D297353CC}">
                <c16:uniqueId val="{0000002A-0A76-43FE-B588-0F85A3829570}"/>
              </c:ext>
            </c:extLst>
          </c:dPt>
          <c:dPt>
            <c:idx val="6"/>
            <c:invertIfNegative val="0"/>
            <c:bubble3D val="0"/>
            <c:extLst>
              <c:ext xmlns:c16="http://schemas.microsoft.com/office/drawing/2014/chart" uri="{C3380CC4-5D6E-409C-BE32-E72D297353CC}">
                <c16:uniqueId val="{0000002C-0A76-43FE-B588-0F85A3829570}"/>
              </c:ext>
            </c:extLst>
          </c:dPt>
          <c:cat>
            <c:strRef>
              <c:f>'Prest._cotisa.'!$C$47:$H$47</c:f>
              <c:strCache>
                <c:ptCount val="6"/>
                <c:pt idx="0">
                  <c:v>2024</c:v>
                </c:pt>
                <c:pt idx="1">
                  <c:v>2025(p)</c:v>
                </c:pt>
                <c:pt idx="2">
                  <c:v>2026(p)</c:v>
                </c:pt>
                <c:pt idx="3">
                  <c:v>2027(p)</c:v>
                </c:pt>
                <c:pt idx="4">
                  <c:v>2028(p)</c:v>
                </c:pt>
                <c:pt idx="5">
                  <c:v>2029(p)</c:v>
                </c:pt>
              </c:strCache>
            </c:strRef>
          </c:cat>
          <c:val>
            <c:numRef>
              <c:f>'Prest._cotisa.'!$C$50:$H$50</c:f>
              <c:numCache>
                <c:formatCode>#\ ##0.0</c:formatCode>
                <c:ptCount val="6"/>
                <c:pt idx="0">
                  <c:v>0.14269091749043894</c:v>
                </c:pt>
                <c:pt idx="1">
                  <c:v>-1.597601413422628E-2</c:v>
                </c:pt>
                <c:pt idx="2">
                  <c:v>-1.4637731975423925E-2</c:v>
                </c:pt>
                <c:pt idx="3">
                  <c:v>-2.6887637565118068E-6</c:v>
                </c:pt>
                <c:pt idx="4">
                  <c:v>2.7591548675193256E-2</c:v>
                </c:pt>
                <c:pt idx="5">
                  <c:v>3.8222779909192456E-2</c:v>
                </c:pt>
              </c:numCache>
            </c:numRef>
          </c:val>
          <c:extLst>
            <c:ext xmlns:c16="http://schemas.microsoft.com/office/drawing/2014/chart" uri="{C3380CC4-5D6E-409C-BE32-E72D297353CC}">
              <c16:uniqueId val="{0000002D-0A76-43FE-B588-0F85A3829570}"/>
            </c:ext>
          </c:extLst>
        </c:ser>
        <c:ser>
          <c:idx val="4"/>
          <c:order val="5"/>
          <c:tx>
            <c:v>SASPA</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'Prest._cotisa.'!$C$47:$H$47</c:f>
              <c:strCache>
                <c:ptCount val="6"/>
                <c:pt idx="0">
                  <c:v>2024</c:v>
                </c:pt>
                <c:pt idx="1">
                  <c:v>2025(p)</c:v>
                </c:pt>
                <c:pt idx="2">
                  <c:v>2026(p)</c:v>
                </c:pt>
                <c:pt idx="3">
                  <c:v>2027(p)</c:v>
                </c:pt>
                <c:pt idx="4">
                  <c:v>2028(p)</c:v>
                </c:pt>
                <c:pt idx="5">
                  <c:v>2029(p)</c:v>
                </c:pt>
              </c:strCache>
            </c:strRef>
          </c:cat>
          <c:val>
            <c:numRef>
              <c:f>'Prest._cotisa.'!$C$52:$H$52</c:f>
              <c:numCache>
                <c:formatCode>#\ ##0.0</c:formatCode>
                <c:ptCount val="6"/>
                <c:pt idx="0">
                  <c:v>0.26923280951820239</c:v>
                </c:pt>
                <c:pt idx="1">
                  <c:v>0.14146613136055947</c:v>
                </c:pt>
                <c:pt idx="2">
                  <c:v>0.12709174652604568</c:v>
                </c:pt>
                <c:pt idx="3">
                  <c:v>0.15886299370285129</c:v>
                </c:pt>
                <c:pt idx="4">
                  <c:v>0.16166412654157467</c:v>
                </c:pt>
                <c:pt idx="5">
                  <c:v>0.16571264579969069</c:v>
                </c:pt>
              </c:numCache>
            </c:numRef>
          </c:val>
          <c:extLst>
            <c:ext xmlns:c16="http://schemas.microsoft.com/office/drawing/2014/chart" uri="{C3380CC4-5D6E-409C-BE32-E72D297353CC}">
              <c16:uniqueId val="{0000002E-0A76-43FE-B588-0F85A3829570}"/>
            </c:ext>
          </c:extLst>
        </c:ser>
        <c:dLbls>
          <c:showLegendKey val="0"/>
          <c:showVal val="0"/>
          <c:showCatName val="0"/>
          <c:showSerName val="0"/>
          <c:showPercent val="0"/>
          <c:showBubbleSize val="0"/>
        </c:dLbls>
        <c:gapWidth val="150"/>
        <c:axId val="445436296"/>
        <c:axId val="445439432"/>
      </c:barChart>
      <c:lineChart>
        <c:grouping val="standard"/>
        <c:varyColors val="0"/>
        <c:ser>
          <c:idx val="5"/>
          <c:order val="4"/>
          <c:tx>
            <c:v>Evolution des prestations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0-0A76-43FE-B588-0F85A3829570}"/>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2-0A76-43FE-B588-0F85A3829570}"/>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4-0A76-43FE-B588-0F85A3829570}"/>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6-0A76-43FE-B588-0F85A3829570}"/>
              </c:ext>
            </c:extLst>
          </c:dPt>
          <c:dLbls>
            <c:dLbl>
              <c:idx val="0"/>
              <c:layout>
                <c:manualLayout>
                  <c:x val="-7.76394694438272E-2"/>
                  <c:y val="-1.631750161896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A76-43FE-B588-0F85A3829570}"/>
                </c:ext>
              </c:extLst>
            </c:dLbl>
            <c:dLbl>
              <c:idx val="1"/>
              <c:layout>
                <c:manualLayout>
                  <c:x val="-2.8122384008966515E-2"/>
                  <c:y val="-5.6038107462158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A76-43FE-B588-0F85A3829570}"/>
                </c:ext>
              </c:extLst>
            </c:dLbl>
            <c:dLbl>
              <c:idx val="2"/>
              <c:layout>
                <c:manualLayout>
                  <c:x val="-3.2850674981005315E-2"/>
                  <c:y val="-5.6140020871866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A76-43FE-B588-0F85A38295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'Prest._cotisa.'!$C$47:$H$47</c:f>
              <c:strCache>
                <c:ptCount val="6"/>
                <c:pt idx="0">
                  <c:v>2024</c:v>
                </c:pt>
                <c:pt idx="1">
                  <c:v>2025(p)</c:v>
                </c:pt>
                <c:pt idx="2">
                  <c:v>2026(p)</c:v>
                </c:pt>
                <c:pt idx="3">
                  <c:v>2027(p)</c:v>
                </c:pt>
                <c:pt idx="4">
                  <c:v>2028(p)</c:v>
                </c:pt>
                <c:pt idx="5">
                  <c:v>2029(p)</c:v>
                </c:pt>
              </c:strCache>
            </c:strRef>
          </c:cat>
          <c:val>
            <c:numRef>
              <c:f>'Prest._cotisa.'!$D$26:$I$26</c:f>
              <c:numCache>
                <c:formatCode>\+0.0%;\-0.0%;General</c:formatCode>
                <c:ptCount val="6"/>
                <c:pt idx="0">
                  <c:v>5.5507215065360382E-2</c:v>
                </c:pt>
                <c:pt idx="1">
                  <c:v>2.9309961185298938E-2</c:v>
                </c:pt>
                <c:pt idx="2">
                  <c:v>2.6772125164268301E-2</c:v>
                </c:pt>
                <c:pt idx="3">
                  <c:v>3.4162567503761787E-2</c:v>
                </c:pt>
                <c:pt idx="4">
                  <c:v>3.5266243944311659E-2</c:v>
                </c:pt>
                <c:pt idx="5">
                  <c:v>3.6604361663186813E-2</c:v>
                </c:pt>
              </c:numCache>
            </c:numRef>
          </c:val>
          <c:smooth val="0"/>
          <c:extLst>
            <c:ext xmlns:c16="http://schemas.microsoft.com/office/drawing/2014/chart" uri="{C3380CC4-5D6E-409C-BE32-E72D297353CC}">
              <c16:uniqueId val="{00000039-0A76-43FE-B588-0F85A3829570}"/>
            </c:ext>
          </c:extLst>
        </c:ser>
        <c:dLbls>
          <c:showLegendKey val="0"/>
          <c:showVal val="0"/>
          <c:showCatName val="0"/>
          <c:showSerName val="0"/>
          <c:showPercent val="0"/>
          <c:showBubbleSize val="0"/>
        </c:dLbls>
        <c:marker val="1"/>
        <c:smooth val="0"/>
        <c:axId val="445437080"/>
        <c:axId val="445438648"/>
      </c:lineChart>
      <c:catAx>
        <c:axId val="445436296"/>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9432"/>
        <c:crosses val="autoZero"/>
        <c:auto val="1"/>
        <c:lblAlgn val="ctr"/>
        <c:lblOffset val="100"/>
        <c:noMultiLvlLbl val="0"/>
      </c:catAx>
      <c:valAx>
        <c:axId val="445439432"/>
        <c:scaling>
          <c:orientation val="minMax"/>
          <c:max val="4"/>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fr-FR" sz="1000"/>
                  <a:t>Contribution à l'évolution (en points)</a:t>
                </a:r>
              </a:p>
            </c:rich>
          </c:tx>
          <c:layout>
            <c:manualLayout>
              <c:xMode val="edge"/>
              <c:yMode val="edge"/>
              <c:x val="1.3038126484966751E-2"/>
              <c:y val="0.1618687774583843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6296"/>
        <c:crosses val="autoZero"/>
        <c:crossBetween val="between"/>
        <c:majorUnit val="1"/>
      </c:valAx>
      <c:valAx>
        <c:axId val="445438648"/>
        <c:scaling>
          <c:orientation val="minMax"/>
          <c:max val="7.0000000000000007E-2"/>
          <c:min val="0"/>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6742323259387442"/>
              <c:y val="0.3641099780560216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7080"/>
        <c:crosses val="max"/>
        <c:crossBetween val="between"/>
        <c:majorUnit val="1.0000000000000002E-2"/>
      </c:valAx>
      <c:catAx>
        <c:axId val="445437080"/>
        <c:scaling>
          <c:orientation val="minMax"/>
        </c:scaling>
        <c:delete val="1"/>
        <c:axPos val="b"/>
        <c:numFmt formatCode="General" sourceLinked="1"/>
        <c:majorTickMark val="none"/>
        <c:minorTickMark val="none"/>
        <c:tickLblPos val="nextTo"/>
        <c:crossAx val="445438648"/>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Maladie</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4E3B-4208-91B3-DFA5A5559E8A}"/>
              </c:ext>
            </c:extLst>
          </c:dPt>
          <c:dPt>
            <c:idx val="1"/>
            <c:invertIfNegative val="0"/>
            <c:bubble3D val="0"/>
            <c:extLst>
              <c:ext xmlns:c16="http://schemas.microsoft.com/office/drawing/2014/chart" uri="{C3380CC4-5D6E-409C-BE32-E72D297353CC}">
                <c16:uniqueId val="{00000001-4E3B-4208-91B3-DFA5A5559E8A}"/>
              </c:ext>
            </c:extLst>
          </c:dPt>
          <c:dPt>
            <c:idx val="2"/>
            <c:invertIfNegative val="0"/>
            <c:bubble3D val="0"/>
            <c:extLst>
              <c:ext xmlns:c16="http://schemas.microsoft.com/office/drawing/2014/chart" uri="{C3380CC4-5D6E-409C-BE32-E72D297353CC}">
                <c16:uniqueId val="{00000003-4E3B-4208-91B3-DFA5A5559E8A}"/>
              </c:ext>
            </c:extLst>
          </c:dPt>
          <c:dPt>
            <c:idx val="3"/>
            <c:invertIfNegative val="0"/>
            <c:bubble3D val="0"/>
            <c:extLst>
              <c:ext xmlns:c16="http://schemas.microsoft.com/office/drawing/2014/chart" uri="{C3380CC4-5D6E-409C-BE32-E72D297353CC}">
                <c16:uniqueId val="{00000005-4E3B-4208-91B3-DFA5A5559E8A}"/>
              </c:ext>
            </c:extLst>
          </c:dPt>
          <c:dPt>
            <c:idx val="4"/>
            <c:invertIfNegative val="0"/>
            <c:bubble3D val="0"/>
            <c:extLst>
              <c:ext xmlns:c16="http://schemas.microsoft.com/office/drawing/2014/chart" uri="{C3380CC4-5D6E-409C-BE32-E72D297353CC}">
                <c16:uniqueId val="{00000007-4E3B-4208-91B3-DFA5A5559E8A}"/>
              </c:ext>
            </c:extLst>
          </c:dPt>
          <c:dPt>
            <c:idx val="5"/>
            <c:invertIfNegative val="0"/>
            <c:bubble3D val="0"/>
            <c:extLst>
              <c:ext xmlns:c16="http://schemas.microsoft.com/office/drawing/2014/chart" uri="{C3380CC4-5D6E-409C-BE32-E72D297353CC}">
                <c16:uniqueId val="{00000009-4E3B-4208-91B3-DFA5A5559E8A}"/>
              </c:ext>
            </c:extLst>
          </c:dPt>
          <c:dPt>
            <c:idx val="6"/>
            <c:invertIfNegative val="0"/>
            <c:bubble3D val="0"/>
            <c:extLst>
              <c:ext xmlns:c16="http://schemas.microsoft.com/office/drawing/2014/chart" uri="{C3380CC4-5D6E-409C-BE32-E72D297353CC}">
                <c16:uniqueId val="{0000000B-4E3B-4208-91B3-DFA5A5559E8A}"/>
              </c:ext>
            </c:extLst>
          </c:dPt>
          <c:cat>
            <c:strRef>
              <c:f>'Prest._cotisa.'!$C$47:$H$47</c:f>
              <c:strCache>
                <c:ptCount val="6"/>
                <c:pt idx="0">
                  <c:v>2024</c:v>
                </c:pt>
                <c:pt idx="1">
                  <c:v>2025(p)</c:v>
                </c:pt>
                <c:pt idx="2">
                  <c:v>2026(p)</c:v>
                </c:pt>
                <c:pt idx="3">
                  <c:v>2027(p)</c:v>
                </c:pt>
                <c:pt idx="4">
                  <c:v>2028(p)</c:v>
                </c:pt>
                <c:pt idx="5">
                  <c:v>2029(p)</c:v>
                </c:pt>
              </c:strCache>
            </c:strRef>
          </c:cat>
          <c:val>
            <c:numRef>
              <c:f>'Prest._cotisa.'!$C$54:$H$54</c:f>
              <c:numCache>
                <c:formatCode>#\ ##0.0</c:formatCode>
                <c:ptCount val="6"/>
                <c:pt idx="0">
                  <c:v>1.5564892741944778</c:v>
                </c:pt>
                <c:pt idx="1">
                  <c:v>2.4626016704990943</c:v>
                </c:pt>
                <c:pt idx="2">
                  <c:v>1.9112938512610065</c:v>
                </c:pt>
                <c:pt idx="3">
                  <c:v>1.6963297722145116</c:v>
                </c:pt>
                <c:pt idx="4">
                  <c:v>1.5855282960890991</c:v>
                </c:pt>
                <c:pt idx="5">
                  <c:v>1.5732062527824529</c:v>
                </c:pt>
              </c:numCache>
            </c:numRef>
          </c:val>
          <c:extLst>
            <c:ext xmlns:c16="http://schemas.microsoft.com/office/drawing/2014/chart" uri="{C3380CC4-5D6E-409C-BE32-E72D297353CC}">
              <c16:uniqueId val="{0000000C-4E3B-4208-91B3-DFA5A5559E8A}"/>
            </c:ext>
          </c:extLst>
        </c:ser>
        <c:ser>
          <c:idx val="1"/>
          <c:order val="1"/>
          <c:tx>
            <c:v>ATMP</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4E3B-4208-91B3-DFA5A5559E8A}"/>
              </c:ext>
            </c:extLst>
          </c:dPt>
          <c:dPt>
            <c:idx val="3"/>
            <c:invertIfNegative val="0"/>
            <c:bubble3D val="0"/>
            <c:extLst>
              <c:ext xmlns:c16="http://schemas.microsoft.com/office/drawing/2014/chart" uri="{C3380CC4-5D6E-409C-BE32-E72D297353CC}">
                <c16:uniqueId val="{00000010-4E3B-4208-91B3-DFA5A5559E8A}"/>
              </c:ext>
            </c:extLst>
          </c:dPt>
          <c:dPt>
            <c:idx val="4"/>
            <c:invertIfNegative val="0"/>
            <c:bubble3D val="0"/>
            <c:extLst>
              <c:ext xmlns:c16="http://schemas.microsoft.com/office/drawing/2014/chart" uri="{C3380CC4-5D6E-409C-BE32-E72D297353CC}">
                <c16:uniqueId val="{00000012-4E3B-4208-91B3-DFA5A5559E8A}"/>
              </c:ext>
            </c:extLst>
          </c:dPt>
          <c:dPt>
            <c:idx val="5"/>
            <c:invertIfNegative val="0"/>
            <c:bubble3D val="0"/>
            <c:extLst>
              <c:ext xmlns:c16="http://schemas.microsoft.com/office/drawing/2014/chart" uri="{C3380CC4-5D6E-409C-BE32-E72D297353CC}">
                <c16:uniqueId val="{00000014-4E3B-4208-91B3-DFA5A5559E8A}"/>
              </c:ext>
            </c:extLst>
          </c:dPt>
          <c:dPt>
            <c:idx val="6"/>
            <c:invertIfNegative val="0"/>
            <c:bubble3D val="0"/>
            <c:extLst>
              <c:ext xmlns:c16="http://schemas.microsoft.com/office/drawing/2014/chart" uri="{C3380CC4-5D6E-409C-BE32-E72D297353CC}">
                <c16:uniqueId val="{00000016-4E3B-4208-91B3-DFA5A5559E8A}"/>
              </c:ext>
            </c:extLst>
          </c:dPt>
          <c:cat>
            <c:strRef>
              <c:f>'Prest._cotisa.'!$C$47:$H$47</c:f>
              <c:strCache>
                <c:ptCount val="6"/>
                <c:pt idx="0">
                  <c:v>2024</c:v>
                </c:pt>
                <c:pt idx="1">
                  <c:v>2025(p)</c:v>
                </c:pt>
                <c:pt idx="2">
                  <c:v>2026(p)</c:v>
                </c:pt>
                <c:pt idx="3">
                  <c:v>2027(p)</c:v>
                </c:pt>
                <c:pt idx="4">
                  <c:v>2028(p)</c:v>
                </c:pt>
                <c:pt idx="5">
                  <c:v>2029(p)</c:v>
                </c:pt>
              </c:strCache>
            </c:strRef>
          </c:cat>
          <c:val>
            <c:numRef>
              <c:f>'Prest._cotisa.'!$C$55:$H$55</c:f>
              <c:numCache>
                <c:formatCode>#\ ##0.0</c:formatCode>
                <c:ptCount val="6"/>
                <c:pt idx="0">
                  <c:v>0.15255628002394497</c:v>
                </c:pt>
                <c:pt idx="1">
                  <c:v>0.30807350818028961</c:v>
                </c:pt>
                <c:pt idx="2">
                  <c:v>0.23868071526808118</c:v>
                </c:pt>
                <c:pt idx="3">
                  <c:v>0.23198648037866229</c:v>
                </c:pt>
                <c:pt idx="4">
                  <c:v>0.22168305703866906</c:v>
                </c:pt>
                <c:pt idx="5">
                  <c:v>0.21852514827716157</c:v>
                </c:pt>
              </c:numCache>
            </c:numRef>
          </c:val>
          <c:extLst>
            <c:ext xmlns:c16="http://schemas.microsoft.com/office/drawing/2014/chart" uri="{C3380CC4-5D6E-409C-BE32-E72D297353CC}">
              <c16:uniqueId val="{00000017-4E3B-4208-91B3-DFA5A5559E8A}"/>
            </c:ext>
          </c:extLst>
        </c:ser>
        <c:ser>
          <c:idx val="2"/>
          <c:order val="2"/>
          <c:tx>
            <c:v>Retraite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4E3B-4208-91B3-DFA5A5559E8A}"/>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4E3B-4208-91B3-DFA5A5559E8A}"/>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4E3B-4208-91B3-DFA5A5559E8A}"/>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4E3B-4208-91B3-DFA5A5559E8A}"/>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4E3B-4208-91B3-DFA5A5559E8A}"/>
              </c:ext>
            </c:extLst>
          </c:dPt>
          <c:cat>
            <c:strRef>
              <c:f>'Prest._cotisa.'!$C$47:$H$47</c:f>
              <c:strCache>
                <c:ptCount val="6"/>
                <c:pt idx="0">
                  <c:v>2024</c:v>
                </c:pt>
                <c:pt idx="1">
                  <c:v>2025(p)</c:v>
                </c:pt>
                <c:pt idx="2">
                  <c:v>2026(p)</c:v>
                </c:pt>
                <c:pt idx="3">
                  <c:v>2027(p)</c:v>
                </c:pt>
                <c:pt idx="4">
                  <c:v>2028(p)</c:v>
                </c:pt>
                <c:pt idx="5">
                  <c:v>2029(p)</c:v>
                </c:pt>
              </c:strCache>
            </c:strRef>
          </c:cat>
          <c:val>
            <c:numRef>
              <c:f>'Prest._cotisa.'!$C$57:$H$57</c:f>
              <c:numCache>
                <c:formatCode>#\ ##0.0</c:formatCode>
                <c:ptCount val="6"/>
                <c:pt idx="0">
                  <c:v>3.0288572506311247</c:v>
                </c:pt>
                <c:pt idx="1">
                  <c:v>2.1580658371541594</c:v>
                </c:pt>
                <c:pt idx="2">
                  <c:v>1.972313398052036</c:v>
                </c:pt>
                <c:pt idx="3">
                  <c:v>1.6790751614415047</c:v>
                </c:pt>
                <c:pt idx="4">
                  <c:v>1.5615321095091521</c:v>
                </c:pt>
                <c:pt idx="5">
                  <c:v>1.5944078327726878</c:v>
                </c:pt>
              </c:numCache>
            </c:numRef>
          </c:val>
          <c:extLst>
            <c:ext xmlns:c16="http://schemas.microsoft.com/office/drawing/2014/chart" uri="{C3380CC4-5D6E-409C-BE32-E72D297353CC}">
              <c16:uniqueId val="{00000022-4E3B-4208-91B3-DFA5A5559E8A}"/>
            </c:ext>
          </c:extLst>
        </c:ser>
        <c:ser>
          <c:idx val="3"/>
          <c:order val="3"/>
          <c:tx>
            <c:v>Famille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4E3B-4208-91B3-DFA5A5559E8A}"/>
              </c:ext>
            </c:extLst>
          </c:dPt>
          <c:dPt>
            <c:idx val="3"/>
            <c:invertIfNegative val="0"/>
            <c:bubble3D val="0"/>
            <c:extLst>
              <c:ext xmlns:c16="http://schemas.microsoft.com/office/drawing/2014/chart" uri="{C3380CC4-5D6E-409C-BE32-E72D297353CC}">
                <c16:uniqueId val="{00000026-4E3B-4208-91B3-DFA5A5559E8A}"/>
              </c:ext>
            </c:extLst>
          </c:dPt>
          <c:dPt>
            <c:idx val="4"/>
            <c:invertIfNegative val="0"/>
            <c:bubble3D val="0"/>
            <c:extLst>
              <c:ext xmlns:c16="http://schemas.microsoft.com/office/drawing/2014/chart" uri="{C3380CC4-5D6E-409C-BE32-E72D297353CC}">
                <c16:uniqueId val="{00000028-4E3B-4208-91B3-DFA5A5559E8A}"/>
              </c:ext>
            </c:extLst>
          </c:dPt>
          <c:dPt>
            <c:idx val="5"/>
            <c:invertIfNegative val="0"/>
            <c:bubble3D val="0"/>
            <c:extLst>
              <c:ext xmlns:c16="http://schemas.microsoft.com/office/drawing/2014/chart" uri="{C3380CC4-5D6E-409C-BE32-E72D297353CC}">
                <c16:uniqueId val="{0000002A-4E3B-4208-91B3-DFA5A5559E8A}"/>
              </c:ext>
            </c:extLst>
          </c:dPt>
          <c:dPt>
            <c:idx val="6"/>
            <c:invertIfNegative val="0"/>
            <c:bubble3D val="0"/>
            <c:extLst>
              <c:ext xmlns:c16="http://schemas.microsoft.com/office/drawing/2014/chart" uri="{C3380CC4-5D6E-409C-BE32-E72D297353CC}">
                <c16:uniqueId val="{0000002C-4E3B-4208-91B3-DFA5A5559E8A}"/>
              </c:ext>
            </c:extLst>
          </c:dPt>
          <c:cat>
            <c:strRef>
              <c:f>'Prest._cotisa.'!$C$47:$H$47</c:f>
              <c:strCache>
                <c:ptCount val="6"/>
                <c:pt idx="0">
                  <c:v>2024</c:v>
                </c:pt>
                <c:pt idx="1">
                  <c:v>2025(p)</c:v>
                </c:pt>
                <c:pt idx="2">
                  <c:v>2026(p)</c:v>
                </c:pt>
                <c:pt idx="3">
                  <c:v>2027(p)</c:v>
                </c:pt>
                <c:pt idx="4">
                  <c:v>2028(p)</c:v>
                </c:pt>
                <c:pt idx="5">
                  <c:v>2029(p)</c:v>
                </c:pt>
              </c:strCache>
            </c:strRef>
          </c:cat>
          <c:val>
            <c:numRef>
              <c:f>'Prest._cotisa.'!$C$56:$H$56</c:f>
              <c:numCache>
                <c:formatCode>#\ ##0.0</c:formatCode>
                <c:ptCount val="6"/>
                <c:pt idx="0">
                  <c:v>0.566543465979234</c:v>
                </c:pt>
                <c:pt idx="1">
                  <c:v>0.79960142196536266</c:v>
                </c:pt>
                <c:pt idx="2">
                  <c:v>0.56720245318466123</c:v>
                </c:pt>
                <c:pt idx="3">
                  <c:v>0.47505314705986224</c:v>
                </c:pt>
                <c:pt idx="4">
                  <c:v>0.44609368775620029</c:v>
                </c:pt>
                <c:pt idx="5">
                  <c:v>0.45630415703919364</c:v>
                </c:pt>
              </c:numCache>
            </c:numRef>
          </c:val>
          <c:extLst>
            <c:ext xmlns:c16="http://schemas.microsoft.com/office/drawing/2014/chart" uri="{C3380CC4-5D6E-409C-BE32-E72D297353CC}">
              <c16:uniqueId val="{0000002D-4E3B-4208-91B3-DFA5A5559E8A}"/>
            </c:ext>
          </c:extLst>
        </c:ser>
        <c:ser>
          <c:idx val="4"/>
          <c:order val="5"/>
          <c:tx>
            <c:v>SASPA</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'Prest._cotisa.'!$C$47:$H$47</c:f>
              <c:strCache>
                <c:ptCount val="6"/>
                <c:pt idx="0">
                  <c:v>2024</c:v>
                </c:pt>
                <c:pt idx="1">
                  <c:v>2025(p)</c:v>
                </c:pt>
                <c:pt idx="2">
                  <c:v>2026(p)</c:v>
                </c:pt>
                <c:pt idx="3">
                  <c:v>2027(p)</c:v>
                </c:pt>
                <c:pt idx="4">
                  <c:v>2028(p)</c:v>
                </c:pt>
                <c:pt idx="5">
                  <c:v>2029(p)</c:v>
                </c:pt>
              </c:strCache>
            </c:strRef>
          </c:cat>
          <c:val>
            <c:numRef>
              <c:f>'Prest._cotisa.'!$C$58:$H$58</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E-4E3B-4208-91B3-DFA5A5559E8A}"/>
            </c:ext>
          </c:extLst>
        </c:ser>
        <c:dLbls>
          <c:showLegendKey val="0"/>
          <c:showVal val="0"/>
          <c:showCatName val="0"/>
          <c:showSerName val="0"/>
          <c:showPercent val="0"/>
          <c:showBubbleSize val="0"/>
        </c:dLbls>
        <c:gapWidth val="150"/>
        <c:axId val="445435120"/>
        <c:axId val="445437472"/>
      </c:barChart>
      <c:lineChart>
        <c:grouping val="standard"/>
        <c:varyColors val="0"/>
        <c:ser>
          <c:idx val="5"/>
          <c:order val="4"/>
          <c:tx>
            <c:v>Evolution des cotisations sociales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0-4E3B-4208-91B3-DFA5A5559E8A}"/>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2-4E3B-4208-91B3-DFA5A5559E8A}"/>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4-4E3B-4208-91B3-DFA5A5559E8A}"/>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6-4E3B-4208-91B3-DFA5A5559E8A}"/>
              </c:ext>
            </c:extLst>
          </c:dPt>
          <c:dLbls>
            <c:dLbl>
              <c:idx val="0"/>
              <c:layout>
                <c:manualLayout>
                  <c:x val="-7.417594237239096E-2"/>
                  <c:y val="-1.25401739755617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4E3B-4208-91B3-DFA5A5559E8A}"/>
                </c:ext>
              </c:extLst>
            </c:dLbl>
            <c:dLbl>
              <c:idx val="1"/>
              <c:layout>
                <c:manualLayout>
                  <c:x val="2.6384992828712107E-3"/>
                  <c:y val="-1.23748013109009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4E3B-4208-91B3-DFA5A5559E8A}"/>
                </c:ext>
              </c:extLst>
            </c:dLbl>
            <c:dLbl>
              <c:idx val="2"/>
              <c:layout>
                <c:manualLayout>
                  <c:x val="-2.341725559021304E-2"/>
                  <c:y val="-6.2761240694945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4E3B-4208-91B3-DFA5A5559E8A}"/>
                </c:ext>
              </c:extLst>
            </c:dLbl>
            <c:dLbl>
              <c:idx val="3"/>
              <c:layout>
                <c:manualLayout>
                  <c:x val="-3.9433158522611464E-2"/>
                  <c:y val="-5.9237526942581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4E3B-4208-91B3-DFA5A5559E8A}"/>
                </c:ext>
              </c:extLst>
            </c:dLbl>
            <c:dLbl>
              <c:idx val="4"/>
              <c:layout>
                <c:manualLayout>
                  <c:x val="-3.6081642431874263E-2"/>
                  <c:y val="-5.0823892746310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4E3B-4208-91B3-DFA5A5559E8A}"/>
                </c:ext>
              </c:extLst>
            </c:dLbl>
            <c:dLbl>
              <c:idx val="5"/>
              <c:layout>
                <c:manualLayout>
                  <c:x val="-3.9774212428609235E-2"/>
                  <c:y val="-6.311165273206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4E3B-4208-91B3-DFA5A5559E8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'Prest._cotisa.'!$C$47:$H$47</c:f>
              <c:strCache>
                <c:ptCount val="6"/>
                <c:pt idx="0">
                  <c:v>2024</c:v>
                </c:pt>
                <c:pt idx="1">
                  <c:v>2025(p)</c:v>
                </c:pt>
                <c:pt idx="2">
                  <c:v>2026(p)</c:v>
                </c:pt>
                <c:pt idx="3">
                  <c:v>2027(p)</c:v>
                </c:pt>
                <c:pt idx="4">
                  <c:v>2028(p)</c:v>
                </c:pt>
                <c:pt idx="5">
                  <c:v>2029(p)</c:v>
                </c:pt>
              </c:strCache>
            </c:strRef>
          </c:cat>
          <c:val>
            <c:numRef>
              <c:f>'Prest._cotisa.'!$D$32:$I$32</c:f>
              <c:numCache>
                <c:formatCode>\+0.0%;\-0.0%;General</c:formatCode>
                <c:ptCount val="6"/>
                <c:pt idx="0">
                  <c:v>5.3376412685054886E-2</c:v>
                </c:pt>
                <c:pt idx="1">
                  <c:v>5.7283424377989167E-2</c:v>
                </c:pt>
                <c:pt idx="2">
                  <c:v>4.6894904177657848E-2</c:v>
                </c:pt>
                <c:pt idx="3">
                  <c:v>4.0824445610945448E-2</c:v>
                </c:pt>
                <c:pt idx="4">
                  <c:v>3.8148371503931244E-2</c:v>
                </c:pt>
                <c:pt idx="5">
                  <c:v>3.8424433908714972E-2</c:v>
                </c:pt>
              </c:numCache>
            </c:numRef>
          </c:val>
          <c:smooth val="0"/>
          <c:extLst>
            <c:ext xmlns:c16="http://schemas.microsoft.com/office/drawing/2014/chart" uri="{C3380CC4-5D6E-409C-BE32-E72D297353CC}">
              <c16:uniqueId val="{00000039-4E3B-4208-91B3-DFA5A5559E8A}"/>
            </c:ext>
          </c:extLst>
        </c:ser>
        <c:dLbls>
          <c:showLegendKey val="0"/>
          <c:showVal val="0"/>
          <c:showCatName val="0"/>
          <c:showSerName val="0"/>
          <c:showPercent val="0"/>
          <c:showBubbleSize val="0"/>
        </c:dLbls>
        <c:marker val="1"/>
        <c:smooth val="0"/>
        <c:axId val="445439824"/>
        <c:axId val="445437864"/>
      </c:lineChart>
      <c:catAx>
        <c:axId val="445435120"/>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7472"/>
        <c:crosses val="autoZero"/>
        <c:auto val="1"/>
        <c:lblAlgn val="ctr"/>
        <c:lblOffset val="100"/>
        <c:noMultiLvlLbl val="0"/>
      </c:catAx>
      <c:valAx>
        <c:axId val="445437472"/>
        <c:scaling>
          <c:orientation val="minMax"/>
          <c:max val="3.5"/>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fr-FR" sz="1000"/>
                  <a:t>Contribution à l'évolution (en points)</a:t>
                </a:r>
              </a:p>
            </c:rich>
          </c:tx>
          <c:layout>
            <c:manualLayout>
              <c:xMode val="edge"/>
              <c:yMode val="edge"/>
              <c:x val="8.9991622242646414E-3"/>
              <c:y val="0.2317873823589003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5120"/>
        <c:crosses val="autoZero"/>
        <c:crossBetween val="between"/>
        <c:majorUnit val="1"/>
        <c:minorUnit val="0.1"/>
      </c:valAx>
      <c:valAx>
        <c:axId val="445437864"/>
        <c:scaling>
          <c:orientation val="minMax"/>
          <c:max val="7.0000000000000007E-2"/>
          <c:min val="0"/>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7116451736801768"/>
              <c:y val="0.3362395912531330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9824"/>
        <c:crosses val="max"/>
        <c:crossBetween val="between"/>
        <c:majorUnit val="1.0000000000000002E-2"/>
      </c:valAx>
      <c:catAx>
        <c:axId val="445439824"/>
        <c:scaling>
          <c:orientation val="minMax"/>
        </c:scaling>
        <c:delete val="1"/>
        <c:axPos val="b"/>
        <c:numFmt formatCode="General" sourceLinked="1"/>
        <c:majorTickMark val="none"/>
        <c:minorTickMark val="none"/>
        <c:tickLblPos val="nextTo"/>
        <c:crossAx val="445437864"/>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46930367077184E-2"/>
          <c:y val="2.4659542557180354E-2"/>
          <c:w val="0.85255863051260772"/>
          <c:h val="0.8489905913059036"/>
        </c:manualLayout>
      </c:layout>
      <c:barChart>
        <c:barDir val="col"/>
        <c:grouping val="stacked"/>
        <c:varyColors val="0"/>
        <c:ser>
          <c:idx val="0"/>
          <c:order val="0"/>
          <c:tx>
            <c:v>ATMP</c:v>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rect">
                <a:fillToRect l="100000" t="100000"/>
              </a:path>
              <a:tileRect r="-100000" b="-100000"/>
            </a:gradFill>
          </c:spPr>
          <c:invertIfNegative val="0"/>
          <c:dLbls>
            <c:dLbl>
              <c:idx val="0"/>
              <c:layout>
                <c:manualLayout>
                  <c:x val="-1.8299609198263816E-4"/>
                  <c:y val="-0.290572814210899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F8-43A3-9D80-50D572210295}"/>
                </c:ext>
              </c:extLst>
            </c:dLbl>
            <c:dLbl>
              <c:idx val="1"/>
              <c:layout>
                <c:manualLayout>
                  <c:x val="-4.3399633392703519E-3"/>
                  <c:y val="-0.2861356831932244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F8-43A3-9D80-50D572210295}"/>
                </c:ext>
              </c:extLst>
            </c:dLbl>
            <c:dLbl>
              <c:idx val="2"/>
              <c:layout>
                <c:manualLayout>
                  <c:x val="2.169981669635156E-3"/>
                  <c:y val="-0.2730938248982920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F8-43A3-9D80-50D572210295}"/>
                </c:ext>
              </c:extLst>
            </c:dLbl>
            <c:dLbl>
              <c:idx val="3"/>
              <c:layout>
                <c:manualLayout>
                  <c:x val="0"/>
                  <c:y val="-0.29886685926699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F8-43A3-9D80-50D572210295}"/>
                </c:ext>
              </c:extLst>
            </c:dLbl>
            <c:dLbl>
              <c:idx val="4"/>
              <c:layout>
                <c:manualLayout>
                  <c:x val="-2.1699816696350766E-3"/>
                  <c:y val="-0.300693202627850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F8-43A3-9D80-50D572210295}"/>
                </c:ext>
              </c:extLst>
            </c:dLbl>
            <c:dLbl>
              <c:idx val="5"/>
              <c:layout>
                <c:manualLayout>
                  <c:x val="-1.8299609198261827E-4"/>
                  <c:y val="-0.3055153832999435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F8-43A3-9D80-50D572210295}"/>
                </c:ext>
              </c:extLst>
            </c:dLbl>
            <c:spPr>
              <a:solidFill>
                <a:schemeClr val="accent4">
                  <a:lumMod val="60000"/>
                  <a:lumOff val="40000"/>
                </a:schemeClr>
              </a:solidFill>
            </c:spPr>
            <c:txPr>
              <a:bodyPr/>
              <a:lstStyle/>
              <a:p>
                <a:pPr>
                  <a:defRPr b="1" i="1">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'Prest._cotisa.'!$C$47:$H$47</c:f>
              <c:strCache>
                <c:ptCount val="6"/>
                <c:pt idx="0">
                  <c:v>2024</c:v>
                </c:pt>
                <c:pt idx="1">
                  <c:v>2025(p)</c:v>
                </c:pt>
                <c:pt idx="2">
                  <c:v>2026(p)</c:v>
                </c:pt>
                <c:pt idx="3">
                  <c:v>2027(p)</c:v>
                </c:pt>
                <c:pt idx="4">
                  <c:v>2028(p)</c:v>
                </c:pt>
                <c:pt idx="5">
                  <c:v>2029(p)</c:v>
                </c:pt>
              </c:strCache>
            </c:strRef>
          </c:cat>
          <c:val>
            <c:numRef>
              <c:f>SOLDES!$C$18:$H$18</c:f>
              <c:numCache>
                <c:formatCode>#\ ##0.0</c:formatCode>
                <c:ptCount val="6"/>
                <c:pt idx="0">
                  <c:v>36.406181829999809</c:v>
                </c:pt>
                <c:pt idx="1">
                  <c:v>36.418558009070694</c:v>
                </c:pt>
                <c:pt idx="2">
                  <c:v>34.649827828157754</c:v>
                </c:pt>
                <c:pt idx="3">
                  <c:v>38.567637592905385</c:v>
                </c:pt>
                <c:pt idx="4">
                  <c:v>39.313809824579266</c:v>
                </c:pt>
                <c:pt idx="5">
                  <c:v>40.020680687379695</c:v>
                </c:pt>
              </c:numCache>
            </c:numRef>
          </c:val>
          <c:extLst>
            <c:ext xmlns:c16="http://schemas.microsoft.com/office/drawing/2014/chart" uri="{C3380CC4-5D6E-409C-BE32-E72D297353CC}">
              <c16:uniqueId val="{00000006-72F8-43A3-9D80-50D572210295}"/>
            </c:ext>
          </c:extLst>
        </c:ser>
        <c:dLbls>
          <c:showLegendKey val="0"/>
          <c:showVal val="0"/>
          <c:showCatName val="0"/>
          <c:showSerName val="0"/>
          <c:showPercent val="0"/>
          <c:showBubbleSize val="0"/>
        </c:dLbls>
        <c:gapWidth val="150"/>
        <c:overlap val="100"/>
        <c:axId val="444776856"/>
        <c:axId val="444778424"/>
      </c:barChart>
      <c:catAx>
        <c:axId val="444776856"/>
        <c:scaling>
          <c:orientation val="minMax"/>
        </c:scaling>
        <c:delete val="0"/>
        <c:axPos val="b"/>
        <c:numFmt formatCode="General" sourceLinked="1"/>
        <c:majorTickMark val="out"/>
        <c:minorTickMark val="none"/>
        <c:tickLblPos val="low"/>
        <c:txPr>
          <a:bodyPr/>
          <a:lstStyle/>
          <a:p>
            <a:pPr>
              <a:defRPr>
                <a:solidFill>
                  <a:schemeClr val="accent1">
                    <a:lumMod val="75000"/>
                  </a:schemeClr>
                </a:solidFill>
              </a:defRPr>
            </a:pPr>
            <a:endParaRPr lang="fr-FR"/>
          </a:p>
        </c:txPr>
        <c:crossAx val="444778424"/>
        <c:crosses val="autoZero"/>
        <c:auto val="1"/>
        <c:lblAlgn val="ctr"/>
        <c:lblOffset val="100"/>
        <c:noMultiLvlLbl val="0"/>
      </c:catAx>
      <c:valAx>
        <c:axId val="444778424"/>
        <c:scaling>
          <c:orientation val="minMax"/>
          <c:max val="70"/>
          <c:min val="0"/>
        </c:scaling>
        <c:delete val="1"/>
        <c:axPos val="l"/>
        <c:title>
          <c:tx>
            <c:rich>
              <a:bodyPr rot="-5400000" vert="horz"/>
              <a:lstStyle/>
              <a:p>
                <a:pPr>
                  <a:defRPr b="0">
                    <a:solidFill>
                      <a:schemeClr val="accent4">
                        <a:lumMod val="75000"/>
                      </a:schemeClr>
                    </a:solidFill>
                  </a:defRPr>
                </a:pPr>
                <a:r>
                  <a:rPr lang="fr-FR" b="0">
                    <a:solidFill>
                      <a:schemeClr val="accent4">
                        <a:lumMod val="75000"/>
                      </a:schemeClr>
                    </a:solidFill>
                  </a:rPr>
                  <a:t>Millions</a:t>
                </a:r>
                <a:r>
                  <a:rPr lang="fr-FR" b="0" baseline="0">
                    <a:solidFill>
                      <a:schemeClr val="accent4">
                        <a:lumMod val="75000"/>
                      </a:schemeClr>
                    </a:solidFill>
                  </a:rPr>
                  <a:t> d'euros</a:t>
                </a:r>
                <a:endParaRPr lang="fr-FR" b="0">
                  <a:solidFill>
                    <a:schemeClr val="accent4">
                      <a:lumMod val="75000"/>
                    </a:schemeClr>
                  </a:solidFill>
                </a:endParaRPr>
              </a:p>
            </c:rich>
          </c:tx>
          <c:layout>
            <c:manualLayout>
              <c:xMode val="edge"/>
              <c:yMode val="edge"/>
              <c:x val="7.1404856019456342E-2"/>
              <c:y val="0.52296850393700789"/>
            </c:manualLayout>
          </c:layout>
          <c:overlay val="0"/>
        </c:title>
        <c:numFmt formatCode="#\ ##0.0" sourceLinked="1"/>
        <c:majorTickMark val="out"/>
        <c:minorTickMark val="none"/>
        <c:tickLblPos val="nextTo"/>
        <c:crossAx val="444776856"/>
        <c:crosses val="autoZero"/>
        <c:crossBetween val="between"/>
        <c:majorUnit val="1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3576710080617E-2"/>
          <c:y val="9.3183975137860545E-2"/>
          <c:w val="0.79504978306528384"/>
          <c:h val="0.75318705642547767"/>
        </c:manualLayout>
      </c:layout>
      <c:barChart>
        <c:barDir val="col"/>
        <c:grouping val="clustered"/>
        <c:varyColors val="0"/>
        <c:ser>
          <c:idx val="0"/>
          <c:order val="0"/>
          <c:tx>
            <c:v>Cotisations sociales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7D7B-4830-92F3-DB0A10E8D0C4}"/>
              </c:ext>
            </c:extLst>
          </c:dPt>
          <c:dPt>
            <c:idx val="1"/>
            <c:invertIfNegative val="0"/>
            <c:bubble3D val="0"/>
            <c:extLst>
              <c:ext xmlns:c16="http://schemas.microsoft.com/office/drawing/2014/chart" uri="{C3380CC4-5D6E-409C-BE32-E72D297353CC}">
                <c16:uniqueId val="{00000001-7D7B-4830-92F3-DB0A10E8D0C4}"/>
              </c:ext>
            </c:extLst>
          </c:dPt>
          <c:dPt>
            <c:idx val="2"/>
            <c:invertIfNegative val="0"/>
            <c:bubble3D val="0"/>
            <c:extLst>
              <c:ext xmlns:c16="http://schemas.microsoft.com/office/drawing/2014/chart" uri="{C3380CC4-5D6E-409C-BE32-E72D297353CC}">
                <c16:uniqueId val="{00000003-7D7B-4830-92F3-DB0A10E8D0C4}"/>
              </c:ext>
            </c:extLst>
          </c:dPt>
          <c:dPt>
            <c:idx val="3"/>
            <c:invertIfNegative val="0"/>
            <c:bubble3D val="0"/>
            <c:extLst>
              <c:ext xmlns:c16="http://schemas.microsoft.com/office/drawing/2014/chart" uri="{C3380CC4-5D6E-409C-BE32-E72D297353CC}">
                <c16:uniqueId val="{00000005-7D7B-4830-92F3-DB0A10E8D0C4}"/>
              </c:ext>
            </c:extLst>
          </c:dPt>
          <c:dPt>
            <c:idx val="4"/>
            <c:invertIfNegative val="0"/>
            <c:bubble3D val="0"/>
            <c:extLst>
              <c:ext xmlns:c16="http://schemas.microsoft.com/office/drawing/2014/chart" uri="{C3380CC4-5D6E-409C-BE32-E72D297353CC}">
                <c16:uniqueId val="{00000007-7D7B-4830-92F3-DB0A10E8D0C4}"/>
              </c:ext>
            </c:extLst>
          </c:dPt>
          <c:dPt>
            <c:idx val="5"/>
            <c:invertIfNegative val="0"/>
            <c:bubble3D val="0"/>
            <c:extLst>
              <c:ext xmlns:c16="http://schemas.microsoft.com/office/drawing/2014/chart" uri="{C3380CC4-5D6E-409C-BE32-E72D297353CC}">
                <c16:uniqueId val="{00000009-7D7B-4830-92F3-DB0A10E8D0C4}"/>
              </c:ext>
            </c:extLst>
          </c:dPt>
          <c:dPt>
            <c:idx val="6"/>
            <c:invertIfNegative val="0"/>
            <c:bubble3D val="0"/>
            <c:extLst>
              <c:ext xmlns:c16="http://schemas.microsoft.com/office/drawing/2014/chart" uri="{C3380CC4-5D6E-409C-BE32-E72D297353CC}">
                <c16:uniqueId val="{0000000B-7D7B-4830-92F3-DB0A10E8D0C4}"/>
              </c:ext>
            </c:extLst>
          </c:dPt>
          <c:cat>
            <c:strRef>
              <c:f>'RESULTAT NET'!$B$28:$G$28</c:f>
              <c:strCache>
                <c:ptCount val="6"/>
                <c:pt idx="0">
                  <c:v>2024</c:v>
                </c:pt>
                <c:pt idx="1">
                  <c:v>2025(p)</c:v>
                </c:pt>
                <c:pt idx="2">
                  <c:v>2026(p)</c:v>
                </c:pt>
                <c:pt idx="3">
                  <c:v>2027(p)</c:v>
                </c:pt>
                <c:pt idx="4">
                  <c:v>2028(p)</c:v>
                </c:pt>
                <c:pt idx="5">
                  <c:v>2029(p)</c:v>
                </c:pt>
              </c:strCache>
            </c:strRef>
          </c:cat>
          <c:val>
            <c:numRef>
              <c:f>'RESULTAT NET'!$B$32:$G$32</c:f>
              <c:numCache>
                <c:formatCode>0.0</c:formatCode>
                <c:ptCount val="6"/>
                <c:pt idx="0">
                  <c:v>2.1195379376987304</c:v>
                </c:pt>
                <c:pt idx="1">
                  <c:v>2.2896126644816244</c:v>
                </c:pt>
                <c:pt idx="2">
                  <c:v>1.9384543663478155</c:v>
                </c:pt>
                <c:pt idx="3">
                  <c:v>1.7187929415048857</c:v>
                </c:pt>
                <c:pt idx="4">
                  <c:v>1.6153256431359457</c:v>
                </c:pt>
                <c:pt idx="5">
                  <c:v>1.6298777196153296</c:v>
                </c:pt>
              </c:numCache>
            </c:numRef>
          </c:val>
          <c:extLst>
            <c:ext xmlns:c16="http://schemas.microsoft.com/office/drawing/2014/chart" uri="{C3380CC4-5D6E-409C-BE32-E72D297353CC}">
              <c16:uniqueId val="{0000000C-7D7B-4830-92F3-DB0A10E8D0C4}"/>
            </c:ext>
          </c:extLst>
        </c:ser>
        <c:ser>
          <c:idx val="1"/>
          <c:order val="1"/>
          <c:tx>
            <c:v>Compensation démographique vieillesse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7D7B-4830-92F3-DB0A10E8D0C4}"/>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7D7B-4830-92F3-DB0A10E8D0C4}"/>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7D7B-4830-92F3-DB0A10E8D0C4}"/>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7D7B-4830-92F3-DB0A10E8D0C4}"/>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7D7B-4830-92F3-DB0A10E8D0C4}"/>
              </c:ext>
            </c:extLst>
          </c:dPt>
          <c:cat>
            <c:strRef>
              <c:f>'RESULTAT NET'!$B$28:$G$28</c:f>
              <c:strCache>
                <c:ptCount val="6"/>
                <c:pt idx="0">
                  <c:v>2024</c:v>
                </c:pt>
                <c:pt idx="1">
                  <c:v>2025(p)</c:v>
                </c:pt>
                <c:pt idx="2">
                  <c:v>2026(p)</c:v>
                </c:pt>
                <c:pt idx="3">
                  <c:v>2027(p)</c:v>
                </c:pt>
                <c:pt idx="4">
                  <c:v>2028(p)</c:v>
                </c:pt>
                <c:pt idx="5">
                  <c:v>2029(p)</c:v>
                </c:pt>
              </c:strCache>
            </c:strRef>
          </c:cat>
          <c:val>
            <c:numRef>
              <c:f>'RESULTAT NET'!$B$33:$G$33</c:f>
              <c:numCache>
                <c:formatCode>0.0</c:formatCode>
                <c:ptCount val="6"/>
                <c:pt idx="0">
                  <c:v>-4.1915982180992916E-3</c:v>
                </c:pt>
                <c:pt idx="1">
                  <c:v>-0.29577496980046014</c:v>
                </c:pt>
                <c:pt idx="2">
                  <c:v>-0.21963619564331474</c:v>
                </c:pt>
                <c:pt idx="3">
                  <c:v>-0.1779240247443957</c:v>
                </c:pt>
                <c:pt idx="4">
                  <c:v>-0.1621926272500902</c:v>
                </c:pt>
                <c:pt idx="5">
                  <c:v>-0.17470012529379395</c:v>
                </c:pt>
              </c:numCache>
            </c:numRef>
          </c:val>
          <c:extLst>
            <c:ext xmlns:c16="http://schemas.microsoft.com/office/drawing/2014/chart" uri="{C3380CC4-5D6E-409C-BE32-E72D297353CC}">
              <c16:uniqueId val="{00000017-7D7B-4830-92F3-DB0A10E8D0C4}"/>
            </c:ext>
          </c:extLst>
        </c:ser>
        <c:ser>
          <c:idx val="2"/>
          <c:order val="2"/>
          <c:tx>
            <c:v>CSG</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7D7B-4830-92F3-DB0A10E8D0C4}"/>
              </c:ext>
            </c:extLst>
          </c:dPt>
          <c:dPt>
            <c:idx val="3"/>
            <c:invertIfNegative val="0"/>
            <c:bubble3D val="0"/>
            <c:extLst>
              <c:ext xmlns:c16="http://schemas.microsoft.com/office/drawing/2014/chart" uri="{C3380CC4-5D6E-409C-BE32-E72D297353CC}">
                <c16:uniqueId val="{0000001B-7D7B-4830-92F3-DB0A10E8D0C4}"/>
              </c:ext>
            </c:extLst>
          </c:dPt>
          <c:dPt>
            <c:idx val="4"/>
            <c:invertIfNegative val="0"/>
            <c:bubble3D val="0"/>
            <c:extLst>
              <c:ext xmlns:c16="http://schemas.microsoft.com/office/drawing/2014/chart" uri="{C3380CC4-5D6E-409C-BE32-E72D297353CC}">
                <c16:uniqueId val="{0000001D-7D7B-4830-92F3-DB0A10E8D0C4}"/>
              </c:ext>
            </c:extLst>
          </c:dPt>
          <c:dPt>
            <c:idx val="5"/>
            <c:invertIfNegative val="0"/>
            <c:bubble3D val="0"/>
            <c:extLst>
              <c:ext xmlns:c16="http://schemas.microsoft.com/office/drawing/2014/chart" uri="{C3380CC4-5D6E-409C-BE32-E72D297353CC}">
                <c16:uniqueId val="{0000001F-7D7B-4830-92F3-DB0A10E8D0C4}"/>
              </c:ext>
            </c:extLst>
          </c:dPt>
          <c:dPt>
            <c:idx val="6"/>
            <c:invertIfNegative val="0"/>
            <c:bubble3D val="0"/>
            <c:extLst>
              <c:ext xmlns:c16="http://schemas.microsoft.com/office/drawing/2014/chart" uri="{C3380CC4-5D6E-409C-BE32-E72D297353CC}">
                <c16:uniqueId val="{00000021-7D7B-4830-92F3-DB0A10E8D0C4}"/>
              </c:ext>
            </c:extLst>
          </c:dPt>
          <c:cat>
            <c:strRef>
              <c:f>'RESULTAT NET'!$B$28:$G$28</c:f>
              <c:strCache>
                <c:ptCount val="6"/>
                <c:pt idx="0">
                  <c:v>2024</c:v>
                </c:pt>
                <c:pt idx="1">
                  <c:v>2025(p)</c:v>
                </c:pt>
                <c:pt idx="2">
                  <c:v>2026(p)</c:v>
                </c:pt>
                <c:pt idx="3">
                  <c:v>2027(p)</c:v>
                </c:pt>
                <c:pt idx="4">
                  <c:v>2028(p)</c:v>
                </c:pt>
                <c:pt idx="5">
                  <c:v>2029(p)</c:v>
                </c:pt>
              </c:strCache>
            </c:strRef>
          </c:cat>
          <c:val>
            <c:numRef>
              <c:f>'RESULTAT NET'!$B$34:$G$34</c:f>
              <c:numCache>
                <c:formatCode>0.0</c:formatCode>
                <c:ptCount val="6"/>
                <c:pt idx="0">
                  <c:v>-0.27199392904035619</c:v>
                </c:pt>
                <c:pt idx="1">
                  <c:v>0.56757363451841158</c:v>
                </c:pt>
                <c:pt idx="2">
                  <c:v>0.23566573615310696</c:v>
                </c:pt>
                <c:pt idx="3">
                  <c:v>0.20976699038011032</c:v>
                </c:pt>
                <c:pt idx="4">
                  <c:v>0.20499722567457246</c:v>
                </c:pt>
                <c:pt idx="5">
                  <c:v>0.19986678619953294</c:v>
                </c:pt>
              </c:numCache>
            </c:numRef>
          </c:val>
          <c:extLst>
            <c:ext xmlns:c16="http://schemas.microsoft.com/office/drawing/2014/chart" uri="{C3380CC4-5D6E-409C-BE32-E72D297353CC}">
              <c16:uniqueId val="{00000022-7D7B-4830-92F3-DB0A10E8D0C4}"/>
            </c:ext>
          </c:extLst>
        </c:ser>
        <c:ser>
          <c:idx val="3"/>
          <c:order val="3"/>
          <c:tx>
            <c:v>Impôts et taxes affectés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7D7B-4830-92F3-DB0A10E8D0C4}"/>
              </c:ext>
            </c:extLst>
          </c:dPt>
          <c:dPt>
            <c:idx val="3"/>
            <c:invertIfNegative val="0"/>
            <c:bubble3D val="0"/>
            <c:extLst>
              <c:ext xmlns:c16="http://schemas.microsoft.com/office/drawing/2014/chart" uri="{C3380CC4-5D6E-409C-BE32-E72D297353CC}">
                <c16:uniqueId val="{00000026-7D7B-4830-92F3-DB0A10E8D0C4}"/>
              </c:ext>
            </c:extLst>
          </c:dPt>
          <c:dPt>
            <c:idx val="4"/>
            <c:invertIfNegative val="0"/>
            <c:bubble3D val="0"/>
            <c:extLst>
              <c:ext xmlns:c16="http://schemas.microsoft.com/office/drawing/2014/chart" uri="{C3380CC4-5D6E-409C-BE32-E72D297353CC}">
                <c16:uniqueId val="{00000028-7D7B-4830-92F3-DB0A10E8D0C4}"/>
              </c:ext>
            </c:extLst>
          </c:dPt>
          <c:dPt>
            <c:idx val="5"/>
            <c:invertIfNegative val="0"/>
            <c:bubble3D val="0"/>
            <c:extLst>
              <c:ext xmlns:c16="http://schemas.microsoft.com/office/drawing/2014/chart" uri="{C3380CC4-5D6E-409C-BE32-E72D297353CC}">
                <c16:uniqueId val="{0000002A-7D7B-4830-92F3-DB0A10E8D0C4}"/>
              </c:ext>
            </c:extLst>
          </c:dPt>
          <c:dPt>
            <c:idx val="6"/>
            <c:invertIfNegative val="0"/>
            <c:bubble3D val="0"/>
            <c:extLst>
              <c:ext xmlns:c16="http://schemas.microsoft.com/office/drawing/2014/chart" uri="{C3380CC4-5D6E-409C-BE32-E72D297353CC}">
                <c16:uniqueId val="{0000002C-7D7B-4830-92F3-DB0A10E8D0C4}"/>
              </c:ext>
            </c:extLst>
          </c:dPt>
          <c:cat>
            <c:strRef>
              <c:f>'RESULTAT NET'!$B$28:$G$28</c:f>
              <c:strCache>
                <c:ptCount val="6"/>
                <c:pt idx="0">
                  <c:v>2024</c:v>
                </c:pt>
                <c:pt idx="1">
                  <c:v>2025(p)</c:v>
                </c:pt>
                <c:pt idx="2">
                  <c:v>2026(p)</c:v>
                </c:pt>
                <c:pt idx="3">
                  <c:v>2027(p)</c:v>
                </c:pt>
                <c:pt idx="4">
                  <c:v>2028(p)</c:v>
                </c:pt>
                <c:pt idx="5">
                  <c:v>2029(p)</c:v>
                </c:pt>
              </c:strCache>
            </c:strRef>
          </c:cat>
          <c:val>
            <c:numRef>
              <c:f>'RESULTAT NET'!$B$35:$G$35</c:f>
              <c:numCache>
                <c:formatCode>0.0</c:formatCode>
                <c:ptCount val="6"/>
                <c:pt idx="0">
                  <c:v>-1.3773343775373769E-2</c:v>
                </c:pt>
                <c:pt idx="1">
                  <c:v>-5.518145306257307E-2</c:v>
                </c:pt>
                <c:pt idx="2">
                  <c:v>1.561914430366364E-3</c:v>
                </c:pt>
                <c:pt idx="3">
                  <c:v>1.1558412409229093E-3</c:v>
                </c:pt>
                <c:pt idx="4">
                  <c:v>1.1919980106370833E-3</c:v>
                </c:pt>
                <c:pt idx="5">
                  <c:v>1.1807218108824079E-3</c:v>
                </c:pt>
              </c:numCache>
            </c:numRef>
          </c:val>
          <c:extLst>
            <c:ext xmlns:c16="http://schemas.microsoft.com/office/drawing/2014/chart" uri="{C3380CC4-5D6E-409C-BE32-E72D297353CC}">
              <c16:uniqueId val="{0000002D-7D7B-4830-92F3-DB0A10E8D0C4}"/>
            </c:ext>
          </c:extLst>
        </c:ser>
        <c:ser>
          <c:idx val="4"/>
          <c:order val="5"/>
          <c:tx>
            <c:strRef>
              <c:f>'RESULTAT NET'!$A$38</c:f>
              <c:strCache>
                <c:ptCount val="1"/>
                <c:pt idx="0">
                  <c:v>Contribution du RG</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'RESULTAT NET'!$B$28:$G$28</c:f>
              <c:strCache>
                <c:ptCount val="6"/>
                <c:pt idx="0">
                  <c:v>2024</c:v>
                </c:pt>
                <c:pt idx="1">
                  <c:v>2025(p)</c:v>
                </c:pt>
                <c:pt idx="2">
                  <c:v>2026(p)</c:v>
                </c:pt>
                <c:pt idx="3">
                  <c:v>2027(p)</c:v>
                </c:pt>
                <c:pt idx="4">
                  <c:v>2028(p)</c:v>
                </c:pt>
                <c:pt idx="5">
                  <c:v>2029(p)</c:v>
                </c:pt>
              </c:strCache>
            </c:strRef>
          </c:cat>
          <c:val>
            <c:numRef>
              <c:f>'RESULTAT NET'!$B$38:$G$38</c:f>
              <c:numCache>
                <c:formatCode>0.0</c:formatCode>
                <c:ptCount val="6"/>
                <c:pt idx="0">
                  <c:v>2.6250324025701448</c:v>
                </c:pt>
                <c:pt idx="1">
                  <c:v>-0.45749243416618612</c:v>
                </c:pt>
                <c:pt idx="2">
                  <c:v>0.17955224942735309</c:v>
                </c:pt>
                <c:pt idx="3">
                  <c:v>1.0982082447013166</c:v>
                </c:pt>
                <c:pt idx="4">
                  <c:v>1.1875555126833279</c:v>
                </c:pt>
                <c:pt idx="5">
                  <c:v>1.3128370830946388</c:v>
                </c:pt>
              </c:numCache>
            </c:numRef>
          </c:val>
          <c:extLst>
            <c:ext xmlns:c16="http://schemas.microsoft.com/office/drawing/2014/chart" uri="{C3380CC4-5D6E-409C-BE32-E72D297353CC}">
              <c16:uniqueId val="{00000033-0029-4C86-94F2-51461DF295A7}"/>
            </c:ext>
          </c:extLst>
        </c:ser>
        <c:dLbls>
          <c:showLegendKey val="0"/>
          <c:showVal val="0"/>
          <c:showCatName val="0"/>
          <c:showSerName val="0"/>
          <c:showPercent val="0"/>
          <c:showBubbleSize val="0"/>
        </c:dLbls>
        <c:gapWidth val="150"/>
        <c:axId val="444778032"/>
        <c:axId val="444783128"/>
      </c:barChart>
      <c:lineChart>
        <c:grouping val="standard"/>
        <c:varyColors val="0"/>
        <c:ser>
          <c:idx val="5"/>
          <c:order val="4"/>
          <c:tx>
            <c:v>Evolution des recettes totales</c:v>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1"/>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7-7D7B-4830-92F3-DB0A10E8D0C4}"/>
              </c:ext>
            </c:extLst>
          </c:dPt>
          <c:dPt>
            <c:idx val="2"/>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2F-7D7B-4830-92F3-DB0A10E8D0C4}"/>
              </c:ext>
            </c:extLst>
          </c:dPt>
          <c:dPt>
            <c:idx val="3"/>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1-7D7B-4830-92F3-DB0A10E8D0C4}"/>
              </c:ext>
            </c:extLst>
          </c:dPt>
          <c:dPt>
            <c:idx val="4"/>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3-7D7B-4830-92F3-DB0A10E8D0C4}"/>
              </c:ext>
            </c:extLst>
          </c:dPt>
          <c:dPt>
            <c:idx val="5"/>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5-7D7B-4830-92F3-DB0A10E8D0C4}"/>
              </c:ext>
            </c:extLst>
          </c:dPt>
          <c:dLbls>
            <c:dLbl>
              <c:idx val="0"/>
              <c:layout>
                <c:manualLayout>
                  <c:x val="-2.6921786842825361E-2"/>
                  <c:y val="-3.6865096696178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D7B-4830-92F3-DB0A10E8D0C4}"/>
                </c:ext>
              </c:extLst>
            </c:dLbl>
            <c:dLbl>
              <c:idx val="1"/>
              <c:layout>
                <c:manualLayout>
                  <c:x val="-4.564509096286383E-2"/>
                  <c:y val="-6.3108997949081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D7B-4830-92F3-DB0A10E8D0C4}"/>
                </c:ext>
              </c:extLst>
            </c:dLbl>
            <c:dLbl>
              <c:idx val="2"/>
              <c:layout>
                <c:manualLayout>
                  <c:x val="-2.7746532506668174E-2"/>
                  <c:y val="-5.9984147125436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D7B-4830-92F3-DB0A10E8D0C4}"/>
                </c:ext>
              </c:extLst>
            </c:dLbl>
            <c:dLbl>
              <c:idx val="3"/>
              <c:layout>
                <c:manualLayout>
                  <c:x val="-3.1864547598401495E-2"/>
                  <c:y val="-5.7840677082202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D7B-4830-92F3-DB0A10E8D0C4}"/>
                </c:ext>
              </c:extLst>
            </c:dLbl>
            <c:dLbl>
              <c:idx val="4"/>
              <c:layout>
                <c:manualLayout>
                  <c:x val="-4.5386477593058958E-2"/>
                  <c:y val="-5.3393710578892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D7B-4830-92F3-DB0A10E8D0C4}"/>
                </c:ext>
              </c:extLst>
            </c:dLbl>
            <c:dLbl>
              <c:idx val="5"/>
              <c:layout>
                <c:manualLayout>
                  <c:x val="-3.8951768765667784E-2"/>
                  <c:y val="6.5608769030098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D7B-4830-92F3-DB0A10E8D0C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NET'!$B$28:$G$28</c:f>
              <c:strCache>
                <c:ptCount val="6"/>
                <c:pt idx="0">
                  <c:v>2024</c:v>
                </c:pt>
                <c:pt idx="1">
                  <c:v>2025(p)</c:v>
                </c:pt>
                <c:pt idx="2">
                  <c:v>2026(p)</c:v>
                </c:pt>
                <c:pt idx="3">
                  <c:v>2027(p)</c:v>
                </c:pt>
                <c:pt idx="4">
                  <c:v>2028(p)</c:v>
                </c:pt>
                <c:pt idx="5">
                  <c:v>2029(p)</c:v>
                </c:pt>
              </c:strCache>
            </c:strRef>
          </c:cat>
          <c:val>
            <c:numRef>
              <c:f>'RESULTAT NET'!$B$18:$G$18</c:f>
              <c:numCache>
                <c:formatCode>\+0.0%;\-0.0%;General</c:formatCode>
                <c:ptCount val="6"/>
                <c:pt idx="0">
                  <c:v>4.6507523153003882E-2</c:v>
                </c:pt>
                <c:pt idx="1">
                  <c:v>2.2338088667098965E-2</c:v>
                </c:pt>
                <c:pt idx="2">
                  <c:v>2.7850020746571946E-2</c:v>
                </c:pt>
                <c:pt idx="3">
                  <c:v>3.4895897583134827E-2</c:v>
                </c:pt>
                <c:pt idx="4">
                  <c:v>3.6324978759715298E-2</c:v>
                </c:pt>
                <c:pt idx="5">
                  <c:v>3.707845982707636E-2</c:v>
                </c:pt>
              </c:numCache>
            </c:numRef>
          </c:val>
          <c:smooth val="0"/>
          <c:extLst>
            <c:ext xmlns:c16="http://schemas.microsoft.com/office/drawing/2014/chart" uri="{C3380CC4-5D6E-409C-BE32-E72D297353CC}">
              <c16:uniqueId val="{00000038-7D7B-4830-92F3-DB0A10E8D0C4}"/>
            </c:ext>
          </c:extLst>
        </c:ser>
        <c:dLbls>
          <c:showLegendKey val="0"/>
          <c:showVal val="0"/>
          <c:showCatName val="0"/>
          <c:showSerName val="0"/>
          <c:showPercent val="0"/>
          <c:showBubbleSize val="0"/>
        </c:dLbls>
        <c:marker val="1"/>
        <c:smooth val="0"/>
        <c:axId val="444779208"/>
        <c:axId val="444780384"/>
      </c:lineChart>
      <c:catAx>
        <c:axId val="444778032"/>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4783128"/>
        <c:crossesAt val="0"/>
        <c:auto val="1"/>
        <c:lblAlgn val="ctr"/>
        <c:lblOffset val="100"/>
        <c:noMultiLvlLbl val="0"/>
      </c:catAx>
      <c:valAx>
        <c:axId val="444783128"/>
        <c:scaling>
          <c:orientation val="minMax"/>
          <c:max val="3"/>
          <c:min val="-2.5"/>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2.9696161767712352E-3"/>
              <c:y val="0.1907294991537895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4778032"/>
        <c:crosses val="autoZero"/>
        <c:crossBetween val="between"/>
        <c:majorUnit val="0.5"/>
      </c:valAx>
      <c:valAx>
        <c:axId val="444780384"/>
        <c:scaling>
          <c:orientation val="minMax"/>
          <c:max val="5.000000000000001E-2"/>
          <c:min val="0"/>
        </c:scaling>
        <c:delete val="0"/>
        <c:axPos val="r"/>
        <c:title>
          <c:tx>
            <c:rich>
              <a:bodyPr rot="-5400000" spcFirstLastPara="1" vertOverflow="ellipsis" vert="horz" wrap="square" anchor="ctr" anchorCtr="1"/>
              <a:lstStyle/>
              <a:p>
                <a:pPr>
                  <a:defRPr sz="900" b="1" i="0" u="none" strike="noStrike" kern="1200" baseline="0">
                    <a:solidFill>
                      <a:schemeClr val="accent6">
                        <a:lumMod val="75000"/>
                      </a:schemeClr>
                    </a:solidFill>
                    <a:latin typeface="+mn-lt"/>
                    <a:ea typeface="+mn-ea"/>
                    <a:cs typeface="+mn-cs"/>
                  </a:defRPr>
                </a:pPr>
                <a:r>
                  <a:rPr lang="fr-FR">
                    <a:solidFill>
                      <a:schemeClr val="accent6">
                        <a:lumMod val="75000"/>
                      </a:schemeClr>
                    </a:solidFill>
                  </a:rPr>
                  <a:t>Evolution en %</a:t>
                </a:r>
              </a:p>
            </c:rich>
          </c:tx>
          <c:layout>
            <c:manualLayout>
              <c:xMode val="edge"/>
              <c:yMode val="edge"/>
              <c:x val="0.96424569481399258"/>
              <c:y val="0.3291444070717958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6">
                      <a:lumMod val="75000"/>
                    </a:schemeClr>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fr-FR"/>
          </a:p>
        </c:txPr>
        <c:crossAx val="444779208"/>
        <c:crosses val="max"/>
        <c:crossBetween val="between"/>
        <c:majorUnit val="1.0000000000000002E-2"/>
      </c:valAx>
      <c:catAx>
        <c:axId val="444779208"/>
        <c:scaling>
          <c:orientation val="minMax"/>
        </c:scaling>
        <c:delete val="1"/>
        <c:axPos val="b"/>
        <c:numFmt formatCode="General" sourceLinked="1"/>
        <c:majorTickMark val="none"/>
        <c:minorTickMark val="none"/>
        <c:tickLblPos val="nextTo"/>
        <c:crossAx val="444780384"/>
        <c:crossesAt val="1.0000000000000002E-2"/>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ayout>
        <c:manualLayout>
          <c:xMode val="edge"/>
          <c:yMode val="edge"/>
          <c:x val="0"/>
          <c:y val="0.86489562573589429"/>
          <c:w val="1"/>
          <c:h val="0.135104374264105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9239659823409E-2"/>
          <c:y val="5.9217476682702233E-2"/>
          <c:w val="0.80402997193149195"/>
          <c:h val="0.80874087258184202"/>
        </c:manualLayout>
      </c:layout>
      <c:barChart>
        <c:barDir val="col"/>
        <c:grouping val="clustered"/>
        <c:varyColors val="0"/>
        <c:ser>
          <c:idx val="0"/>
          <c:order val="0"/>
          <c:tx>
            <c:v>Dépenses totales</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0CF1-49A7-805C-E47582A7DC2E}"/>
              </c:ext>
            </c:extLst>
          </c:dPt>
          <c:dPt>
            <c:idx val="1"/>
            <c:invertIfNegative val="0"/>
            <c:bubble3D val="0"/>
            <c:extLst>
              <c:ext xmlns:c16="http://schemas.microsoft.com/office/drawing/2014/chart" uri="{C3380CC4-5D6E-409C-BE32-E72D297353CC}">
                <c16:uniqueId val="{00000002-0CF1-49A7-805C-E47582A7DC2E}"/>
              </c:ext>
            </c:extLst>
          </c:dPt>
          <c:dPt>
            <c:idx val="2"/>
            <c:invertIfNegative val="0"/>
            <c:bubble3D val="0"/>
            <c:extLst>
              <c:ext xmlns:c16="http://schemas.microsoft.com/office/drawing/2014/chart" uri="{C3380CC4-5D6E-409C-BE32-E72D297353CC}">
                <c16:uniqueId val="{00000004-0CF1-49A7-805C-E47582A7DC2E}"/>
              </c:ext>
            </c:extLst>
          </c:dPt>
          <c:dPt>
            <c:idx val="3"/>
            <c:invertIfNegative val="0"/>
            <c:bubble3D val="0"/>
            <c:extLst>
              <c:ext xmlns:c16="http://schemas.microsoft.com/office/drawing/2014/chart" uri="{C3380CC4-5D6E-409C-BE32-E72D297353CC}">
                <c16:uniqueId val="{00000006-0CF1-49A7-805C-E47582A7DC2E}"/>
              </c:ext>
            </c:extLst>
          </c:dPt>
          <c:dPt>
            <c:idx val="4"/>
            <c:invertIfNegative val="0"/>
            <c:bubble3D val="0"/>
            <c:extLst>
              <c:ext xmlns:c16="http://schemas.microsoft.com/office/drawing/2014/chart" uri="{C3380CC4-5D6E-409C-BE32-E72D297353CC}">
                <c16:uniqueId val="{00000008-0CF1-49A7-805C-E47582A7DC2E}"/>
              </c:ext>
            </c:extLst>
          </c:dPt>
          <c:dPt>
            <c:idx val="5"/>
            <c:invertIfNegative val="0"/>
            <c:bubble3D val="0"/>
            <c:extLst>
              <c:ext xmlns:c16="http://schemas.microsoft.com/office/drawing/2014/chart" uri="{C3380CC4-5D6E-409C-BE32-E72D297353CC}">
                <c16:uniqueId val="{0000000A-0CF1-49A7-805C-E47582A7DC2E}"/>
              </c:ext>
            </c:extLst>
          </c:dPt>
          <c:dLbls>
            <c:dLbl>
              <c:idx val="1"/>
              <c:layout>
                <c:manualLayout>
                  <c:x val="3.1419231443956797E-17"/>
                  <c:y val="4.20988698726708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1-49A7-805C-E47582A7DC2E}"/>
                </c:ext>
              </c:extLst>
            </c:dLbl>
            <c:dLbl>
              <c:idx val="2"/>
              <c:layout>
                <c:manualLayout>
                  <c:x val="-2.6373626373626374E-2"/>
                  <c:y val="4.69446600865032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F1-49A7-805C-E47582A7DC2E}"/>
                </c:ext>
              </c:extLst>
            </c:dLbl>
            <c:dLbl>
              <c:idx val="3"/>
              <c:layout>
                <c:manualLayout>
                  <c:x val="0"/>
                  <c:y val="-1.4290074205840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F1-49A7-805C-E47582A7DC2E}"/>
                </c:ext>
              </c:extLst>
            </c:dLbl>
            <c:dLbl>
              <c:idx val="4"/>
              <c:layout>
                <c:manualLayout>
                  <c:x val="-3.5088411443350374E-3"/>
                  <c:y val="-1.4300538014143784E-3"/>
                </c:manualLayout>
              </c:layout>
              <c:spPr>
                <a:solidFill>
                  <a:schemeClr val="accent5">
                    <a:lumMod val="75000"/>
                  </a:schemeClr>
                </a:solidFill>
                <a:ln>
                  <a:noFill/>
                </a:ln>
              </c:spPr>
              <c:txPr>
                <a:bodyPr/>
                <a:lstStyle/>
                <a:p>
                  <a:pPr>
                    <a:defRPr sz="8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F1-49A7-805C-E47582A7DC2E}"/>
                </c:ext>
              </c:extLst>
            </c:dLbl>
            <c:dLbl>
              <c:idx val="5"/>
              <c:layout>
                <c:manualLayout>
                  <c:x val="4.8588874416497355E-2"/>
                  <c:y val="2.9010775362481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CF1-49A7-805C-E47582A7DC2E}"/>
                </c:ext>
              </c:extLst>
            </c:dLbl>
            <c:spPr>
              <a:solidFill>
                <a:schemeClr val="accent5">
                  <a:lumMod val="75000"/>
                </a:schemeClr>
              </a:solidFill>
            </c:spPr>
            <c:txPr>
              <a:bodyPr/>
              <a:lstStyle/>
              <a:p>
                <a:pPr>
                  <a:defRPr sz="8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NET'!$B$28:$G$28</c:f>
              <c:strCache>
                <c:ptCount val="6"/>
                <c:pt idx="0">
                  <c:v>2024</c:v>
                </c:pt>
                <c:pt idx="1">
                  <c:v>2025(p)</c:v>
                </c:pt>
                <c:pt idx="2">
                  <c:v>2026(p)</c:v>
                </c:pt>
                <c:pt idx="3">
                  <c:v>2027(p)</c:v>
                </c:pt>
                <c:pt idx="4">
                  <c:v>2028(p)</c:v>
                </c:pt>
                <c:pt idx="5">
                  <c:v>2029(p)</c:v>
                </c:pt>
              </c:strCache>
            </c:strRef>
          </c:cat>
          <c:val>
            <c:numRef>
              <c:f>'RESULTAT NET'!$C$2:$H$2</c:f>
              <c:numCache>
                <c:formatCode>#\ ##0.0</c:formatCode>
                <c:ptCount val="6"/>
                <c:pt idx="0">
                  <c:v>16577.269829209999</c:v>
                </c:pt>
                <c:pt idx="1">
                  <c:v>16948.375220851995</c:v>
                </c:pt>
                <c:pt idx="2">
                  <c:v>17423.170810150434</c:v>
                </c:pt>
                <c:pt idx="3">
                  <c:v>18028.459321393322</c:v>
                </c:pt>
                <c:pt idx="4">
                  <c:v>18683.99751969803</c:v>
                </c:pt>
                <c:pt idx="5">
                  <c:v>19377.522195796777</c:v>
                </c:pt>
              </c:numCache>
            </c:numRef>
          </c:val>
          <c:extLst>
            <c:ext xmlns:c16="http://schemas.microsoft.com/office/drawing/2014/chart" uri="{C3380CC4-5D6E-409C-BE32-E72D297353CC}">
              <c16:uniqueId val="{0000000B-0CF1-49A7-805C-E47582A7DC2E}"/>
            </c:ext>
          </c:extLst>
        </c:ser>
        <c:ser>
          <c:idx val="2"/>
          <c:order val="2"/>
          <c:tx>
            <c:v>Prestations sociales</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0CF1-49A7-805C-E47582A7DC2E}"/>
              </c:ext>
            </c:extLst>
          </c:dPt>
          <c:dPt>
            <c:idx val="2"/>
            <c:invertIfNegative val="0"/>
            <c:bubble3D val="0"/>
            <c:extLst>
              <c:ext xmlns:c16="http://schemas.microsoft.com/office/drawing/2014/chart" uri="{C3380CC4-5D6E-409C-BE32-E72D297353CC}">
                <c16:uniqueId val="{0000000F-0CF1-49A7-805C-E47582A7DC2E}"/>
              </c:ext>
            </c:extLst>
          </c:dPt>
          <c:dPt>
            <c:idx val="3"/>
            <c:invertIfNegative val="0"/>
            <c:bubble3D val="0"/>
            <c:extLst>
              <c:ext xmlns:c16="http://schemas.microsoft.com/office/drawing/2014/chart" uri="{C3380CC4-5D6E-409C-BE32-E72D297353CC}">
                <c16:uniqueId val="{00000011-0CF1-49A7-805C-E47582A7DC2E}"/>
              </c:ext>
            </c:extLst>
          </c:dPt>
          <c:dPt>
            <c:idx val="4"/>
            <c:invertIfNegative val="0"/>
            <c:bubble3D val="0"/>
            <c:extLst>
              <c:ext xmlns:c16="http://schemas.microsoft.com/office/drawing/2014/chart" uri="{C3380CC4-5D6E-409C-BE32-E72D297353CC}">
                <c16:uniqueId val="{00000013-0CF1-49A7-805C-E47582A7DC2E}"/>
              </c:ext>
            </c:extLst>
          </c:dPt>
          <c:dPt>
            <c:idx val="5"/>
            <c:invertIfNegative val="0"/>
            <c:bubble3D val="0"/>
            <c:extLst>
              <c:ext xmlns:c16="http://schemas.microsoft.com/office/drawing/2014/chart" uri="{C3380CC4-5D6E-409C-BE32-E72D297353CC}">
                <c16:uniqueId val="{00000015-0CF1-49A7-805C-E47582A7DC2E}"/>
              </c:ext>
            </c:extLst>
          </c:dPt>
          <c:dLbls>
            <c:dLbl>
              <c:idx val="0"/>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CF1-49A7-805C-E47582A7DC2E}"/>
                </c:ext>
              </c:extLst>
            </c:dLbl>
            <c:dLbl>
              <c:idx val="1"/>
              <c:layout>
                <c:manualLayout>
                  <c:x val="2.513801159470451E-2"/>
                  <c:y val="8.9164910724187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F1-49A7-805C-E47582A7DC2E}"/>
                </c:ext>
              </c:extLst>
            </c:dLbl>
            <c:dLbl>
              <c:idx val="2"/>
              <c:layout>
                <c:manualLayout>
                  <c:x val="2.891566265060241E-2"/>
                  <c:y val="5.1679586563307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F1-49A7-805C-E47582A7DC2E}"/>
                </c:ext>
              </c:extLst>
            </c:dLbl>
            <c:dLbl>
              <c:idx val="3"/>
              <c:layout>
                <c:manualLayout>
                  <c:x val="2.2489959839357431E-2"/>
                  <c:y val="2.9607754437255797E-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CF1-49A7-805C-E47582A7DC2E}"/>
                </c:ext>
              </c:extLst>
            </c:dLbl>
            <c:dLbl>
              <c:idx val="4"/>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CF1-49A7-805C-E47582A7DC2E}"/>
                </c:ext>
              </c:extLst>
            </c:dLbl>
            <c:dLbl>
              <c:idx val="5"/>
              <c:layout>
                <c:manualLayout>
                  <c:x val="2.8915722257305387E-2"/>
                  <c:y val="2.08044405522121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CF1-49A7-805C-E47582A7DC2E}"/>
                </c:ext>
              </c:extLst>
            </c:dLbl>
            <c:spPr>
              <a:solidFill>
                <a:schemeClr val="accent1"/>
              </a:solidFill>
            </c:spPr>
            <c:txPr>
              <a:bodyPr/>
              <a:lstStyle/>
              <a:p>
                <a:pPr>
                  <a:defRPr sz="800" b="1">
                    <a:solidFill>
                      <a:schemeClr val="bg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NET'!$B$28:$G$28</c:f>
              <c:strCache>
                <c:ptCount val="6"/>
                <c:pt idx="0">
                  <c:v>2024</c:v>
                </c:pt>
                <c:pt idx="1">
                  <c:v>2025(p)</c:v>
                </c:pt>
                <c:pt idx="2">
                  <c:v>2026(p)</c:v>
                </c:pt>
                <c:pt idx="3">
                  <c:v>2027(p)</c:v>
                </c:pt>
                <c:pt idx="4">
                  <c:v>2028(p)</c:v>
                </c:pt>
                <c:pt idx="5">
                  <c:v>2029(p)</c:v>
                </c:pt>
              </c:strCache>
            </c:strRef>
          </c:cat>
          <c:val>
            <c:numRef>
              <c:f>'RESULTAT NET'!$C$3:$H$3</c:f>
              <c:numCache>
                <c:formatCode>#\ ##0.0</c:formatCode>
                <c:ptCount val="6"/>
                <c:pt idx="0">
                  <c:v>14732.043979890001</c:v>
                </c:pt>
                <c:pt idx="1">
                  <c:v>15163.839617120693</c:v>
                </c:pt>
                <c:pt idx="2">
                  <c:v>15569.80782932114</c:v>
                </c:pt>
                <c:pt idx="3">
                  <c:v>16101.712440310921</c:v>
                </c:pt>
                <c:pt idx="4">
                  <c:v>16669.559359152085</c:v>
                </c:pt>
                <c:pt idx="5">
                  <c:v>17279.737938700448</c:v>
                </c:pt>
              </c:numCache>
            </c:numRef>
          </c:val>
          <c:extLst>
            <c:ext xmlns:c16="http://schemas.microsoft.com/office/drawing/2014/chart" uri="{C3380CC4-5D6E-409C-BE32-E72D297353CC}">
              <c16:uniqueId val="{00000017-0CF1-49A7-805C-E47582A7DC2E}"/>
            </c:ext>
          </c:extLst>
        </c:ser>
        <c:dLbls>
          <c:showLegendKey val="0"/>
          <c:showVal val="0"/>
          <c:showCatName val="0"/>
          <c:showSerName val="0"/>
          <c:showPercent val="0"/>
          <c:showBubbleSize val="0"/>
        </c:dLbls>
        <c:gapWidth val="150"/>
        <c:axId val="444776072"/>
        <c:axId val="444777248"/>
      </c:barChart>
      <c:lineChart>
        <c:grouping val="standard"/>
        <c:varyColors val="0"/>
        <c:ser>
          <c:idx val="1"/>
          <c:order val="1"/>
          <c:tx>
            <c:v>Evolution des dépenses totales</c:v>
          </c:tx>
          <c:spPr>
            <a:ln w="19050">
              <a:prstDash val="sysDot"/>
            </a:ln>
          </c:spPr>
          <c:dPt>
            <c:idx val="1"/>
            <c:bubble3D val="0"/>
            <c:spPr>
              <a:ln w="19050">
                <a:prstDash val="solid"/>
              </a:ln>
            </c:spPr>
            <c:extLst>
              <c:ext xmlns:c16="http://schemas.microsoft.com/office/drawing/2014/chart" uri="{C3380CC4-5D6E-409C-BE32-E72D297353CC}">
                <c16:uniqueId val="{00000019-0CF1-49A7-805C-E47582A7DC2E}"/>
              </c:ext>
            </c:extLst>
          </c:dPt>
          <c:dPt>
            <c:idx val="2"/>
            <c:bubble3D val="0"/>
            <c:extLst>
              <c:ext xmlns:c16="http://schemas.microsoft.com/office/drawing/2014/chart" uri="{C3380CC4-5D6E-409C-BE32-E72D297353CC}">
                <c16:uniqueId val="{0000001A-0CF1-49A7-805C-E47582A7DC2E}"/>
              </c:ext>
            </c:extLst>
          </c:dPt>
          <c:dPt>
            <c:idx val="3"/>
            <c:bubble3D val="0"/>
            <c:extLst>
              <c:ext xmlns:c16="http://schemas.microsoft.com/office/drawing/2014/chart" uri="{C3380CC4-5D6E-409C-BE32-E72D297353CC}">
                <c16:uniqueId val="{0000001B-0CF1-49A7-805C-E47582A7DC2E}"/>
              </c:ext>
            </c:extLst>
          </c:dPt>
          <c:dPt>
            <c:idx val="4"/>
            <c:bubble3D val="0"/>
            <c:extLst>
              <c:ext xmlns:c16="http://schemas.microsoft.com/office/drawing/2014/chart" uri="{C3380CC4-5D6E-409C-BE32-E72D297353CC}">
                <c16:uniqueId val="{0000001C-0CF1-49A7-805C-E47582A7DC2E}"/>
              </c:ext>
            </c:extLst>
          </c:dPt>
          <c:dPt>
            <c:idx val="5"/>
            <c:bubble3D val="0"/>
            <c:extLst>
              <c:ext xmlns:c16="http://schemas.microsoft.com/office/drawing/2014/chart" uri="{C3380CC4-5D6E-409C-BE32-E72D297353CC}">
                <c16:uniqueId val="{0000001D-0CF1-49A7-805C-E47582A7DC2E}"/>
              </c:ext>
            </c:extLst>
          </c:dPt>
          <c:dPt>
            <c:idx val="6"/>
            <c:bubble3D val="0"/>
            <c:extLst>
              <c:ext xmlns:c16="http://schemas.microsoft.com/office/drawing/2014/chart" uri="{C3380CC4-5D6E-409C-BE32-E72D297353CC}">
                <c16:uniqueId val="{0000001E-0CF1-49A7-805C-E47582A7DC2E}"/>
              </c:ext>
            </c:extLst>
          </c:dPt>
          <c:dPt>
            <c:idx val="7"/>
            <c:bubble3D val="0"/>
            <c:extLst>
              <c:ext xmlns:c16="http://schemas.microsoft.com/office/drawing/2014/chart" uri="{C3380CC4-5D6E-409C-BE32-E72D297353CC}">
                <c16:uniqueId val="{0000001F-0CF1-49A7-805C-E47582A7DC2E}"/>
              </c:ext>
            </c:extLst>
          </c:dPt>
          <c:dPt>
            <c:idx val="8"/>
            <c:bubble3D val="0"/>
            <c:extLst>
              <c:ext xmlns:c16="http://schemas.microsoft.com/office/drawing/2014/chart" uri="{C3380CC4-5D6E-409C-BE32-E72D297353CC}">
                <c16:uniqueId val="{00000020-0CF1-49A7-805C-E47582A7DC2E}"/>
              </c:ext>
            </c:extLst>
          </c:dPt>
          <c:dLbls>
            <c:dLbl>
              <c:idx val="0"/>
              <c:layout>
                <c:manualLayout>
                  <c:x val="-6.913969455937849E-2"/>
                  <c:y val="6.65957803296858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CF1-49A7-805C-E47582A7DC2E}"/>
                </c:ext>
              </c:extLst>
            </c:dLbl>
            <c:dLbl>
              <c:idx val="1"/>
              <c:layout>
                <c:manualLayout>
                  <c:x val="-4.5265717432989273E-2"/>
                  <c:y val="9.5757381202593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CF1-49A7-805C-E47582A7DC2E}"/>
                </c:ext>
              </c:extLst>
            </c:dLbl>
            <c:dLbl>
              <c:idx val="2"/>
              <c:layout>
                <c:manualLayout>
                  <c:x val="-1.8181413673982866E-2"/>
                  <c:y val="3.621449028273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CF1-49A7-805C-E47582A7DC2E}"/>
                </c:ext>
              </c:extLst>
            </c:dLbl>
            <c:dLbl>
              <c:idx val="3"/>
              <c:layout>
                <c:manualLayout>
                  <c:x val="-5.356860185222969E-2"/>
                  <c:y val="9.4171956626547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CF1-49A7-805C-E47582A7DC2E}"/>
                </c:ext>
              </c:extLst>
            </c:dLbl>
            <c:dLbl>
              <c:idx val="4"/>
              <c:layout>
                <c:manualLayout>
                  <c:x val="-4.5040733939016496E-2"/>
                  <c:y val="6.3545176511055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CF1-49A7-805C-E47582A7DC2E}"/>
                </c:ext>
              </c:extLst>
            </c:dLbl>
            <c:dLbl>
              <c:idx val="5"/>
              <c:layout>
                <c:manualLayout>
                  <c:x val="-5.1540365836886259E-2"/>
                  <c:y val="5.65535290994608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CF1-49A7-805C-E47582A7DC2E}"/>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CF1-49A7-805C-E47582A7DC2E}"/>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CF1-49A7-805C-E47582A7DC2E}"/>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CF1-49A7-805C-E47582A7DC2E}"/>
                </c:ext>
              </c:extLst>
            </c:dLbl>
            <c:numFmt formatCode="0.0%" sourceLinked="0"/>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'RESULTAT NET'!$B$16:$G$16</c:f>
              <c:numCache>
                <c:formatCode>\+0.0%;\-0.0%;General</c:formatCode>
                <c:ptCount val="6"/>
                <c:pt idx="0">
                  <c:v>4.8215866160579379E-2</c:v>
                </c:pt>
                <c:pt idx="1">
                  <c:v>2.2386399899704035E-2</c:v>
                </c:pt>
                <c:pt idx="2">
                  <c:v>2.8014224556126566E-2</c:v>
                </c:pt>
                <c:pt idx="3">
                  <c:v>3.4740433749880895E-2</c:v>
                </c:pt>
                <c:pt idx="4">
                  <c:v>3.6361298911816498E-2</c:v>
                </c:pt>
                <c:pt idx="5">
                  <c:v>3.7118645266762673E-2</c:v>
                </c:pt>
              </c:numCache>
            </c:numRef>
          </c:val>
          <c:smooth val="0"/>
          <c:extLst>
            <c:ext xmlns:c16="http://schemas.microsoft.com/office/drawing/2014/chart" uri="{C3380CC4-5D6E-409C-BE32-E72D297353CC}">
              <c16:uniqueId val="{00000022-0CF1-49A7-805C-E47582A7DC2E}"/>
            </c:ext>
          </c:extLst>
        </c:ser>
        <c:dLbls>
          <c:dLblPos val="ctr"/>
          <c:showLegendKey val="0"/>
          <c:showVal val="1"/>
          <c:showCatName val="0"/>
          <c:showSerName val="0"/>
          <c:showPercent val="0"/>
          <c:showBubbleSize val="0"/>
        </c:dLbls>
        <c:marker val="1"/>
        <c:smooth val="0"/>
        <c:axId val="444779600"/>
        <c:axId val="444778816"/>
      </c:lineChart>
      <c:catAx>
        <c:axId val="444776072"/>
        <c:scaling>
          <c:orientation val="minMax"/>
        </c:scaling>
        <c:delete val="0"/>
        <c:axPos val="b"/>
        <c:numFmt formatCode="General" sourceLinked="1"/>
        <c:majorTickMark val="out"/>
        <c:minorTickMark val="none"/>
        <c:tickLblPos val="nextTo"/>
        <c:txPr>
          <a:bodyPr/>
          <a:lstStyle/>
          <a:p>
            <a:pPr>
              <a:defRPr sz="800" b="1">
                <a:solidFill>
                  <a:schemeClr val="accent1">
                    <a:lumMod val="75000"/>
                  </a:schemeClr>
                </a:solidFill>
              </a:defRPr>
            </a:pPr>
            <a:endParaRPr lang="fr-FR"/>
          </a:p>
        </c:txPr>
        <c:crossAx val="444777248"/>
        <c:crosses val="autoZero"/>
        <c:auto val="1"/>
        <c:lblAlgn val="ctr"/>
        <c:lblOffset val="100"/>
        <c:noMultiLvlLbl val="0"/>
      </c:catAx>
      <c:valAx>
        <c:axId val="444777248"/>
        <c:scaling>
          <c:orientation val="minMax"/>
          <c:max val="20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444776072"/>
        <c:crosses val="autoZero"/>
        <c:crossBetween val="between"/>
        <c:majorUnit val="2000"/>
        <c:dispUnits>
          <c:builtInUnit val="thousands"/>
          <c:dispUnitsLbl>
            <c:layout>
              <c:manualLayout>
                <c:xMode val="edge"/>
                <c:yMode val="edge"/>
                <c:x val="1.1840806197689206E-2"/>
                <c:y val="0.31853407103166309"/>
              </c:manualLayout>
            </c:layout>
            <c:tx>
              <c:rich>
                <a:bodyPr/>
                <a:lstStyle/>
                <a:p>
                  <a:pPr>
                    <a:defRPr sz="900" b="1">
                      <a:solidFill>
                        <a:schemeClr val="accent1">
                          <a:lumMod val="75000"/>
                        </a:schemeClr>
                      </a:solidFill>
                    </a:defRPr>
                  </a:pPr>
                  <a:r>
                    <a:rPr lang="fr-FR" sz="900"/>
                    <a:t>Milliards  d'euros</a:t>
                  </a:r>
                </a:p>
              </c:rich>
            </c:tx>
          </c:dispUnitsLbl>
        </c:dispUnits>
      </c:valAx>
      <c:valAx>
        <c:axId val="444778816"/>
        <c:scaling>
          <c:orientation val="minMax"/>
          <c:max val="6.0000000000000012E-2"/>
          <c:min val="0"/>
        </c:scaling>
        <c:delete val="0"/>
        <c:axPos val="r"/>
        <c:title>
          <c:tx>
            <c:rich>
              <a:bodyPr rot="-5400000" vert="horz"/>
              <a:lstStyle/>
              <a:p>
                <a:pPr>
                  <a:defRPr sz="900" b="0">
                    <a:solidFill>
                      <a:srgbClr val="C00000"/>
                    </a:solidFill>
                  </a:defRPr>
                </a:pPr>
                <a:r>
                  <a:rPr lang="fr-FR" sz="900" b="0">
                    <a:solidFill>
                      <a:srgbClr val="C00000"/>
                    </a:solidFill>
                  </a:rPr>
                  <a:t>Evolution en %</a:t>
                </a:r>
              </a:p>
            </c:rich>
          </c:tx>
          <c:layout>
            <c:manualLayout>
              <c:xMode val="edge"/>
              <c:yMode val="edge"/>
              <c:x val="0.96819961296208523"/>
              <c:y val="0.30656634555562512"/>
            </c:manualLayout>
          </c:layout>
          <c:overlay val="0"/>
        </c:title>
        <c:numFmt formatCode="\+0.0%;\-0.0%;General" sourceLinked="0"/>
        <c:majorTickMark val="out"/>
        <c:minorTickMark val="none"/>
        <c:tickLblPos val="nextTo"/>
        <c:txPr>
          <a:bodyPr/>
          <a:lstStyle/>
          <a:p>
            <a:pPr>
              <a:defRPr sz="800">
                <a:solidFill>
                  <a:schemeClr val="accent2"/>
                </a:solidFill>
              </a:defRPr>
            </a:pPr>
            <a:endParaRPr lang="fr-FR"/>
          </a:p>
        </c:txPr>
        <c:crossAx val="444779600"/>
        <c:crosses val="max"/>
        <c:crossBetween val="between"/>
        <c:majorUnit val="1.0000000000000002E-2"/>
      </c:valAx>
      <c:catAx>
        <c:axId val="444779600"/>
        <c:scaling>
          <c:orientation val="minMax"/>
        </c:scaling>
        <c:delete val="1"/>
        <c:axPos val="b"/>
        <c:numFmt formatCode="General" sourceLinked="1"/>
        <c:majorTickMark val="out"/>
        <c:minorTickMark val="none"/>
        <c:tickLblPos val="nextTo"/>
        <c:crossAx val="444778816"/>
        <c:crosses val="autoZero"/>
        <c:auto val="1"/>
        <c:lblAlgn val="ctr"/>
        <c:lblOffset val="100"/>
        <c:noMultiLvlLbl val="0"/>
      </c:catAx>
    </c:plotArea>
    <c:legend>
      <c:legendPos val="b"/>
      <c:legendEntry>
        <c:idx val="2"/>
        <c:txPr>
          <a:bodyPr/>
          <a:lstStyle/>
          <a:p>
            <a:pPr>
              <a:defRPr sz="1000">
                <a:solidFill>
                  <a:srgbClr val="C00000"/>
                </a:solidFill>
              </a:defRPr>
            </a:pPr>
            <a:endParaRPr lang="fr-FR"/>
          </a:p>
        </c:txPr>
      </c:legendEntry>
      <c:layout>
        <c:manualLayout>
          <c:xMode val="edge"/>
          <c:yMode val="edge"/>
          <c:x val="3.6671097229102306E-2"/>
          <c:y val="0.93402380422662223"/>
          <c:w val="0.92519171793640409"/>
          <c:h val="6.4500421649749604E-2"/>
        </c:manualLayout>
      </c:layout>
      <c:overlay val="0"/>
      <c:txPr>
        <a:bodyPr/>
        <a:lstStyle/>
        <a:p>
          <a:pPr>
            <a:defRPr sz="10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56257835452922E-2"/>
          <c:y val="3.5202572282447095E-2"/>
          <c:w val="0.77557046682391384"/>
          <c:h val="0.77768907838305035"/>
        </c:manualLayout>
      </c:layout>
      <c:barChart>
        <c:barDir val="col"/>
        <c:grouping val="clustered"/>
        <c:varyColors val="0"/>
        <c:ser>
          <c:idx val="0"/>
          <c:order val="0"/>
          <c:tx>
            <c:v>Dépenses totales (hors versements Régime général)</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DC0C-438E-9F1E-243856D8EC76}"/>
              </c:ext>
            </c:extLst>
          </c:dPt>
          <c:dPt>
            <c:idx val="1"/>
            <c:invertIfNegative val="0"/>
            <c:bubble3D val="0"/>
            <c:extLst>
              <c:ext xmlns:c16="http://schemas.microsoft.com/office/drawing/2014/chart" uri="{C3380CC4-5D6E-409C-BE32-E72D297353CC}">
                <c16:uniqueId val="{00000002-DC0C-438E-9F1E-243856D8EC76}"/>
              </c:ext>
            </c:extLst>
          </c:dPt>
          <c:dPt>
            <c:idx val="2"/>
            <c:invertIfNegative val="0"/>
            <c:bubble3D val="0"/>
            <c:extLst>
              <c:ext xmlns:c16="http://schemas.microsoft.com/office/drawing/2014/chart" uri="{C3380CC4-5D6E-409C-BE32-E72D297353CC}">
                <c16:uniqueId val="{00000004-DC0C-438E-9F1E-243856D8EC76}"/>
              </c:ext>
            </c:extLst>
          </c:dPt>
          <c:dPt>
            <c:idx val="3"/>
            <c:invertIfNegative val="0"/>
            <c:bubble3D val="0"/>
            <c:extLst>
              <c:ext xmlns:c16="http://schemas.microsoft.com/office/drawing/2014/chart" uri="{C3380CC4-5D6E-409C-BE32-E72D297353CC}">
                <c16:uniqueId val="{00000006-DC0C-438E-9F1E-243856D8EC76}"/>
              </c:ext>
            </c:extLst>
          </c:dPt>
          <c:dPt>
            <c:idx val="4"/>
            <c:invertIfNegative val="0"/>
            <c:bubble3D val="0"/>
            <c:extLst>
              <c:ext xmlns:c16="http://schemas.microsoft.com/office/drawing/2014/chart" uri="{C3380CC4-5D6E-409C-BE32-E72D297353CC}">
                <c16:uniqueId val="{00000008-DC0C-438E-9F1E-243856D8EC76}"/>
              </c:ext>
            </c:extLst>
          </c:dPt>
          <c:dPt>
            <c:idx val="5"/>
            <c:invertIfNegative val="0"/>
            <c:bubble3D val="0"/>
            <c:extLst>
              <c:ext xmlns:c16="http://schemas.microsoft.com/office/drawing/2014/chart" uri="{C3380CC4-5D6E-409C-BE32-E72D297353CC}">
                <c16:uniqueId val="{0000000A-DC0C-438E-9F1E-243856D8EC76}"/>
              </c:ext>
            </c:extLst>
          </c:dPt>
          <c:dLbls>
            <c:dLbl>
              <c:idx val="0"/>
              <c:layout>
                <c:manualLayout>
                  <c:x val="0"/>
                  <c:y val="-1.857010213556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C-438E-9F1E-243856D8EC76}"/>
                </c:ext>
              </c:extLst>
            </c:dLbl>
            <c:dLbl>
              <c:idx val="1"/>
              <c:layout>
                <c:manualLayout>
                  <c:x val="-8.3725784212284136E-3"/>
                  <c:y val="-1.0646078710913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C-438E-9F1E-243856D8EC76}"/>
                </c:ext>
              </c:extLst>
            </c:dLbl>
            <c:dLbl>
              <c:idx val="2"/>
              <c:layout>
                <c:manualLayout>
                  <c:x val="-7.6747748931381988E-17"/>
                  <c:y val="-7.42804085422471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C-438E-9F1E-243856D8EC76}"/>
                </c:ext>
              </c:extLst>
            </c:dLbl>
            <c:dLbl>
              <c:idx val="3"/>
              <c:layout>
                <c:manualLayout>
                  <c:x val="-7.6747748931381988E-17"/>
                  <c:y val="-1.42887431550164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C-438E-9F1E-243856D8EC76}"/>
                </c:ext>
              </c:extLst>
            </c:dLbl>
            <c:dLbl>
              <c:idx val="4"/>
              <c:layout>
                <c:manualLayout>
                  <c:x val="2.8646414476254782E-3"/>
                  <c:y val="-1.8917523888901083E-2"/>
                </c:manualLayout>
              </c:layout>
              <c:spPr>
                <a:solidFill>
                  <a:schemeClr val="accent5">
                    <a:lumMod val="75000"/>
                  </a:schemeClr>
                </a:solidFill>
                <a:ln>
                  <a:noFill/>
                </a:ln>
              </c:spPr>
              <c:txPr>
                <a:bodyPr/>
                <a:lstStyle/>
                <a:p>
                  <a:pPr>
                    <a:defRPr sz="8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C-438E-9F1E-243856D8EC76}"/>
                </c:ext>
              </c:extLst>
            </c:dLbl>
            <c:dLbl>
              <c:idx val="5"/>
              <c:layout>
                <c:manualLayout>
                  <c:x val="-6.9698419066009211E-3"/>
                  <c:y val="-4.14274121027351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0C-438E-9F1E-243856D8EC76}"/>
                </c:ext>
              </c:extLst>
            </c:dLbl>
            <c:spPr>
              <a:solidFill>
                <a:schemeClr val="accent5">
                  <a:lumMod val="75000"/>
                </a:schemeClr>
              </a:solidFill>
            </c:spPr>
            <c:txPr>
              <a:bodyPr/>
              <a:lstStyle/>
              <a:p>
                <a:pPr>
                  <a:defRPr sz="8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RETRAITE!$B$27:$G$27</c:f>
              <c:strCache>
                <c:ptCount val="6"/>
                <c:pt idx="0">
                  <c:v>2024</c:v>
                </c:pt>
                <c:pt idx="1">
                  <c:v>2025(p)</c:v>
                </c:pt>
                <c:pt idx="2">
                  <c:v>2026(p)</c:v>
                </c:pt>
                <c:pt idx="3">
                  <c:v>2027(p)</c:v>
                </c:pt>
                <c:pt idx="4">
                  <c:v>2028(p)</c:v>
                </c:pt>
                <c:pt idx="5">
                  <c:v>2029(p)</c:v>
                </c:pt>
              </c:strCache>
            </c:strRef>
          </c:cat>
          <c:val>
            <c:numRef>
              <c:f>RETRAITE!$C$2:$H$2</c:f>
              <c:numCache>
                <c:formatCode>#\ ##0.0</c:formatCode>
                <c:ptCount val="6"/>
                <c:pt idx="0">
                  <c:v>7750.1797332300011</c:v>
                </c:pt>
                <c:pt idx="1">
                  <c:v>7896.6597101714915</c:v>
                </c:pt>
                <c:pt idx="2">
                  <c:v>8087.1974085853371</c:v>
                </c:pt>
                <c:pt idx="3">
                  <c:v>8342.5805286315899</c:v>
                </c:pt>
                <c:pt idx="4">
                  <c:v>8617.0247544553094</c:v>
                </c:pt>
                <c:pt idx="5">
                  <c:v>8905.0599620090816</c:v>
                </c:pt>
              </c:numCache>
            </c:numRef>
          </c:val>
          <c:extLst>
            <c:ext xmlns:c16="http://schemas.microsoft.com/office/drawing/2014/chart" uri="{C3380CC4-5D6E-409C-BE32-E72D297353CC}">
              <c16:uniqueId val="{0000000B-DC0C-438E-9F1E-243856D8EC76}"/>
            </c:ext>
          </c:extLst>
        </c:ser>
        <c:ser>
          <c:idx val="2"/>
          <c:order val="2"/>
          <c:tx>
            <c:v>Prestations</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DC0C-438E-9F1E-243856D8EC76}"/>
              </c:ext>
            </c:extLst>
          </c:dPt>
          <c:dPt>
            <c:idx val="2"/>
            <c:invertIfNegative val="0"/>
            <c:bubble3D val="0"/>
            <c:extLst>
              <c:ext xmlns:c16="http://schemas.microsoft.com/office/drawing/2014/chart" uri="{C3380CC4-5D6E-409C-BE32-E72D297353CC}">
                <c16:uniqueId val="{0000000F-DC0C-438E-9F1E-243856D8EC76}"/>
              </c:ext>
            </c:extLst>
          </c:dPt>
          <c:dPt>
            <c:idx val="3"/>
            <c:invertIfNegative val="0"/>
            <c:bubble3D val="0"/>
            <c:extLst>
              <c:ext xmlns:c16="http://schemas.microsoft.com/office/drawing/2014/chart" uri="{C3380CC4-5D6E-409C-BE32-E72D297353CC}">
                <c16:uniqueId val="{00000011-DC0C-438E-9F1E-243856D8EC76}"/>
              </c:ext>
            </c:extLst>
          </c:dPt>
          <c:dPt>
            <c:idx val="4"/>
            <c:invertIfNegative val="0"/>
            <c:bubble3D val="0"/>
            <c:extLst>
              <c:ext xmlns:c16="http://schemas.microsoft.com/office/drawing/2014/chart" uri="{C3380CC4-5D6E-409C-BE32-E72D297353CC}">
                <c16:uniqueId val="{00000013-DC0C-438E-9F1E-243856D8EC76}"/>
              </c:ext>
            </c:extLst>
          </c:dPt>
          <c:dPt>
            <c:idx val="5"/>
            <c:invertIfNegative val="0"/>
            <c:bubble3D val="0"/>
            <c:extLst>
              <c:ext xmlns:c16="http://schemas.microsoft.com/office/drawing/2014/chart" uri="{C3380CC4-5D6E-409C-BE32-E72D297353CC}">
                <c16:uniqueId val="{00000015-DC0C-438E-9F1E-243856D8EC76}"/>
              </c:ext>
            </c:extLst>
          </c:dPt>
          <c:dLbls>
            <c:dLbl>
              <c:idx val="0"/>
              <c:layout>
                <c:manualLayout>
                  <c:x val="2.570282686595601E-2"/>
                  <c:y val="7.42804085422469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0C-438E-9F1E-243856D8EC76}"/>
                </c:ext>
              </c:extLst>
            </c:dLbl>
            <c:dLbl>
              <c:idx val="1"/>
              <c:layout>
                <c:manualLayout>
                  <c:x val="2.0951718240980608E-2"/>
                  <c:y val="-2.225487830734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C0C-438E-9F1E-243856D8EC76}"/>
                </c:ext>
              </c:extLst>
            </c:dLbl>
            <c:dLbl>
              <c:idx val="2"/>
              <c:layout>
                <c:manualLayout>
                  <c:x val="2.891566265060241E-2"/>
                  <c:y val="5.1679586563307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C0C-438E-9F1E-243856D8EC76}"/>
                </c:ext>
              </c:extLst>
            </c:dLbl>
            <c:dLbl>
              <c:idx val="3"/>
              <c:layout>
                <c:manualLayout>
                  <c:x val="2.2489959839357431E-2"/>
                  <c:y val="2.9607754437255797E-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C0C-438E-9F1E-243856D8EC76}"/>
                </c:ext>
              </c:extLst>
            </c:dLbl>
            <c:dLbl>
              <c:idx val="4"/>
              <c:layout>
                <c:manualLayout>
                  <c:x val="2.3609682260648916E-2"/>
                  <c:y val="7.42804085422469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C0C-438E-9F1E-243856D8EC76}"/>
                </c:ext>
              </c:extLst>
            </c:dLbl>
            <c:dLbl>
              <c:idx val="5"/>
              <c:layout>
                <c:manualLayout>
                  <c:x val="2.8915721427834471E-2"/>
                  <c:y val="3.7140204271123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C0C-438E-9F1E-243856D8EC76}"/>
                </c:ext>
              </c:extLst>
            </c:dLbl>
            <c:spPr>
              <a:solidFill>
                <a:schemeClr val="accent1"/>
              </a:solidFill>
            </c:spPr>
            <c:txPr>
              <a:bodyPr/>
              <a:lstStyle/>
              <a:p>
                <a:pPr>
                  <a:defRPr sz="800" b="1">
                    <a:solidFill>
                      <a:schemeClr val="bg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RETRAITE!$B$27:$G$27</c:f>
              <c:strCache>
                <c:ptCount val="6"/>
                <c:pt idx="0">
                  <c:v>2024</c:v>
                </c:pt>
                <c:pt idx="1">
                  <c:v>2025(p)</c:v>
                </c:pt>
                <c:pt idx="2">
                  <c:v>2026(p)</c:v>
                </c:pt>
                <c:pt idx="3">
                  <c:v>2027(p)</c:v>
                </c:pt>
                <c:pt idx="4">
                  <c:v>2028(p)</c:v>
                </c:pt>
                <c:pt idx="5">
                  <c:v>2029(p)</c:v>
                </c:pt>
              </c:strCache>
            </c:strRef>
          </c:cat>
          <c:val>
            <c:numRef>
              <c:f>RETRAITE!$C$3:$H$3</c:f>
              <c:numCache>
                <c:formatCode>#\ ##0.0</c:formatCode>
                <c:ptCount val="6"/>
                <c:pt idx="0">
                  <c:v>7349.1206674400009</c:v>
                </c:pt>
                <c:pt idx="1">
                  <c:v>7581.7590663947731</c:v>
                </c:pt>
                <c:pt idx="2">
                  <c:v>7764.7265454003673</c:v>
                </c:pt>
                <c:pt idx="3">
                  <c:v>8012.7895637878273</c:v>
                </c:pt>
                <c:pt idx="4">
                  <c:v>8279.8204685064011</c:v>
                </c:pt>
                <c:pt idx="5">
                  <c:v>8559.9947917070149</c:v>
                </c:pt>
              </c:numCache>
            </c:numRef>
          </c:val>
          <c:extLst>
            <c:ext xmlns:c16="http://schemas.microsoft.com/office/drawing/2014/chart" uri="{C3380CC4-5D6E-409C-BE32-E72D297353CC}">
              <c16:uniqueId val="{00000017-DC0C-438E-9F1E-243856D8EC76}"/>
            </c:ext>
          </c:extLst>
        </c:ser>
        <c:dLbls>
          <c:showLegendKey val="0"/>
          <c:showVal val="0"/>
          <c:showCatName val="0"/>
          <c:showSerName val="0"/>
          <c:showPercent val="0"/>
          <c:showBubbleSize val="0"/>
        </c:dLbls>
        <c:gapWidth val="150"/>
        <c:axId val="444781560"/>
        <c:axId val="444781952"/>
      </c:barChart>
      <c:lineChart>
        <c:grouping val="standard"/>
        <c:varyColors val="0"/>
        <c:ser>
          <c:idx val="1"/>
          <c:order val="1"/>
          <c:tx>
            <c:v>Evolution des dépenses totales</c:v>
          </c:tx>
          <c:spPr>
            <a:ln w="19050">
              <a:prstDash val="sysDot"/>
            </a:ln>
          </c:spPr>
          <c:dPt>
            <c:idx val="1"/>
            <c:bubble3D val="0"/>
            <c:spPr>
              <a:ln w="19050">
                <a:prstDash val="solid"/>
              </a:ln>
            </c:spPr>
            <c:extLst>
              <c:ext xmlns:c16="http://schemas.microsoft.com/office/drawing/2014/chart" uri="{C3380CC4-5D6E-409C-BE32-E72D297353CC}">
                <c16:uniqueId val="{00000019-DC0C-438E-9F1E-243856D8EC76}"/>
              </c:ext>
            </c:extLst>
          </c:dPt>
          <c:dPt>
            <c:idx val="2"/>
            <c:bubble3D val="0"/>
            <c:extLst>
              <c:ext xmlns:c16="http://schemas.microsoft.com/office/drawing/2014/chart" uri="{C3380CC4-5D6E-409C-BE32-E72D297353CC}">
                <c16:uniqueId val="{0000001A-DC0C-438E-9F1E-243856D8EC76}"/>
              </c:ext>
            </c:extLst>
          </c:dPt>
          <c:dPt>
            <c:idx val="3"/>
            <c:bubble3D val="0"/>
            <c:extLst>
              <c:ext xmlns:c16="http://schemas.microsoft.com/office/drawing/2014/chart" uri="{C3380CC4-5D6E-409C-BE32-E72D297353CC}">
                <c16:uniqueId val="{0000001B-DC0C-438E-9F1E-243856D8EC76}"/>
              </c:ext>
            </c:extLst>
          </c:dPt>
          <c:dPt>
            <c:idx val="4"/>
            <c:bubble3D val="0"/>
            <c:extLst>
              <c:ext xmlns:c16="http://schemas.microsoft.com/office/drawing/2014/chart" uri="{C3380CC4-5D6E-409C-BE32-E72D297353CC}">
                <c16:uniqueId val="{0000001C-DC0C-438E-9F1E-243856D8EC76}"/>
              </c:ext>
            </c:extLst>
          </c:dPt>
          <c:dPt>
            <c:idx val="5"/>
            <c:bubble3D val="0"/>
            <c:extLst>
              <c:ext xmlns:c16="http://schemas.microsoft.com/office/drawing/2014/chart" uri="{C3380CC4-5D6E-409C-BE32-E72D297353CC}">
                <c16:uniqueId val="{0000001D-DC0C-438E-9F1E-243856D8EC76}"/>
              </c:ext>
            </c:extLst>
          </c:dPt>
          <c:dPt>
            <c:idx val="6"/>
            <c:bubble3D val="0"/>
            <c:extLst>
              <c:ext xmlns:c16="http://schemas.microsoft.com/office/drawing/2014/chart" uri="{C3380CC4-5D6E-409C-BE32-E72D297353CC}">
                <c16:uniqueId val="{0000001E-DC0C-438E-9F1E-243856D8EC76}"/>
              </c:ext>
            </c:extLst>
          </c:dPt>
          <c:dPt>
            <c:idx val="7"/>
            <c:bubble3D val="0"/>
            <c:extLst>
              <c:ext xmlns:c16="http://schemas.microsoft.com/office/drawing/2014/chart" uri="{C3380CC4-5D6E-409C-BE32-E72D297353CC}">
                <c16:uniqueId val="{0000001F-DC0C-438E-9F1E-243856D8EC76}"/>
              </c:ext>
            </c:extLst>
          </c:dPt>
          <c:dPt>
            <c:idx val="8"/>
            <c:bubble3D val="0"/>
            <c:extLst>
              <c:ext xmlns:c16="http://schemas.microsoft.com/office/drawing/2014/chart" uri="{C3380CC4-5D6E-409C-BE32-E72D297353CC}">
                <c16:uniqueId val="{00000020-DC0C-438E-9F1E-243856D8EC76}"/>
              </c:ext>
            </c:extLst>
          </c:dPt>
          <c:dLbls>
            <c:dLbl>
              <c:idx val="0"/>
              <c:layout>
                <c:manualLayout>
                  <c:x val="-7.5991427188223964E-2"/>
                  <c:y val="4.5783780838756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C0C-438E-9F1E-243856D8EC76}"/>
                </c:ext>
              </c:extLst>
            </c:dLbl>
            <c:dLbl>
              <c:idx val="1"/>
              <c:layout>
                <c:manualLayout>
                  <c:x val="-5.8316327220142442E-3"/>
                  <c:y val="3.923935691882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0C-438E-9F1E-243856D8EC76}"/>
                </c:ext>
              </c:extLst>
            </c:dLbl>
            <c:dLbl>
              <c:idx val="2"/>
              <c:layout>
                <c:manualLayout>
                  <c:x val="-6.3344489079883298E-2"/>
                  <c:y val="-5.7750385658617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0C-438E-9F1E-243856D8EC76}"/>
                </c:ext>
              </c:extLst>
            </c:dLbl>
            <c:dLbl>
              <c:idx val="3"/>
              <c:layout>
                <c:manualLayout>
                  <c:x val="-3.4781800387841566E-2"/>
                  <c:y val="8.2061135115770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0C-438E-9F1E-243856D8EC76}"/>
                </c:ext>
              </c:extLst>
            </c:dLbl>
            <c:dLbl>
              <c:idx val="4"/>
              <c:layout>
                <c:manualLayout>
                  <c:x val="-7.2437126281613584E-2"/>
                  <c:y val="9.201002304699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0C-438E-9F1E-243856D8EC76}"/>
                </c:ext>
              </c:extLst>
            </c:dLbl>
            <c:dLbl>
              <c:idx val="5"/>
              <c:layout>
                <c:manualLayout>
                  <c:x val="-6.4581326508504983E-2"/>
                  <c:y val="6.0888427993978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0C-438E-9F1E-243856D8EC76}"/>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C0C-438E-9F1E-243856D8EC76}"/>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C0C-438E-9F1E-243856D8EC76}"/>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C0C-438E-9F1E-243856D8EC76}"/>
                </c:ext>
              </c:extLst>
            </c:dLbl>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RETRAITE!$B$15:$G$15</c:f>
              <c:numCache>
                <c:formatCode>\+0.0%;\-0.0%;General</c:formatCode>
                <c:ptCount val="6"/>
                <c:pt idx="0">
                  <c:v>7.1270136860386746E-2</c:v>
                </c:pt>
                <c:pt idx="1">
                  <c:v>1.8900203864103515E-2</c:v>
                </c:pt>
                <c:pt idx="2">
                  <c:v>2.4128898218625183E-2</c:v>
                </c:pt>
                <c:pt idx="3">
                  <c:v>3.1578692486860627E-2</c:v>
                </c:pt>
                <c:pt idx="4">
                  <c:v>3.2896802719713847E-2</c:v>
                </c:pt>
                <c:pt idx="5">
                  <c:v>3.3426294546136326E-2</c:v>
                </c:pt>
              </c:numCache>
            </c:numRef>
          </c:val>
          <c:smooth val="0"/>
          <c:extLst>
            <c:ext xmlns:c16="http://schemas.microsoft.com/office/drawing/2014/chart" uri="{C3380CC4-5D6E-409C-BE32-E72D297353CC}">
              <c16:uniqueId val="{00000022-DC0C-438E-9F1E-243856D8EC76}"/>
            </c:ext>
          </c:extLst>
        </c:ser>
        <c:dLbls>
          <c:dLblPos val="ctr"/>
          <c:showLegendKey val="0"/>
          <c:showVal val="1"/>
          <c:showCatName val="0"/>
          <c:showSerName val="0"/>
          <c:showPercent val="0"/>
          <c:showBubbleSize val="0"/>
        </c:dLbls>
        <c:marker val="1"/>
        <c:smooth val="0"/>
        <c:axId val="444777640"/>
        <c:axId val="444782344"/>
      </c:lineChart>
      <c:catAx>
        <c:axId val="444781560"/>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444781952"/>
        <c:crosses val="autoZero"/>
        <c:auto val="1"/>
        <c:lblAlgn val="ctr"/>
        <c:lblOffset val="100"/>
        <c:noMultiLvlLbl val="0"/>
      </c:catAx>
      <c:valAx>
        <c:axId val="444781952"/>
        <c:scaling>
          <c:orientation val="minMax"/>
          <c:max val="10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444781560"/>
        <c:crosses val="autoZero"/>
        <c:crossBetween val="between"/>
        <c:majorUnit val="1000"/>
      </c:valAx>
      <c:valAx>
        <c:axId val="444782344"/>
        <c:scaling>
          <c:orientation val="minMax"/>
          <c:max val="8.0000000000000016E-2"/>
          <c:min val="0"/>
        </c:scaling>
        <c:delete val="0"/>
        <c:axPos val="r"/>
        <c:title>
          <c:tx>
            <c:rich>
              <a:bodyPr rot="-5400000" vert="horz"/>
              <a:lstStyle/>
              <a:p>
                <a:pPr>
                  <a:defRPr sz="800" b="0">
                    <a:solidFill>
                      <a:srgbClr val="C00000"/>
                    </a:solidFill>
                  </a:defRPr>
                </a:pPr>
                <a:r>
                  <a:rPr lang="fr-FR" sz="800" b="0">
                    <a:solidFill>
                      <a:srgbClr val="C00000"/>
                    </a:solidFill>
                  </a:rPr>
                  <a:t>Evolution en %</a:t>
                </a:r>
              </a:p>
            </c:rich>
          </c:tx>
          <c:layout>
            <c:manualLayout>
              <c:xMode val="edge"/>
              <c:yMode val="edge"/>
              <c:x val="0.94233794439746732"/>
              <c:y val="0.31400911029257372"/>
            </c:manualLayout>
          </c:layout>
          <c:overlay val="0"/>
        </c:title>
        <c:numFmt formatCode="\+0.0%;\-0.0%;General" sourceLinked="1"/>
        <c:majorTickMark val="out"/>
        <c:minorTickMark val="none"/>
        <c:tickLblPos val="nextTo"/>
        <c:txPr>
          <a:bodyPr/>
          <a:lstStyle/>
          <a:p>
            <a:pPr>
              <a:defRPr sz="800">
                <a:solidFill>
                  <a:schemeClr val="accent2"/>
                </a:solidFill>
              </a:defRPr>
            </a:pPr>
            <a:endParaRPr lang="fr-FR"/>
          </a:p>
        </c:txPr>
        <c:crossAx val="444777640"/>
        <c:crosses val="max"/>
        <c:crossBetween val="between"/>
        <c:majorUnit val="1.0000000000000002E-2"/>
      </c:valAx>
      <c:catAx>
        <c:axId val="444777640"/>
        <c:scaling>
          <c:orientation val="minMax"/>
        </c:scaling>
        <c:delete val="1"/>
        <c:axPos val="b"/>
        <c:numFmt formatCode="General" sourceLinked="1"/>
        <c:majorTickMark val="out"/>
        <c:minorTickMark val="none"/>
        <c:tickLblPos val="nextTo"/>
        <c:crossAx val="444782344"/>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0"/>
          <c:y val="0.88114639567954611"/>
          <c:w val="1"/>
          <c:h val="0.112453234848295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Recettes totales</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256A-4408-BCCA-649E7A383EE5}"/>
              </c:ext>
            </c:extLst>
          </c:dPt>
          <c:dPt>
            <c:idx val="1"/>
            <c:invertIfNegative val="0"/>
            <c:bubble3D val="0"/>
            <c:extLst>
              <c:ext xmlns:c16="http://schemas.microsoft.com/office/drawing/2014/chart" uri="{C3380CC4-5D6E-409C-BE32-E72D297353CC}">
                <c16:uniqueId val="{00000002-256A-4408-BCCA-649E7A383EE5}"/>
              </c:ext>
            </c:extLst>
          </c:dPt>
          <c:dPt>
            <c:idx val="2"/>
            <c:invertIfNegative val="0"/>
            <c:bubble3D val="0"/>
            <c:extLst>
              <c:ext xmlns:c16="http://schemas.microsoft.com/office/drawing/2014/chart" uri="{C3380CC4-5D6E-409C-BE32-E72D297353CC}">
                <c16:uniqueId val="{00000004-256A-4408-BCCA-649E7A383EE5}"/>
              </c:ext>
            </c:extLst>
          </c:dPt>
          <c:dPt>
            <c:idx val="3"/>
            <c:invertIfNegative val="0"/>
            <c:bubble3D val="0"/>
            <c:extLst>
              <c:ext xmlns:c16="http://schemas.microsoft.com/office/drawing/2014/chart" uri="{C3380CC4-5D6E-409C-BE32-E72D297353CC}">
                <c16:uniqueId val="{00000006-256A-4408-BCCA-649E7A383EE5}"/>
              </c:ext>
            </c:extLst>
          </c:dPt>
          <c:dPt>
            <c:idx val="4"/>
            <c:invertIfNegative val="0"/>
            <c:bubble3D val="0"/>
            <c:extLst>
              <c:ext xmlns:c16="http://schemas.microsoft.com/office/drawing/2014/chart" uri="{C3380CC4-5D6E-409C-BE32-E72D297353CC}">
                <c16:uniqueId val="{00000008-256A-4408-BCCA-649E7A383EE5}"/>
              </c:ext>
            </c:extLst>
          </c:dPt>
          <c:dPt>
            <c:idx val="5"/>
            <c:invertIfNegative val="0"/>
            <c:bubble3D val="0"/>
            <c:extLst>
              <c:ext xmlns:c16="http://schemas.microsoft.com/office/drawing/2014/chart" uri="{C3380CC4-5D6E-409C-BE32-E72D297353CC}">
                <c16:uniqueId val="{0000000A-256A-4408-BCCA-649E7A383EE5}"/>
              </c:ext>
            </c:extLst>
          </c:dPt>
          <c:dLbls>
            <c:dLbl>
              <c:idx val="1"/>
              <c:layout>
                <c:manualLayout>
                  <c:x val="3.1419231443956797E-17"/>
                  <c:y val="4.20988698726708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6A-4408-BCCA-649E7A383EE5}"/>
                </c:ext>
              </c:extLst>
            </c:dLbl>
            <c:dLbl>
              <c:idx val="2"/>
              <c:layout>
                <c:manualLayout>
                  <c:x val="-2.6373626373626374E-2"/>
                  <c:y val="4.69446600865032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6A-4408-BCCA-649E7A383EE5}"/>
                </c:ext>
              </c:extLst>
            </c:dLbl>
            <c:dLbl>
              <c:idx val="3"/>
              <c:layout>
                <c:manualLayout>
                  <c:x val="0"/>
                  <c:y val="-1.4290074205840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6A-4408-BCCA-649E7A383EE5}"/>
                </c:ext>
              </c:extLst>
            </c:dLbl>
            <c:dLbl>
              <c:idx val="4"/>
              <c:layout>
                <c:manualLayout>
                  <c:x val="-3.5088411443350374E-3"/>
                  <c:y val="-1.4300538014143784E-3"/>
                </c:manualLayout>
              </c:layout>
              <c:spPr>
                <a:solidFill>
                  <a:schemeClr val="accent5">
                    <a:lumMod val="75000"/>
                  </a:schemeClr>
                </a:solidFill>
                <a:ln>
                  <a:noFill/>
                </a:ln>
              </c:spPr>
              <c:txPr>
                <a:bodyPr/>
                <a:lstStyle/>
                <a:p>
                  <a:pPr>
                    <a:defRPr sz="8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6A-4408-BCCA-649E7A383EE5}"/>
                </c:ext>
              </c:extLst>
            </c:dLbl>
            <c:dLbl>
              <c:idx val="5"/>
              <c:layout>
                <c:manualLayout>
                  <c:x val="-2.1499591447086329E-4"/>
                  <c:y val="-1.2774699458863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6A-4408-BCCA-649E7A383EE5}"/>
                </c:ext>
              </c:extLst>
            </c:dLbl>
            <c:spPr>
              <a:solidFill>
                <a:schemeClr val="accent5">
                  <a:lumMod val="75000"/>
                </a:schemeClr>
              </a:solidFill>
            </c:spPr>
            <c:txPr>
              <a:bodyPr/>
              <a:lstStyle/>
              <a:p>
                <a:pPr>
                  <a:defRPr sz="8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RETRAITE!$B$27:$G$27</c:f>
              <c:strCache>
                <c:ptCount val="6"/>
                <c:pt idx="0">
                  <c:v>2024</c:v>
                </c:pt>
                <c:pt idx="1">
                  <c:v>2025(p)</c:v>
                </c:pt>
                <c:pt idx="2">
                  <c:v>2026(p)</c:v>
                </c:pt>
                <c:pt idx="3">
                  <c:v>2027(p)</c:v>
                </c:pt>
                <c:pt idx="4">
                  <c:v>2028(p)</c:v>
                </c:pt>
                <c:pt idx="5">
                  <c:v>2029(p)</c:v>
                </c:pt>
              </c:strCache>
            </c:strRef>
          </c:cat>
          <c:val>
            <c:numRef>
              <c:f>RETRAITE!$C$4:$H$4</c:f>
              <c:numCache>
                <c:formatCode>#\ ##0.0</c:formatCode>
                <c:ptCount val="6"/>
                <c:pt idx="0">
                  <c:v>7750.1797332300002</c:v>
                </c:pt>
                <c:pt idx="1">
                  <c:v>7896.6597101714906</c:v>
                </c:pt>
                <c:pt idx="2">
                  <c:v>8087.1974085853371</c:v>
                </c:pt>
                <c:pt idx="3">
                  <c:v>8342.5805286315881</c:v>
                </c:pt>
                <c:pt idx="4">
                  <c:v>8617.0247544553113</c:v>
                </c:pt>
                <c:pt idx="5">
                  <c:v>8905.0599620090816</c:v>
                </c:pt>
              </c:numCache>
            </c:numRef>
          </c:val>
          <c:extLst>
            <c:ext xmlns:c16="http://schemas.microsoft.com/office/drawing/2014/chart" uri="{C3380CC4-5D6E-409C-BE32-E72D297353CC}">
              <c16:uniqueId val="{0000000B-256A-4408-BCCA-649E7A383EE5}"/>
            </c:ext>
          </c:extLst>
        </c:ser>
        <c:ser>
          <c:idx val="2"/>
          <c:order val="2"/>
          <c:tx>
            <c:v>Cotisations sociales</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256A-4408-BCCA-649E7A383EE5}"/>
              </c:ext>
            </c:extLst>
          </c:dPt>
          <c:dPt>
            <c:idx val="2"/>
            <c:invertIfNegative val="0"/>
            <c:bubble3D val="0"/>
            <c:extLst>
              <c:ext xmlns:c16="http://schemas.microsoft.com/office/drawing/2014/chart" uri="{C3380CC4-5D6E-409C-BE32-E72D297353CC}">
                <c16:uniqueId val="{0000000F-256A-4408-BCCA-649E7A383EE5}"/>
              </c:ext>
            </c:extLst>
          </c:dPt>
          <c:dPt>
            <c:idx val="3"/>
            <c:invertIfNegative val="0"/>
            <c:bubble3D val="0"/>
            <c:extLst>
              <c:ext xmlns:c16="http://schemas.microsoft.com/office/drawing/2014/chart" uri="{C3380CC4-5D6E-409C-BE32-E72D297353CC}">
                <c16:uniqueId val="{00000011-256A-4408-BCCA-649E7A383EE5}"/>
              </c:ext>
            </c:extLst>
          </c:dPt>
          <c:dPt>
            <c:idx val="4"/>
            <c:invertIfNegative val="0"/>
            <c:bubble3D val="0"/>
            <c:extLst>
              <c:ext xmlns:c16="http://schemas.microsoft.com/office/drawing/2014/chart" uri="{C3380CC4-5D6E-409C-BE32-E72D297353CC}">
                <c16:uniqueId val="{00000013-256A-4408-BCCA-649E7A383EE5}"/>
              </c:ext>
            </c:extLst>
          </c:dPt>
          <c:dPt>
            <c:idx val="5"/>
            <c:invertIfNegative val="0"/>
            <c:bubble3D val="0"/>
            <c:extLst>
              <c:ext xmlns:c16="http://schemas.microsoft.com/office/drawing/2014/chart" uri="{C3380CC4-5D6E-409C-BE32-E72D297353CC}">
                <c16:uniqueId val="{00000015-256A-4408-BCCA-649E7A383EE5}"/>
              </c:ext>
            </c:extLst>
          </c:dPt>
          <c:dLbls>
            <c:dLbl>
              <c:idx val="0"/>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56A-4408-BCCA-649E7A383EE5}"/>
                </c:ext>
              </c:extLst>
            </c:dLbl>
            <c:dLbl>
              <c:idx val="1"/>
              <c:layout>
                <c:manualLayout>
                  <c:x val="2.513801159470451E-2"/>
                  <c:y val="8.9164910724187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6A-4408-BCCA-649E7A383EE5}"/>
                </c:ext>
              </c:extLst>
            </c:dLbl>
            <c:dLbl>
              <c:idx val="2"/>
              <c:layout>
                <c:manualLayout>
                  <c:x val="2.891566265060241E-2"/>
                  <c:y val="5.1679586563307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6A-4408-BCCA-649E7A383EE5}"/>
                </c:ext>
              </c:extLst>
            </c:dLbl>
            <c:dLbl>
              <c:idx val="3"/>
              <c:layout>
                <c:manualLayout>
                  <c:x val="2.2489959839357431E-2"/>
                  <c:y val="2.9607754437255797E-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6A-4408-BCCA-649E7A383EE5}"/>
                </c:ext>
              </c:extLst>
            </c:dLbl>
            <c:dLbl>
              <c:idx val="4"/>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6A-4408-BCCA-649E7A383EE5}"/>
                </c:ext>
              </c:extLst>
            </c:dLbl>
            <c:dLbl>
              <c:idx val="5"/>
              <c:layout>
                <c:manualLayout>
                  <c:x val="2.891566265060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56A-4408-BCCA-649E7A383EE5}"/>
                </c:ext>
              </c:extLst>
            </c:dLbl>
            <c:spPr>
              <a:solidFill>
                <a:schemeClr val="accent1"/>
              </a:solidFill>
            </c:spPr>
            <c:txPr>
              <a:bodyPr/>
              <a:lstStyle/>
              <a:p>
                <a:pPr>
                  <a:defRPr sz="800" b="1">
                    <a:solidFill>
                      <a:schemeClr val="bg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RETRAITE!$B$27:$G$27</c:f>
              <c:strCache>
                <c:ptCount val="6"/>
                <c:pt idx="0">
                  <c:v>2024</c:v>
                </c:pt>
                <c:pt idx="1">
                  <c:v>2025(p)</c:v>
                </c:pt>
                <c:pt idx="2">
                  <c:v>2026(p)</c:v>
                </c:pt>
                <c:pt idx="3">
                  <c:v>2027(p)</c:v>
                </c:pt>
                <c:pt idx="4">
                  <c:v>2028(p)</c:v>
                </c:pt>
                <c:pt idx="5">
                  <c:v>2029(p)</c:v>
                </c:pt>
              </c:strCache>
            </c:strRef>
          </c:cat>
          <c:val>
            <c:numRef>
              <c:f>RETRAITE!$C$5:$H$5</c:f>
              <c:numCache>
                <c:formatCode>#\ ##0.0</c:formatCode>
                <c:ptCount val="6"/>
                <c:pt idx="0">
                  <c:v>3543.3168391900003</c:v>
                </c:pt>
                <c:pt idx="1">
                  <c:v>3686.6225419720586</c:v>
                </c:pt>
                <c:pt idx="2">
                  <c:v>3825.0958706280553</c:v>
                </c:pt>
                <c:pt idx="3">
                  <c:v>3948.5095868937119</c:v>
                </c:pt>
                <c:pt idx="4">
                  <c:v>4067.9693628136661</c:v>
                </c:pt>
                <c:pt idx="5">
                  <c:v>4194.5973265172679</c:v>
                </c:pt>
              </c:numCache>
            </c:numRef>
          </c:val>
          <c:extLst>
            <c:ext xmlns:c16="http://schemas.microsoft.com/office/drawing/2014/chart" uri="{C3380CC4-5D6E-409C-BE32-E72D297353CC}">
              <c16:uniqueId val="{00000017-256A-4408-BCCA-649E7A383EE5}"/>
            </c:ext>
          </c:extLst>
        </c:ser>
        <c:dLbls>
          <c:showLegendKey val="0"/>
          <c:showVal val="0"/>
          <c:showCatName val="0"/>
          <c:showSerName val="0"/>
          <c:showPercent val="0"/>
          <c:showBubbleSize val="0"/>
        </c:dLbls>
        <c:gapWidth val="150"/>
        <c:axId val="445234824"/>
        <c:axId val="445232472"/>
      </c:barChart>
      <c:lineChart>
        <c:grouping val="standard"/>
        <c:varyColors val="0"/>
        <c:ser>
          <c:idx val="1"/>
          <c:order val="1"/>
          <c:tx>
            <c:v>Evolution des recettes totales</c:v>
          </c:tx>
          <c:spPr>
            <a:ln w="19050">
              <a:prstDash val="sysDot"/>
            </a:ln>
          </c:spPr>
          <c:dPt>
            <c:idx val="1"/>
            <c:bubble3D val="0"/>
            <c:spPr>
              <a:ln w="19050">
                <a:prstDash val="solid"/>
              </a:ln>
            </c:spPr>
            <c:extLst>
              <c:ext xmlns:c16="http://schemas.microsoft.com/office/drawing/2014/chart" uri="{C3380CC4-5D6E-409C-BE32-E72D297353CC}">
                <c16:uniqueId val="{00000019-256A-4408-BCCA-649E7A383EE5}"/>
              </c:ext>
            </c:extLst>
          </c:dPt>
          <c:dPt>
            <c:idx val="2"/>
            <c:bubble3D val="0"/>
            <c:extLst>
              <c:ext xmlns:c16="http://schemas.microsoft.com/office/drawing/2014/chart" uri="{C3380CC4-5D6E-409C-BE32-E72D297353CC}">
                <c16:uniqueId val="{0000001A-256A-4408-BCCA-649E7A383EE5}"/>
              </c:ext>
            </c:extLst>
          </c:dPt>
          <c:dPt>
            <c:idx val="3"/>
            <c:bubble3D val="0"/>
            <c:extLst>
              <c:ext xmlns:c16="http://schemas.microsoft.com/office/drawing/2014/chart" uri="{C3380CC4-5D6E-409C-BE32-E72D297353CC}">
                <c16:uniqueId val="{0000001B-256A-4408-BCCA-649E7A383EE5}"/>
              </c:ext>
            </c:extLst>
          </c:dPt>
          <c:dPt>
            <c:idx val="4"/>
            <c:bubble3D val="0"/>
            <c:extLst>
              <c:ext xmlns:c16="http://schemas.microsoft.com/office/drawing/2014/chart" uri="{C3380CC4-5D6E-409C-BE32-E72D297353CC}">
                <c16:uniqueId val="{0000001C-256A-4408-BCCA-649E7A383EE5}"/>
              </c:ext>
            </c:extLst>
          </c:dPt>
          <c:dPt>
            <c:idx val="5"/>
            <c:bubble3D val="0"/>
            <c:extLst>
              <c:ext xmlns:c16="http://schemas.microsoft.com/office/drawing/2014/chart" uri="{C3380CC4-5D6E-409C-BE32-E72D297353CC}">
                <c16:uniqueId val="{0000001D-256A-4408-BCCA-649E7A383EE5}"/>
              </c:ext>
            </c:extLst>
          </c:dPt>
          <c:dPt>
            <c:idx val="6"/>
            <c:bubble3D val="0"/>
            <c:extLst>
              <c:ext xmlns:c16="http://schemas.microsoft.com/office/drawing/2014/chart" uri="{C3380CC4-5D6E-409C-BE32-E72D297353CC}">
                <c16:uniqueId val="{0000001E-256A-4408-BCCA-649E7A383EE5}"/>
              </c:ext>
            </c:extLst>
          </c:dPt>
          <c:dPt>
            <c:idx val="7"/>
            <c:bubble3D val="0"/>
            <c:extLst>
              <c:ext xmlns:c16="http://schemas.microsoft.com/office/drawing/2014/chart" uri="{C3380CC4-5D6E-409C-BE32-E72D297353CC}">
                <c16:uniqueId val="{0000001F-256A-4408-BCCA-649E7A383EE5}"/>
              </c:ext>
            </c:extLst>
          </c:dPt>
          <c:dPt>
            <c:idx val="8"/>
            <c:bubble3D val="0"/>
            <c:extLst>
              <c:ext xmlns:c16="http://schemas.microsoft.com/office/drawing/2014/chart" uri="{C3380CC4-5D6E-409C-BE32-E72D297353CC}">
                <c16:uniqueId val="{00000020-256A-4408-BCCA-649E7A383EE5}"/>
              </c:ext>
            </c:extLst>
          </c:dPt>
          <c:dLbls>
            <c:dLbl>
              <c:idx val="0"/>
              <c:layout>
                <c:manualLayout>
                  <c:x val="-5.4193330474811299E-2"/>
                  <c:y val="-5.9362802005709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56A-4408-BCCA-649E7A383EE5}"/>
                </c:ext>
              </c:extLst>
            </c:dLbl>
            <c:dLbl>
              <c:idx val="1"/>
              <c:layout>
                <c:manualLayout>
                  <c:x val="-3.7058056422192551E-2"/>
                  <c:y val="-5.889608473497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56A-4408-BCCA-649E7A383EE5}"/>
                </c:ext>
              </c:extLst>
            </c:dLbl>
            <c:dLbl>
              <c:idx val="2"/>
              <c:layout>
                <c:manualLayout>
                  <c:x val="-5.3311378530513875E-2"/>
                  <c:y val="6.2366863905325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56A-4408-BCCA-649E7A383EE5}"/>
                </c:ext>
              </c:extLst>
            </c:dLbl>
            <c:dLbl>
              <c:idx val="3"/>
              <c:layout>
                <c:manualLayout>
                  <c:x val="-3.8542399181234498E-2"/>
                  <c:y val="-5.72687881470437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56A-4408-BCCA-649E7A383EE5}"/>
                </c:ext>
              </c:extLst>
            </c:dLbl>
            <c:dLbl>
              <c:idx val="4"/>
              <c:layout>
                <c:manualLayout>
                  <c:x val="-4.4739101008600339E-2"/>
                  <c:y val="5.237043594402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56A-4408-BCCA-649E7A383EE5}"/>
                </c:ext>
              </c:extLst>
            </c:dLbl>
            <c:dLbl>
              <c:idx val="5"/>
              <c:layout>
                <c:manualLayout>
                  <c:x val="-3.2370788557090739E-2"/>
                  <c:y val="-5.29049993011228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56A-4408-BCCA-649E7A383EE5}"/>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56A-4408-BCCA-649E7A383EE5}"/>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56A-4408-BCCA-649E7A383EE5}"/>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56A-4408-BCCA-649E7A383EE5}"/>
                </c:ext>
              </c:extLst>
            </c:dLbl>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RETRAITE!$B$17:$G$17</c:f>
              <c:numCache>
                <c:formatCode>\+0.0%;\-0.0%;General</c:formatCode>
                <c:ptCount val="6"/>
                <c:pt idx="0">
                  <c:v>7.1264294090092939E-2</c:v>
                </c:pt>
                <c:pt idx="1">
                  <c:v>1.8900203864103515E-2</c:v>
                </c:pt>
                <c:pt idx="2">
                  <c:v>2.4128898218625183E-2</c:v>
                </c:pt>
                <c:pt idx="3">
                  <c:v>3.1578692486860405E-2</c:v>
                </c:pt>
                <c:pt idx="4">
                  <c:v>3.2896802719714291E-2</c:v>
                </c:pt>
                <c:pt idx="5">
                  <c:v>3.3426294546136104E-2</c:v>
                </c:pt>
              </c:numCache>
            </c:numRef>
          </c:val>
          <c:smooth val="0"/>
          <c:extLst>
            <c:ext xmlns:c16="http://schemas.microsoft.com/office/drawing/2014/chart" uri="{C3380CC4-5D6E-409C-BE32-E72D297353CC}">
              <c16:uniqueId val="{00000022-256A-4408-BCCA-649E7A383EE5}"/>
            </c:ext>
          </c:extLst>
        </c:ser>
        <c:dLbls>
          <c:dLblPos val="ctr"/>
          <c:showLegendKey val="0"/>
          <c:showVal val="1"/>
          <c:showCatName val="0"/>
          <c:showSerName val="0"/>
          <c:showPercent val="0"/>
          <c:showBubbleSize val="0"/>
        </c:dLbls>
        <c:marker val="1"/>
        <c:smooth val="0"/>
        <c:axId val="445231296"/>
        <c:axId val="445237960"/>
      </c:lineChart>
      <c:catAx>
        <c:axId val="445234824"/>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445232472"/>
        <c:crosses val="autoZero"/>
        <c:auto val="1"/>
        <c:lblAlgn val="ctr"/>
        <c:lblOffset val="100"/>
        <c:noMultiLvlLbl val="0"/>
      </c:catAx>
      <c:valAx>
        <c:axId val="445232472"/>
        <c:scaling>
          <c:orientation val="minMax"/>
          <c:max val="10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445234824"/>
        <c:crosses val="autoZero"/>
        <c:crossBetween val="between"/>
        <c:majorUnit val="2000"/>
      </c:valAx>
      <c:valAx>
        <c:axId val="445237960"/>
        <c:scaling>
          <c:orientation val="minMax"/>
          <c:max val="6.0000000000000012E-2"/>
          <c:min val="0"/>
        </c:scaling>
        <c:delete val="0"/>
        <c:axPos val="r"/>
        <c:title>
          <c:tx>
            <c:rich>
              <a:bodyPr rot="-5400000" vert="horz"/>
              <a:lstStyle/>
              <a:p>
                <a:pPr>
                  <a:defRPr sz="800" b="0">
                    <a:solidFill>
                      <a:srgbClr val="C00000"/>
                    </a:solidFill>
                  </a:defRPr>
                </a:pPr>
                <a:r>
                  <a:rPr lang="fr-FR" sz="800" b="0">
                    <a:solidFill>
                      <a:srgbClr val="C00000"/>
                    </a:solidFill>
                  </a:rPr>
                  <a:t>Evolution en %</a:t>
                </a:r>
              </a:p>
            </c:rich>
          </c:tx>
          <c:overlay val="0"/>
        </c:title>
        <c:numFmt formatCode="\+0.0%;\-0.0%;General" sourceLinked="0"/>
        <c:majorTickMark val="out"/>
        <c:minorTickMark val="none"/>
        <c:tickLblPos val="nextTo"/>
        <c:txPr>
          <a:bodyPr/>
          <a:lstStyle/>
          <a:p>
            <a:pPr>
              <a:defRPr sz="800">
                <a:solidFill>
                  <a:schemeClr val="accent2"/>
                </a:solidFill>
              </a:defRPr>
            </a:pPr>
            <a:endParaRPr lang="fr-FR"/>
          </a:p>
        </c:txPr>
        <c:crossAx val="445231296"/>
        <c:crosses val="max"/>
        <c:crossBetween val="between"/>
        <c:majorUnit val="1.0000000000000002E-2"/>
      </c:valAx>
      <c:catAx>
        <c:axId val="445231296"/>
        <c:scaling>
          <c:orientation val="minMax"/>
        </c:scaling>
        <c:delete val="1"/>
        <c:axPos val="b"/>
        <c:numFmt formatCode="General" sourceLinked="1"/>
        <c:majorTickMark val="out"/>
        <c:minorTickMark val="none"/>
        <c:tickLblPos val="nextTo"/>
        <c:crossAx val="445237960"/>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6.2369302893742054E-2"/>
          <c:y val="0.90976284769137583"/>
          <c:w val="0.83752554515591215"/>
          <c:h val="6.6568513255369707E-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3702698639365E-2"/>
          <c:y val="9.7240726087072127E-2"/>
          <c:w val="0.81039535924640371"/>
          <c:h val="0.71914802260171151"/>
        </c:manualLayout>
      </c:layout>
      <c:barChart>
        <c:barDir val="col"/>
        <c:grouping val="clustered"/>
        <c:varyColors val="0"/>
        <c:ser>
          <c:idx val="0"/>
          <c:order val="0"/>
          <c:tx>
            <c:v>Cotisations sociales</c:v>
          </c:tx>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2619-4B34-BED4-49F1111611FF}"/>
              </c:ext>
            </c:extLst>
          </c:dPt>
          <c:dPt>
            <c:idx val="1"/>
            <c:invertIfNegative val="0"/>
            <c:bubble3D val="0"/>
            <c:extLst>
              <c:ext xmlns:c16="http://schemas.microsoft.com/office/drawing/2014/chart" uri="{C3380CC4-5D6E-409C-BE32-E72D297353CC}">
                <c16:uniqueId val="{00000001-2619-4B34-BED4-49F1111611FF}"/>
              </c:ext>
            </c:extLst>
          </c:dPt>
          <c:dPt>
            <c:idx val="2"/>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3-2619-4B34-BED4-49F1111611FF}"/>
              </c:ext>
            </c:extLst>
          </c:dPt>
          <c:dPt>
            <c:idx val="3"/>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5-2619-4B34-BED4-49F1111611FF}"/>
              </c:ext>
            </c:extLst>
          </c:dPt>
          <c:dPt>
            <c:idx val="4"/>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7-2619-4B34-BED4-49F1111611FF}"/>
              </c:ext>
            </c:extLst>
          </c:dPt>
          <c:dPt>
            <c:idx val="5"/>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9-2619-4B34-BED4-49F1111611FF}"/>
              </c:ext>
            </c:extLst>
          </c:dPt>
          <c:dPt>
            <c:idx val="6"/>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B-2619-4B34-BED4-49F1111611FF}"/>
              </c:ext>
            </c:extLst>
          </c:dPt>
          <c:cat>
            <c:strRef>
              <c:f>RETRAITE!$B$27:$G$27</c:f>
              <c:strCache>
                <c:ptCount val="6"/>
                <c:pt idx="0">
                  <c:v>2024</c:v>
                </c:pt>
                <c:pt idx="1">
                  <c:v>2025(p)</c:v>
                </c:pt>
                <c:pt idx="2">
                  <c:v>2026(p)</c:v>
                </c:pt>
                <c:pt idx="3">
                  <c:v>2027(p)</c:v>
                </c:pt>
                <c:pt idx="4">
                  <c:v>2028(p)</c:v>
                </c:pt>
                <c:pt idx="5">
                  <c:v>2029(p)</c:v>
                </c:pt>
              </c:strCache>
            </c:strRef>
          </c:cat>
          <c:val>
            <c:numRef>
              <c:f>RETRAITE!$B$29:$G$29</c:f>
              <c:numCache>
                <c:formatCode>0.0</c:formatCode>
                <c:ptCount val="6"/>
                <c:pt idx="0">
                  <c:v>2.6392398214444226</c:v>
                </c:pt>
                <c:pt idx="1">
                  <c:v>1.8490629600190336</c:v>
                </c:pt>
                <c:pt idx="2">
                  <c:v>1.7535683914254574</c:v>
                </c:pt>
                <c:pt idx="3">
                  <c:v>1.5260381320065373</c:v>
                </c:pt>
                <c:pt idx="4">
                  <c:v>1.4319283525040039</c:v>
                </c:pt>
                <c:pt idx="5">
                  <c:v>1.4695091091403703</c:v>
                </c:pt>
              </c:numCache>
            </c:numRef>
          </c:val>
          <c:extLst>
            <c:ext xmlns:c16="http://schemas.microsoft.com/office/drawing/2014/chart" uri="{C3380CC4-5D6E-409C-BE32-E72D297353CC}">
              <c16:uniqueId val="{0000000C-2619-4B34-BED4-49F1111611FF}"/>
            </c:ext>
          </c:extLst>
        </c:ser>
        <c:ser>
          <c:idx val="1"/>
          <c:order val="1"/>
          <c:tx>
            <c:v>Compensation démographique vieillesse</c:v>
          </c:tx>
          <c:spPr>
            <a:pattFill prst="pct80">
              <a:fgClr>
                <a:schemeClr val="accent1">
                  <a:lumMod val="60000"/>
                  <a:lumOff val="40000"/>
                </a:schemeClr>
              </a:fgClr>
              <a:bgClr>
                <a:schemeClr val="bg1"/>
              </a:bgClr>
            </a:pattFill>
          </c:spPr>
          <c:invertIfNegative val="0"/>
          <c:dPt>
            <c:idx val="2"/>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0E-2619-4B34-BED4-49F1111611FF}"/>
              </c:ext>
            </c:extLst>
          </c:dPt>
          <c:dPt>
            <c:idx val="3"/>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0-2619-4B34-BED4-49F1111611FF}"/>
              </c:ext>
            </c:extLst>
          </c:dPt>
          <c:dPt>
            <c:idx val="4"/>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2-2619-4B34-BED4-49F1111611FF}"/>
              </c:ext>
            </c:extLst>
          </c:dPt>
          <c:dPt>
            <c:idx val="5"/>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4-2619-4B34-BED4-49F1111611FF}"/>
              </c:ext>
            </c:extLst>
          </c:dPt>
          <c:dPt>
            <c:idx val="6"/>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6-2619-4B34-BED4-49F1111611FF}"/>
              </c:ext>
            </c:extLst>
          </c:dPt>
          <c:cat>
            <c:strRef>
              <c:f>RETRAITE!$B$27:$G$27</c:f>
              <c:strCache>
                <c:ptCount val="6"/>
                <c:pt idx="0">
                  <c:v>2024</c:v>
                </c:pt>
                <c:pt idx="1">
                  <c:v>2025(p)</c:v>
                </c:pt>
                <c:pt idx="2">
                  <c:v>2026(p)</c:v>
                </c:pt>
                <c:pt idx="3">
                  <c:v>2027(p)</c:v>
                </c:pt>
                <c:pt idx="4">
                  <c:v>2028(p)</c:v>
                </c:pt>
                <c:pt idx="5">
                  <c:v>2029(p)</c:v>
                </c:pt>
              </c:strCache>
            </c:strRef>
          </c:cat>
          <c:val>
            <c:numRef>
              <c:f>RETRAITE!$B$30:$G$30</c:f>
              <c:numCache>
                <c:formatCode>0.0</c:formatCode>
                <c:ptCount val="6"/>
                <c:pt idx="0">
                  <c:v>-9.197883081659787E-3</c:v>
                </c:pt>
                <c:pt idx="1">
                  <c:v>-0.63403813712485879</c:v>
                </c:pt>
                <c:pt idx="2">
                  <c:v>-0.47241183314131568</c:v>
                </c:pt>
                <c:pt idx="3">
                  <c:v>-0.38408431923244907</c:v>
                </c:pt>
                <c:pt idx="4">
                  <c:v>-0.3512508580551682</c:v>
                </c:pt>
                <c:pt idx="5">
                  <c:v>-0.37959329680364495</c:v>
                </c:pt>
              </c:numCache>
            </c:numRef>
          </c:val>
          <c:extLst>
            <c:ext xmlns:c16="http://schemas.microsoft.com/office/drawing/2014/chart" uri="{C3380CC4-5D6E-409C-BE32-E72D297353CC}">
              <c16:uniqueId val="{00000017-2619-4B34-BED4-49F1111611FF}"/>
            </c:ext>
          </c:extLst>
        </c:ser>
        <c:ser>
          <c:idx val="2"/>
          <c:order val="2"/>
          <c:tx>
            <c:v>CSG</c:v>
          </c:tx>
          <c:spPr>
            <a:solidFill>
              <a:schemeClr val="accent1">
                <a:lumMod val="75000"/>
              </a:schemeClr>
            </a:solidFill>
          </c:spPr>
          <c:invertIfNegative val="0"/>
          <c:dPt>
            <c:idx val="2"/>
            <c:invertIfNegative val="0"/>
            <c:bubble3D val="0"/>
            <c:spPr>
              <a:solidFill>
                <a:schemeClr val="accent1">
                  <a:lumMod val="75000"/>
                </a:schemeClr>
              </a:solidFill>
              <a:ln>
                <a:prstDash val="sysDot"/>
              </a:ln>
            </c:spPr>
            <c:extLst>
              <c:ext xmlns:c16="http://schemas.microsoft.com/office/drawing/2014/chart" uri="{C3380CC4-5D6E-409C-BE32-E72D297353CC}">
                <c16:uniqueId val="{00000019-2619-4B34-BED4-49F1111611FF}"/>
              </c:ext>
            </c:extLst>
          </c:dPt>
          <c:dPt>
            <c:idx val="3"/>
            <c:invertIfNegative val="0"/>
            <c:bubble3D val="0"/>
            <c:spPr>
              <a:solidFill>
                <a:schemeClr val="accent1">
                  <a:lumMod val="75000"/>
                </a:schemeClr>
              </a:solidFill>
              <a:ln>
                <a:prstDash val="sysDot"/>
              </a:ln>
            </c:spPr>
            <c:extLst>
              <c:ext xmlns:c16="http://schemas.microsoft.com/office/drawing/2014/chart" uri="{C3380CC4-5D6E-409C-BE32-E72D297353CC}">
                <c16:uniqueId val="{0000001B-2619-4B34-BED4-49F1111611FF}"/>
              </c:ext>
            </c:extLst>
          </c:dPt>
          <c:dPt>
            <c:idx val="4"/>
            <c:invertIfNegative val="0"/>
            <c:bubble3D val="0"/>
            <c:spPr>
              <a:solidFill>
                <a:schemeClr val="accent1">
                  <a:lumMod val="75000"/>
                </a:schemeClr>
              </a:solidFill>
              <a:ln>
                <a:prstDash val="sysDot"/>
              </a:ln>
            </c:spPr>
            <c:extLst>
              <c:ext xmlns:c16="http://schemas.microsoft.com/office/drawing/2014/chart" uri="{C3380CC4-5D6E-409C-BE32-E72D297353CC}">
                <c16:uniqueId val="{0000001D-2619-4B34-BED4-49F1111611FF}"/>
              </c:ext>
            </c:extLst>
          </c:dPt>
          <c:dPt>
            <c:idx val="5"/>
            <c:invertIfNegative val="0"/>
            <c:bubble3D val="0"/>
            <c:spPr>
              <a:solidFill>
                <a:schemeClr val="accent1">
                  <a:lumMod val="75000"/>
                </a:schemeClr>
              </a:solidFill>
              <a:ln>
                <a:prstDash val="sysDot"/>
              </a:ln>
            </c:spPr>
            <c:extLst>
              <c:ext xmlns:c16="http://schemas.microsoft.com/office/drawing/2014/chart" uri="{C3380CC4-5D6E-409C-BE32-E72D297353CC}">
                <c16:uniqueId val="{0000001F-2619-4B34-BED4-49F1111611FF}"/>
              </c:ext>
            </c:extLst>
          </c:dPt>
          <c:dPt>
            <c:idx val="6"/>
            <c:invertIfNegative val="0"/>
            <c:bubble3D val="0"/>
            <c:spPr>
              <a:solidFill>
                <a:schemeClr val="accent1">
                  <a:lumMod val="75000"/>
                </a:schemeClr>
              </a:solidFill>
              <a:ln>
                <a:prstDash val="sysDot"/>
              </a:ln>
            </c:spPr>
            <c:extLst>
              <c:ext xmlns:c16="http://schemas.microsoft.com/office/drawing/2014/chart" uri="{C3380CC4-5D6E-409C-BE32-E72D297353CC}">
                <c16:uniqueId val="{00000021-2619-4B34-BED4-49F1111611FF}"/>
              </c:ext>
            </c:extLst>
          </c:dPt>
          <c:cat>
            <c:strRef>
              <c:f>RETRAITE!$B$27:$G$27</c:f>
              <c:strCache>
                <c:ptCount val="6"/>
                <c:pt idx="0">
                  <c:v>2024</c:v>
                </c:pt>
                <c:pt idx="1">
                  <c:v>2025(p)</c:v>
                </c:pt>
                <c:pt idx="2">
                  <c:v>2026(p)</c:v>
                </c:pt>
                <c:pt idx="3">
                  <c:v>2027(p)</c:v>
                </c:pt>
                <c:pt idx="4">
                  <c:v>2028(p)</c:v>
                </c:pt>
                <c:pt idx="5">
                  <c:v>2029(p)</c:v>
                </c:pt>
              </c:strCache>
            </c:strRef>
          </c:cat>
          <c:val>
            <c:numRef>
              <c:f>RETRAITE!$B$31:$G$31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2-2619-4B34-BED4-49F1111611FF}"/>
            </c:ext>
          </c:extLst>
        </c:ser>
        <c:ser>
          <c:idx val="3"/>
          <c:order val="3"/>
          <c:tx>
            <c:v>Impôts et taxes affectés</c:v>
          </c:tx>
          <c:spPr>
            <a:pattFill prst="dkVert">
              <a:fgClr>
                <a:schemeClr val="accent1">
                  <a:lumMod val="60000"/>
                  <a:lumOff val="40000"/>
                </a:schemeClr>
              </a:fgClr>
              <a:bgClr>
                <a:schemeClr val="bg1"/>
              </a:bgClr>
            </a:pattFill>
          </c:spPr>
          <c:invertIfNegative val="0"/>
          <c:dPt>
            <c:idx val="2"/>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4-2619-4B34-BED4-49F1111611FF}"/>
              </c:ext>
            </c:extLst>
          </c:dPt>
          <c:dPt>
            <c:idx val="3"/>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6-2619-4B34-BED4-49F1111611FF}"/>
              </c:ext>
            </c:extLst>
          </c:dPt>
          <c:dPt>
            <c:idx val="4"/>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8-2619-4B34-BED4-49F1111611FF}"/>
              </c:ext>
            </c:extLst>
          </c:dPt>
          <c:dPt>
            <c:idx val="5"/>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A-2619-4B34-BED4-49F1111611FF}"/>
              </c:ext>
            </c:extLst>
          </c:dPt>
          <c:dPt>
            <c:idx val="6"/>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C-2619-4B34-BED4-49F1111611FF}"/>
              </c:ext>
            </c:extLst>
          </c:dPt>
          <c:cat>
            <c:strRef>
              <c:f>RETRAITE!$B$27:$G$27</c:f>
              <c:strCache>
                <c:ptCount val="6"/>
                <c:pt idx="0">
                  <c:v>2024</c:v>
                </c:pt>
                <c:pt idx="1">
                  <c:v>2025(p)</c:v>
                </c:pt>
                <c:pt idx="2">
                  <c:v>2026(p)</c:v>
                </c:pt>
                <c:pt idx="3">
                  <c:v>2027(p)</c:v>
                </c:pt>
                <c:pt idx="4">
                  <c:v>2028(p)</c:v>
                </c:pt>
                <c:pt idx="5">
                  <c:v>2029(p)</c:v>
                </c:pt>
              </c:strCache>
            </c:strRef>
          </c:cat>
          <c:val>
            <c:numRef>
              <c:f>RETRAITE!$B$32:$G$32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D-2619-4B34-BED4-49F1111611FF}"/>
            </c:ext>
          </c:extLst>
        </c:ser>
        <c:dLbls>
          <c:showLegendKey val="0"/>
          <c:showVal val="0"/>
          <c:showCatName val="0"/>
          <c:showSerName val="0"/>
          <c:showPercent val="0"/>
          <c:showBubbleSize val="0"/>
        </c:dLbls>
        <c:gapWidth val="150"/>
        <c:axId val="445235608"/>
        <c:axId val="445234432"/>
      </c:barChart>
      <c:lineChart>
        <c:grouping val="standard"/>
        <c:varyColors val="0"/>
        <c:ser>
          <c:idx val="5"/>
          <c:order val="4"/>
          <c:tx>
            <c:v>Evolution des recettes totales</c:v>
          </c:tx>
          <c:spPr>
            <a:ln>
              <a:solidFill>
                <a:srgbClr val="C00000"/>
              </a:solidFill>
            </a:ln>
          </c:spPr>
          <c:marker>
            <c:spPr>
              <a:solidFill>
                <a:srgbClr val="C00000"/>
              </a:solidFill>
              <a:ln>
                <a:solidFill>
                  <a:srgbClr val="C00000"/>
                </a:solidFill>
              </a:ln>
            </c:spPr>
          </c:marker>
          <c:dPt>
            <c:idx val="2"/>
            <c:bubble3D val="0"/>
            <c:spPr>
              <a:ln>
                <a:solidFill>
                  <a:srgbClr val="C00000"/>
                </a:solidFill>
                <a:prstDash val="dash"/>
              </a:ln>
            </c:spPr>
            <c:extLst>
              <c:ext xmlns:c16="http://schemas.microsoft.com/office/drawing/2014/chart" uri="{C3380CC4-5D6E-409C-BE32-E72D297353CC}">
                <c16:uniqueId val="{0000002F-2619-4B34-BED4-49F1111611FF}"/>
              </c:ext>
            </c:extLst>
          </c:dPt>
          <c:dPt>
            <c:idx val="3"/>
            <c:bubble3D val="0"/>
            <c:spPr>
              <a:ln>
                <a:solidFill>
                  <a:srgbClr val="C00000"/>
                </a:solidFill>
                <a:prstDash val="dash"/>
              </a:ln>
            </c:spPr>
            <c:extLst>
              <c:ext xmlns:c16="http://schemas.microsoft.com/office/drawing/2014/chart" uri="{C3380CC4-5D6E-409C-BE32-E72D297353CC}">
                <c16:uniqueId val="{00000031-2619-4B34-BED4-49F1111611FF}"/>
              </c:ext>
            </c:extLst>
          </c:dPt>
          <c:dPt>
            <c:idx val="4"/>
            <c:bubble3D val="0"/>
            <c:spPr>
              <a:ln>
                <a:solidFill>
                  <a:srgbClr val="C00000"/>
                </a:solidFill>
                <a:prstDash val="dash"/>
              </a:ln>
            </c:spPr>
            <c:extLst>
              <c:ext xmlns:c16="http://schemas.microsoft.com/office/drawing/2014/chart" uri="{C3380CC4-5D6E-409C-BE32-E72D297353CC}">
                <c16:uniqueId val="{00000033-2619-4B34-BED4-49F1111611FF}"/>
              </c:ext>
            </c:extLst>
          </c:dPt>
          <c:dPt>
            <c:idx val="5"/>
            <c:bubble3D val="0"/>
            <c:spPr>
              <a:ln>
                <a:solidFill>
                  <a:srgbClr val="C00000"/>
                </a:solidFill>
                <a:prstDash val="dash"/>
              </a:ln>
            </c:spPr>
            <c:extLst>
              <c:ext xmlns:c16="http://schemas.microsoft.com/office/drawing/2014/chart" uri="{C3380CC4-5D6E-409C-BE32-E72D297353CC}">
                <c16:uniqueId val="{00000035-2619-4B34-BED4-49F1111611FF}"/>
              </c:ext>
            </c:extLst>
          </c:dPt>
          <c:dLbls>
            <c:dLbl>
              <c:idx val="0"/>
              <c:layout>
                <c:manualLayout>
                  <c:x val="-6.5527227549520561E-2"/>
                  <c:y val="4.3139848448033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619-4B34-BED4-49F1111611FF}"/>
                </c:ext>
              </c:extLst>
            </c:dLbl>
            <c:dLbl>
              <c:idx val="1"/>
              <c:layout>
                <c:manualLayout>
                  <c:x val="-8.4024000339969401E-2"/>
                  <c:y val="1.1488829745601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619-4B34-BED4-49F1111611FF}"/>
                </c:ext>
              </c:extLst>
            </c:dLbl>
            <c:dLbl>
              <c:idx val="2"/>
              <c:layout>
                <c:manualLayout>
                  <c:x val="-2.3455857722804948E-2"/>
                  <c:y val="6.0121627572688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619-4B34-BED4-49F1111611FF}"/>
                </c:ext>
              </c:extLst>
            </c:dLbl>
            <c:dLbl>
              <c:idx val="3"/>
              <c:layout>
                <c:manualLayout>
                  <c:x val="-3.3471348625800472E-2"/>
                  <c:y val="6.940465775111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619-4B34-BED4-49F1111611FF}"/>
                </c:ext>
              </c:extLst>
            </c:dLbl>
            <c:dLbl>
              <c:idx val="4"/>
              <c:layout>
                <c:manualLayout>
                  <c:x val="-3.3488236058754714E-2"/>
                  <c:y val="4.59380307297120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619-4B34-BED4-49F1111611FF}"/>
                </c:ext>
              </c:extLst>
            </c:dLbl>
            <c:dLbl>
              <c:idx val="5"/>
              <c:layout>
                <c:manualLayout>
                  <c:x val="-2.1583057524822764E-2"/>
                  <c:y val="4.5938030729711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619-4B34-BED4-49F1111611FF}"/>
                </c:ext>
              </c:extLst>
            </c:dLbl>
            <c:spPr>
              <a:solidFill>
                <a:schemeClr val="accent2">
                  <a:lumMod val="20000"/>
                  <a:lumOff val="80000"/>
                </a:schemeClr>
              </a:solidFill>
            </c:spPr>
            <c:txPr>
              <a:bodyPr/>
              <a:lstStyle/>
              <a:p>
                <a:pPr>
                  <a:defRPr sz="900" b="1" i="1">
                    <a:solidFill>
                      <a:srgbClr val="C00000"/>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RETRAITE!$B$17:$G$17</c:f>
              <c:numCache>
                <c:formatCode>\+0.0%;\-0.0%;General</c:formatCode>
                <c:ptCount val="6"/>
                <c:pt idx="0">
                  <c:v>7.1264294090092939E-2</c:v>
                </c:pt>
                <c:pt idx="1">
                  <c:v>1.8900203864103515E-2</c:v>
                </c:pt>
                <c:pt idx="2">
                  <c:v>2.4128898218625183E-2</c:v>
                </c:pt>
                <c:pt idx="3">
                  <c:v>3.1578692486860405E-2</c:v>
                </c:pt>
                <c:pt idx="4">
                  <c:v>3.2896802719714291E-2</c:v>
                </c:pt>
                <c:pt idx="5">
                  <c:v>3.3426294546136104E-2</c:v>
                </c:pt>
              </c:numCache>
            </c:numRef>
          </c:val>
          <c:smooth val="0"/>
          <c:extLst>
            <c:ext xmlns:c16="http://schemas.microsoft.com/office/drawing/2014/chart" uri="{C3380CC4-5D6E-409C-BE32-E72D297353CC}">
              <c16:uniqueId val="{00000038-2619-4B34-BED4-49F1111611FF}"/>
            </c:ext>
          </c:extLst>
        </c:ser>
        <c:dLbls>
          <c:showLegendKey val="0"/>
          <c:showVal val="0"/>
          <c:showCatName val="0"/>
          <c:showSerName val="0"/>
          <c:showPercent val="0"/>
          <c:showBubbleSize val="0"/>
        </c:dLbls>
        <c:marker val="1"/>
        <c:smooth val="0"/>
        <c:axId val="445236000"/>
        <c:axId val="445230512"/>
      </c:lineChart>
      <c:catAx>
        <c:axId val="445235608"/>
        <c:scaling>
          <c:orientation val="minMax"/>
        </c:scaling>
        <c:delete val="0"/>
        <c:axPos val="b"/>
        <c:majorGridlines/>
        <c:numFmt formatCode="General" sourceLinked="1"/>
        <c:majorTickMark val="out"/>
        <c:minorTickMark val="none"/>
        <c:tickLblPos val="high"/>
        <c:txPr>
          <a:bodyPr/>
          <a:lstStyle/>
          <a:p>
            <a:pPr>
              <a:defRPr sz="1000" b="1">
                <a:solidFill>
                  <a:schemeClr val="accent1">
                    <a:lumMod val="75000"/>
                  </a:schemeClr>
                </a:solidFill>
              </a:defRPr>
            </a:pPr>
            <a:endParaRPr lang="fr-FR"/>
          </a:p>
        </c:txPr>
        <c:crossAx val="445234432"/>
        <c:crosses val="autoZero"/>
        <c:auto val="1"/>
        <c:lblAlgn val="ctr"/>
        <c:lblOffset val="100"/>
        <c:noMultiLvlLbl val="0"/>
      </c:catAx>
      <c:valAx>
        <c:axId val="445234432"/>
        <c:scaling>
          <c:orientation val="minMax"/>
          <c:max val="4"/>
          <c:min val="-2"/>
        </c:scaling>
        <c:delete val="0"/>
        <c:axPos val="l"/>
        <c:majorGridlines/>
        <c:title>
          <c:tx>
            <c:rich>
              <a:bodyPr rot="-5400000" vert="horz"/>
              <a:lstStyle/>
              <a:p>
                <a:pPr>
                  <a:defRPr sz="800" i="1">
                    <a:solidFill>
                      <a:schemeClr val="accent1">
                        <a:lumMod val="75000"/>
                      </a:schemeClr>
                    </a:solidFill>
                  </a:defRPr>
                </a:pPr>
                <a:r>
                  <a:rPr lang="fr-FR" sz="800" i="1">
                    <a:solidFill>
                      <a:schemeClr val="accent1">
                        <a:lumMod val="75000"/>
                      </a:schemeClr>
                    </a:solidFill>
                  </a:rPr>
                  <a:t>Contribution à l'évolution (en points)</a:t>
                </a:r>
              </a:p>
            </c:rich>
          </c:tx>
          <c:layout>
            <c:manualLayout>
              <c:xMode val="edge"/>
              <c:yMode val="edge"/>
              <c:x val="3.3078880407124679E-2"/>
              <c:y val="7.0434353600536778E-2"/>
            </c:manualLayout>
          </c:layout>
          <c:overlay val="0"/>
        </c:title>
        <c:numFmt formatCode="#,##0.0" sourceLinked="0"/>
        <c:majorTickMark val="out"/>
        <c:minorTickMark val="none"/>
        <c:tickLblPos val="nextTo"/>
        <c:txPr>
          <a:bodyPr/>
          <a:lstStyle/>
          <a:p>
            <a:pPr>
              <a:defRPr sz="900">
                <a:solidFill>
                  <a:schemeClr val="accent1">
                    <a:lumMod val="75000"/>
                  </a:schemeClr>
                </a:solidFill>
              </a:defRPr>
            </a:pPr>
            <a:endParaRPr lang="fr-FR"/>
          </a:p>
        </c:txPr>
        <c:crossAx val="445235608"/>
        <c:crosses val="autoZero"/>
        <c:crossBetween val="between"/>
        <c:majorUnit val="2"/>
      </c:valAx>
      <c:valAx>
        <c:axId val="445230512"/>
        <c:scaling>
          <c:orientation val="minMax"/>
          <c:max val="8.0000000000000016E-2"/>
          <c:min val="-2.0000000000000004E-2"/>
        </c:scaling>
        <c:delete val="0"/>
        <c:axPos val="r"/>
        <c:title>
          <c:tx>
            <c:rich>
              <a:bodyPr rot="-5400000" vert="horz"/>
              <a:lstStyle/>
              <a:p>
                <a:pPr>
                  <a:defRPr sz="800">
                    <a:solidFill>
                      <a:srgbClr val="C00000"/>
                    </a:solidFill>
                  </a:defRPr>
                </a:pPr>
                <a:r>
                  <a:rPr lang="fr-FR" sz="800">
                    <a:solidFill>
                      <a:srgbClr val="C00000"/>
                    </a:solidFill>
                  </a:rPr>
                  <a:t>Evolution en %</a:t>
                </a:r>
              </a:p>
            </c:rich>
          </c:tx>
          <c:layout>
            <c:manualLayout>
              <c:xMode val="edge"/>
              <c:yMode val="edge"/>
              <c:x val="0.93526634577810797"/>
              <c:y val="0.53376174657818432"/>
            </c:manualLayout>
          </c:layout>
          <c:overlay val="0"/>
        </c:title>
        <c:numFmt formatCode="\+0.0%;\-0.0%;General" sourceLinked="1"/>
        <c:majorTickMark val="out"/>
        <c:minorTickMark val="none"/>
        <c:tickLblPos val="nextTo"/>
        <c:txPr>
          <a:bodyPr/>
          <a:lstStyle/>
          <a:p>
            <a:pPr>
              <a:defRPr sz="900">
                <a:solidFill>
                  <a:srgbClr val="C00000"/>
                </a:solidFill>
              </a:defRPr>
            </a:pPr>
            <a:endParaRPr lang="fr-FR"/>
          </a:p>
        </c:txPr>
        <c:crossAx val="445236000"/>
        <c:crosses val="max"/>
        <c:crossBetween val="between"/>
        <c:majorUnit val="2.0000000000000004E-2"/>
      </c:valAx>
      <c:catAx>
        <c:axId val="445236000"/>
        <c:scaling>
          <c:orientation val="minMax"/>
        </c:scaling>
        <c:delete val="1"/>
        <c:axPos val="b"/>
        <c:numFmt formatCode="General" sourceLinked="1"/>
        <c:majorTickMark val="out"/>
        <c:minorTickMark val="none"/>
        <c:tickLblPos val="nextTo"/>
        <c:crossAx val="445230512"/>
        <c:crosses val="autoZero"/>
        <c:auto val="1"/>
        <c:lblAlgn val="ctr"/>
        <c:lblOffset val="100"/>
        <c:noMultiLvlLbl val="0"/>
      </c:catAx>
    </c:plotArea>
    <c:legend>
      <c:legendPos val="b"/>
      <c:legendEntry>
        <c:idx val="4"/>
        <c:txPr>
          <a:bodyPr/>
          <a:lstStyle/>
          <a:p>
            <a:pPr>
              <a:defRPr sz="800">
                <a:solidFill>
                  <a:srgbClr val="C00000"/>
                </a:solidFill>
              </a:defRPr>
            </a:pPr>
            <a:endParaRPr lang="fr-FR"/>
          </a:p>
        </c:txPr>
      </c:legendEntry>
      <c:layout>
        <c:manualLayout>
          <c:xMode val="edge"/>
          <c:yMode val="edge"/>
          <c:x val="2.4631327085108221E-2"/>
          <c:y val="0.85908632556221376"/>
          <c:w val="0.96461623654891648"/>
          <c:h val="0.13359194455690537"/>
        </c:manualLayout>
      </c:layout>
      <c:overlay val="0"/>
      <c:txPr>
        <a:bodyPr/>
        <a:lstStyle/>
        <a:p>
          <a:pPr>
            <a:defRPr sz="8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30505287178612"/>
          <c:y val="0.10799059896251624"/>
          <c:w val="0.77631740329770371"/>
          <c:h val="0.69373880395783838"/>
        </c:manualLayout>
      </c:layout>
      <c:barChart>
        <c:barDir val="col"/>
        <c:grouping val="clustered"/>
        <c:varyColors val="0"/>
        <c:ser>
          <c:idx val="0"/>
          <c:order val="0"/>
          <c:tx>
            <c:v>Prestations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A52C-475C-B692-70EF6CCBDDA4}"/>
              </c:ext>
            </c:extLst>
          </c:dPt>
          <c:dPt>
            <c:idx val="1"/>
            <c:invertIfNegative val="0"/>
            <c:bubble3D val="0"/>
            <c:extLst>
              <c:ext xmlns:c16="http://schemas.microsoft.com/office/drawing/2014/chart" uri="{C3380CC4-5D6E-409C-BE32-E72D297353CC}">
                <c16:uniqueId val="{00000001-A52C-475C-B692-70EF6CCBDDA4}"/>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A52C-475C-B692-70EF6CCBDDA4}"/>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A52C-475C-B692-70EF6CCBDDA4}"/>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A52C-475C-B692-70EF6CCBDDA4}"/>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A52C-475C-B692-70EF6CCBDDA4}"/>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A52C-475C-B692-70EF6CCBDDA4}"/>
              </c:ext>
            </c:extLst>
          </c:dPt>
          <c:cat>
            <c:strRef>
              <c:f>RETRAITE!$B$27:$G$27</c:f>
              <c:strCache>
                <c:ptCount val="6"/>
                <c:pt idx="0">
                  <c:v>2024</c:v>
                </c:pt>
                <c:pt idx="1">
                  <c:v>2025(p)</c:v>
                </c:pt>
                <c:pt idx="2">
                  <c:v>2026(p)</c:v>
                </c:pt>
                <c:pt idx="3">
                  <c:v>2027(p)</c:v>
                </c:pt>
                <c:pt idx="4">
                  <c:v>2028(p)</c:v>
                </c:pt>
                <c:pt idx="5">
                  <c:v>2029(p)</c:v>
                </c:pt>
              </c:strCache>
            </c:strRef>
          </c:cat>
          <c:val>
            <c:numRef>
              <c:f>'TCDC SA (Charges)'!$B$53:$G$53</c:f>
              <c:numCache>
                <c:formatCode>0.0</c:formatCode>
                <c:ptCount val="6"/>
                <c:pt idx="0">
                  <c:v>4.9328673657903028</c:v>
                </c:pt>
                <c:pt idx="1">
                  <c:v>2.6223844162423688</c:v>
                </c:pt>
                <c:pt idx="2">
                  <c:v>2.3924281551974929</c:v>
                </c:pt>
                <c:pt idx="3">
                  <c:v>3.0511527821766764</c:v>
                </c:pt>
                <c:pt idx="4">
                  <c:v>3.1463970501187593</c:v>
                </c:pt>
                <c:pt idx="5">
                  <c:v>3.2641623142636966</c:v>
                </c:pt>
              </c:numCache>
            </c:numRef>
          </c:val>
          <c:extLst>
            <c:ext xmlns:c16="http://schemas.microsoft.com/office/drawing/2014/chart" uri="{C3380CC4-5D6E-409C-BE32-E72D297353CC}">
              <c16:uniqueId val="{0000000C-A52C-475C-B692-70EF6CCBDDA4}"/>
            </c:ext>
          </c:extLst>
        </c:ser>
        <c:ser>
          <c:idx val="1"/>
          <c:order val="1"/>
          <c:tx>
            <c:v>Charges techniques</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A52C-475C-B692-70EF6CCBDDA4}"/>
              </c:ext>
            </c:extLst>
          </c:dPt>
          <c:dPt>
            <c:idx val="3"/>
            <c:invertIfNegative val="0"/>
            <c:bubble3D val="0"/>
            <c:extLst>
              <c:ext xmlns:c16="http://schemas.microsoft.com/office/drawing/2014/chart" uri="{C3380CC4-5D6E-409C-BE32-E72D297353CC}">
                <c16:uniqueId val="{00000010-A52C-475C-B692-70EF6CCBDDA4}"/>
              </c:ext>
            </c:extLst>
          </c:dPt>
          <c:dPt>
            <c:idx val="4"/>
            <c:invertIfNegative val="0"/>
            <c:bubble3D val="0"/>
            <c:extLst>
              <c:ext xmlns:c16="http://schemas.microsoft.com/office/drawing/2014/chart" uri="{C3380CC4-5D6E-409C-BE32-E72D297353CC}">
                <c16:uniqueId val="{00000012-A52C-475C-B692-70EF6CCBDDA4}"/>
              </c:ext>
            </c:extLst>
          </c:dPt>
          <c:dPt>
            <c:idx val="5"/>
            <c:invertIfNegative val="0"/>
            <c:bubble3D val="0"/>
            <c:extLst>
              <c:ext xmlns:c16="http://schemas.microsoft.com/office/drawing/2014/chart" uri="{C3380CC4-5D6E-409C-BE32-E72D297353CC}">
                <c16:uniqueId val="{00000014-A52C-475C-B692-70EF6CCBDDA4}"/>
              </c:ext>
            </c:extLst>
          </c:dPt>
          <c:dPt>
            <c:idx val="6"/>
            <c:invertIfNegative val="0"/>
            <c:bubble3D val="0"/>
            <c:extLst>
              <c:ext xmlns:c16="http://schemas.microsoft.com/office/drawing/2014/chart" uri="{C3380CC4-5D6E-409C-BE32-E72D297353CC}">
                <c16:uniqueId val="{00000016-A52C-475C-B692-70EF6CCBDDA4}"/>
              </c:ext>
            </c:extLst>
          </c:dPt>
          <c:cat>
            <c:strRef>
              <c:f>RETRAITE!$B$27:$G$27</c:f>
              <c:strCache>
                <c:ptCount val="6"/>
                <c:pt idx="0">
                  <c:v>2024</c:v>
                </c:pt>
                <c:pt idx="1">
                  <c:v>2025(p)</c:v>
                </c:pt>
                <c:pt idx="2">
                  <c:v>2026(p)</c:v>
                </c:pt>
                <c:pt idx="3">
                  <c:v>2027(p)</c:v>
                </c:pt>
                <c:pt idx="4">
                  <c:v>2028(p)</c:v>
                </c:pt>
                <c:pt idx="5">
                  <c:v>2029(p)</c:v>
                </c:pt>
              </c:strCache>
            </c:strRef>
          </c:cat>
          <c:val>
            <c:numRef>
              <c:f>'TCDC SA (Charges)'!$B$54:$G$54</c:f>
              <c:numCache>
                <c:formatCode>0.0</c:formatCode>
                <c:ptCount val="6"/>
                <c:pt idx="0">
                  <c:v>-5.2375075670639676E-2</c:v>
                </c:pt>
                <c:pt idx="1">
                  <c:v>-0.41573385417675057</c:v>
                </c:pt>
                <c:pt idx="2">
                  <c:v>0.18977673802020509</c:v>
                </c:pt>
                <c:pt idx="3">
                  <c:v>0.19350190452311686</c:v>
                </c:pt>
                <c:pt idx="4">
                  <c:v>0.27239631777824053</c:v>
                </c:pt>
                <c:pt idx="5">
                  <c:v>0.2151472275277185</c:v>
                </c:pt>
              </c:numCache>
            </c:numRef>
          </c:val>
          <c:extLst>
            <c:ext xmlns:c16="http://schemas.microsoft.com/office/drawing/2014/chart" uri="{C3380CC4-5D6E-409C-BE32-E72D297353CC}">
              <c16:uniqueId val="{00000017-A52C-475C-B692-70EF6CCBDDA4}"/>
            </c:ext>
          </c:extLst>
        </c:ser>
        <c:ser>
          <c:idx val="2"/>
          <c:order val="2"/>
          <c:tx>
            <c:v>Charges financières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A52C-475C-B692-70EF6CCBDDA4}"/>
              </c:ext>
            </c:extLst>
          </c:dPt>
          <c:dPt>
            <c:idx val="3"/>
            <c:invertIfNegative val="0"/>
            <c:bubble3D val="0"/>
            <c:extLst>
              <c:ext xmlns:c16="http://schemas.microsoft.com/office/drawing/2014/chart" uri="{C3380CC4-5D6E-409C-BE32-E72D297353CC}">
                <c16:uniqueId val="{0000001B-A52C-475C-B692-70EF6CCBDDA4}"/>
              </c:ext>
            </c:extLst>
          </c:dPt>
          <c:dPt>
            <c:idx val="4"/>
            <c:invertIfNegative val="0"/>
            <c:bubble3D val="0"/>
            <c:extLst>
              <c:ext xmlns:c16="http://schemas.microsoft.com/office/drawing/2014/chart" uri="{C3380CC4-5D6E-409C-BE32-E72D297353CC}">
                <c16:uniqueId val="{0000001D-A52C-475C-B692-70EF6CCBDDA4}"/>
              </c:ext>
            </c:extLst>
          </c:dPt>
          <c:dPt>
            <c:idx val="5"/>
            <c:invertIfNegative val="0"/>
            <c:bubble3D val="0"/>
            <c:extLst>
              <c:ext xmlns:c16="http://schemas.microsoft.com/office/drawing/2014/chart" uri="{C3380CC4-5D6E-409C-BE32-E72D297353CC}">
                <c16:uniqueId val="{0000001F-A52C-475C-B692-70EF6CCBDDA4}"/>
              </c:ext>
            </c:extLst>
          </c:dPt>
          <c:dPt>
            <c:idx val="6"/>
            <c:invertIfNegative val="0"/>
            <c:bubble3D val="0"/>
            <c:extLst>
              <c:ext xmlns:c16="http://schemas.microsoft.com/office/drawing/2014/chart" uri="{C3380CC4-5D6E-409C-BE32-E72D297353CC}">
                <c16:uniqueId val="{00000021-A52C-475C-B692-70EF6CCBDDA4}"/>
              </c:ext>
            </c:extLst>
          </c:dPt>
          <c:cat>
            <c:strRef>
              <c:f>RETRAITE!$B$27:$G$27</c:f>
              <c:strCache>
                <c:ptCount val="6"/>
                <c:pt idx="0">
                  <c:v>2024</c:v>
                </c:pt>
                <c:pt idx="1">
                  <c:v>2025(p)</c:v>
                </c:pt>
                <c:pt idx="2">
                  <c:v>2026(p)</c:v>
                </c:pt>
                <c:pt idx="3">
                  <c:v>2027(p)</c:v>
                </c:pt>
                <c:pt idx="4">
                  <c:v>2028(p)</c:v>
                </c:pt>
                <c:pt idx="5">
                  <c:v>2029(p)</c:v>
                </c:pt>
              </c:strCache>
            </c:strRef>
          </c:cat>
          <c:val>
            <c:numRef>
              <c:f>'TCDC SA (Charges)'!$B$55:$G$55</c:f>
              <c:numCache>
                <c:formatCode>0.0</c:formatCode>
                <c:ptCount val="6"/>
                <c:pt idx="0">
                  <c:v>-6.2996151147458497E-3</c:v>
                </c:pt>
                <c:pt idx="1">
                  <c:v>-1.5664351739867727E-4</c:v>
                </c:pt>
                <c:pt idx="2">
                  <c:v>3.1059293307011425E-5</c:v>
                </c:pt>
                <c:pt idx="3">
                  <c:v>3.4135619166421053E-5</c:v>
                </c:pt>
                <c:pt idx="4">
                  <c:v>3.7270531703300333E-5</c:v>
                </c:pt>
                <c:pt idx="5">
                  <c:v>4.0491741889439668E-5</c:v>
                </c:pt>
              </c:numCache>
            </c:numRef>
          </c:val>
          <c:extLst>
            <c:ext xmlns:c16="http://schemas.microsoft.com/office/drawing/2014/chart" uri="{C3380CC4-5D6E-409C-BE32-E72D297353CC}">
              <c16:uniqueId val="{00000022-A52C-475C-B692-70EF6CCBDDA4}"/>
            </c:ext>
          </c:extLst>
        </c:ser>
        <c:ser>
          <c:idx val="3"/>
          <c:order val="3"/>
          <c:tx>
            <c:v>Charges exceptionnelles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A52C-475C-B692-70EF6CCBDDA4}"/>
              </c:ext>
            </c:extLst>
          </c:dPt>
          <c:dPt>
            <c:idx val="3"/>
            <c:invertIfNegative val="0"/>
            <c:bubble3D val="0"/>
            <c:extLst>
              <c:ext xmlns:c16="http://schemas.microsoft.com/office/drawing/2014/chart" uri="{C3380CC4-5D6E-409C-BE32-E72D297353CC}">
                <c16:uniqueId val="{00000026-A52C-475C-B692-70EF6CCBDDA4}"/>
              </c:ext>
            </c:extLst>
          </c:dPt>
          <c:dPt>
            <c:idx val="4"/>
            <c:invertIfNegative val="0"/>
            <c:bubble3D val="0"/>
            <c:extLst>
              <c:ext xmlns:c16="http://schemas.microsoft.com/office/drawing/2014/chart" uri="{C3380CC4-5D6E-409C-BE32-E72D297353CC}">
                <c16:uniqueId val="{00000028-A52C-475C-B692-70EF6CCBDDA4}"/>
              </c:ext>
            </c:extLst>
          </c:dPt>
          <c:dPt>
            <c:idx val="5"/>
            <c:invertIfNegative val="0"/>
            <c:bubble3D val="0"/>
            <c:extLst>
              <c:ext xmlns:c16="http://schemas.microsoft.com/office/drawing/2014/chart" uri="{C3380CC4-5D6E-409C-BE32-E72D297353CC}">
                <c16:uniqueId val="{0000002A-A52C-475C-B692-70EF6CCBDDA4}"/>
              </c:ext>
            </c:extLst>
          </c:dPt>
          <c:dPt>
            <c:idx val="6"/>
            <c:invertIfNegative val="0"/>
            <c:bubble3D val="0"/>
            <c:extLst>
              <c:ext xmlns:c16="http://schemas.microsoft.com/office/drawing/2014/chart" uri="{C3380CC4-5D6E-409C-BE32-E72D297353CC}">
                <c16:uniqueId val="{0000002C-A52C-475C-B692-70EF6CCBDDA4}"/>
              </c:ext>
            </c:extLst>
          </c:dPt>
          <c:cat>
            <c:strRef>
              <c:f>RETRAITE!$B$27:$G$27</c:f>
              <c:strCache>
                <c:ptCount val="6"/>
                <c:pt idx="0">
                  <c:v>2024</c:v>
                </c:pt>
                <c:pt idx="1">
                  <c:v>2025(p)</c:v>
                </c:pt>
                <c:pt idx="2">
                  <c:v>2026(p)</c:v>
                </c:pt>
                <c:pt idx="3">
                  <c:v>2027(p)</c:v>
                </c:pt>
                <c:pt idx="4">
                  <c:v>2028(p)</c:v>
                </c:pt>
                <c:pt idx="5">
                  <c:v>2029(p)</c:v>
                </c:pt>
              </c:strCache>
            </c:strRef>
          </c:cat>
          <c:val>
            <c:numRef>
              <c:f>'TCDC SA (Charges)'!$B$56:$G$56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D-A52C-475C-B692-70EF6CCBDDA4}"/>
            </c:ext>
          </c:extLst>
        </c:ser>
        <c:ser>
          <c:idx val="4"/>
          <c:order val="4"/>
          <c:tx>
            <c:v>Dotations aux provisions</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2F-A52C-475C-B692-70EF6CCBDDA4}"/>
              </c:ext>
            </c:extLst>
          </c:dPt>
          <c:dPt>
            <c:idx val="2"/>
            <c:invertIfNegative val="0"/>
            <c:bubble3D val="0"/>
            <c:extLst>
              <c:ext xmlns:c16="http://schemas.microsoft.com/office/drawing/2014/chart" uri="{C3380CC4-5D6E-409C-BE32-E72D297353CC}">
                <c16:uniqueId val="{00000031-A52C-475C-B692-70EF6CCBDDA4}"/>
              </c:ext>
            </c:extLst>
          </c:dPt>
          <c:dPt>
            <c:idx val="3"/>
            <c:invertIfNegative val="0"/>
            <c:bubble3D val="0"/>
            <c:extLst>
              <c:ext xmlns:c16="http://schemas.microsoft.com/office/drawing/2014/chart" uri="{C3380CC4-5D6E-409C-BE32-E72D297353CC}">
                <c16:uniqueId val="{00000033-A52C-475C-B692-70EF6CCBDDA4}"/>
              </c:ext>
            </c:extLst>
          </c:dPt>
          <c:dPt>
            <c:idx val="4"/>
            <c:invertIfNegative val="0"/>
            <c:bubble3D val="0"/>
            <c:extLst>
              <c:ext xmlns:c16="http://schemas.microsoft.com/office/drawing/2014/chart" uri="{C3380CC4-5D6E-409C-BE32-E72D297353CC}">
                <c16:uniqueId val="{00000035-A52C-475C-B692-70EF6CCBDDA4}"/>
              </c:ext>
            </c:extLst>
          </c:dPt>
          <c:dPt>
            <c:idx val="5"/>
            <c:invertIfNegative val="0"/>
            <c:bubble3D val="0"/>
            <c:extLst>
              <c:ext xmlns:c16="http://schemas.microsoft.com/office/drawing/2014/chart" uri="{C3380CC4-5D6E-409C-BE32-E72D297353CC}">
                <c16:uniqueId val="{00000037-A52C-475C-B692-70EF6CCBDDA4}"/>
              </c:ext>
            </c:extLst>
          </c:dPt>
          <c:dPt>
            <c:idx val="6"/>
            <c:invertIfNegative val="0"/>
            <c:bubble3D val="0"/>
            <c:extLst>
              <c:ext xmlns:c16="http://schemas.microsoft.com/office/drawing/2014/chart" uri="{C3380CC4-5D6E-409C-BE32-E72D297353CC}">
                <c16:uniqueId val="{00000039-A52C-475C-B692-70EF6CCBDDA4}"/>
              </c:ext>
            </c:extLst>
          </c:dPt>
          <c:cat>
            <c:strRef>
              <c:f>RETRAITE!$B$27:$G$27</c:f>
              <c:strCache>
                <c:ptCount val="6"/>
                <c:pt idx="0">
                  <c:v>2024</c:v>
                </c:pt>
                <c:pt idx="1">
                  <c:v>2025(p)</c:v>
                </c:pt>
                <c:pt idx="2">
                  <c:v>2026(p)</c:v>
                </c:pt>
                <c:pt idx="3">
                  <c:v>2027(p)</c:v>
                </c:pt>
                <c:pt idx="4">
                  <c:v>2028(p)</c:v>
                </c:pt>
                <c:pt idx="5">
                  <c:v>2029(p)</c:v>
                </c:pt>
              </c:strCache>
            </c:strRef>
          </c:cat>
          <c:val>
            <c:numRef>
              <c:f>'TCDC SA (Charges)'!$B$57:$G$57</c:f>
              <c:numCache>
                <c:formatCode>0.0</c:formatCode>
                <c:ptCount val="6"/>
                <c:pt idx="0">
                  <c:v>-2.2698217870808297E-2</c:v>
                </c:pt>
                <c:pt idx="1">
                  <c:v>0.21682722648520467</c:v>
                </c:pt>
                <c:pt idx="2">
                  <c:v>0.19372673184267905</c:v>
                </c:pt>
                <c:pt idx="3">
                  <c:v>0.20208356452052773</c:v>
                </c:pt>
                <c:pt idx="4">
                  <c:v>0.19899091542755604</c:v>
                </c:pt>
                <c:pt idx="5">
                  <c:v>0.204654256690114</c:v>
                </c:pt>
              </c:numCache>
            </c:numRef>
          </c:val>
          <c:extLst>
            <c:ext xmlns:c16="http://schemas.microsoft.com/office/drawing/2014/chart" uri="{C3380CC4-5D6E-409C-BE32-E72D297353CC}">
              <c16:uniqueId val="{0000003A-A52C-475C-B692-70EF6CCBDDA4}"/>
            </c:ext>
          </c:extLst>
        </c:ser>
        <c:ser>
          <c:idx val="6"/>
          <c:order val="5"/>
          <c:tx>
            <c:v>Charges de gestion courante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RETRAITE!$B$27:$G$27</c:f>
              <c:strCache>
                <c:ptCount val="6"/>
                <c:pt idx="0">
                  <c:v>2024</c:v>
                </c:pt>
                <c:pt idx="1">
                  <c:v>2025(p)</c:v>
                </c:pt>
                <c:pt idx="2">
                  <c:v>2026(p)</c:v>
                </c:pt>
                <c:pt idx="3">
                  <c:v>2027(p)</c:v>
                </c:pt>
                <c:pt idx="4">
                  <c:v>2028(p)</c:v>
                </c:pt>
                <c:pt idx="5">
                  <c:v>2029(p)</c:v>
                </c:pt>
              </c:strCache>
            </c:strRef>
          </c:cat>
          <c:val>
            <c:numRef>
              <c:f>'TCDC SA (Charges)'!$B$58:$G$58</c:f>
              <c:numCache>
                <c:formatCode>0.0</c:formatCode>
                <c:ptCount val="6"/>
                <c:pt idx="0">
                  <c:v>1.6658747255507231E-2</c:v>
                </c:pt>
                <c:pt idx="1">
                  <c:v>-5.4780138986976357E-3</c:v>
                </c:pt>
                <c:pt idx="2">
                  <c:v>3.8192111598391497E-2</c:v>
                </c:pt>
                <c:pt idx="3">
                  <c:v>3.8336585027709223E-2</c:v>
                </c:pt>
                <c:pt idx="4">
                  <c:v>3.8462399905703597E-2</c:v>
                </c:pt>
                <c:pt idx="5">
                  <c:v>3.8602676223384577E-2</c:v>
                </c:pt>
              </c:numCache>
            </c:numRef>
          </c:val>
          <c:extLst>
            <c:ext xmlns:c16="http://schemas.microsoft.com/office/drawing/2014/chart" uri="{C3380CC4-5D6E-409C-BE32-E72D297353CC}">
              <c16:uniqueId val="{0000003B-A52C-475C-B692-70EF6CCBDDA4}"/>
            </c:ext>
          </c:extLst>
        </c:ser>
        <c:dLbls>
          <c:showLegendKey val="0"/>
          <c:showVal val="0"/>
          <c:showCatName val="0"/>
          <c:showSerName val="0"/>
          <c:showPercent val="0"/>
          <c:showBubbleSize val="0"/>
        </c:dLbls>
        <c:gapWidth val="137"/>
        <c:axId val="445231688"/>
        <c:axId val="445236392"/>
      </c:barChart>
      <c:lineChart>
        <c:grouping val="standard"/>
        <c:varyColors val="0"/>
        <c:ser>
          <c:idx val="5"/>
          <c:order val="6"/>
          <c:tx>
            <c:v>Evolution des dépenses totales</c:v>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D-A52C-475C-B692-70EF6CCBDDA4}"/>
              </c:ext>
            </c:extLst>
          </c:dPt>
          <c:dPt>
            <c:idx val="3"/>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F-A52C-475C-B692-70EF6CCBDDA4}"/>
              </c:ext>
            </c:extLst>
          </c:dPt>
          <c:dPt>
            <c:idx val="4"/>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1-A52C-475C-B692-70EF6CCBDDA4}"/>
              </c:ext>
            </c:extLst>
          </c:dPt>
          <c:dPt>
            <c:idx val="5"/>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3-A52C-475C-B692-70EF6CCBDDA4}"/>
              </c:ext>
            </c:extLst>
          </c:dPt>
          <c:dLbls>
            <c:dLbl>
              <c:idx val="0"/>
              <c:layout>
                <c:manualLayout>
                  <c:x val="8.1957764758078221E-3"/>
                  <c:y val="7.022629182783520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A52C-475C-B692-70EF6CCBDDA4}"/>
                </c:ext>
              </c:extLst>
            </c:dLbl>
            <c:dLbl>
              <c:idx val="1"/>
              <c:layout>
                <c:manualLayout>
                  <c:x val="-3.5577448553527929E-2"/>
                  <c:y val="-6.0745831302618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A52C-475C-B692-70EF6CCBDDA4}"/>
                </c:ext>
              </c:extLst>
            </c:dLbl>
            <c:dLbl>
              <c:idx val="2"/>
              <c:layout>
                <c:manualLayout>
                  <c:x val="-4.6625949007558891E-2"/>
                  <c:y val="-7.531863113653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A52C-475C-B692-70EF6CCBDDA4}"/>
                </c:ext>
              </c:extLst>
            </c:dLbl>
            <c:dLbl>
              <c:idx val="3"/>
              <c:layout>
                <c:manualLayout>
                  <c:x val="-3.3471348625800472E-2"/>
                  <c:y val="6.940465775111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A52C-475C-B692-70EF6CCBDDA4}"/>
                </c:ext>
              </c:extLst>
            </c:dLbl>
            <c:dLbl>
              <c:idx val="4"/>
              <c:layout>
                <c:manualLayout>
                  <c:x val="-3.3488236058754714E-2"/>
                  <c:y val="4.59380307297120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A52C-475C-B692-70EF6CCBDDA4}"/>
                </c:ext>
              </c:extLst>
            </c:dLbl>
            <c:dLbl>
              <c:idx val="5"/>
              <c:layout>
                <c:manualLayout>
                  <c:x val="-2.1583057524822764E-2"/>
                  <c:y val="4.5938030729711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A52C-475C-B692-70EF6CCBDD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'TCDC SA (Charges)'!$J$49:$O$49</c:f>
              <c:numCache>
                <c:formatCode>0.0%</c:formatCode>
                <c:ptCount val="6"/>
                <c:pt idx="0">
                  <c:v>4.8225487980588344E-2</c:v>
                </c:pt>
                <c:pt idx="1">
                  <c:v>2.2386399899704035E-2</c:v>
                </c:pt>
                <c:pt idx="2">
                  <c:v>2.8014224556126566E-2</c:v>
                </c:pt>
                <c:pt idx="3">
                  <c:v>3.4740433749881117E-2</c:v>
                </c:pt>
                <c:pt idx="4">
                  <c:v>3.6361298911816275E-2</c:v>
                </c:pt>
                <c:pt idx="5">
                  <c:v>3.7118645266762673E-2</c:v>
                </c:pt>
              </c:numCache>
            </c:numRef>
          </c:val>
          <c:smooth val="0"/>
          <c:extLst>
            <c:ext xmlns:c16="http://schemas.microsoft.com/office/drawing/2014/chart" uri="{C3380CC4-5D6E-409C-BE32-E72D297353CC}">
              <c16:uniqueId val="{00000046-A52C-475C-B692-70EF6CCBDDA4}"/>
            </c:ext>
          </c:extLst>
        </c:ser>
        <c:dLbls>
          <c:showLegendKey val="0"/>
          <c:showVal val="0"/>
          <c:showCatName val="0"/>
          <c:showSerName val="0"/>
          <c:showPercent val="0"/>
          <c:showBubbleSize val="0"/>
        </c:dLbls>
        <c:marker val="1"/>
        <c:smooth val="0"/>
        <c:axId val="445237568"/>
        <c:axId val="445237176"/>
      </c:lineChart>
      <c:catAx>
        <c:axId val="445231688"/>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236392"/>
        <c:crosses val="autoZero"/>
        <c:auto val="1"/>
        <c:lblAlgn val="ctr"/>
        <c:lblOffset val="100"/>
        <c:noMultiLvlLbl val="0"/>
      </c:catAx>
      <c:valAx>
        <c:axId val="445236392"/>
        <c:scaling>
          <c:orientation val="minMax"/>
          <c:max val="6"/>
          <c:min val="-1"/>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b="1"/>
                  <a:t>Contribution à l'évolution (en points)</a:t>
                </a:r>
              </a:p>
            </c:rich>
          </c:tx>
          <c:layout>
            <c:manualLayout>
              <c:xMode val="edge"/>
              <c:yMode val="edge"/>
              <c:x val="1.6815183663015376E-2"/>
              <c:y val="0.1848737889245325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231688"/>
        <c:crosses val="autoZero"/>
        <c:crossBetween val="between"/>
        <c:majorUnit val="1"/>
      </c:valAx>
      <c:valAx>
        <c:axId val="445237176"/>
        <c:scaling>
          <c:orientation val="minMax"/>
          <c:max val="6.0000000000000012E-2"/>
          <c:min val="0"/>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b="1"/>
                  <a:t>Evolution en %</a:t>
                </a:r>
              </a:p>
            </c:rich>
          </c:tx>
          <c:layout>
            <c:manualLayout>
              <c:xMode val="edge"/>
              <c:yMode val="edge"/>
              <c:x val="0.96678892896112678"/>
              <c:y val="0.3199380159707814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237568"/>
        <c:crosses val="max"/>
        <c:crossBetween val="between"/>
        <c:majorUnit val="2.0000000000000004E-2"/>
      </c:valAx>
      <c:catAx>
        <c:axId val="445237568"/>
        <c:scaling>
          <c:orientation val="minMax"/>
        </c:scaling>
        <c:delete val="1"/>
        <c:axPos val="b"/>
        <c:numFmt formatCode="General" sourceLinked="1"/>
        <c:majorTickMark val="none"/>
        <c:minorTickMark val="none"/>
        <c:tickLblPos val="nextTo"/>
        <c:crossAx val="445237176"/>
        <c:crosses val="autoZero"/>
        <c:auto val="1"/>
        <c:lblAlgn val="ctr"/>
        <c:lblOffset val="100"/>
        <c:noMultiLvlLbl val="0"/>
      </c:catAx>
      <c:spPr>
        <a:noFill/>
        <a:ln>
          <a:noFill/>
        </a:ln>
        <a:effectLst/>
      </c:spPr>
    </c:plotArea>
    <c:legend>
      <c:legendPos val="b"/>
      <c:legendEntry>
        <c:idx val="6"/>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ayout>
        <c:manualLayout>
          <c:xMode val="edge"/>
          <c:yMode val="edge"/>
          <c:x val="2.2679179899383735E-4"/>
          <c:y val="0.82262920838598874"/>
          <c:w val="0.99720603239346062"/>
          <c:h val="0.17737079161401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Maladie</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9C15-4427-AFB6-2691B982E2F9}"/>
              </c:ext>
            </c:extLst>
          </c:dPt>
          <c:dPt>
            <c:idx val="1"/>
            <c:invertIfNegative val="0"/>
            <c:bubble3D val="0"/>
            <c:extLst>
              <c:ext xmlns:c16="http://schemas.microsoft.com/office/drawing/2014/chart" uri="{C3380CC4-5D6E-409C-BE32-E72D297353CC}">
                <c16:uniqueId val="{00000001-9C15-4427-AFB6-2691B982E2F9}"/>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9C15-4427-AFB6-2691B982E2F9}"/>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9C15-4427-AFB6-2691B982E2F9}"/>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9C15-4427-AFB6-2691B982E2F9}"/>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9C15-4427-AFB6-2691B982E2F9}"/>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9C15-4427-AFB6-2691B982E2F9}"/>
              </c:ext>
            </c:extLst>
          </c:dPt>
          <c:cat>
            <c:strRef>
              <c:f>CHARGES_PRODUITS!$D$2:$I$2</c:f>
              <c:strCache>
                <c:ptCount val="6"/>
                <c:pt idx="0">
                  <c:v>2024</c:v>
                </c:pt>
                <c:pt idx="1">
                  <c:v>2025(p)</c:v>
                </c:pt>
                <c:pt idx="2">
                  <c:v>2026(p)</c:v>
                </c:pt>
                <c:pt idx="3">
                  <c:v>2027(p)</c:v>
                </c:pt>
                <c:pt idx="4">
                  <c:v>2028(p)</c:v>
                </c:pt>
                <c:pt idx="5">
                  <c:v>2029(p)</c:v>
                </c:pt>
              </c:strCache>
            </c:strRef>
          </c:cat>
          <c:val>
            <c:numRef>
              <c:f>CHARGES_PRODUITS!$C$42:$H$42</c:f>
              <c:numCache>
                <c:formatCode>#\ ##0.0</c:formatCode>
                <c:ptCount val="6"/>
                <c:pt idx="0">
                  <c:v>0.94356035669024896</c:v>
                </c:pt>
                <c:pt idx="1">
                  <c:v>1.1100246247030632</c:v>
                </c:pt>
                <c:pt idx="2">
                  <c:v>1.3409196203118665</c:v>
                </c:pt>
                <c:pt idx="3">
                  <c:v>1.6477023654108556</c:v>
                </c:pt>
                <c:pt idx="4">
                  <c:v>1.632529577466874</c:v>
                </c:pt>
                <c:pt idx="5">
                  <c:v>1.716914212589105</c:v>
                </c:pt>
              </c:numCache>
            </c:numRef>
          </c:val>
          <c:extLst>
            <c:ext xmlns:c16="http://schemas.microsoft.com/office/drawing/2014/chart" uri="{C3380CC4-5D6E-409C-BE32-E72D297353CC}">
              <c16:uniqueId val="{0000000C-9C15-4427-AFB6-2691B982E2F9}"/>
            </c:ext>
          </c:extLst>
        </c:ser>
        <c:ser>
          <c:idx val="1"/>
          <c:order val="1"/>
          <c:tx>
            <c:v>ATMP</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9C15-4427-AFB6-2691B982E2F9}"/>
              </c:ext>
            </c:extLst>
          </c:dPt>
          <c:dPt>
            <c:idx val="3"/>
            <c:invertIfNegative val="0"/>
            <c:bubble3D val="0"/>
            <c:extLst>
              <c:ext xmlns:c16="http://schemas.microsoft.com/office/drawing/2014/chart" uri="{C3380CC4-5D6E-409C-BE32-E72D297353CC}">
                <c16:uniqueId val="{00000010-9C15-4427-AFB6-2691B982E2F9}"/>
              </c:ext>
            </c:extLst>
          </c:dPt>
          <c:dPt>
            <c:idx val="4"/>
            <c:invertIfNegative val="0"/>
            <c:bubble3D val="0"/>
            <c:extLst>
              <c:ext xmlns:c16="http://schemas.microsoft.com/office/drawing/2014/chart" uri="{C3380CC4-5D6E-409C-BE32-E72D297353CC}">
                <c16:uniqueId val="{00000012-9C15-4427-AFB6-2691B982E2F9}"/>
              </c:ext>
            </c:extLst>
          </c:dPt>
          <c:dPt>
            <c:idx val="5"/>
            <c:invertIfNegative val="0"/>
            <c:bubble3D val="0"/>
            <c:extLst>
              <c:ext xmlns:c16="http://schemas.microsoft.com/office/drawing/2014/chart" uri="{C3380CC4-5D6E-409C-BE32-E72D297353CC}">
                <c16:uniqueId val="{00000014-9C15-4427-AFB6-2691B982E2F9}"/>
              </c:ext>
            </c:extLst>
          </c:dPt>
          <c:dPt>
            <c:idx val="6"/>
            <c:invertIfNegative val="0"/>
            <c:bubble3D val="0"/>
            <c:extLst>
              <c:ext xmlns:c16="http://schemas.microsoft.com/office/drawing/2014/chart" uri="{C3380CC4-5D6E-409C-BE32-E72D297353CC}">
                <c16:uniqueId val="{00000016-9C15-4427-AFB6-2691B982E2F9}"/>
              </c:ext>
            </c:extLst>
          </c:dPt>
          <c:cat>
            <c:strRef>
              <c:f>CHARGES_PRODUITS!$D$2:$I$2</c:f>
              <c:strCache>
                <c:ptCount val="6"/>
                <c:pt idx="0">
                  <c:v>2024</c:v>
                </c:pt>
                <c:pt idx="1">
                  <c:v>2025(p)</c:v>
                </c:pt>
                <c:pt idx="2">
                  <c:v>2026(p)</c:v>
                </c:pt>
                <c:pt idx="3">
                  <c:v>2027(p)</c:v>
                </c:pt>
                <c:pt idx="4">
                  <c:v>2028(p)</c:v>
                </c:pt>
                <c:pt idx="5">
                  <c:v>2029(p)</c:v>
                </c:pt>
              </c:strCache>
            </c:strRef>
          </c:cat>
          <c:val>
            <c:numRef>
              <c:f>CHARGES_PRODUITS!$C$43:$H$43</c:f>
              <c:numCache>
                <c:formatCode>#\ ##0.0</c:formatCode>
                <c:ptCount val="6"/>
                <c:pt idx="0">
                  <c:v>0.13769026899580769</c:v>
                </c:pt>
                <c:pt idx="1">
                  <c:v>0.12761960582828308</c:v>
                </c:pt>
                <c:pt idx="2">
                  <c:v>0.1660275274446647</c:v>
                </c:pt>
                <c:pt idx="3">
                  <c:v>0.12698152157466697</c:v>
                </c:pt>
                <c:pt idx="4">
                  <c:v>0.14673120598793102</c:v>
                </c:pt>
                <c:pt idx="5">
                  <c:v>0.14236954311452119</c:v>
                </c:pt>
              </c:numCache>
            </c:numRef>
          </c:val>
          <c:extLst>
            <c:ext xmlns:c16="http://schemas.microsoft.com/office/drawing/2014/chart" uri="{C3380CC4-5D6E-409C-BE32-E72D297353CC}">
              <c16:uniqueId val="{00000017-9C15-4427-AFB6-2691B982E2F9}"/>
            </c:ext>
          </c:extLst>
        </c:ser>
        <c:ser>
          <c:idx val="2"/>
          <c:order val="2"/>
          <c:tx>
            <c:v>Famille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9C15-4427-AFB6-2691B982E2F9}"/>
              </c:ext>
            </c:extLst>
          </c:dPt>
          <c:dPt>
            <c:idx val="3"/>
            <c:invertIfNegative val="0"/>
            <c:bubble3D val="0"/>
            <c:extLst>
              <c:ext xmlns:c16="http://schemas.microsoft.com/office/drawing/2014/chart" uri="{C3380CC4-5D6E-409C-BE32-E72D297353CC}">
                <c16:uniqueId val="{0000001B-9C15-4427-AFB6-2691B982E2F9}"/>
              </c:ext>
            </c:extLst>
          </c:dPt>
          <c:dPt>
            <c:idx val="4"/>
            <c:invertIfNegative val="0"/>
            <c:bubble3D val="0"/>
            <c:extLst>
              <c:ext xmlns:c16="http://schemas.microsoft.com/office/drawing/2014/chart" uri="{C3380CC4-5D6E-409C-BE32-E72D297353CC}">
                <c16:uniqueId val="{0000001D-9C15-4427-AFB6-2691B982E2F9}"/>
              </c:ext>
            </c:extLst>
          </c:dPt>
          <c:dPt>
            <c:idx val="5"/>
            <c:invertIfNegative val="0"/>
            <c:bubble3D val="0"/>
            <c:extLst>
              <c:ext xmlns:c16="http://schemas.microsoft.com/office/drawing/2014/chart" uri="{C3380CC4-5D6E-409C-BE32-E72D297353CC}">
                <c16:uniqueId val="{0000001F-9C15-4427-AFB6-2691B982E2F9}"/>
              </c:ext>
            </c:extLst>
          </c:dPt>
          <c:dPt>
            <c:idx val="6"/>
            <c:invertIfNegative val="0"/>
            <c:bubble3D val="0"/>
            <c:extLst>
              <c:ext xmlns:c16="http://schemas.microsoft.com/office/drawing/2014/chart" uri="{C3380CC4-5D6E-409C-BE32-E72D297353CC}">
                <c16:uniqueId val="{00000021-9C15-4427-AFB6-2691B982E2F9}"/>
              </c:ext>
            </c:extLst>
          </c:dPt>
          <c:cat>
            <c:strRef>
              <c:f>CHARGES_PRODUITS!$D$2:$I$2</c:f>
              <c:strCache>
                <c:ptCount val="6"/>
                <c:pt idx="0">
                  <c:v>2024</c:v>
                </c:pt>
                <c:pt idx="1">
                  <c:v>2025(p)</c:v>
                </c:pt>
                <c:pt idx="2">
                  <c:v>2026(p)</c:v>
                </c:pt>
                <c:pt idx="3">
                  <c:v>2027(p)</c:v>
                </c:pt>
                <c:pt idx="4">
                  <c:v>2028(p)</c:v>
                </c:pt>
                <c:pt idx="5">
                  <c:v>2029(p)</c:v>
                </c:pt>
              </c:strCache>
            </c:strRef>
          </c:cat>
          <c:val>
            <c:numRef>
              <c:f>CHARGES_PRODUITS!$C$44:$H$44</c:f>
              <c:numCache>
                <c:formatCode>#\ ##0.0</c:formatCode>
                <c:ptCount val="6"/>
                <c:pt idx="0">
                  <c:v>5.1898534913393676E-2</c:v>
                </c:pt>
                <c:pt idx="1">
                  <c:v>3.4332562388231201E-3</c:v>
                </c:pt>
                <c:pt idx="2">
                  <c:v>9.1923058597061111E-2</c:v>
                </c:pt>
                <c:pt idx="3">
                  <c:v>0.21107909134918137</c:v>
                </c:pt>
                <c:pt idx="4">
                  <c:v>0.21133930548490409</c:v>
                </c:pt>
                <c:pt idx="5">
                  <c:v>0.20881679641691808</c:v>
                </c:pt>
              </c:numCache>
            </c:numRef>
          </c:val>
          <c:extLst>
            <c:ext xmlns:c16="http://schemas.microsoft.com/office/drawing/2014/chart" uri="{C3380CC4-5D6E-409C-BE32-E72D297353CC}">
              <c16:uniqueId val="{00000022-9C15-4427-AFB6-2691B982E2F9}"/>
            </c:ext>
          </c:extLst>
        </c:ser>
        <c:ser>
          <c:idx val="3"/>
          <c:order val="3"/>
          <c:tx>
            <c:v>Retraite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9C15-4427-AFB6-2691B982E2F9}"/>
              </c:ext>
            </c:extLst>
          </c:dPt>
          <c:dPt>
            <c:idx val="3"/>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9C15-4427-AFB6-2691B982E2F9}"/>
              </c:ext>
            </c:extLst>
          </c:dPt>
          <c:dPt>
            <c:idx val="4"/>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9C15-4427-AFB6-2691B982E2F9}"/>
              </c:ext>
            </c:extLst>
          </c:dPt>
          <c:dPt>
            <c:idx val="5"/>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9C15-4427-AFB6-2691B982E2F9}"/>
              </c:ext>
            </c:extLst>
          </c:dPt>
          <c:dPt>
            <c:idx val="6"/>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9C15-4427-AFB6-2691B982E2F9}"/>
              </c:ext>
            </c:extLst>
          </c:dPt>
          <c:cat>
            <c:strRef>
              <c:f>CHARGES_PRODUITS!$D$2:$I$2</c:f>
              <c:strCache>
                <c:ptCount val="6"/>
                <c:pt idx="0">
                  <c:v>2024</c:v>
                </c:pt>
                <c:pt idx="1">
                  <c:v>2025(p)</c:v>
                </c:pt>
                <c:pt idx="2">
                  <c:v>2026(p)</c:v>
                </c:pt>
                <c:pt idx="3">
                  <c:v>2027(p)</c:v>
                </c:pt>
                <c:pt idx="4">
                  <c:v>2028(p)</c:v>
                </c:pt>
                <c:pt idx="5">
                  <c:v>2029(p)</c:v>
                </c:pt>
              </c:strCache>
            </c:strRef>
          </c:cat>
          <c:val>
            <c:numRef>
              <c:f>CHARGES_PRODUITS!$C$45:$H$45</c:f>
              <c:numCache>
                <c:formatCode>#\ ##0.0</c:formatCode>
                <c:ptCount val="6"/>
                <c:pt idx="0">
                  <c:v>3.1103363932791468</c:v>
                </c:pt>
                <c:pt idx="1">
                  <c:v>0.88361942859484133</c:v>
                </c:pt>
                <c:pt idx="2">
                  <c:v>1.1242239797678248</c:v>
                </c:pt>
                <c:pt idx="3">
                  <c:v>1.4657671834191672</c:v>
                </c:pt>
                <c:pt idx="4">
                  <c:v>1.522283301812998</c:v>
                </c:pt>
                <c:pt idx="5">
                  <c:v>1.5416144604499309</c:v>
                </c:pt>
              </c:numCache>
            </c:numRef>
          </c:val>
          <c:extLst>
            <c:ext xmlns:c16="http://schemas.microsoft.com/office/drawing/2014/chart" uri="{C3380CC4-5D6E-409C-BE32-E72D297353CC}">
              <c16:uniqueId val="{0000002D-9C15-4427-AFB6-2691B982E2F9}"/>
            </c:ext>
          </c:extLst>
        </c:ser>
        <c:ser>
          <c:idx val="4"/>
          <c:order val="5"/>
          <c:tx>
            <c:v>SASPA</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CHARGES_PRODUITS!$D$2:$I$2</c:f>
              <c:strCache>
                <c:ptCount val="6"/>
                <c:pt idx="0">
                  <c:v>2024</c:v>
                </c:pt>
                <c:pt idx="1">
                  <c:v>2025(p)</c:v>
                </c:pt>
                <c:pt idx="2">
                  <c:v>2026(p)</c:v>
                </c:pt>
                <c:pt idx="3">
                  <c:v>2027(p)</c:v>
                </c:pt>
                <c:pt idx="4">
                  <c:v>2028(p)</c:v>
                </c:pt>
                <c:pt idx="5">
                  <c:v>2029(p)</c:v>
                </c:pt>
              </c:strCache>
            </c:strRef>
          </c:cat>
          <c:val>
            <c:numRef>
              <c:f>CHARGES_PRODUITS!$C$46:$H$46</c:f>
              <c:numCache>
                <c:formatCode>#\ ##0.0</c:formatCode>
                <c:ptCount val="6"/>
                <c:pt idx="0">
                  <c:v>0.35631757037530637</c:v>
                </c:pt>
                <c:pt idx="1">
                  <c:v>0.11394307460540268</c:v>
                </c:pt>
                <c:pt idx="2">
                  <c:v>7.8328269491221056E-2</c:v>
                </c:pt>
                <c:pt idx="3">
                  <c:v>2.2513213234223287E-2</c:v>
                </c:pt>
                <c:pt idx="4">
                  <c:v>0.12324650042894783</c:v>
                </c:pt>
                <c:pt idx="5">
                  <c:v>0.10214951410579408</c:v>
                </c:pt>
              </c:numCache>
            </c:numRef>
          </c:val>
          <c:extLst>
            <c:ext xmlns:c16="http://schemas.microsoft.com/office/drawing/2014/chart" uri="{C3380CC4-5D6E-409C-BE32-E72D297353CC}">
              <c16:uniqueId val="{0000002E-9C15-4427-AFB6-2691B982E2F9}"/>
            </c:ext>
          </c:extLst>
        </c:ser>
        <c:dLbls>
          <c:showLegendKey val="0"/>
          <c:showVal val="0"/>
          <c:showCatName val="0"/>
          <c:showSerName val="0"/>
          <c:showPercent val="0"/>
          <c:showBubbleSize val="0"/>
        </c:dLbls>
        <c:gapWidth val="150"/>
        <c:axId val="445233648"/>
        <c:axId val="445234040"/>
      </c:barChart>
      <c:lineChart>
        <c:grouping val="standard"/>
        <c:varyColors val="0"/>
        <c:ser>
          <c:idx val="5"/>
          <c:order val="4"/>
          <c:tx>
            <c:v>Evolution des dépenses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0-9C15-4427-AFB6-2691B982E2F9}"/>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2-9C15-4427-AFB6-2691B982E2F9}"/>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4-9C15-4427-AFB6-2691B982E2F9}"/>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6-9C15-4427-AFB6-2691B982E2F9}"/>
              </c:ext>
            </c:extLst>
          </c:dPt>
          <c:dLbls>
            <c:dLbl>
              <c:idx val="0"/>
              <c:layout>
                <c:manualLayout>
                  <c:x val="-6.7511423971842538E-2"/>
                  <c:y val="-3.63254490103003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C15-4427-AFB6-2691B982E2F9}"/>
                </c:ext>
              </c:extLst>
            </c:dLbl>
            <c:dLbl>
              <c:idx val="1"/>
              <c:layout>
                <c:manualLayout>
                  <c:x val="-2.8466500514953655E-2"/>
                  <c:y val="-5.26254412040671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C15-4427-AFB6-2691B982E2F9}"/>
                </c:ext>
              </c:extLst>
            </c:dLbl>
            <c:dLbl>
              <c:idx val="2"/>
              <c:layout>
                <c:manualLayout>
                  <c:x val="-2.7424250567448929E-2"/>
                  <c:y val="-6.7891588879452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C15-4427-AFB6-2691B982E2F9}"/>
                </c:ext>
              </c:extLst>
            </c:dLbl>
            <c:dLbl>
              <c:idx val="3"/>
              <c:layout>
                <c:manualLayout>
                  <c:x val="-4.5376541111300059E-2"/>
                  <c:y val="-4.71865569061697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C15-4427-AFB6-2691B982E2F9}"/>
                </c:ext>
              </c:extLst>
            </c:dLbl>
            <c:dLbl>
              <c:idx val="4"/>
              <c:layout>
                <c:manualLayout>
                  <c:x val="-3.3488236058754714E-2"/>
                  <c:y val="-6.18463665279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C15-4427-AFB6-2691B982E2F9}"/>
                </c:ext>
              </c:extLst>
            </c:dLbl>
            <c:dLbl>
              <c:idx val="5"/>
              <c:layout>
                <c:manualLayout>
                  <c:x val="-3.7456628903398695E-2"/>
                  <c:y val="-5.3910744208985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C15-4427-AFB6-2691B982E2F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CHARGES_PRODUITS!$D$2:$I$2</c:f>
              <c:strCache>
                <c:ptCount val="6"/>
                <c:pt idx="0">
                  <c:v>2024</c:v>
                </c:pt>
                <c:pt idx="1">
                  <c:v>2025(p)</c:v>
                </c:pt>
                <c:pt idx="2">
                  <c:v>2026(p)</c:v>
                </c:pt>
                <c:pt idx="3">
                  <c:v>2027(p)</c:v>
                </c:pt>
                <c:pt idx="4">
                  <c:v>2028(p)</c:v>
                </c:pt>
                <c:pt idx="5">
                  <c:v>2029(p)</c:v>
                </c:pt>
              </c:strCache>
            </c:strRef>
          </c:cat>
          <c:val>
            <c:numRef>
              <c:f>CHARGES_PRODUITS!$C$25:$H$25</c:f>
              <c:numCache>
                <c:formatCode>0.0%</c:formatCode>
                <c:ptCount val="6"/>
                <c:pt idx="0">
                  <c:v>4.8215866160579379E-2</c:v>
                </c:pt>
                <c:pt idx="1">
                  <c:v>2.2386399899704035E-2</c:v>
                </c:pt>
                <c:pt idx="2">
                  <c:v>2.8014224556126566E-2</c:v>
                </c:pt>
                <c:pt idx="3">
                  <c:v>3.4740433749880895E-2</c:v>
                </c:pt>
                <c:pt idx="4">
                  <c:v>3.6361298911816498E-2</c:v>
                </c:pt>
                <c:pt idx="5">
                  <c:v>3.7118645266762673E-2</c:v>
                </c:pt>
              </c:numCache>
            </c:numRef>
          </c:val>
          <c:smooth val="0"/>
          <c:extLst>
            <c:ext xmlns:c16="http://schemas.microsoft.com/office/drawing/2014/chart" uri="{C3380CC4-5D6E-409C-BE32-E72D297353CC}">
              <c16:uniqueId val="{00000039-9C15-4427-AFB6-2691B982E2F9}"/>
            </c:ext>
          </c:extLst>
        </c:ser>
        <c:dLbls>
          <c:showLegendKey val="0"/>
          <c:showVal val="0"/>
          <c:showCatName val="0"/>
          <c:showSerName val="0"/>
          <c:showPercent val="0"/>
          <c:showBubbleSize val="0"/>
        </c:dLbls>
        <c:marker val="1"/>
        <c:smooth val="0"/>
        <c:axId val="445438256"/>
        <c:axId val="445433944"/>
      </c:lineChart>
      <c:catAx>
        <c:axId val="445233648"/>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234040"/>
        <c:crosses val="autoZero"/>
        <c:auto val="1"/>
        <c:lblAlgn val="ctr"/>
        <c:lblOffset val="100"/>
        <c:noMultiLvlLbl val="0"/>
      </c:catAx>
      <c:valAx>
        <c:axId val="445234040"/>
        <c:scaling>
          <c:orientation val="minMax"/>
          <c:max val="4"/>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fr-FR" sz="1000" b="1"/>
                  <a:t>Contribution à l'évolution (en points)</a:t>
                </a:r>
              </a:p>
            </c:rich>
          </c:tx>
          <c:layout>
            <c:manualLayout>
              <c:xMode val="edge"/>
              <c:yMode val="edge"/>
              <c:x val="2.3157915787579118E-2"/>
              <c:y val="0.215753077746165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233648"/>
        <c:crosses val="autoZero"/>
        <c:crossBetween val="between"/>
        <c:majorUnit val="1"/>
      </c:valAx>
      <c:valAx>
        <c:axId val="445433944"/>
        <c:scaling>
          <c:orientation val="minMax"/>
          <c:max val="5.000000000000001E-2"/>
          <c:min val="0"/>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6700468832805042"/>
              <c:y val="0.3674664488993547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8256"/>
        <c:crosses val="max"/>
        <c:crossBetween val="between"/>
        <c:majorUnit val="1.0000000000000002E-2"/>
      </c:valAx>
      <c:catAx>
        <c:axId val="445438256"/>
        <c:scaling>
          <c:orientation val="minMax"/>
        </c:scaling>
        <c:delete val="1"/>
        <c:axPos val="b"/>
        <c:numFmt formatCode="General" sourceLinked="1"/>
        <c:majorTickMark val="none"/>
        <c:minorTickMark val="none"/>
        <c:tickLblPos val="nextTo"/>
        <c:crossAx val="445433944"/>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Maladie</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08F3-46D7-BF34-FCCF3F5BA224}"/>
              </c:ext>
            </c:extLst>
          </c:dPt>
          <c:dPt>
            <c:idx val="1"/>
            <c:invertIfNegative val="0"/>
            <c:bubble3D val="0"/>
            <c:extLst>
              <c:ext xmlns:c16="http://schemas.microsoft.com/office/drawing/2014/chart" uri="{C3380CC4-5D6E-409C-BE32-E72D297353CC}">
                <c16:uniqueId val="{00000001-08F3-46D7-BF34-FCCF3F5BA224}"/>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08F3-46D7-BF34-FCCF3F5BA224}"/>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08F3-46D7-BF34-FCCF3F5BA224}"/>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08F3-46D7-BF34-FCCF3F5BA224}"/>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08F3-46D7-BF34-FCCF3F5BA224}"/>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8F3-46D7-BF34-FCCF3F5BA224}"/>
              </c:ext>
            </c:extLst>
          </c:dPt>
          <c:cat>
            <c:strRef>
              <c:f>CHARGES_PRODUITS!$C$41:$H$41</c:f>
              <c:strCache>
                <c:ptCount val="6"/>
                <c:pt idx="0">
                  <c:v>2024</c:v>
                </c:pt>
                <c:pt idx="1">
                  <c:v>2025(p)</c:v>
                </c:pt>
                <c:pt idx="2">
                  <c:v>2026(p)</c:v>
                </c:pt>
                <c:pt idx="3">
                  <c:v>2027(p)</c:v>
                </c:pt>
                <c:pt idx="4">
                  <c:v>2028(p)</c:v>
                </c:pt>
                <c:pt idx="5">
                  <c:v>2029(p)</c:v>
                </c:pt>
              </c:strCache>
            </c:strRef>
          </c:cat>
          <c:val>
            <c:numRef>
              <c:f>CHARGES_PRODUITS!$C$48:$H$48</c:f>
              <c:numCache>
                <c:formatCode>#\ ##0.0</c:formatCode>
                <c:ptCount val="6"/>
                <c:pt idx="0">
                  <c:v>0.94149269689657766</c:v>
                </c:pt>
                <c:pt idx="1">
                  <c:v>1.1075921854105271</c:v>
                </c:pt>
                <c:pt idx="2">
                  <c:v>1.3380444391578588</c:v>
                </c:pt>
                <c:pt idx="3">
                  <c:v>1.644432048659566</c:v>
                </c:pt>
                <c:pt idx="4">
                  <c:v>1.6290446206310576</c:v>
                </c:pt>
                <c:pt idx="5">
                  <c:v>1.7133091644407887</c:v>
                </c:pt>
              </c:numCache>
            </c:numRef>
          </c:val>
          <c:extLst>
            <c:ext xmlns:c16="http://schemas.microsoft.com/office/drawing/2014/chart" uri="{C3380CC4-5D6E-409C-BE32-E72D297353CC}">
              <c16:uniqueId val="{0000000C-08F3-46D7-BF34-FCCF3F5BA224}"/>
            </c:ext>
          </c:extLst>
        </c:ser>
        <c:ser>
          <c:idx val="1"/>
          <c:order val="1"/>
          <c:tx>
            <c:v>ATMP</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08F3-46D7-BF34-FCCF3F5BA224}"/>
              </c:ext>
            </c:extLst>
          </c:dPt>
          <c:dPt>
            <c:idx val="3"/>
            <c:invertIfNegative val="0"/>
            <c:bubble3D val="0"/>
            <c:extLst>
              <c:ext xmlns:c16="http://schemas.microsoft.com/office/drawing/2014/chart" uri="{C3380CC4-5D6E-409C-BE32-E72D297353CC}">
                <c16:uniqueId val="{00000010-08F3-46D7-BF34-FCCF3F5BA224}"/>
              </c:ext>
            </c:extLst>
          </c:dPt>
          <c:dPt>
            <c:idx val="4"/>
            <c:invertIfNegative val="0"/>
            <c:bubble3D val="0"/>
            <c:extLst>
              <c:ext xmlns:c16="http://schemas.microsoft.com/office/drawing/2014/chart" uri="{C3380CC4-5D6E-409C-BE32-E72D297353CC}">
                <c16:uniqueId val="{00000012-08F3-46D7-BF34-FCCF3F5BA224}"/>
              </c:ext>
            </c:extLst>
          </c:dPt>
          <c:dPt>
            <c:idx val="5"/>
            <c:invertIfNegative val="0"/>
            <c:bubble3D val="0"/>
            <c:extLst>
              <c:ext xmlns:c16="http://schemas.microsoft.com/office/drawing/2014/chart" uri="{C3380CC4-5D6E-409C-BE32-E72D297353CC}">
                <c16:uniqueId val="{00000014-08F3-46D7-BF34-FCCF3F5BA224}"/>
              </c:ext>
            </c:extLst>
          </c:dPt>
          <c:dPt>
            <c:idx val="6"/>
            <c:invertIfNegative val="0"/>
            <c:bubble3D val="0"/>
            <c:extLst>
              <c:ext xmlns:c16="http://schemas.microsoft.com/office/drawing/2014/chart" uri="{C3380CC4-5D6E-409C-BE32-E72D297353CC}">
                <c16:uniqueId val="{00000016-08F3-46D7-BF34-FCCF3F5BA224}"/>
              </c:ext>
            </c:extLst>
          </c:dPt>
          <c:cat>
            <c:strRef>
              <c:f>CHARGES_PRODUITS!$C$41:$H$41</c:f>
              <c:strCache>
                <c:ptCount val="6"/>
                <c:pt idx="0">
                  <c:v>2024</c:v>
                </c:pt>
                <c:pt idx="1">
                  <c:v>2025(p)</c:v>
                </c:pt>
                <c:pt idx="2">
                  <c:v>2026(p)</c:v>
                </c:pt>
                <c:pt idx="3">
                  <c:v>2027(p)</c:v>
                </c:pt>
                <c:pt idx="4">
                  <c:v>2028(p)</c:v>
                </c:pt>
                <c:pt idx="5">
                  <c:v>2029(p)</c:v>
                </c:pt>
              </c:strCache>
            </c:strRef>
          </c:cat>
          <c:val>
            <c:numRef>
              <c:f>CHARGES_PRODUITS!$C$49:$H$49</c:f>
              <c:numCache>
                <c:formatCode>#\ ##0.0</c:formatCode>
                <c:ptCount val="6"/>
                <c:pt idx="0">
                  <c:v>-8.027710659060279E-3</c:v>
                </c:pt>
                <c:pt idx="1">
                  <c:v>0.1274144420424059</c:v>
                </c:pt>
                <c:pt idx="2">
                  <c:v>0.15525792355001469</c:v>
                </c:pt>
                <c:pt idx="3">
                  <c:v>0.14917106611450032</c:v>
                </c:pt>
                <c:pt idx="4">
                  <c:v>0.15054800148770028</c:v>
                </c:pt>
                <c:pt idx="5">
                  <c:v>0.14584595794262875</c:v>
                </c:pt>
              </c:numCache>
            </c:numRef>
          </c:val>
          <c:extLst>
            <c:ext xmlns:c16="http://schemas.microsoft.com/office/drawing/2014/chart" uri="{C3380CC4-5D6E-409C-BE32-E72D297353CC}">
              <c16:uniqueId val="{00000017-08F3-46D7-BF34-FCCF3F5BA224}"/>
            </c:ext>
          </c:extLst>
        </c:ser>
        <c:ser>
          <c:idx val="2"/>
          <c:order val="2"/>
          <c:tx>
            <c:v>Famille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08F3-46D7-BF34-FCCF3F5BA224}"/>
              </c:ext>
            </c:extLst>
          </c:dPt>
          <c:dPt>
            <c:idx val="3"/>
            <c:invertIfNegative val="0"/>
            <c:bubble3D val="0"/>
            <c:extLst>
              <c:ext xmlns:c16="http://schemas.microsoft.com/office/drawing/2014/chart" uri="{C3380CC4-5D6E-409C-BE32-E72D297353CC}">
                <c16:uniqueId val="{0000001B-08F3-46D7-BF34-FCCF3F5BA224}"/>
              </c:ext>
            </c:extLst>
          </c:dPt>
          <c:dPt>
            <c:idx val="4"/>
            <c:invertIfNegative val="0"/>
            <c:bubble3D val="0"/>
            <c:extLst>
              <c:ext xmlns:c16="http://schemas.microsoft.com/office/drawing/2014/chart" uri="{C3380CC4-5D6E-409C-BE32-E72D297353CC}">
                <c16:uniqueId val="{0000001D-08F3-46D7-BF34-FCCF3F5BA224}"/>
              </c:ext>
            </c:extLst>
          </c:dPt>
          <c:dPt>
            <c:idx val="5"/>
            <c:invertIfNegative val="0"/>
            <c:bubble3D val="0"/>
            <c:extLst>
              <c:ext xmlns:c16="http://schemas.microsoft.com/office/drawing/2014/chart" uri="{C3380CC4-5D6E-409C-BE32-E72D297353CC}">
                <c16:uniqueId val="{0000001F-08F3-46D7-BF34-FCCF3F5BA224}"/>
              </c:ext>
            </c:extLst>
          </c:dPt>
          <c:dPt>
            <c:idx val="6"/>
            <c:invertIfNegative val="0"/>
            <c:bubble3D val="0"/>
            <c:extLst>
              <c:ext xmlns:c16="http://schemas.microsoft.com/office/drawing/2014/chart" uri="{C3380CC4-5D6E-409C-BE32-E72D297353CC}">
                <c16:uniqueId val="{00000021-08F3-46D7-BF34-FCCF3F5BA224}"/>
              </c:ext>
            </c:extLst>
          </c:dPt>
          <c:cat>
            <c:strRef>
              <c:f>CHARGES_PRODUITS!$C$41:$H$41</c:f>
              <c:strCache>
                <c:ptCount val="6"/>
                <c:pt idx="0">
                  <c:v>2024</c:v>
                </c:pt>
                <c:pt idx="1">
                  <c:v>2025(p)</c:v>
                </c:pt>
                <c:pt idx="2">
                  <c:v>2026(p)</c:v>
                </c:pt>
                <c:pt idx="3">
                  <c:v>2027(p)</c:v>
                </c:pt>
                <c:pt idx="4">
                  <c:v>2028(p)</c:v>
                </c:pt>
                <c:pt idx="5">
                  <c:v>2029(p)</c:v>
                </c:pt>
              </c:strCache>
            </c:strRef>
          </c:cat>
          <c:val>
            <c:numRef>
              <c:f>CHARGES_PRODUITS!$C$50:$H$50</c:f>
              <c:numCache>
                <c:formatCode>#\ ##0.0</c:formatCode>
                <c:ptCount val="6"/>
                <c:pt idx="0">
                  <c:v>5.1784807674610883E-2</c:v>
                </c:pt>
                <c:pt idx="1">
                  <c:v>3.4257328134947029E-3</c:v>
                </c:pt>
                <c:pt idx="2">
                  <c:v>9.172595845646167E-2</c:v>
                </c:pt>
                <c:pt idx="3">
                  <c:v>0.21066014706483677</c:v>
                </c:pt>
                <c:pt idx="4">
                  <c:v>0.21088815999419433</c:v>
                </c:pt>
                <c:pt idx="5">
                  <c:v>0.20837833851393125</c:v>
                </c:pt>
              </c:numCache>
            </c:numRef>
          </c:val>
          <c:extLst>
            <c:ext xmlns:c16="http://schemas.microsoft.com/office/drawing/2014/chart" uri="{C3380CC4-5D6E-409C-BE32-E72D297353CC}">
              <c16:uniqueId val="{00000022-08F3-46D7-BF34-FCCF3F5BA224}"/>
            </c:ext>
          </c:extLst>
        </c:ser>
        <c:ser>
          <c:idx val="3"/>
          <c:order val="3"/>
          <c:tx>
            <c:v>Retraite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08F3-46D7-BF34-FCCF3F5BA224}"/>
              </c:ext>
            </c:extLst>
          </c:dPt>
          <c:dPt>
            <c:idx val="3"/>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08F3-46D7-BF34-FCCF3F5BA224}"/>
              </c:ext>
            </c:extLst>
          </c:dPt>
          <c:dPt>
            <c:idx val="4"/>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08F3-46D7-BF34-FCCF3F5BA224}"/>
              </c:ext>
            </c:extLst>
          </c:dPt>
          <c:dPt>
            <c:idx val="5"/>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08F3-46D7-BF34-FCCF3F5BA224}"/>
              </c:ext>
            </c:extLst>
          </c:dPt>
          <c:dPt>
            <c:idx val="6"/>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08F3-46D7-BF34-FCCF3F5BA224}"/>
              </c:ext>
            </c:extLst>
          </c:dPt>
          <c:cat>
            <c:strRef>
              <c:f>CHARGES_PRODUITS!$C$41:$H$41</c:f>
              <c:strCache>
                <c:ptCount val="6"/>
                <c:pt idx="0">
                  <c:v>2024</c:v>
                </c:pt>
                <c:pt idx="1">
                  <c:v>2025(p)</c:v>
                </c:pt>
                <c:pt idx="2">
                  <c:v>2026(p)</c:v>
                </c:pt>
                <c:pt idx="3">
                  <c:v>2027(p)</c:v>
                </c:pt>
                <c:pt idx="4">
                  <c:v>2028(p)</c:v>
                </c:pt>
                <c:pt idx="5">
                  <c:v>2029(p)</c:v>
                </c:pt>
              </c:strCache>
            </c:strRef>
          </c:cat>
          <c:val>
            <c:numRef>
              <c:f>CHARGES_PRODUITS!$C$51:$H$51</c:f>
              <c:numCache>
                <c:formatCode>#\ ##0.0</c:formatCode>
                <c:ptCount val="6"/>
                <c:pt idx="0">
                  <c:v>3.1032830914566816</c:v>
                </c:pt>
                <c:pt idx="1">
                  <c:v>0.88168311964283275</c:v>
                </c:pt>
                <c:pt idx="2">
                  <c:v>1.1218134343849706</c:v>
                </c:pt>
                <c:pt idx="3">
                  <c:v>1.462857966879771</c:v>
                </c:pt>
                <c:pt idx="4">
                  <c:v>1.5190336874281314</c:v>
                </c:pt>
                <c:pt idx="5">
                  <c:v>1.5383774936199464</c:v>
                </c:pt>
              </c:numCache>
            </c:numRef>
          </c:val>
          <c:extLst>
            <c:ext xmlns:c16="http://schemas.microsoft.com/office/drawing/2014/chart" uri="{C3380CC4-5D6E-409C-BE32-E72D297353CC}">
              <c16:uniqueId val="{0000002D-08F3-46D7-BF34-FCCF3F5BA224}"/>
            </c:ext>
          </c:extLst>
        </c:ser>
        <c:ser>
          <c:idx val="4"/>
          <c:order val="5"/>
          <c:tx>
            <c:v>SASPA</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CHARGES_PRODUITS!$C$41:$H$41</c:f>
              <c:strCache>
                <c:ptCount val="6"/>
                <c:pt idx="0">
                  <c:v>2024</c:v>
                </c:pt>
                <c:pt idx="1">
                  <c:v>2025(p)</c:v>
                </c:pt>
                <c:pt idx="2">
                  <c:v>2026(p)</c:v>
                </c:pt>
                <c:pt idx="3">
                  <c:v>2027(p)</c:v>
                </c:pt>
                <c:pt idx="4">
                  <c:v>2028(p)</c:v>
                </c:pt>
                <c:pt idx="5">
                  <c:v>2029(p)</c:v>
                </c:pt>
              </c:strCache>
            </c:strRef>
          </c:cat>
          <c:val>
            <c:numRef>
              <c:f>CHARGES_PRODUITS!$C$52:$H$52</c:f>
              <c:numCache>
                <c:formatCode>#\ ##0.0</c:formatCode>
                <c:ptCount val="6"/>
                <c:pt idx="0">
                  <c:v>0.35553675809464941</c:v>
                </c:pt>
                <c:pt idx="1">
                  <c:v>0.11369338680063089</c:v>
                </c:pt>
                <c:pt idx="2">
                  <c:v>7.8160319107875853E-2</c:v>
                </c:pt>
                <c:pt idx="3">
                  <c:v>2.2468529594804554E-2</c:v>
                </c:pt>
                <c:pt idx="4">
                  <c:v>0.12298340643047409</c:v>
                </c:pt>
                <c:pt idx="5">
                  <c:v>0.10193502819032046</c:v>
                </c:pt>
              </c:numCache>
            </c:numRef>
          </c:val>
          <c:extLst>
            <c:ext xmlns:c16="http://schemas.microsoft.com/office/drawing/2014/chart" uri="{C3380CC4-5D6E-409C-BE32-E72D297353CC}">
              <c16:uniqueId val="{0000002E-08F3-46D7-BF34-FCCF3F5BA224}"/>
            </c:ext>
          </c:extLst>
        </c:ser>
        <c:dLbls>
          <c:showLegendKey val="0"/>
          <c:showVal val="0"/>
          <c:showCatName val="0"/>
          <c:showSerName val="0"/>
          <c:showPercent val="0"/>
          <c:showBubbleSize val="0"/>
        </c:dLbls>
        <c:gapWidth val="150"/>
        <c:axId val="445439040"/>
        <c:axId val="445435904"/>
      </c:barChart>
      <c:lineChart>
        <c:grouping val="standard"/>
        <c:varyColors val="0"/>
        <c:ser>
          <c:idx val="5"/>
          <c:order val="4"/>
          <c:tx>
            <c:v>Evolution des recettes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0-08F3-46D7-BF34-FCCF3F5BA224}"/>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2-08F3-46D7-BF34-FCCF3F5BA224}"/>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4-08F3-46D7-BF34-FCCF3F5BA224}"/>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5">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6-08F3-46D7-BF34-FCCF3F5BA224}"/>
              </c:ext>
            </c:extLst>
          </c:dPt>
          <c:dLbls>
            <c:dLbl>
              <c:idx val="0"/>
              <c:layout>
                <c:manualLayout>
                  <c:x val="-7.5448209661130514E-2"/>
                  <c:y val="3.55664922109128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8F3-46D7-BF34-FCCF3F5BA224}"/>
                </c:ext>
              </c:extLst>
            </c:dLbl>
            <c:dLbl>
              <c:idx val="1"/>
              <c:layout>
                <c:manualLayout>
                  <c:x val="-2.8466500514953655E-2"/>
                  <c:y val="7.7030683915873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8F3-46D7-BF34-FCCF3F5BA224}"/>
                </c:ext>
              </c:extLst>
            </c:dLbl>
            <c:dLbl>
              <c:idx val="2"/>
              <c:layout>
                <c:manualLayout>
                  <c:x val="-3.9329429101380875E-2"/>
                  <c:y val="-6.1090571513379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F3-46D7-BF34-FCCF3F5BA224}"/>
                </c:ext>
              </c:extLst>
            </c:dLbl>
            <c:dLbl>
              <c:idx val="3"/>
              <c:layout>
                <c:manualLayout>
                  <c:x val="-3.1487166155046042E-2"/>
                  <c:y val="-6.49917006051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F3-46D7-BF34-FCCF3F5BA224}"/>
                </c:ext>
              </c:extLst>
            </c:dLbl>
            <c:dLbl>
              <c:idx val="4"/>
              <c:layout>
                <c:manualLayout>
                  <c:x val="-3.3488236058754714E-2"/>
                  <c:y val="-5.9112364873183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8F3-46D7-BF34-FCCF3F5BA224}"/>
                </c:ext>
              </c:extLst>
            </c:dLbl>
            <c:dLbl>
              <c:idx val="5"/>
              <c:layout>
                <c:manualLayout>
                  <c:x val="-3.9440825325720685E-2"/>
                  <c:y val="-5.5071962118201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8F3-46D7-BF34-FCCF3F5BA22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CHARGES_PRODUITS!$C$41:$H$41</c:f>
              <c:strCache>
                <c:ptCount val="6"/>
                <c:pt idx="0">
                  <c:v>2024</c:v>
                </c:pt>
                <c:pt idx="1">
                  <c:v>2025(p)</c:v>
                </c:pt>
                <c:pt idx="2">
                  <c:v>2026(p)</c:v>
                </c:pt>
                <c:pt idx="3">
                  <c:v>2027(p)</c:v>
                </c:pt>
                <c:pt idx="4">
                  <c:v>2028(p)</c:v>
                </c:pt>
                <c:pt idx="5">
                  <c:v>2029(p)</c:v>
                </c:pt>
              </c:strCache>
            </c:strRef>
          </c:cat>
          <c:val>
            <c:numRef>
              <c:f>CHARGES_PRODUITS!$C$31:$H$31</c:f>
              <c:numCache>
                <c:formatCode>0.0%</c:formatCode>
                <c:ptCount val="6"/>
                <c:pt idx="0">
                  <c:v>4.6507523153003882E-2</c:v>
                </c:pt>
                <c:pt idx="1">
                  <c:v>2.2338088667098965E-2</c:v>
                </c:pt>
                <c:pt idx="2">
                  <c:v>2.7850020746571946E-2</c:v>
                </c:pt>
                <c:pt idx="3">
                  <c:v>3.4895897583134827E-2</c:v>
                </c:pt>
                <c:pt idx="4">
                  <c:v>3.6324978759715298E-2</c:v>
                </c:pt>
                <c:pt idx="5">
                  <c:v>3.707845982707636E-2</c:v>
                </c:pt>
              </c:numCache>
            </c:numRef>
          </c:val>
          <c:smooth val="0"/>
          <c:extLst>
            <c:ext xmlns:c16="http://schemas.microsoft.com/office/drawing/2014/chart" uri="{C3380CC4-5D6E-409C-BE32-E72D297353CC}">
              <c16:uniqueId val="{00000039-08F3-46D7-BF34-FCCF3F5BA224}"/>
            </c:ext>
          </c:extLst>
        </c:ser>
        <c:dLbls>
          <c:showLegendKey val="0"/>
          <c:showVal val="0"/>
          <c:showCatName val="0"/>
          <c:showSerName val="0"/>
          <c:showPercent val="0"/>
          <c:showBubbleSize val="0"/>
        </c:dLbls>
        <c:marker val="1"/>
        <c:smooth val="0"/>
        <c:axId val="445436688"/>
        <c:axId val="445433160"/>
      </c:lineChart>
      <c:catAx>
        <c:axId val="445439040"/>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5904"/>
        <c:crosses val="autoZero"/>
        <c:auto val="1"/>
        <c:lblAlgn val="ctr"/>
        <c:lblOffset val="100"/>
        <c:noMultiLvlLbl val="0"/>
      </c:catAx>
      <c:valAx>
        <c:axId val="445435904"/>
        <c:scaling>
          <c:orientation val="minMax"/>
          <c:max val="3.5"/>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fr-FR" sz="1000"/>
                  <a:t>Contribution à l'évolution (en points)</a:t>
                </a:r>
              </a:p>
            </c:rich>
          </c:tx>
          <c:layout>
            <c:manualLayout>
              <c:xMode val="edge"/>
              <c:yMode val="edge"/>
              <c:x val="7.2843444090031897E-3"/>
              <c:y val="0.138177339668670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9040"/>
        <c:crosses val="autoZero"/>
        <c:crossBetween val="between"/>
        <c:majorUnit val="0.5"/>
      </c:valAx>
      <c:valAx>
        <c:axId val="445433160"/>
        <c:scaling>
          <c:orientation val="minMax"/>
          <c:max val="5.000000000000001E-2"/>
          <c:min val="2.0000000000000004E-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7097308117269443"/>
              <c:y val="0.3368304988373094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45436688"/>
        <c:crosses val="max"/>
        <c:crossBetween val="between"/>
        <c:majorUnit val="1.0000000000000002E-2"/>
      </c:valAx>
      <c:catAx>
        <c:axId val="445436688"/>
        <c:scaling>
          <c:orientation val="minMax"/>
        </c:scaling>
        <c:delete val="1"/>
        <c:axPos val="b"/>
        <c:numFmt formatCode="General" sourceLinked="1"/>
        <c:majorTickMark val="none"/>
        <c:minorTickMark val="none"/>
        <c:tickLblPos val="nextTo"/>
        <c:crossAx val="445433160"/>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723900</xdr:colOff>
      <xdr:row>8</xdr:row>
      <xdr:rowOff>9525</xdr:rowOff>
    </xdr:from>
    <xdr:to>
      <xdr:col>3</xdr:col>
      <xdr:colOff>446738</xdr:colOff>
      <xdr:row>21</xdr:row>
      <xdr:rowOff>57157</xdr:rowOff>
    </xdr:to>
    <xdr:grpSp>
      <xdr:nvGrpSpPr>
        <xdr:cNvPr id="6" name="Groupe 5">
          <a:extLst>
            <a:ext uri="{FF2B5EF4-FFF2-40B4-BE49-F238E27FC236}">
              <a16:creationId xmlns:a16="http://schemas.microsoft.com/office/drawing/2014/main" id="{E2DDD083-7402-4620-AB71-40089B1B087B}"/>
            </a:ext>
          </a:extLst>
        </xdr:cNvPr>
        <xdr:cNvGrpSpPr/>
      </xdr:nvGrpSpPr>
      <xdr:grpSpPr>
        <a:xfrm>
          <a:off x="2374900" y="1279525"/>
          <a:ext cx="1903005" cy="2111382"/>
          <a:chOff x="2359156" y="400047"/>
          <a:chExt cx="1904063" cy="2152657"/>
        </a:xfrm>
      </xdr:grpSpPr>
      <xdr:sp macro="" textlink="">
        <xdr:nvSpPr>
          <xdr:cNvPr id="7" name="Flèche : bas 6">
            <a:extLst>
              <a:ext uri="{FF2B5EF4-FFF2-40B4-BE49-F238E27FC236}">
                <a16:creationId xmlns:a16="http://schemas.microsoft.com/office/drawing/2014/main" id="{07427FF2-BC51-41E6-AB07-BC98604ADCA6}"/>
              </a:ext>
            </a:extLst>
          </xdr:cNvPr>
          <xdr:cNvSpPr/>
        </xdr:nvSpPr>
        <xdr:spPr>
          <a:xfrm>
            <a:off x="2359156" y="400047"/>
            <a:ext cx="1904063" cy="2152657"/>
          </a:xfrm>
          <a:prstGeom prst="downArrow">
            <a:avLst/>
          </a:prstGeom>
        </xdr:spPr>
        <xdr:style>
          <a:lnRef idx="0">
            <a:schemeClr val="lt1">
              <a:hueOff val="0"/>
              <a:satOff val="0"/>
              <a:lumOff val="0"/>
              <a:alphaOff val="0"/>
            </a:schemeClr>
          </a:lnRef>
          <a:fillRef idx="3">
            <a:schemeClr val="accent5">
              <a:shade val="50000"/>
              <a:hueOff val="126486"/>
              <a:satOff val="-2798"/>
              <a:lumOff val="20993"/>
              <a:alphaOff val="0"/>
            </a:schemeClr>
          </a:fillRef>
          <a:effectRef idx="3">
            <a:schemeClr val="accent5">
              <a:shade val="50000"/>
              <a:hueOff val="126486"/>
              <a:satOff val="-2798"/>
              <a:lumOff val="20993"/>
              <a:alphaOff val="0"/>
            </a:schemeClr>
          </a:effectRef>
          <a:fontRef idx="minor">
            <a:schemeClr val="lt1"/>
          </a:fontRef>
        </xdr:style>
      </xdr:sp>
      <xdr:sp macro="" textlink="">
        <xdr:nvSpPr>
          <xdr:cNvPr id="8" name="Flèche : bas 4">
            <a:extLst>
              <a:ext uri="{FF2B5EF4-FFF2-40B4-BE49-F238E27FC236}">
                <a16:creationId xmlns:a16="http://schemas.microsoft.com/office/drawing/2014/main" id="{7F5046BE-0C6C-485B-A098-F5CBD59BECF1}"/>
              </a:ext>
            </a:extLst>
          </xdr:cNvPr>
          <xdr:cNvSpPr txBox="1"/>
        </xdr:nvSpPr>
        <xdr:spPr>
          <a:xfrm>
            <a:off x="2835171" y="400047"/>
            <a:ext cx="952031" cy="178146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fr-FR" sz="1400" b="1" kern="1200"/>
              <a:t> </a:t>
            </a:r>
          </a:p>
          <a:p>
            <a:pPr marL="0" lvl="0" indent="0" algn="ctr" defTabSz="622300">
              <a:lnSpc>
                <a:spcPct val="90000"/>
              </a:lnSpc>
              <a:spcBef>
                <a:spcPct val="0"/>
              </a:spcBef>
              <a:spcAft>
                <a:spcPct val="35000"/>
              </a:spcAft>
              <a:buNone/>
            </a:pPr>
            <a:endParaRPr lang="fr-FR" sz="1400" b="1" kern="1200"/>
          </a:p>
          <a:p>
            <a:pPr marL="0" lvl="0" indent="0" algn="ctr" defTabSz="622300">
              <a:lnSpc>
                <a:spcPct val="90000"/>
              </a:lnSpc>
              <a:spcBef>
                <a:spcPct val="0"/>
              </a:spcBef>
              <a:spcAft>
                <a:spcPct val="35000"/>
              </a:spcAft>
              <a:buNone/>
            </a:pPr>
            <a:endParaRPr lang="fr-FR" sz="1400" b="1" kern="1200"/>
          </a:p>
          <a:p>
            <a:pPr marL="0" lvl="0" indent="0" algn="ctr" defTabSz="622300">
              <a:lnSpc>
                <a:spcPct val="90000"/>
              </a:lnSpc>
              <a:spcBef>
                <a:spcPct val="0"/>
              </a:spcBef>
              <a:spcAft>
                <a:spcPct val="35000"/>
              </a:spcAft>
              <a:buNone/>
            </a:pPr>
            <a:endParaRPr lang="fr-FR" sz="1050" b="1" kern="1200"/>
          </a:p>
          <a:p>
            <a:pPr marL="0" lvl="0" indent="0" algn="ctr" defTabSz="622300">
              <a:lnSpc>
                <a:spcPct val="90000"/>
              </a:lnSpc>
              <a:spcBef>
                <a:spcPct val="0"/>
              </a:spcBef>
              <a:spcAft>
                <a:spcPct val="35000"/>
              </a:spcAft>
              <a:buNone/>
            </a:pPr>
            <a:r>
              <a:rPr lang="fr-FR" sz="1100" b="1" kern="1200"/>
              <a:t>Familles bénéficiaires de prestations familiales</a:t>
            </a:r>
          </a:p>
          <a:p>
            <a:pPr marL="0" lvl="0" indent="0" algn="ctr" defTabSz="622300">
              <a:lnSpc>
                <a:spcPct val="90000"/>
              </a:lnSpc>
              <a:spcBef>
                <a:spcPct val="0"/>
              </a:spcBef>
              <a:spcAft>
                <a:spcPct val="35000"/>
              </a:spcAft>
              <a:buNone/>
            </a:pPr>
            <a:r>
              <a:rPr lang="fr-FR" sz="1200" b="1" kern="1200"/>
              <a:t>- 1,6 %</a:t>
            </a:r>
          </a:p>
        </xdr:txBody>
      </xdr:sp>
    </xdr:grpSp>
    <xdr:clientData/>
  </xdr:twoCellAnchor>
  <xdr:twoCellAnchor>
    <xdr:from>
      <xdr:col>0</xdr:col>
      <xdr:colOff>0</xdr:colOff>
      <xdr:row>1</xdr:row>
      <xdr:rowOff>26460</xdr:rowOff>
    </xdr:from>
    <xdr:to>
      <xdr:col>4</xdr:col>
      <xdr:colOff>57150</xdr:colOff>
      <xdr:row>2</xdr:row>
      <xdr:rowOff>121709</xdr:rowOff>
    </xdr:to>
    <xdr:sp macro="" textlink="">
      <xdr:nvSpPr>
        <xdr:cNvPr id="9" name="ZoneTexte 8">
          <a:extLst>
            <a:ext uri="{FF2B5EF4-FFF2-40B4-BE49-F238E27FC236}">
              <a16:creationId xmlns:a16="http://schemas.microsoft.com/office/drawing/2014/main" id="{860182B3-BA74-4A90-8B71-FDBF7ADE8D60}"/>
            </a:ext>
          </a:extLst>
        </xdr:cNvPr>
        <xdr:cNvSpPr txBox="1"/>
      </xdr:nvSpPr>
      <xdr:spPr>
        <a:xfrm>
          <a:off x="0" y="185210"/>
          <a:ext cx="4650317" cy="253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Prévisions démographiques 2025 - 2029 (rythme annuel moyen)</a:t>
          </a:r>
        </a:p>
      </xdr:txBody>
    </xdr:sp>
    <xdr:clientData/>
  </xdr:twoCellAnchor>
  <xdr:twoCellAnchor editAs="oneCell">
    <xdr:from>
      <xdr:col>1</xdr:col>
      <xdr:colOff>1238250</xdr:colOff>
      <xdr:row>8</xdr:row>
      <xdr:rowOff>66675</xdr:rowOff>
    </xdr:from>
    <xdr:to>
      <xdr:col>2</xdr:col>
      <xdr:colOff>704850</xdr:colOff>
      <xdr:row>12</xdr:row>
      <xdr:rowOff>149123</xdr:rowOff>
    </xdr:to>
    <xdr:pic>
      <xdr:nvPicPr>
        <xdr:cNvPr id="10" name="Image 9">
          <a:extLst>
            <a:ext uri="{FF2B5EF4-FFF2-40B4-BE49-F238E27FC236}">
              <a16:creationId xmlns:a16="http://schemas.microsoft.com/office/drawing/2014/main" id="{C976DF1E-D8F2-48AF-AF27-594F9820FE86}"/>
            </a:ext>
          </a:extLst>
        </xdr:cNvPr>
        <xdr:cNvPicPr>
          <a:picLocks noChangeAspect="1"/>
        </xdr:cNvPicPr>
      </xdr:nvPicPr>
      <xdr:blipFill>
        <a:blip xmlns:r="http://schemas.openxmlformats.org/officeDocument/2006/relationships" r:embed="rId1">
          <a:clrChange>
            <a:clrFrom>
              <a:srgbClr val="F6F6F6"/>
            </a:clrFrom>
            <a:clrTo>
              <a:srgbClr val="F6F6F6">
                <a:alpha val="0"/>
              </a:srgbClr>
            </a:clrTo>
          </a:clrChange>
          <a:alphaModFix amt="50000"/>
          <a:duotone>
            <a:schemeClr val="accent1">
              <a:shade val="45000"/>
              <a:satMod val="135000"/>
            </a:schemeClr>
            <a:prstClr val="white"/>
          </a:duotone>
        </a:blip>
        <a:stretch>
          <a:fillRect/>
        </a:stretch>
      </xdr:blipFill>
      <xdr:spPr>
        <a:xfrm>
          <a:off x="2886075" y="1362075"/>
          <a:ext cx="885825" cy="730148"/>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3</xdr:col>
      <xdr:colOff>361950</xdr:colOff>
      <xdr:row>5</xdr:row>
      <xdr:rowOff>133350</xdr:rowOff>
    </xdr:from>
    <xdr:to>
      <xdr:col>5</xdr:col>
      <xdr:colOff>724319</xdr:colOff>
      <xdr:row>19</xdr:row>
      <xdr:rowOff>66550</xdr:rowOff>
    </xdr:to>
    <xdr:grpSp>
      <xdr:nvGrpSpPr>
        <xdr:cNvPr id="11" name="Groupe 10">
          <a:extLst>
            <a:ext uri="{FF2B5EF4-FFF2-40B4-BE49-F238E27FC236}">
              <a16:creationId xmlns:a16="http://schemas.microsoft.com/office/drawing/2014/main" id="{FA0F0D87-C872-4822-9879-34BC6B3288B9}"/>
            </a:ext>
          </a:extLst>
        </xdr:cNvPr>
        <xdr:cNvGrpSpPr/>
      </xdr:nvGrpSpPr>
      <xdr:grpSpPr>
        <a:xfrm rot="10800000">
          <a:off x="4193117" y="927100"/>
          <a:ext cx="1886369" cy="2155700"/>
          <a:chOff x="4403953" y="347724"/>
          <a:chExt cx="1886369" cy="2200150"/>
        </a:xfrm>
      </xdr:grpSpPr>
      <xdr:sp macro="" textlink="">
        <xdr:nvSpPr>
          <xdr:cNvPr id="12" name="Flèche : bas 11">
            <a:extLst>
              <a:ext uri="{FF2B5EF4-FFF2-40B4-BE49-F238E27FC236}">
                <a16:creationId xmlns:a16="http://schemas.microsoft.com/office/drawing/2014/main" id="{746FD08A-7986-4F04-A2BF-F6CE7261EFDB}"/>
              </a:ext>
            </a:extLst>
          </xdr:cNvPr>
          <xdr:cNvSpPr/>
        </xdr:nvSpPr>
        <xdr:spPr>
          <a:xfrm>
            <a:off x="4403953" y="347724"/>
            <a:ext cx="1886369" cy="2200150"/>
          </a:xfrm>
          <a:prstGeom prst="downArrow">
            <a:avLst/>
          </a:prstGeom>
        </xdr:spPr>
        <xdr:style>
          <a:lnRef idx="0">
            <a:schemeClr val="lt1">
              <a:hueOff val="0"/>
              <a:satOff val="0"/>
              <a:lumOff val="0"/>
              <a:alphaOff val="0"/>
            </a:schemeClr>
          </a:lnRef>
          <a:fillRef idx="3">
            <a:schemeClr val="accent5">
              <a:shade val="50000"/>
              <a:hueOff val="252972"/>
              <a:satOff val="-5595"/>
              <a:lumOff val="41987"/>
              <a:alphaOff val="0"/>
            </a:schemeClr>
          </a:fillRef>
          <a:effectRef idx="3">
            <a:schemeClr val="accent5">
              <a:shade val="50000"/>
              <a:hueOff val="252972"/>
              <a:satOff val="-5595"/>
              <a:lumOff val="41987"/>
              <a:alphaOff val="0"/>
            </a:schemeClr>
          </a:effectRef>
          <a:fontRef idx="minor">
            <a:schemeClr val="lt1"/>
          </a:fontRef>
        </xdr:style>
      </xdr:sp>
      <xdr:sp macro="" textlink="">
        <xdr:nvSpPr>
          <xdr:cNvPr id="13" name="Flèche : bas 4">
            <a:extLst>
              <a:ext uri="{FF2B5EF4-FFF2-40B4-BE49-F238E27FC236}">
                <a16:creationId xmlns:a16="http://schemas.microsoft.com/office/drawing/2014/main" id="{66DF81F0-C05A-4F7C-AD99-E7D84BFCF9B6}"/>
              </a:ext>
            </a:extLst>
          </xdr:cNvPr>
          <xdr:cNvSpPr txBox="1"/>
        </xdr:nvSpPr>
        <xdr:spPr>
          <a:xfrm rot="10800000">
            <a:off x="4842522" y="1322975"/>
            <a:ext cx="1039708" cy="1026149"/>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7150" tIns="57150" rIns="57150" bIns="57150" numCol="1" spcCol="1270" anchor="ctr" anchorCtr="0">
            <a:noAutofit/>
          </a:bodyPr>
          <a:lstStyle/>
          <a:p>
            <a:pPr algn="ctr"/>
            <a:r>
              <a:rPr lang="fr-FR" sz="1400" b="1">
                <a:solidFill>
                  <a:schemeClr val="lt1"/>
                </a:solidFill>
                <a:effectLst/>
                <a:latin typeface="+mn-lt"/>
                <a:ea typeface="+mn-ea"/>
                <a:cs typeface="+mn-cs"/>
              </a:rPr>
              <a:t>Actifs</a:t>
            </a:r>
            <a:r>
              <a:rPr lang="fr-FR" sz="1400" b="1" baseline="0">
                <a:solidFill>
                  <a:schemeClr val="lt1"/>
                </a:solidFill>
                <a:effectLst/>
                <a:latin typeface="+mn-lt"/>
                <a:ea typeface="+mn-ea"/>
                <a:cs typeface="+mn-cs"/>
              </a:rPr>
              <a:t> c</a:t>
            </a:r>
            <a:r>
              <a:rPr lang="fr-FR" sz="1400" b="1">
                <a:solidFill>
                  <a:schemeClr val="lt1"/>
                </a:solidFill>
                <a:effectLst/>
                <a:latin typeface="+mn-lt"/>
                <a:ea typeface="+mn-ea"/>
                <a:cs typeface="+mn-cs"/>
              </a:rPr>
              <a:t>otisants </a:t>
            </a:r>
            <a:endParaRPr lang="fr-FR" sz="1400" b="1">
              <a:effectLst/>
            </a:endParaRPr>
          </a:p>
          <a:p>
            <a:pPr algn="ctr"/>
            <a:r>
              <a:rPr lang="fr-FR" sz="1400" b="1">
                <a:solidFill>
                  <a:schemeClr val="lt1"/>
                </a:solidFill>
                <a:effectLst/>
                <a:latin typeface="+mn-lt"/>
                <a:ea typeface="+mn-ea"/>
                <a:cs typeface="+mn-cs"/>
              </a:rPr>
              <a:t>+ 0,7 %</a:t>
            </a:r>
            <a:endParaRPr lang="fr-FR" sz="1400" b="1">
              <a:effectLst/>
            </a:endParaRPr>
          </a:p>
          <a:p>
            <a:pPr marL="0" lvl="0" indent="0" algn="ctr" defTabSz="666750">
              <a:lnSpc>
                <a:spcPct val="90000"/>
              </a:lnSpc>
              <a:spcBef>
                <a:spcPct val="0"/>
              </a:spcBef>
              <a:spcAft>
                <a:spcPct val="35000"/>
              </a:spcAft>
              <a:buNone/>
            </a:pPr>
            <a:endParaRPr lang="fr-FR" sz="1200" kern="1200"/>
          </a:p>
        </xdr:txBody>
      </xdr:sp>
    </xdr:grpSp>
    <xdr:clientData/>
  </xdr:twoCellAnchor>
  <xdr:twoCellAnchor editAs="oneCell">
    <xdr:from>
      <xdr:col>4</xdr:col>
      <xdr:colOff>103718</xdr:colOff>
      <xdr:row>12</xdr:row>
      <xdr:rowOff>109008</xdr:rowOff>
    </xdr:from>
    <xdr:to>
      <xdr:col>5</xdr:col>
      <xdr:colOff>198969</xdr:colOff>
      <xdr:row>17</xdr:row>
      <xdr:rowOff>59218</xdr:rowOff>
    </xdr:to>
    <xdr:pic>
      <xdr:nvPicPr>
        <xdr:cNvPr id="14" name="Image 13">
          <a:extLst>
            <a:ext uri="{FF2B5EF4-FFF2-40B4-BE49-F238E27FC236}">
              <a16:creationId xmlns:a16="http://schemas.microsoft.com/office/drawing/2014/main" id="{84924BC7-C1AB-4F7D-9166-88231211AA1E}"/>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alphaModFix amt="48000"/>
        </a:blip>
        <a:stretch>
          <a:fillRect/>
        </a:stretch>
      </xdr:blipFill>
      <xdr:spPr>
        <a:xfrm>
          <a:off x="4696885" y="2014008"/>
          <a:ext cx="857251" cy="74396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5</xdr:col>
      <xdr:colOff>499534</xdr:colOff>
      <xdr:row>8</xdr:row>
      <xdr:rowOff>17993</xdr:rowOff>
    </xdr:from>
    <xdr:to>
      <xdr:col>8</xdr:col>
      <xdr:colOff>105833</xdr:colOff>
      <xdr:row>21</xdr:row>
      <xdr:rowOff>52917</xdr:rowOff>
    </xdr:to>
    <xdr:grpSp>
      <xdr:nvGrpSpPr>
        <xdr:cNvPr id="15" name="Groupe 14">
          <a:extLst>
            <a:ext uri="{FF2B5EF4-FFF2-40B4-BE49-F238E27FC236}">
              <a16:creationId xmlns:a16="http://schemas.microsoft.com/office/drawing/2014/main" id="{CD20AF99-0490-464A-A254-284B9E91C341}"/>
            </a:ext>
          </a:extLst>
        </xdr:cNvPr>
        <xdr:cNvGrpSpPr/>
      </xdr:nvGrpSpPr>
      <xdr:grpSpPr>
        <a:xfrm>
          <a:off x="5854701" y="1287993"/>
          <a:ext cx="1892299" cy="2098674"/>
          <a:chOff x="6387815" y="228524"/>
          <a:chExt cx="2274574" cy="2442836"/>
        </a:xfrm>
      </xdr:grpSpPr>
      <xdr:sp macro="" textlink="">
        <xdr:nvSpPr>
          <xdr:cNvPr id="16" name="Flèche : bas 15">
            <a:extLst>
              <a:ext uri="{FF2B5EF4-FFF2-40B4-BE49-F238E27FC236}">
                <a16:creationId xmlns:a16="http://schemas.microsoft.com/office/drawing/2014/main" id="{31AB6020-1DC2-42F4-8773-36C978AC8431}"/>
              </a:ext>
            </a:extLst>
          </xdr:cNvPr>
          <xdr:cNvSpPr/>
        </xdr:nvSpPr>
        <xdr:spPr>
          <a:xfrm>
            <a:off x="6387815" y="228524"/>
            <a:ext cx="2274574" cy="2442836"/>
          </a:xfrm>
          <a:prstGeom prst="downArrow">
            <a:avLst/>
          </a:prstGeom>
        </xdr:spPr>
        <xdr:style>
          <a:lnRef idx="0">
            <a:schemeClr val="lt1">
              <a:hueOff val="0"/>
              <a:satOff val="0"/>
              <a:lumOff val="0"/>
              <a:alphaOff val="0"/>
            </a:schemeClr>
          </a:lnRef>
          <a:fillRef idx="3">
            <a:schemeClr val="accent5">
              <a:shade val="50000"/>
              <a:hueOff val="126486"/>
              <a:satOff val="-2798"/>
              <a:lumOff val="20993"/>
              <a:alphaOff val="0"/>
            </a:schemeClr>
          </a:fillRef>
          <a:effectRef idx="3">
            <a:schemeClr val="accent5">
              <a:shade val="50000"/>
              <a:hueOff val="126486"/>
              <a:satOff val="-2798"/>
              <a:lumOff val="20993"/>
              <a:alphaOff val="0"/>
            </a:schemeClr>
          </a:effectRef>
          <a:fontRef idx="minor">
            <a:schemeClr val="lt1"/>
          </a:fontRef>
        </xdr:style>
      </xdr:sp>
      <xdr:sp macro="" textlink="">
        <xdr:nvSpPr>
          <xdr:cNvPr id="17" name="Flèche : bas 4">
            <a:extLst>
              <a:ext uri="{FF2B5EF4-FFF2-40B4-BE49-F238E27FC236}">
                <a16:creationId xmlns:a16="http://schemas.microsoft.com/office/drawing/2014/main" id="{8EEAA189-44B7-44BB-AAE6-D2F20AC3F2B3}"/>
              </a:ext>
            </a:extLst>
          </xdr:cNvPr>
          <xdr:cNvSpPr txBox="1"/>
        </xdr:nvSpPr>
        <xdr:spPr>
          <a:xfrm>
            <a:off x="6956459" y="228524"/>
            <a:ext cx="1137287" cy="187419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fr-FR" sz="1200" b="1" kern="1200"/>
              <a:t> </a:t>
            </a:r>
          </a:p>
          <a:p>
            <a:pPr marL="0" lvl="0" indent="0" algn="ctr" defTabSz="533400">
              <a:lnSpc>
                <a:spcPct val="90000"/>
              </a:lnSpc>
              <a:spcBef>
                <a:spcPct val="0"/>
              </a:spcBef>
              <a:spcAft>
                <a:spcPct val="35000"/>
              </a:spcAft>
              <a:buNone/>
            </a:pPr>
            <a:endParaRPr lang="fr-FR" sz="1200" b="1" kern="1200"/>
          </a:p>
          <a:p>
            <a:pPr marL="0" lvl="0" indent="0" algn="ctr" defTabSz="533400">
              <a:lnSpc>
                <a:spcPct val="90000"/>
              </a:lnSpc>
              <a:spcBef>
                <a:spcPct val="0"/>
              </a:spcBef>
              <a:spcAft>
                <a:spcPct val="35000"/>
              </a:spcAft>
              <a:buNone/>
            </a:pPr>
            <a:endParaRPr lang="fr-FR" sz="1100" b="1" kern="1200"/>
          </a:p>
          <a:p>
            <a:pPr marL="0" lvl="0" indent="0" algn="ctr" defTabSz="533400">
              <a:lnSpc>
                <a:spcPct val="90000"/>
              </a:lnSpc>
              <a:spcBef>
                <a:spcPct val="0"/>
              </a:spcBef>
              <a:spcAft>
                <a:spcPct val="35000"/>
              </a:spcAft>
              <a:buNone/>
            </a:pPr>
            <a:endParaRPr lang="fr-FR" sz="1100" b="1" kern="1200"/>
          </a:p>
          <a:p>
            <a:pPr marL="0" lvl="0" indent="0" algn="ctr" defTabSz="533400">
              <a:lnSpc>
                <a:spcPct val="90000"/>
              </a:lnSpc>
              <a:spcBef>
                <a:spcPct val="0"/>
              </a:spcBef>
              <a:spcAft>
                <a:spcPct val="35000"/>
              </a:spcAft>
              <a:buNone/>
            </a:pPr>
            <a:endParaRPr lang="fr-FR" sz="1100" b="1" kern="1200"/>
          </a:p>
          <a:p>
            <a:pPr marL="0" lvl="0" indent="0" algn="ctr" defTabSz="533400">
              <a:lnSpc>
                <a:spcPct val="90000"/>
              </a:lnSpc>
              <a:spcBef>
                <a:spcPct val="0"/>
              </a:spcBef>
              <a:spcAft>
                <a:spcPct val="35000"/>
              </a:spcAft>
              <a:buNone/>
            </a:pPr>
            <a:endParaRPr lang="fr-FR" sz="1100" b="1" kern="1200"/>
          </a:p>
          <a:p>
            <a:pPr marL="0" lvl="0" indent="0" algn="ctr" defTabSz="533400">
              <a:lnSpc>
                <a:spcPct val="90000"/>
              </a:lnSpc>
              <a:spcBef>
                <a:spcPct val="0"/>
              </a:spcBef>
              <a:spcAft>
                <a:spcPct val="35000"/>
              </a:spcAft>
              <a:buNone/>
            </a:pPr>
            <a:r>
              <a:rPr lang="fr-FR" sz="1100" b="1" kern="1200"/>
              <a:t>Bénéficiaires d'un avantage retraite</a:t>
            </a:r>
          </a:p>
          <a:p>
            <a:pPr marL="0" lvl="0" indent="0" algn="ctr" defTabSz="533400">
              <a:lnSpc>
                <a:spcPct val="90000"/>
              </a:lnSpc>
              <a:spcBef>
                <a:spcPct val="0"/>
              </a:spcBef>
              <a:spcAft>
                <a:spcPct val="35000"/>
              </a:spcAft>
              <a:buNone/>
            </a:pPr>
            <a:r>
              <a:rPr lang="fr-FR" sz="1200" b="1" kern="1200"/>
              <a:t>- 1,3 %</a:t>
            </a:r>
          </a:p>
        </xdr:txBody>
      </xdr:sp>
    </xdr:grpSp>
    <xdr:clientData/>
  </xdr:twoCellAnchor>
  <xdr:twoCellAnchor editAs="oneCell">
    <xdr:from>
      <xdr:col>6</xdr:col>
      <xdr:colOff>274111</xdr:colOff>
      <xdr:row>8</xdr:row>
      <xdr:rowOff>88900</xdr:rowOff>
    </xdr:from>
    <xdr:to>
      <xdr:col>7</xdr:col>
      <xdr:colOff>351243</xdr:colOff>
      <xdr:row>14</xdr:row>
      <xdr:rowOff>116416</xdr:rowOff>
    </xdr:to>
    <xdr:pic>
      <xdr:nvPicPr>
        <xdr:cNvPr id="18" name="Image 17">
          <a:extLst>
            <a:ext uri="{FF2B5EF4-FFF2-40B4-BE49-F238E27FC236}">
              <a16:creationId xmlns:a16="http://schemas.microsoft.com/office/drawing/2014/main" id="{2764981B-CCA6-4A08-B4D7-223E83EAD7EA}"/>
            </a:ext>
          </a:extLst>
        </xdr:cNvPr>
        <xdr:cNvPicPr>
          <a:picLocks noChangeAspect="1"/>
        </xdr:cNvPicPr>
      </xdr:nvPicPr>
      <xdr:blipFill>
        <a:blip xmlns:r="http://schemas.openxmlformats.org/officeDocument/2006/relationships" r:embed="rId3">
          <a:alphaModFix amt="50000"/>
          <a:duotone>
            <a:prstClr val="black"/>
            <a:schemeClr val="accent5">
              <a:tint val="45000"/>
              <a:satMod val="400000"/>
            </a:schemeClr>
          </a:duotone>
        </a:blip>
        <a:stretch>
          <a:fillRect/>
        </a:stretch>
      </xdr:blipFill>
      <xdr:spPr>
        <a:xfrm>
          <a:off x="6391278" y="1358900"/>
          <a:ext cx="839132" cy="980016"/>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9</xdr:col>
      <xdr:colOff>258233</xdr:colOff>
      <xdr:row>1</xdr:row>
      <xdr:rowOff>61383</xdr:rowOff>
    </xdr:from>
    <xdr:to>
      <xdr:col>15</xdr:col>
      <xdr:colOff>334433</xdr:colOff>
      <xdr:row>2</xdr:row>
      <xdr:rowOff>156632</xdr:rowOff>
    </xdr:to>
    <xdr:sp macro="" textlink="">
      <xdr:nvSpPr>
        <xdr:cNvPr id="19" name="ZoneTexte 18">
          <a:extLst>
            <a:ext uri="{FF2B5EF4-FFF2-40B4-BE49-F238E27FC236}">
              <a16:creationId xmlns:a16="http://schemas.microsoft.com/office/drawing/2014/main" id="{5C669469-80CF-466D-9D7B-5730D914ED39}"/>
            </a:ext>
          </a:extLst>
        </xdr:cNvPr>
        <xdr:cNvSpPr txBox="1"/>
      </xdr:nvSpPr>
      <xdr:spPr>
        <a:xfrm>
          <a:off x="8661400" y="220133"/>
          <a:ext cx="4648200" cy="253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Prévisions financières 2025 - 2029 (rythme annuel moyen)</a:t>
          </a:r>
        </a:p>
      </xdr:txBody>
    </xdr:sp>
    <xdr:clientData/>
  </xdr:twoCellAnchor>
  <xdr:twoCellAnchor>
    <xdr:from>
      <xdr:col>14</xdr:col>
      <xdr:colOff>391583</xdr:colOff>
      <xdr:row>13</xdr:row>
      <xdr:rowOff>108967</xdr:rowOff>
    </xdr:from>
    <xdr:to>
      <xdr:col>20</xdr:col>
      <xdr:colOff>603248</xdr:colOff>
      <xdr:row>25</xdr:row>
      <xdr:rowOff>95250</xdr:rowOff>
    </xdr:to>
    <xdr:sp macro="" textlink="">
      <xdr:nvSpPr>
        <xdr:cNvPr id="25" name="Rectangle : avec coins arrondis en haut 4">
          <a:extLst>
            <a:ext uri="{FF2B5EF4-FFF2-40B4-BE49-F238E27FC236}">
              <a16:creationId xmlns:a16="http://schemas.microsoft.com/office/drawing/2014/main" id="{C6E45811-D14D-4DD0-ADC8-EB07929AF82C}"/>
            </a:ext>
          </a:extLst>
        </xdr:cNvPr>
        <xdr:cNvSpPr txBox="1"/>
      </xdr:nvSpPr>
      <xdr:spPr>
        <a:xfrm>
          <a:off x="12604750" y="2172717"/>
          <a:ext cx="4783665" cy="1891283"/>
        </a:xfrm>
        <a:prstGeom prst="rect">
          <a:avLst/>
        </a:prstGeom>
      </xdr:spPr>
      <xdr:style>
        <a:lnRef idx="1">
          <a:schemeClr val="accent5"/>
        </a:lnRef>
        <a:fillRef idx="1003">
          <a:schemeClr val="dk2"/>
        </a:fillRef>
        <a:effectRef idx="2">
          <a:schemeClr val="accent5"/>
        </a:effectRef>
        <a:fontRef idx="minor">
          <a:schemeClr val="lt1"/>
        </a:fontRef>
      </xdr:style>
      <xdr:txBody>
        <a:bodyPr spcFirstLastPara="0" vert="horz" wrap="square" lIns="128016" tIns="128016" rIns="128016" bIns="128016" numCol="1" spcCol="1270" anchor="t" anchorCtr="0">
          <a:noAutofit/>
        </a:bodyPr>
        <a:lstStyle/>
        <a:p>
          <a:pPr marL="0" lvl="0" indent="0" algn="ctr" defTabSz="800100">
            <a:lnSpc>
              <a:spcPct val="90000"/>
            </a:lnSpc>
            <a:spcBef>
              <a:spcPct val="0"/>
            </a:spcBef>
            <a:spcAft>
              <a:spcPct val="35000"/>
            </a:spcAft>
            <a:buNone/>
          </a:pPr>
          <a:r>
            <a:rPr lang="fr-FR" sz="1400" b="1" kern="1200">
              <a:solidFill>
                <a:schemeClr val="bg2">
                  <a:lumMod val="90000"/>
                </a:schemeClr>
              </a:solidFill>
              <a:latin typeface="+mn-lt"/>
              <a:ea typeface="+mn-ea"/>
              <a:cs typeface="+mn-cs"/>
            </a:rPr>
            <a:t>Recettes prévisionnelles 2025</a:t>
          </a:r>
        </a:p>
        <a:p>
          <a:pPr marL="0" lvl="0" indent="0" algn="ctr" defTabSz="800100">
            <a:lnSpc>
              <a:spcPct val="90000"/>
            </a:lnSpc>
            <a:spcBef>
              <a:spcPct val="0"/>
            </a:spcBef>
            <a:spcAft>
              <a:spcPct val="35000"/>
            </a:spcAft>
            <a:buNone/>
          </a:pPr>
          <a:r>
            <a:rPr lang="fr-FR" sz="1400" b="1" kern="1200">
              <a:solidFill>
                <a:schemeClr val="bg2">
                  <a:lumMod val="90000"/>
                </a:schemeClr>
              </a:solidFill>
              <a:effectLst>
                <a:innerShdw blurRad="63500" dist="50800" dir="18900000">
                  <a:prstClr val="black">
                    <a:alpha val="50000"/>
                  </a:prstClr>
                </a:innerShdw>
              </a:effectLst>
              <a:latin typeface="+mn-lt"/>
              <a:ea typeface="+mn-ea"/>
              <a:cs typeface="+mn-cs"/>
            </a:rPr>
            <a:t>17,0 milliards d'€ (+ 2,2 %)</a:t>
          </a:r>
        </a:p>
        <a:p>
          <a:pPr marL="0" lvl="0" indent="0" algn="l" defTabSz="800100">
            <a:lnSpc>
              <a:spcPct val="90000"/>
            </a:lnSpc>
            <a:spcBef>
              <a:spcPct val="0"/>
            </a:spcBef>
            <a:spcAft>
              <a:spcPct val="35000"/>
            </a:spcAft>
            <a:buNone/>
          </a:pPr>
          <a:r>
            <a:rPr lang="fr-FR" sz="1400" b="1" kern="1200">
              <a:solidFill>
                <a:schemeClr val="bg1"/>
              </a:solidFill>
              <a:effectLst>
                <a:innerShdw blurRad="63500" dist="50800" dir="18900000">
                  <a:prstClr val="black">
                    <a:alpha val="50000"/>
                  </a:prstClr>
                </a:innerShdw>
              </a:effectLst>
              <a:latin typeface="+mn-lt"/>
              <a:ea typeface="+mn-ea"/>
              <a:cs typeface="+mn-cs"/>
            </a:rPr>
            <a:t>Rythme annuel moyen (2025 - 2029) : + 3,4 %</a:t>
          </a:r>
          <a:endParaRPr lang="fr-FR" sz="1400" b="1" kern="1200">
            <a:solidFill>
              <a:schemeClr val="bg1"/>
            </a:solidFill>
            <a:effectLst/>
            <a:latin typeface="+mn-lt"/>
            <a:ea typeface="+mn-ea"/>
            <a:cs typeface="+mn-cs"/>
          </a:endParaRPr>
        </a:p>
        <a:p>
          <a:pPr marL="0" lvl="0" indent="0" algn="l" defTabSz="800100">
            <a:lnSpc>
              <a:spcPct val="90000"/>
            </a:lnSpc>
            <a:spcBef>
              <a:spcPct val="0"/>
            </a:spcBef>
            <a:spcAft>
              <a:spcPct val="35000"/>
            </a:spcAft>
            <a:buNone/>
          </a:pPr>
          <a:r>
            <a:rPr lang="fr-FR" sz="1400" kern="1200">
              <a:solidFill>
                <a:schemeClr val="bg1"/>
              </a:solidFill>
              <a:latin typeface="+mn-lt"/>
            </a:rPr>
            <a:t> &gt; Cotisations</a:t>
          </a:r>
          <a:r>
            <a:rPr lang="fr-FR" sz="1400" kern="1200" baseline="0">
              <a:solidFill>
                <a:schemeClr val="bg1"/>
              </a:solidFill>
              <a:latin typeface="+mn-lt"/>
            </a:rPr>
            <a:t> sociales </a:t>
          </a:r>
          <a:r>
            <a:rPr lang="fr-FR" sz="1400" kern="1200">
              <a:solidFill>
                <a:schemeClr val="bg1"/>
              </a:solidFill>
              <a:latin typeface="+mn-lt"/>
            </a:rPr>
            <a:t>: + 4,1 %</a:t>
          </a:r>
        </a:p>
        <a:p>
          <a:pPr marL="0" lvl="0" indent="0" algn="l" defTabSz="800100">
            <a:lnSpc>
              <a:spcPct val="90000"/>
            </a:lnSpc>
            <a:spcBef>
              <a:spcPct val="0"/>
            </a:spcBef>
            <a:spcAft>
              <a:spcPct val="35000"/>
            </a:spcAft>
            <a:buNone/>
          </a:pPr>
          <a:r>
            <a:rPr lang="fr-FR" sz="1400" kern="1200">
              <a:solidFill>
                <a:schemeClr val="bg1"/>
              </a:solidFill>
              <a:latin typeface="+mn-lt"/>
            </a:rPr>
            <a:t> &gt; CSG : + 3,0 %</a:t>
          </a:r>
        </a:p>
        <a:p>
          <a:pPr marL="0" lvl="0" indent="0" algn="l" defTabSz="800100">
            <a:lnSpc>
              <a:spcPct val="90000"/>
            </a:lnSpc>
            <a:spcBef>
              <a:spcPct val="0"/>
            </a:spcBef>
            <a:spcAft>
              <a:spcPct val="35000"/>
            </a:spcAft>
            <a:buNone/>
          </a:pPr>
          <a:r>
            <a:rPr lang="fr-FR" sz="1400" kern="1200">
              <a:solidFill>
                <a:schemeClr val="bg1"/>
              </a:solidFill>
              <a:latin typeface="+mn-lt"/>
            </a:rPr>
            <a:t> &gt;</a:t>
          </a:r>
          <a:r>
            <a:rPr lang="fr-FR" sz="1400" kern="1200" baseline="0">
              <a:solidFill>
                <a:schemeClr val="bg1"/>
              </a:solidFill>
              <a:latin typeface="+mn-lt"/>
            </a:rPr>
            <a:t> </a:t>
          </a:r>
          <a:r>
            <a:rPr lang="fr-FR" sz="1400" kern="1200">
              <a:solidFill>
                <a:schemeClr val="bg1"/>
              </a:solidFill>
              <a:latin typeface="+mn-lt"/>
            </a:rPr>
            <a:t> Part compensation démographique sur les recettes : 15,0 % </a:t>
          </a:r>
        </a:p>
      </xdr:txBody>
    </xdr:sp>
    <xdr:clientData/>
  </xdr:twoCellAnchor>
  <xdr:twoCellAnchor>
    <xdr:from>
      <xdr:col>8</xdr:col>
      <xdr:colOff>613834</xdr:colOff>
      <xdr:row>13</xdr:row>
      <xdr:rowOff>110623</xdr:rowOff>
    </xdr:from>
    <xdr:to>
      <xdr:col>14</xdr:col>
      <xdr:colOff>381000</xdr:colOff>
      <xdr:row>25</xdr:row>
      <xdr:rowOff>95250</xdr:rowOff>
    </xdr:to>
    <xdr:sp macro="" textlink="">
      <xdr:nvSpPr>
        <xdr:cNvPr id="30" name="Rectangle : avec coins arrondis en haut 4">
          <a:extLst>
            <a:ext uri="{FF2B5EF4-FFF2-40B4-BE49-F238E27FC236}">
              <a16:creationId xmlns:a16="http://schemas.microsoft.com/office/drawing/2014/main" id="{BF422631-39BF-4F05-8958-8A4F59CD3F55}"/>
            </a:ext>
          </a:extLst>
        </xdr:cNvPr>
        <xdr:cNvSpPr txBox="1"/>
      </xdr:nvSpPr>
      <xdr:spPr>
        <a:xfrm>
          <a:off x="8255001" y="2174373"/>
          <a:ext cx="4339166" cy="1889627"/>
        </a:xfrm>
        <a:prstGeom prst="rect">
          <a:avLst/>
        </a:prstGeom>
      </xdr:spPr>
      <xdr:style>
        <a:lnRef idx="1">
          <a:schemeClr val="accent5"/>
        </a:lnRef>
        <a:fillRef idx="1003">
          <a:schemeClr val="dk2"/>
        </a:fillRef>
        <a:effectRef idx="2">
          <a:schemeClr val="accent5"/>
        </a:effectRef>
        <a:fontRef idx="minor">
          <a:schemeClr val="lt1"/>
        </a:fontRef>
      </xdr:style>
      <xdr:txBody>
        <a:bodyPr spcFirstLastPara="0" vert="horz" wrap="square" lIns="128016" tIns="128016" rIns="128016" bIns="128016" numCol="1" spcCol="1270" anchor="t" anchorCtr="0">
          <a:noAutofit/>
        </a:bodyPr>
        <a:lstStyle/>
        <a:p>
          <a:pPr marL="0" lvl="0" indent="0" algn="ctr" defTabSz="800100">
            <a:lnSpc>
              <a:spcPct val="90000"/>
            </a:lnSpc>
            <a:spcBef>
              <a:spcPct val="0"/>
            </a:spcBef>
            <a:spcAft>
              <a:spcPct val="35000"/>
            </a:spcAft>
            <a:buNone/>
          </a:pPr>
          <a:r>
            <a:rPr lang="fr-FR" sz="1400" b="1" kern="1200">
              <a:solidFill>
                <a:schemeClr val="bg2">
                  <a:lumMod val="90000"/>
                </a:schemeClr>
              </a:solidFill>
            </a:rPr>
            <a:t>Dépenses prévisionnelles 2025</a:t>
          </a:r>
        </a:p>
        <a:p>
          <a:pPr marL="0" lvl="0" indent="0" algn="ctr" defTabSz="800100">
            <a:lnSpc>
              <a:spcPct val="90000"/>
            </a:lnSpc>
            <a:spcBef>
              <a:spcPct val="0"/>
            </a:spcBef>
            <a:spcAft>
              <a:spcPct val="35000"/>
            </a:spcAft>
            <a:buNone/>
          </a:pPr>
          <a:r>
            <a:rPr lang="fr-FR" sz="1400" b="1" kern="1200">
              <a:solidFill>
                <a:schemeClr val="bg2">
                  <a:lumMod val="90000"/>
                </a:schemeClr>
              </a:solidFill>
              <a:effectLst>
                <a:innerShdw blurRad="63500" dist="50800" dir="18900000">
                  <a:prstClr val="black">
                    <a:alpha val="50000"/>
                  </a:prstClr>
                </a:innerShdw>
              </a:effectLst>
            </a:rPr>
            <a:t>16,9 milliards d'€ (+ 2,2 %)</a:t>
          </a:r>
          <a:endParaRPr lang="fr-FR" sz="1100" b="1" kern="1200">
            <a:solidFill>
              <a:schemeClr val="bg2">
                <a:lumMod val="90000"/>
              </a:schemeClr>
            </a:solidFill>
            <a:effectLst>
              <a:innerShdw blurRad="63500" dist="50800" dir="18900000">
                <a:prstClr val="black">
                  <a:alpha val="50000"/>
                </a:prstClr>
              </a:innerShdw>
            </a:effectLst>
          </a:endParaRPr>
        </a:p>
        <a:p>
          <a:pPr marL="0" lvl="0" indent="0" algn="ctr" defTabSz="800100">
            <a:lnSpc>
              <a:spcPct val="90000"/>
            </a:lnSpc>
            <a:spcBef>
              <a:spcPct val="0"/>
            </a:spcBef>
            <a:spcAft>
              <a:spcPct val="35000"/>
            </a:spcAft>
            <a:buNone/>
          </a:pPr>
          <a:r>
            <a:rPr lang="fr-FR" sz="1400" b="1" kern="1200">
              <a:solidFill>
                <a:schemeClr val="bg1"/>
              </a:solidFill>
              <a:effectLst>
                <a:innerShdw blurRad="63500" dist="50800" dir="18900000">
                  <a:prstClr val="black">
                    <a:alpha val="50000"/>
                  </a:prstClr>
                </a:innerShdw>
              </a:effectLst>
            </a:rPr>
            <a:t>Rythme annuel moyen (2025 - 2029)</a:t>
          </a:r>
          <a:r>
            <a:rPr lang="fr-FR" sz="1400" b="1" kern="1200" baseline="0">
              <a:solidFill>
                <a:schemeClr val="bg1"/>
              </a:solidFill>
              <a:effectLst>
                <a:innerShdw blurRad="63500" dist="50800" dir="18900000">
                  <a:prstClr val="black">
                    <a:alpha val="50000"/>
                  </a:prstClr>
                </a:innerShdw>
              </a:effectLst>
            </a:rPr>
            <a:t> : +3,4 %</a:t>
          </a:r>
          <a:endParaRPr lang="fr-FR" sz="1400" b="1" kern="1200">
            <a:solidFill>
              <a:schemeClr val="bg1"/>
            </a:solidFill>
            <a:effectLst>
              <a:innerShdw blurRad="63500" dist="50800" dir="18900000">
                <a:prstClr val="black">
                  <a:alpha val="50000"/>
                </a:prstClr>
              </a:innerShdw>
            </a:effectLst>
          </a:endParaRPr>
        </a:p>
        <a:p>
          <a:pPr marL="0" lvl="0" indent="0" algn="l" defTabSz="800100">
            <a:lnSpc>
              <a:spcPct val="90000"/>
            </a:lnSpc>
            <a:spcBef>
              <a:spcPct val="0"/>
            </a:spcBef>
            <a:spcAft>
              <a:spcPct val="35000"/>
            </a:spcAft>
            <a:buNone/>
          </a:pPr>
          <a:r>
            <a:rPr lang="fr-FR" sz="1400" kern="1200">
              <a:solidFill>
                <a:schemeClr val="bg1"/>
              </a:solidFill>
            </a:rPr>
            <a:t>  &gt;   Prestations légales :+ 3,3 %</a:t>
          </a:r>
        </a:p>
        <a:p>
          <a:pPr marL="0" lvl="0" indent="0" algn="l" defTabSz="800100">
            <a:lnSpc>
              <a:spcPct val="90000"/>
            </a:lnSpc>
            <a:spcBef>
              <a:spcPct val="0"/>
            </a:spcBef>
            <a:spcAft>
              <a:spcPct val="35000"/>
            </a:spcAft>
            <a:buNone/>
          </a:pPr>
          <a:r>
            <a:rPr lang="fr-FR" sz="1400" kern="1200">
              <a:solidFill>
                <a:schemeClr val="bg1"/>
              </a:solidFill>
            </a:rPr>
            <a:t>  &gt;  Charges techniques : +</a:t>
          </a:r>
          <a:r>
            <a:rPr lang="fr-FR" sz="1400" kern="1200" baseline="0">
              <a:solidFill>
                <a:schemeClr val="bg1"/>
              </a:solidFill>
            </a:rPr>
            <a:t> 11,1 </a:t>
          </a:r>
          <a:r>
            <a:rPr lang="fr-FR" sz="1400" kern="1200">
              <a:solidFill>
                <a:schemeClr val="bg1"/>
              </a:solidFill>
            </a:rPr>
            <a:t>% </a:t>
          </a:r>
        </a:p>
        <a:p>
          <a:pPr marL="0" lvl="0" indent="0" algn="l" defTabSz="800100">
            <a:lnSpc>
              <a:spcPct val="90000"/>
            </a:lnSpc>
            <a:spcBef>
              <a:spcPct val="0"/>
            </a:spcBef>
            <a:spcAft>
              <a:spcPct val="35000"/>
            </a:spcAft>
            <a:buNone/>
          </a:pPr>
          <a:r>
            <a:rPr lang="fr-FR" sz="1100" kern="1200">
              <a:solidFill>
                <a:schemeClr val="bg1"/>
              </a:solidFill>
            </a:rPr>
            <a:t>    </a:t>
          </a:r>
        </a:p>
      </xdr:txBody>
    </xdr:sp>
    <xdr:clientData/>
  </xdr:twoCellAnchor>
  <xdr:twoCellAnchor>
    <xdr:from>
      <xdr:col>11</xdr:col>
      <xdr:colOff>359832</xdr:colOff>
      <xdr:row>6</xdr:row>
      <xdr:rowOff>42333</xdr:rowOff>
    </xdr:from>
    <xdr:to>
      <xdr:col>17</xdr:col>
      <xdr:colOff>550332</xdr:colOff>
      <xdr:row>13</xdr:row>
      <xdr:rowOff>84667</xdr:rowOff>
    </xdr:to>
    <xdr:sp macro="" textlink="">
      <xdr:nvSpPr>
        <xdr:cNvPr id="31" name="ZoneTexte 30">
          <a:extLst>
            <a:ext uri="{FF2B5EF4-FFF2-40B4-BE49-F238E27FC236}">
              <a16:creationId xmlns:a16="http://schemas.microsoft.com/office/drawing/2014/main" id="{05D55604-5ACD-4ED0-9C54-0CA9E2A69E09}"/>
            </a:ext>
          </a:extLst>
        </xdr:cNvPr>
        <xdr:cNvSpPr txBox="1"/>
      </xdr:nvSpPr>
      <xdr:spPr>
        <a:xfrm>
          <a:off x="10286999" y="994833"/>
          <a:ext cx="4762500" cy="1153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r-FR" sz="1200" i="1">
              <a:solidFill>
                <a:schemeClr val="dk1"/>
              </a:solidFill>
              <a:effectLst/>
              <a:latin typeface="+mn-lt"/>
              <a:ea typeface="+mn-ea"/>
              <a:cs typeface="+mn-cs"/>
            </a:rPr>
            <a:t>Les données financières présentées ci-dessous sont celles retenues par la Commission des comptes de la Sécurité sociale d'octobre 2025. Elles n’intègrent pas les mesures prévues dans la loi de financement de la Sécurité sociale (LFSS) pour 2026. Elles peuvent différer sensiblement des prévisions réalisées par la MSA à l’été 2025.</a:t>
          </a:r>
          <a:endParaRPr lang="fr-FR" sz="1200">
            <a:solidFill>
              <a:schemeClr val="dk1"/>
            </a:solidFill>
            <a:effectLst/>
            <a:latin typeface="+mn-lt"/>
            <a:ea typeface="+mn-ea"/>
            <a:cs typeface="+mn-cs"/>
          </a:endParaRPr>
        </a:p>
        <a:p>
          <a:pPr algn="ctr"/>
          <a:endParaRPr lang="fr-FR" sz="1200"/>
        </a:p>
      </xdr:txBody>
    </xdr:sp>
    <xdr:clientData/>
  </xdr:twoCellAnchor>
  <xdr:twoCellAnchor>
    <xdr:from>
      <xdr:col>0</xdr:col>
      <xdr:colOff>476250</xdr:colOff>
      <xdr:row>8</xdr:row>
      <xdr:rowOff>116417</xdr:rowOff>
    </xdr:from>
    <xdr:to>
      <xdr:col>1</xdr:col>
      <xdr:colOff>709083</xdr:colOff>
      <xdr:row>20</xdr:row>
      <xdr:rowOff>21166</xdr:rowOff>
    </xdr:to>
    <xdr:sp macro="" textlink="">
      <xdr:nvSpPr>
        <xdr:cNvPr id="32" name="Flèche : bas 31">
          <a:extLst>
            <a:ext uri="{FF2B5EF4-FFF2-40B4-BE49-F238E27FC236}">
              <a16:creationId xmlns:a16="http://schemas.microsoft.com/office/drawing/2014/main" id="{D066A74D-5D09-4868-A4B1-3B4ADA28B168}"/>
            </a:ext>
          </a:extLst>
        </xdr:cNvPr>
        <xdr:cNvSpPr/>
      </xdr:nvSpPr>
      <xdr:spPr>
        <a:xfrm rot="10800000">
          <a:off x="476250" y="1386417"/>
          <a:ext cx="1883833" cy="1809749"/>
        </a:xfrm>
        <a:prstGeom prst="downArrow">
          <a:avLst/>
        </a:prstGeom>
      </xdr:spPr>
      <xdr:style>
        <a:lnRef idx="0">
          <a:schemeClr val="lt1">
            <a:hueOff val="0"/>
            <a:satOff val="0"/>
            <a:lumOff val="0"/>
            <a:alphaOff val="0"/>
          </a:schemeClr>
        </a:lnRef>
        <a:fillRef idx="3">
          <a:schemeClr val="accent5">
            <a:shade val="50000"/>
            <a:hueOff val="126486"/>
            <a:satOff val="-2798"/>
            <a:lumOff val="20993"/>
            <a:alphaOff val="0"/>
          </a:schemeClr>
        </a:fillRef>
        <a:effectRef idx="3">
          <a:schemeClr val="accent5">
            <a:shade val="50000"/>
            <a:hueOff val="126486"/>
            <a:satOff val="-2798"/>
            <a:lumOff val="20993"/>
            <a:alphaOff val="0"/>
          </a:schemeClr>
        </a:effectRef>
        <a:fontRef idx="minor">
          <a:schemeClr val="lt1"/>
        </a:fontRef>
      </xdr:style>
      <xdr:txBody>
        <a:bodyPr/>
        <a:lstStyle/>
        <a:p>
          <a:endParaRPr lang="fr-FR"/>
        </a:p>
      </xdr:txBody>
    </xdr:sp>
    <xdr:clientData/>
  </xdr:twoCellAnchor>
  <xdr:twoCellAnchor>
    <xdr:from>
      <xdr:col>0</xdr:col>
      <xdr:colOff>884984</xdr:colOff>
      <xdr:row>4</xdr:row>
      <xdr:rowOff>22222</xdr:rowOff>
    </xdr:from>
    <xdr:to>
      <xdr:col>1</xdr:col>
      <xdr:colOff>325188</xdr:colOff>
      <xdr:row>15</xdr:row>
      <xdr:rowOff>105831</xdr:rowOff>
    </xdr:to>
    <xdr:sp macro="" textlink="">
      <xdr:nvSpPr>
        <xdr:cNvPr id="4" name="Flèche : bas 4">
          <a:extLst>
            <a:ext uri="{FF2B5EF4-FFF2-40B4-BE49-F238E27FC236}">
              <a16:creationId xmlns:a16="http://schemas.microsoft.com/office/drawing/2014/main" id="{6F5D0EA9-AD94-4056-84D9-1A5C8BEF65BF}"/>
            </a:ext>
          </a:extLst>
        </xdr:cNvPr>
        <xdr:cNvSpPr txBox="1"/>
      </xdr:nvSpPr>
      <xdr:spPr>
        <a:xfrm>
          <a:off x="884984" y="657222"/>
          <a:ext cx="1091204" cy="1829859"/>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endParaRPr lang="fr-FR" sz="1200" b="1" kern="1200"/>
        </a:p>
        <a:p>
          <a:pPr marL="0" lvl="0" indent="0" algn="ctr" defTabSz="533400">
            <a:lnSpc>
              <a:spcPct val="90000"/>
            </a:lnSpc>
            <a:spcBef>
              <a:spcPct val="0"/>
            </a:spcBef>
            <a:spcAft>
              <a:spcPct val="35000"/>
            </a:spcAft>
            <a:buNone/>
          </a:pPr>
          <a:endParaRPr lang="fr-FR" sz="1200" b="1" kern="1200"/>
        </a:p>
        <a:p>
          <a:pPr marL="0" lvl="0" indent="0" algn="ctr" defTabSz="533400">
            <a:lnSpc>
              <a:spcPct val="90000"/>
            </a:lnSpc>
            <a:spcBef>
              <a:spcPct val="0"/>
            </a:spcBef>
            <a:spcAft>
              <a:spcPct val="35000"/>
            </a:spcAft>
            <a:buNone/>
          </a:pPr>
          <a:endParaRPr lang="fr-FR" sz="1200" b="1" kern="1200"/>
        </a:p>
        <a:p>
          <a:pPr marL="0" lvl="0" indent="0" algn="ctr" defTabSz="533400">
            <a:lnSpc>
              <a:spcPct val="90000"/>
            </a:lnSpc>
            <a:spcBef>
              <a:spcPct val="0"/>
            </a:spcBef>
            <a:spcAft>
              <a:spcPct val="35000"/>
            </a:spcAft>
            <a:buNone/>
          </a:pPr>
          <a:endParaRPr lang="fr-FR" sz="1200" b="1" kern="1200"/>
        </a:p>
        <a:p>
          <a:pPr marL="0" lvl="0" indent="0" algn="ctr" defTabSz="533400">
            <a:lnSpc>
              <a:spcPct val="90000"/>
            </a:lnSpc>
            <a:spcBef>
              <a:spcPct val="0"/>
            </a:spcBef>
            <a:spcAft>
              <a:spcPct val="35000"/>
            </a:spcAft>
            <a:buNone/>
          </a:pPr>
          <a:r>
            <a:rPr lang="fr-FR" sz="1150" b="1" kern="1200"/>
            <a:t>personnes protégées en maladie</a:t>
          </a:r>
        </a:p>
        <a:p>
          <a:pPr marL="0" lvl="0" indent="0" algn="ctr" defTabSz="533400">
            <a:lnSpc>
              <a:spcPct val="90000"/>
            </a:lnSpc>
            <a:spcBef>
              <a:spcPct val="0"/>
            </a:spcBef>
            <a:spcAft>
              <a:spcPct val="35000"/>
            </a:spcAft>
            <a:buNone/>
          </a:pPr>
          <a:r>
            <a:rPr lang="fr-FR" sz="1150" b="1" kern="1200"/>
            <a:t>+ 0,2 % </a:t>
          </a:r>
        </a:p>
      </xdr:txBody>
    </xdr:sp>
    <xdr:clientData/>
  </xdr:twoCellAnchor>
  <xdr:twoCellAnchor editAs="oneCell">
    <xdr:from>
      <xdr:col>0</xdr:col>
      <xdr:colOff>988483</xdr:colOff>
      <xdr:row>15</xdr:row>
      <xdr:rowOff>4235</xdr:rowOff>
    </xdr:from>
    <xdr:to>
      <xdr:col>1</xdr:col>
      <xdr:colOff>171950</xdr:colOff>
      <xdr:row>19</xdr:row>
      <xdr:rowOff>134409</xdr:rowOff>
    </xdr:to>
    <xdr:pic>
      <xdr:nvPicPr>
        <xdr:cNvPr id="5" name="Image 4">
          <a:extLst>
            <a:ext uri="{FF2B5EF4-FFF2-40B4-BE49-F238E27FC236}">
              <a16:creationId xmlns:a16="http://schemas.microsoft.com/office/drawing/2014/main" id="{DB47884B-4057-4D9E-A715-CA0EEE2B3B48}"/>
            </a:ext>
          </a:extLst>
        </xdr:cNvPr>
        <xdr:cNvPicPr>
          <a:picLocks noChangeAspect="1"/>
        </xdr:cNvPicPr>
      </xdr:nvPicPr>
      <xdr:blipFill>
        <a:blip xmlns:r="http://schemas.openxmlformats.org/officeDocument/2006/relationships" r:embed="rId4">
          <a:duotone>
            <a:prstClr val="black"/>
            <a:schemeClr val="accent1">
              <a:tint val="45000"/>
              <a:satMod val="400000"/>
            </a:schemeClr>
          </a:duotone>
          <a:alphaModFix amt="46000"/>
          <a:extLst>
            <a:ext uri="{BEBA8EAE-BF5A-486C-A8C5-ECC9F3942E4B}">
              <a14:imgProps xmlns:a14="http://schemas.microsoft.com/office/drawing/2010/main">
                <a14:imgLayer r:embed="rId5">
                  <a14:imgEffect>
                    <a14:artisticMarker/>
                  </a14:imgEffect>
                </a14:imgLayer>
              </a14:imgProps>
            </a:ext>
          </a:extLst>
        </a:blip>
        <a:stretch>
          <a:fillRect/>
        </a:stretch>
      </xdr:blipFill>
      <xdr:spPr>
        <a:xfrm>
          <a:off x="988483" y="2385485"/>
          <a:ext cx="834467" cy="76517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17</xdr:col>
      <xdr:colOff>402167</xdr:colOff>
      <xdr:row>6</xdr:row>
      <xdr:rowOff>137583</xdr:rowOff>
    </xdr:from>
    <xdr:to>
      <xdr:col>18</xdr:col>
      <xdr:colOff>470274</xdr:colOff>
      <xdr:row>11</xdr:row>
      <xdr:rowOff>114842</xdr:rowOff>
    </xdr:to>
    <xdr:pic>
      <xdr:nvPicPr>
        <xdr:cNvPr id="33" name="Image 32">
          <a:extLst>
            <a:ext uri="{FF2B5EF4-FFF2-40B4-BE49-F238E27FC236}">
              <a16:creationId xmlns:a16="http://schemas.microsoft.com/office/drawing/2014/main" id="{E09AE317-2F7B-4EC1-BB69-351170A7E9E6}"/>
            </a:ext>
          </a:extLst>
        </xdr:cNvPr>
        <xdr:cNvPicPr>
          <a:picLocks noChangeAspect="1"/>
        </xdr:cNvPicPr>
      </xdr:nvPicPr>
      <xdr:blipFill>
        <a:blip xmlns:r="http://schemas.openxmlformats.org/officeDocument/2006/relationships" r:embed="rId6"/>
        <a:stretch>
          <a:fillRect/>
        </a:stretch>
      </xdr:blipFill>
      <xdr:spPr>
        <a:xfrm>
          <a:off x="14901334" y="1090083"/>
          <a:ext cx="830107" cy="771009"/>
        </a:xfrm>
        <a:prstGeom prst="rect">
          <a:avLst/>
        </a:prstGeom>
      </xdr:spPr>
    </xdr:pic>
    <xdr:clientData/>
  </xdr:twoCellAnchor>
  <xdr:twoCellAnchor editAs="oneCell">
    <xdr:from>
      <xdr:col>1</xdr:col>
      <xdr:colOff>201084</xdr:colOff>
      <xdr:row>39</xdr:row>
      <xdr:rowOff>137583</xdr:rowOff>
    </xdr:from>
    <xdr:to>
      <xdr:col>3</xdr:col>
      <xdr:colOff>14817</xdr:colOff>
      <xdr:row>49</xdr:row>
      <xdr:rowOff>45508</xdr:rowOff>
    </xdr:to>
    <xdr:pic>
      <xdr:nvPicPr>
        <xdr:cNvPr id="27" name="Image 26">
          <a:extLst>
            <a:ext uri="{FF2B5EF4-FFF2-40B4-BE49-F238E27FC236}">
              <a16:creationId xmlns:a16="http://schemas.microsoft.com/office/drawing/2014/main" id="{5BFA3D8A-FBCC-476C-9BEA-569ADE710D04}"/>
            </a:ext>
          </a:extLst>
        </xdr:cNvPr>
        <xdr:cNvPicPr/>
      </xdr:nvPicPr>
      <xdr:blipFill>
        <a:blip xmlns:r="http://schemas.openxmlformats.org/officeDocument/2006/relationships" r:embed="rId7"/>
        <a:stretch>
          <a:fillRect/>
        </a:stretch>
      </xdr:blipFill>
      <xdr:spPr>
        <a:xfrm>
          <a:off x="1852084" y="6709833"/>
          <a:ext cx="1993900" cy="1495425"/>
        </a:xfrm>
        <a:prstGeom prst="rect">
          <a:avLst/>
        </a:prstGeom>
      </xdr:spPr>
    </xdr:pic>
    <xdr:clientData/>
  </xdr:twoCellAnchor>
  <xdr:twoCellAnchor>
    <xdr:from>
      <xdr:col>0</xdr:col>
      <xdr:colOff>592666</xdr:colOff>
      <xdr:row>46</xdr:row>
      <xdr:rowOff>63498</xdr:rowOff>
    </xdr:from>
    <xdr:to>
      <xdr:col>1</xdr:col>
      <xdr:colOff>296333</xdr:colOff>
      <xdr:row>53</xdr:row>
      <xdr:rowOff>63498</xdr:rowOff>
    </xdr:to>
    <xdr:sp macro="" textlink="">
      <xdr:nvSpPr>
        <xdr:cNvPr id="34" name="Flèche : bas 4">
          <a:extLst>
            <a:ext uri="{FF2B5EF4-FFF2-40B4-BE49-F238E27FC236}">
              <a16:creationId xmlns:a16="http://schemas.microsoft.com/office/drawing/2014/main" id="{28038320-299D-44E8-8167-5760C3F72484}"/>
            </a:ext>
          </a:extLst>
        </xdr:cNvPr>
        <xdr:cNvSpPr txBox="1"/>
      </xdr:nvSpPr>
      <xdr:spPr>
        <a:xfrm>
          <a:off x="592666" y="7746998"/>
          <a:ext cx="1354667" cy="1111250"/>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chemeClr val="accent3">
                  <a:lumMod val="75000"/>
                </a:schemeClr>
              </a:solidFill>
            </a:rPr>
            <a:t>+ 0,3 %</a:t>
          </a:r>
        </a:p>
        <a:p>
          <a:pPr marL="0" lvl="0" indent="0" algn="ctr" defTabSz="533400">
            <a:lnSpc>
              <a:spcPct val="90000"/>
            </a:lnSpc>
            <a:spcBef>
              <a:spcPct val="0"/>
            </a:spcBef>
            <a:spcAft>
              <a:spcPct val="35000"/>
            </a:spcAft>
            <a:buNone/>
          </a:pPr>
          <a:r>
            <a:rPr lang="fr-FR" sz="1400" b="1" kern="1200">
              <a:solidFill>
                <a:schemeClr val="accent3">
                  <a:lumMod val="75000"/>
                </a:schemeClr>
              </a:solidFill>
            </a:rPr>
            <a:t>personnes protégées en maladie</a:t>
          </a:r>
        </a:p>
      </xdr:txBody>
    </xdr:sp>
    <xdr:clientData/>
  </xdr:twoCellAnchor>
  <xdr:twoCellAnchor>
    <xdr:from>
      <xdr:col>2</xdr:col>
      <xdr:colOff>730248</xdr:colOff>
      <xdr:row>37</xdr:row>
      <xdr:rowOff>137585</xdr:rowOff>
    </xdr:from>
    <xdr:to>
      <xdr:col>5</xdr:col>
      <xdr:colOff>211666</xdr:colOff>
      <xdr:row>44</xdr:row>
      <xdr:rowOff>137585</xdr:rowOff>
    </xdr:to>
    <xdr:sp macro="" textlink="">
      <xdr:nvSpPr>
        <xdr:cNvPr id="35" name="Flèche : bas 4">
          <a:extLst>
            <a:ext uri="{FF2B5EF4-FFF2-40B4-BE49-F238E27FC236}">
              <a16:creationId xmlns:a16="http://schemas.microsoft.com/office/drawing/2014/main" id="{21299E86-16AF-4312-B560-302BB0B99C41}"/>
            </a:ext>
          </a:extLst>
        </xdr:cNvPr>
        <xdr:cNvSpPr txBox="1"/>
      </xdr:nvSpPr>
      <xdr:spPr>
        <a:xfrm>
          <a:off x="3799415" y="6392335"/>
          <a:ext cx="1767418" cy="1111250"/>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chemeClr val="accent6">
                  <a:lumMod val="50000"/>
                </a:schemeClr>
              </a:solidFill>
            </a:rPr>
            <a:t>- 2,0 %</a:t>
          </a:r>
        </a:p>
        <a:p>
          <a:pPr marL="0" lvl="0" indent="0" algn="ctr" defTabSz="533400">
            <a:lnSpc>
              <a:spcPct val="90000"/>
            </a:lnSpc>
            <a:spcBef>
              <a:spcPct val="0"/>
            </a:spcBef>
            <a:spcAft>
              <a:spcPct val="35000"/>
            </a:spcAft>
            <a:buNone/>
          </a:pPr>
          <a:r>
            <a:rPr lang="fr-FR" sz="1400" b="1" kern="1200">
              <a:solidFill>
                <a:schemeClr val="accent6">
                  <a:lumMod val="50000"/>
                </a:schemeClr>
              </a:solidFill>
            </a:rPr>
            <a:t>Familles bénéficiaires</a:t>
          </a:r>
          <a:r>
            <a:rPr lang="fr-FR" sz="1400" b="1" kern="1200" baseline="0">
              <a:solidFill>
                <a:schemeClr val="accent6">
                  <a:lumMod val="50000"/>
                </a:schemeClr>
              </a:solidFill>
            </a:rPr>
            <a:t> de prestations familiales</a:t>
          </a:r>
          <a:endParaRPr lang="fr-FR" sz="1400" b="1" kern="1200">
            <a:solidFill>
              <a:schemeClr val="accent6">
                <a:lumMod val="50000"/>
              </a:schemeClr>
            </a:solidFill>
          </a:endParaRPr>
        </a:p>
      </xdr:txBody>
    </xdr:sp>
    <xdr:clientData/>
  </xdr:twoCellAnchor>
  <xdr:twoCellAnchor>
    <xdr:from>
      <xdr:col>0</xdr:col>
      <xdr:colOff>592667</xdr:colOff>
      <xdr:row>36</xdr:row>
      <xdr:rowOff>105832</xdr:rowOff>
    </xdr:from>
    <xdr:to>
      <xdr:col>1</xdr:col>
      <xdr:colOff>296334</xdr:colOff>
      <xdr:row>43</xdr:row>
      <xdr:rowOff>105832</xdr:rowOff>
    </xdr:to>
    <xdr:sp macro="" textlink="">
      <xdr:nvSpPr>
        <xdr:cNvPr id="36" name="Flèche : bas 4">
          <a:extLst>
            <a:ext uri="{FF2B5EF4-FFF2-40B4-BE49-F238E27FC236}">
              <a16:creationId xmlns:a16="http://schemas.microsoft.com/office/drawing/2014/main" id="{CE97A17B-FB6F-4E57-A9B2-C93B3ACFE19F}"/>
            </a:ext>
          </a:extLst>
        </xdr:cNvPr>
        <xdr:cNvSpPr txBox="1"/>
      </xdr:nvSpPr>
      <xdr:spPr>
        <a:xfrm>
          <a:off x="592667" y="6201832"/>
          <a:ext cx="1354667" cy="1111250"/>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rgbClr val="006600"/>
              </a:solidFill>
            </a:rPr>
            <a:t>+ 0,9 %</a:t>
          </a:r>
        </a:p>
        <a:p>
          <a:pPr marL="0" lvl="0" indent="0" algn="ctr" defTabSz="533400">
            <a:lnSpc>
              <a:spcPct val="90000"/>
            </a:lnSpc>
            <a:spcBef>
              <a:spcPct val="0"/>
            </a:spcBef>
            <a:spcAft>
              <a:spcPct val="35000"/>
            </a:spcAft>
            <a:buNone/>
          </a:pPr>
          <a:r>
            <a:rPr lang="fr-FR" sz="1400" b="1" kern="1200">
              <a:solidFill>
                <a:srgbClr val="006600"/>
              </a:solidFill>
            </a:rPr>
            <a:t>Actifs cotisants</a:t>
          </a:r>
        </a:p>
      </xdr:txBody>
    </xdr:sp>
    <xdr:clientData/>
  </xdr:twoCellAnchor>
  <xdr:twoCellAnchor>
    <xdr:from>
      <xdr:col>3</xdr:col>
      <xdr:colOff>194733</xdr:colOff>
      <xdr:row>46</xdr:row>
      <xdr:rowOff>46567</xdr:rowOff>
    </xdr:from>
    <xdr:to>
      <xdr:col>5</xdr:col>
      <xdr:colOff>25400</xdr:colOff>
      <xdr:row>53</xdr:row>
      <xdr:rowOff>46567</xdr:rowOff>
    </xdr:to>
    <xdr:sp macro="" textlink="">
      <xdr:nvSpPr>
        <xdr:cNvPr id="37" name="Flèche : bas 4">
          <a:extLst>
            <a:ext uri="{FF2B5EF4-FFF2-40B4-BE49-F238E27FC236}">
              <a16:creationId xmlns:a16="http://schemas.microsoft.com/office/drawing/2014/main" id="{B9FF25DA-9357-49ED-BA9C-BE7E7C6F73EF}"/>
            </a:ext>
          </a:extLst>
        </xdr:cNvPr>
        <xdr:cNvSpPr txBox="1"/>
      </xdr:nvSpPr>
      <xdr:spPr>
        <a:xfrm>
          <a:off x="4025900" y="7730067"/>
          <a:ext cx="1354667" cy="1111250"/>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rgbClr val="CC6600"/>
              </a:solidFill>
            </a:rPr>
            <a:t>- 1,6 %</a:t>
          </a:r>
        </a:p>
        <a:p>
          <a:pPr marL="0" lvl="0" indent="0" algn="ctr" defTabSz="533400">
            <a:lnSpc>
              <a:spcPct val="90000"/>
            </a:lnSpc>
            <a:spcBef>
              <a:spcPct val="0"/>
            </a:spcBef>
            <a:spcAft>
              <a:spcPct val="35000"/>
            </a:spcAft>
            <a:buNone/>
          </a:pPr>
          <a:r>
            <a:rPr lang="fr-FR" sz="1400" b="1" kern="1200">
              <a:solidFill>
                <a:srgbClr val="CC6600"/>
              </a:solidFill>
            </a:rPr>
            <a:t>Bénéficiaires d'un avantage retraite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134744</xdr:colOff>
      <xdr:row>26</xdr:row>
      <xdr:rowOff>54674</xdr:rowOff>
    </xdr:from>
    <xdr:to>
      <xdr:col>17</xdr:col>
      <xdr:colOff>751417</xdr:colOff>
      <xdr:row>46</xdr:row>
      <xdr:rowOff>31750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304871</xdr:colOff>
      <xdr:row>49</xdr:row>
      <xdr:rowOff>52797</xdr:rowOff>
    </xdr:from>
    <xdr:to>
      <xdr:col>17</xdr:col>
      <xdr:colOff>587856</xdr:colOff>
      <xdr:row>69</xdr:row>
      <xdr:rowOff>85628</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254001</xdr:colOff>
      <xdr:row>3</xdr:row>
      <xdr:rowOff>52917</xdr:rowOff>
    </xdr:from>
    <xdr:to>
      <xdr:col>18</xdr:col>
      <xdr:colOff>200025</xdr:colOff>
      <xdr:row>20</xdr:row>
      <xdr:rowOff>28575</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761999</xdr:colOff>
      <xdr:row>0</xdr:row>
      <xdr:rowOff>485774</xdr:rowOff>
    </xdr:from>
    <xdr:to>
      <xdr:col>16</xdr:col>
      <xdr:colOff>733425</xdr:colOff>
      <xdr:row>20</xdr:row>
      <xdr:rowOff>19049</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25</xdr:row>
      <xdr:rowOff>66676</xdr:rowOff>
    </xdr:from>
    <xdr:to>
      <xdr:col>17</xdr:col>
      <xdr:colOff>9525</xdr:colOff>
      <xdr:row>45</xdr:row>
      <xdr:rowOff>47626</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xdr:rowOff>
    </xdr:from>
    <xdr:to>
      <xdr:col>6</xdr:col>
      <xdr:colOff>309339</xdr:colOff>
      <xdr:row>57</xdr:row>
      <xdr:rowOff>104776</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203488</xdr:colOff>
      <xdr:row>50</xdr:row>
      <xdr:rowOff>123825</xdr:rowOff>
    </xdr:from>
    <xdr:to>
      <xdr:col>22</xdr:col>
      <xdr:colOff>152401</xdr:colOff>
      <xdr:row>69</xdr:row>
      <xdr:rowOff>133350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3</xdr:row>
      <xdr:rowOff>0</xdr:rowOff>
    </xdr:from>
    <xdr:to>
      <xdr:col>18</xdr:col>
      <xdr:colOff>304576</xdr:colOff>
      <xdr:row>22</xdr:row>
      <xdr:rowOff>95251</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27</xdr:row>
      <xdr:rowOff>123825</xdr:rowOff>
    </xdr:from>
    <xdr:to>
      <xdr:col>18</xdr:col>
      <xdr:colOff>323626</xdr:colOff>
      <xdr:row>45</xdr:row>
      <xdr:rowOff>38101</xdr:rowOff>
    </xdr:to>
    <xdr:graphicFrame macro="">
      <xdr:nvGraphicFramePr>
        <xdr:cNvPr id="5" name="Graphique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840051</xdr:colOff>
      <xdr:row>62</xdr:row>
      <xdr:rowOff>103188</xdr:rowOff>
    </xdr:from>
    <xdr:to>
      <xdr:col>15</xdr:col>
      <xdr:colOff>750093</xdr:colOff>
      <xdr:row>81</xdr:row>
      <xdr:rowOff>119060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115092</xdr:rowOff>
    </xdr:from>
    <xdr:to>
      <xdr:col>7</xdr:col>
      <xdr:colOff>345280</xdr:colOff>
      <xdr:row>81</xdr:row>
      <xdr:rowOff>107155</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21166</xdr:colOff>
      <xdr:row>4</xdr:row>
      <xdr:rowOff>137584</xdr:rowOff>
    </xdr:from>
    <xdr:to>
      <xdr:col>16</xdr:col>
      <xdr:colOff>42334</xdr:colOff>
      <xdr:row>19</xdr:row>
      <xdr:rowOff>21167</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4_2024-2028/3%20-%20EFFECTIFS/2%20-%20ETE/TCDC_PREVISIONS_EFFECTIFS_2024-2028_SA_juillet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5_2025-2029/3%20-%20EFFECTIFS/2%20-%20JUILLET/TCDC_PREVISIONS_EFFECTIFS_2025-2029_SA_JUILLET_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4_2024-2028/2%20-%20MAQUETTES%20DE%20DONNEES/2%20-%20JUILLET%202024/2_RELECTURE/Maquette_Pr&#233;visions%202024-2028_FAMILLE_SA_N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5_2025-2029/2%20-%20MAQUETTES%20DE%20DONNEES/2%20-%20JUILLET%202025/2_RELECTURE/RELU/Maquette_Pr&#233;visions%202025-2029_FAMILLE_SA_vuN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CHANGES\MEFC_SDFT\TCDC\Pr&#233;visions_2025-2029\TCDC_PREVISIONS_2025-2029_SA%20CCSS%20Octobr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CHANGES\MEFC_SDFT\TCDC\Pr&#233;visions_2022-2026\TCDC_PREVISIONS_2022-2026_SA_CCSS%20SEPTEMBRE%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s>
    <sheetDataSet>
      <sheetData sheetId="0">
        <row r="10">
          <cell r="N10">
            <v>1942318</v>
          </cell>
          <cell r="P10">
            <v>1945441</v>
          </cell>
        </row>
        <row r="16">
          <cell r="N16">
            <v>2288162</v>
          </cell>
          <cell r="P16">
            <v>2243317</v>
          </cell>
        </row>
        <row r="20">
          <cell r="N20">
            <v>29805</v>
          </cell>
          <cell r="P20">
            <v>30268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s>
    <sheetDataSet>
      <sheetData sheetId="0">
        <row r="10">
          <cell r="R10">
            <v>1952742</v>
          </cell>
          <cell r="T10">
            <v>1960553.2307445146</v>
          </cell>
          <cell r="V10">
            <v>1966434.8675145146</v>
          </cell>
          <cell r="X10">
            <v>1972334.5785661514</v>
          </cell>
          <cell r="Z10">
            <v>1976279.2223332974</v>
          </cell>
          <cell r="AB10">
            <v>1980232.1880082833</v>
          </cell>
        </row>
        <row r="16">
          <cell r="R16">
            <v>2199236</v>
          </cell>
          <cell r="T16">
            <v>2161600</v>
          </cell>
          <cell r="V16">
            <v>2127506</v>
          </cell>
          <cell r="X16">
            <v>2097999</v>
          </cell>
          <cell r="Z16">
            <v>2061613</v>
          </cell>
          <cell r="AB16">
            <v>2025173</v>
          </cell>
        </row>
        <row r="20">
          <cell r="R20">
            <v>31039</v>
          </cell>
          <cell r="T20">
            <v>31696.358102124173</v>
          </cell>
          <cell r="V20">
            <v>32176.368480861991</v>
          </cell>
          <cell r="X20">
            <v>32674.455593363775</v>
          </cell>
          <cell r="Z20">
            <v>33190.203012698847</v>
          </cell>
          <cell r="AB20">
            <v>33721.763921831611</v>
          </cell>
        </row>
        <row r="22">
          <cell r="N22">
            <v>737934</v>
          </cell>
          <cell r="P22">
            <v>758344</v>
          </cell>
          <cell r="R22">
            <v>763788</v>
          </cell>
          <cell r="T22">
            <v>771726</v>
          </cell>
          <cell r="V22">
            <v>780468</v>
          </cell>
          <cell r="X22">
            <v>786923</v>
          </cell>
          <cell r="Z22">
            <v>793408</v>
          </cell>
          <cell r="AB22">
            <v>799871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Famille SA - 1"/>
      <sheetName val="Famille SA - 2"/>
      <sheetName val="Famille SA - 3 "/>
      <sheetName val="Famille SA - 4"/>
      <sheetName val="Chiffrages des mesures 2024"/>
      <sheetName val="HypothesesDemo"/>
    </sheetNames>
    <sheetDataSet>
      <sheetData sheetId="0"/>
      <sheetData sheetId="1">
        <row r="15">
          <cell r="B15">
            <v>151837</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Famille SA - 1"/>
      <sheetName val="Famille SA - 2"/>
      <sheetName val="Famille SA - 3 "/>
      <sheetName val="Famille SA - 4"/>
      <sheetName val="Chiffrages des mesures 2025"/>
      <sheetName val="HypothesesDemo"/>
    </sheetNames>
    <sheetDataSet>
      <sheetData sheetId="0"/>
      <sheetData sheetId="1">
        <row r="15">
          <cell r="B15">
            <v>148998</v>
          </cell>
          <cell r="C15">
            <v>145416</v>
          </cell>
          <cell r="D15">
            <v>142749</v>
          </cell>
          <cell r="E15">
            <v>139840</v>
          </cell>
          <cell r="F15">
            <v>137133</v>
          </cell>
          <cell r="G15">
            <v>134408</v>
          </cell>
          <cell r="H15">
            <v>131772</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prévisions DCF"/>
      <sheetName val="Maladie"/>
      <sheetName val="AT"/>
      <sheetName val="Famille"/>
      <sheetName val="Vieillesse"/>
      <sheetName val="SASPA"/>
      <sheetName val="Feuil1"/>
      <sheetName val="Prev Cot Exo 2024"/>
      <sheetName val="Prev Cot Exo 2022"/>
      <sheetName val="Prev Cot Exo (2)"/>
      <sheetName val="Prev Cot Exo"/>
      <sheetName val="Solde Cot Exo"/>
      <sheetName val="Prev Cot Exo 2023"/>
      <sheetName val="Hypotheses"/>
      <sheetName val="allégts gén 2024"/>
      <sheetName val="allégts généraux 2023"/>
      <sheetName val="allégts généraux 2023 old"/>
      <sheetName val="allégts généraux 2022"/>
      <sheetName val="allégts généraux 2021"/>
      <sheetName val="allégts généraux 2020"/>
      <sheetName val="allégts généraux 2019"/>
      <sheetName val="PàR2021"/>
      <sheetName val="PàR2020"/>
      <sheetName val="PàR2019"/>
      <sheetName val="PàR2018"/>
      <sheetName val="allégts généraux 2018"/>
      <sheetName val="allégts généraux 2017"/>
      <sheetName val="recettes"/>
      <sheetName val="compens"/>
      <sheetName val="Contribution RG"/>
      <sheetName val="Synthese"/>
      <sheetName val="Soldes Tech Gest"/>
      <sheetName val="Resultat NSA+SA"/>
      <sheetName val="Commentaire"/>
      <sheetName val="CPSS"/>
    </sheetNames>
    <sheetDataSet>
      <sheetData sheetId="0"/>
      <sheetData sheetId="1">
        <row r="6">
          <cell r="H6">
            <v>6137.2472051500008</v>
          </cell>
          <cell r="I6">
            <v>6293.6637514799995</v>
          </cell>
          <cell r="R6">
            <v>6477.6755286877024</v>
          </cell>
          <cell r="W6">
            <v>6704.9396173481819</v>
          </cell>
          <cell r="AB6">
            <v>6992.0216149166044</v>
          </cell>
          <cell r="AG6">
            <v>7286.3415456999337</v>
          </cell>
          <cell r="AL6">
            <v>7607.1297545954249</v>
          </cell>
        </row>
        <row r="10">
          <cell r="G10">
            <v>5028.3106068300012</v>
          </cell>
          <cell r="H10">
            <v>5134.0496223500004</v>
          </cell>
          <cell r="I10">
            <v>5306.8196092999988</v>
          </cell>
          <cell r="R10">
            <v>5469.8720079719387</v>
          </cell>
          <cell r="W10">
            <v>5666.713747875935</v>
          </cell>
          <cell r="AB10">
            <v>5918.281856591545</v>
          </cell>
          <cell r="AG10">
            <v>6176.3964518339844</v>
          </cell>
          <cell r="AL10">
            <v>6458.9132696539127</v>
          </cell>
        </row>
        <row r="71">
          <cell r="G71">
            <v>315.41880156000002</v>
          </cell>
          <cell r="H71">
            <v>227.24444053000002</v>
          </cell>
          <cell r="I71">
            <v>222.51970777999998</v>
          </cell>
          <cell r="R71">
            <v>220.67781376448315</v>
          </cell>
          <cell r="W71">
            <v>225.78769517592571</v>
          </cell>
          <cell r="AB71">
            <v>232.93899224252971</v>
          </cell>
          <cell r="AG71">
            <v>240.37848374191489</v>
          </cell>
          <cell r="AL71">
            <v>248.0768884303709</v>
          </cell>
        </row>
        <row r="91">
          <cell r="G91">
            <v>11.770554090000001</v>
          </cell>
          <cell r="H91">
            <v>14.642937279999998</v>
          </cell>
          <cell r="I91">
            <v>10.67649915</v>
          </cell>
          <cell r="R91">
            <v>11.462422273768373</v>
          </cell>
          <cell r="W91">
            <v>12.021154360720878</v>
          </cell>
          <cell r="AB91">
            <v>12.613474544055171</v>
          </cell>
          <cell r="AG91">
            <v>13.178217436544406</v>
          </cell>
          <cell r="AL91">
            <v>13.785704890289292</v>
          </cell>
        </row>
        <row r="103">
          <cell r="G103">
            <v>409.12918354000004</v>
          </cell>
          <cell r="H103">
            <v>391.09024434000003</v>
          </cell>
          <cell r="I103">
            <v>389.39132769999998</v>
          </cell>
          <cell r="R103">
            <v>411.86961780179661</v>
          </cell>
          <cell r="W103">
            <v>433.33544990022727</v>
          </cell>
          <cell r="AB103">
            <v>457.69161385821945</v>
          </cell>
          <cell r="AG103">
            <v>482.34383158162905</v>
          </cell>
          <cell r="AL103">
            <v>508.6163712133872</v>
          </cell>
        </row>
        <row r="132">
          <cell r="G132">
            <v>0.44203855999999997</v>
          </cell>
          <cell r="H132">
            <v>2.0393311499999998</v>
          </cell>
          <cell r="I132">
            <v>0.98681452000000003</v>
          </cell>
          <cell r="R132">
            <v>0.96747743175135614</v>
          </cell>
          <cell r="W132">
            <v>0.97135654457574916</v>
          </cell>
          <cell r="AB132">
            <v>0.9757664018862533</v>
          </cell>
          <cell r="AG132">
            <v>0.98075438909430779</v>
          </cell>
          <cell r="AL132">
            <v>0.98637227387455062</v>
          </cell>
        </row>
        <row r="138">
          <cell r="G138">
            <v>341.52975994999997</v>
          </cell>
          <cell r="H138">
            <v>368.18062950000001</v>
          </cell>
          <cell r="I138">
            <v>363.26979303000002</v>
          </cell>
          <cell r="R138">
            <v>362.82618944396432</v>
          </cell>
          <cell r="W138">
            <v>366.11021349079806</v>
          </cell>
          <cell r="AB138">
            <v>369.51991127836982</v>
          </cell>
          <cell r="AG138">
            <v>373.0638067167659</v>
          </cell>
          <cell r="AL138">
            <v>376.7511481335896</v>
          </cell>
        </row>
        <row r="145">
          <cell r="G145">
            <v>0</v>
          </cell>
          <cell r="H145">
            <v>0</v>
          </cell>
          <cell r="I145">
            <v>0</v>
          </cell>
          <cell r="R145"/>
          <cell r="W145"/>
        </row>
        <row r="153">
          <cell r="H153">
            <v>6137.2472051499999</v>
          </cell>
          <cell r="I153">
            <v>6293.6637514799995</v>
          </cell>
          <cell r="R153">
            <v>6477.6755286877014</v>
          </cell>
          <cell r="W153">
            <v>6704.9396173481819</v>
          </cell>
          <cell r="AB153">
            <v>6992.0216149166054</v>
          </cell>
          <cell r="AG153">
            <v>7286.3415456999337</v>
          </cell>
          <cell r="AL153">
            <v>7607.1297545954249</v>
          </cell>
        </row>
        <row r="158">
          <cell r="H158">
            <v>1718.7206791599999</v>
          </cell>
          <cell r="I158">
            <v>1816.51448605</v>
          </cell>
          <cell r="R158">
            <v>1980.0427978314967</v>
          </cell>
          <cell r="W158">
            <v>2114.2320305798248</v>
          </cell>
          <cell r="AB158">
            <v>2238.9139781236968</v>
          </cell>
          <cell r="AG158">
            <v>2360.2095018033783</v>
          </cell>
          <cell r="AL158">
            <v>2485.153634779183</v>
          </cell>
        </row>
        <row r="175">
          <cell r="H175">
            <v>144.67077606999999</v>
          </cell>
          <cell r="I175">
            <v>150.64253909999999</v>
          </cell>
          <cell r="R175">
            <v>152.27849344431809</v>
          </cell>
          <cell r="W175">
            <v>154.89618194841896</v>
          </cell>
          <cell r="AB175">
            <v>159.13478549226068</v>
          </cell>
          <cell r="AG175">
            <v>167.34732407427597</v>
          </cell>
          <cell r="AL175">
            <v>172.32374636611269</v>
          </cell>
        </row>
        <row r="194">
          <cell r="H194">
            <v>1134.8043451599999</v>
          </cell>
          <cell r="I194">
            <v>1091.62434966</v>
          </cell>
          <cell r="R194">
            <v>1185.9191944229733</v>
          </cell>
          <cell r="W194">
            <v>1225.9465337160134</v>
          </cell>
          <cell r="AB194">
            <v>1262.5672786542589</v>
          </cell>
          <cell r="AG194">
            <v>1299.6041826820579</v>
          </cell>
          <cell r="AL194">
            <v>1337.0258633065077</v>
          </cell>
        </row>
        <row r="199">
          <cell r="H199">
            <v>0</v>
          </cell>
          <cell r="I199">
            <v>0</v>
          </cell>
          <cell r="R199">
            <v>0</v>
          </cell>
          <cell r="W199">
            <v>0</v>
          </cell>
          <cell r="AB199">
            <v>0</v>
          </cell>
          <cell r="AG199">
            <v>0</v>
          </cell>
          <cell r="AL199">
            <v>0</v>
          </cell>
        </row>
        <row r="256">
          <cell r="H256">
            <v>2589.8622132199998</v>
          </cell>
          <cell r="I256">
            <v>2677.45939438</v>
          </cell>
          <cell r="R256">
            <v>2608.4130858157359</v>
          </cell>
          <cell r="W256">
            <v>2639.5268795098223</v>
          </cell>
          <cell r="AB256">
            <v>2741.4975939817814</v>
          </cell>
          <cell r="AG256">
            <v>2846.380491416573</v>
          </cell>
          <cell r="AL256">
            <v>2975.693833246467</v>
          </cell>
        </row>
        <row r="272">
          <cell r="H272">
            <v>390.00126245999996</v>
          </cell>
          <cell r="I272">
            <v>394.09661204999998</v>
          </cell>
          <cell r="R272">
            <v>389.35843769999997</v>
          </cell>
          <cell r="W272">
            <v>411.84632115568638</v>
          </cell>
          <cell r="AB272">
            <v>433.31805651036007</v>
          </cell>
          <cell r="AG272">
            <v>457.67712500205431</v>
          </cell>
          <cell r="AL272">
            <v>482.33299678549349</v>
          </cell>
        </row>
      </sheetData>
      <sheetData sheetId="2">
        <row r="6">
          <cell r="H6">
            <v>766.76793252999994</v>
          </cell>
          <cell r="I6">
            <v>789.59321995000005</v>
          </cell>
          <cell r="R6">
            <v>810.7490663631288</v>
          </cell>
          <cell r="W6">
            <v>838.88803468435356</v>
          </cell>
          <cell r="AB6">
            <v>861.01224208563576</v>
          </cell>
          <cell r="AG6">
            <v>887.46561786895973</v>
          </cell>
          <cell r="AL6">
            <v>914.06593977328225</v>
          </cell>
        </row>
        <row r="10">
          <cell r="G10">
            <v>593.00804479999999</v>
          </cell>
          <cell r="H10">
            <v>617.05188923999992</v>
          </cell>
          <cell r="I10">
            <v>625.26974294000001</v>
          </cell>
          <cell r="R10">
            <v>646.40184958045279</v>
          </cell>
          <cell r="W10">
            <v>667.54673684416684</v>
          </cell>
          <cell r="AB10">
            <v>690.18252399309461</v>
          </cell>
          <cell r="AG10">
            <v>713.05418934187276</v>
          </cell>
          <cell r="AL10">
            <v>736.04405396573191</v>
          </cell>
        </row>
        <row r="37">
          <cell r="G37">
            <v>7.8779610400000006</v>
          </cell>
          <cell r="H37">
            <v>9.2331422300000003</v>
          </cell>
          <cell r="I37">
            <v>16.636238989999999</v>
          </cell>
          <cell r="R37">
            <v>13.920740957073319</v>
          </cell>
          <cell r="W37">
            <v>17.533542634146642</v>
          </cell>
          <cell r="AB37">
            <v>13.696444311219958</v>
          </cell>
          <cell r="AG37">
            <v>13.948445988293278</v>
          </cell>
          <cell r="AL37">
            <v>14.164047665366597</v>
          </cell>
        </row>
        <row r="44">
          <cell r="G44">
            <v>4.1528955300000003</v>
          </cell>
          <cell r="H44">
            <v>6.1640813000000003</v>
          </cell>
          <cell r="I44">
            <v>4.3827734000000005</v>
          </cell>
          <cell r="R44">
            <v>4.4556300533774369</v>
          </cell>
          <cell r="W44">
            <v>4.6057755311040136</v>
          </cell>
          <cell r="AB44">
            <v>4.7446504695469631</v>
          </cell>
          <cell r="AG44">
            <v>4.8831395063746665</v>
          </cell>
          <cell r="AL44">
            <v>5.0245109746525793</v>
          </cell>
        </row>
        <row r="56">
          <cell r="G56">
            <v>84.290724920000002</v>
          </cell>
          <cell r="H56">
            <v>83.46501302999998</v>
          </cell>
          <cell r="I56">
            <v>86.787249630000005</v>
          </cell>
          <cell r="R56">
            <v>89.458254863121638</v>
          </cell>
          <cell r="W56">
            <v>92.169970783948642</v>
          </cell>
          <cell r="AB56">
            <v>94.818608747249073</v>
          </cell>
          <cell r="AG56">
            <v>97.452016192402752</v>
          </cell>
          <cell r="AL56">
            <v>100.12656023167602</v>
          </cell>
        </row>
        <row r="75">
          <cell r="G75">
            <v>2.3008533399999997</v>
          </cell>
          <cell r="H75">
            <v>0.17364387000000001</v>
          </cell>
          <cell r="I75">
            <v>9.6461110000000003E-2</v>
          </cell>
          <cell r="R75">
            <v>9.6461110000000003E-2</v>
          </cell>
          <cell r="W75">
            <v>9.6461110000000003E-2</v>
          </cell>
          <cell r="AB75">
            <v>9.6461110000000003E-2</v>
          </cell>
          <cell r="AG75">
            <v>9.6461110000000003E-2</v>
          </cell>
          <cell r="AL75">
            <v>9.6461110000000003E-2</v>
          </cell>
        </row>
        <row r="81">
          <cell r="G81">
            <v>49.339755529999998</v>
          </cell>
          <cell r="H81">
            <v>50.680162860000003</v>
          </cell>
          <cell r="I81">
            <v>56.420753879999992</v>
          </cell>
          <cell r="R81">
            <v>56.416129799103558</v>
          </cell>
          <cell r="W81">
            <v>56.935547780987463</v>
          </cell>
          <cell r="AB81">
            <v>57.473553454525202</v>
          </cell>
          <cell r="AG81">
            <v>58.031365730016304</v>
          </cell>
          <cell r="AL81">
            <v>58.610305825855178</v>
          </cell>
        </row>
        <row r="87">
          <cell r="G87">
            <v>0</v>
          </cell>
          <cell r="H87">
            <v>0</v>
          </cell>
          <cell r="I87">
            <v>0</v>
          </cell>
          <cell r="R87"/>
          <cell r="W87"/>
          <cell r="AB87"/>
          <cell r="AG87"/>
          <cell r="AL87"/>
        </row>
        <row r="95">
          <cell r="H95">
            <v>827.33309961999987</v>
          </cell>
          <cell r="I95">
            <v>825.99940177999986</v>
          </cell>
          <cell r="R95">
            <v>847.1676243721995</v>
          </cell>
          <cell r="W95">
            <v>873.53786251251131</v>
          </cell>
          <cell r="AB95">
            <v>899.57987967854115</v>
          </cell>
          <cell r="AG95">
            <v>926.77942769353899</v>
          </cell>
          <cell r="AL95">
            <v>954.08662046066195</v>
          </cell>
        </row>
        <row r="100">
          <cell r="H100">
            <v>527.6335978699999</v>
          </cell>
          <cell r="I100">
            <v>537.76405104999992</v>
          </cell>
          <cell r="R100">
            <v>558.22157826637499</v>
          </cell>
          <cell r="W100">
            <v>574.97901304413813</v>
          </cell>
          <cell r="AB100">
            <v>592.03025311033093</v>
          </cell>
          <cell r="AG100">
            <v>608.98937175913932</v>
          </cell>
          <cell r="AL100">
            <v>626.34465186726811</v>
          </cell>
        </row>
        <row r="109">
          <cell r="H109">
            <v>22.429495890000002</v>
          </cell>
          <cell r="I109">
            <v>18.595659779999995</v>
          </cell>
          <cell r="R109">
            <v>20.098544630114692</v>
          </cell>
          <cell r="W109">
            <v>20.808547488799213</v>
          </cell>
          <cell r="AB109">
            <v>21.595275335875584</v>
          </cell>
          <cell r="AG109">
            <v>22.677451769368687</v>
          </cell>
          <cell r="AL109">
            <v>23.551514819170734</v>
          </cell>
        </row>
        <row r="140">
          <cell r="H140">
            <v>18.156489730000001</v>
          </cell>
          <cell r="I140">
            <v>15.96992283</v>
          </cell>
          <cell r="R140">
            <v>6.8022549999999997</v>
          </cell>
          <cell r="W140">
            <v>7.0675429449999996</v>
          </cell>
          <cell r="AB140">
            <v>7.2693276357001073</v>
          </cell>
          <cell r="AG140">
            <v>7.4846862376324887</v>
          </cell>
          <cell r="AL140">
            <v>7.7057564582195788</v>
          </cell>
        </row>
        <row r="220">
          <cell r="H220">
            <v>84.503835580000015</v>
          </cell>
          <cell r="I220">
            <v>83.63609941</v>
          </cell>
          <cell r="R220">
            <v>86.787249629999991</v>
          </cell>
          <cell r="W220">
            <v>89.423774177234449</v>
          </cell>
          <cell r="AB220">
            <v>92.153740346865675</v>
          </cell>
          <cell r="AG220">
            <v>94.85326444975145</v>
          </cell>
          <cell r="AL220">
            <v>97.442865513056404</v>
          </cell>
        </row>
      </sheetData>
      <sheetData sheetId="3">
        <row r="6">
          <cell r="H6">
            <v>981.95520630999999</v>
          </cell>
          <cell r="I6">
            <v>990.55856647999997</v>
          </cell>
          <cell r="R6">
            <v>991.12770663063793</v>
          </cell>
          <cell r="W6">
            <v>1006.7071715161514</v>
          </cell>
          <cell r="AB6">
            <v>1043.4838421464328</v>
          </cell>
          <cell r="AG6">
            <v>1081.5850628658939</v>
          </cell>
          <cell r="AL6">
            <v>1120.6003879291436</v>
          </cell>
        </row>
        <row r="10">
          <cell r="G10">
            <v>771.56760064000002</v>
          </cell>
          <cell r="H10">
            <v>715.24798183999997</v>
          </cell>
          <cell r="I10">
            <v>736.26927056</v>
          </cell>
          <cell r="R10">
            <v>733.91567713151233</v>
          </cell>
          <cell r="W10">
            <v>731.69603493117506</v>
          </cell>
          <cell r="AB10">
            <v>731.69561629582518</v>
          </cell>
          <cell r="AG10">
            <v>736.13832812133319</v>
          </cell>
          <cell r="AL10">
            <v>742.50989710701413</v>
          </cell>
        </row>
        <row r="52">
          <cell r="G52">
            <v>0.61799999999999999</v>
          </cell>
          <cell r="H52">
            <v>0.64</v>
          </cell>
          <cell r="I52">
            <v>0.64</v>
          </cell>
          <cell r="R52">
            <v>0.64</v>
          </cell>
          <cell r="W52">
            <v>14.4563560053522</v>
          </cell>
          <cell r="AB52">
            <v>47.392866169924275</v>
          </cell>
          <cell r="AG52">
            <v>77.022086754160426</v>
          </cell>
          <cell r="AL52">
            <v>105.36650440211942</v>
          </cell>
        </row>
        <row r="53">
          <cell r="W53">
            <v>13.816356005352199</v>
          </cell>
          <cell r="AB53">
            <v>46.752866169924275</v>
          </cell>
          <cell r="AG53">
            <v>76.382086754160426</v>
          </cell>
          <cell r="AL53">
            <v>104.72650440211942</v>
          </cell>
        </row>
        <row r="56">
          <cell r="G56">
            <v>6.51325033</v>
          </cell>
          <cell r="H56">
            <v>7.5952208299999997</v>
          </cell>
          <cell r="I56">
            <v>7.0850898199999985</v>
          </cell>
          <cell r="R56">
            <v>7.6105600388850743</v>
          </cell>
          <cell r="W56">
            <v>7.9913166716596606</v>
          </cell>
          <cell r="AB56">
            <v>8.3251691943864223</v>
          </cell>
          <cell r="AG56">
            <v>8.6514684061389708</v>
          </cell>
          <cell r="AL56">
            <v>8.9979688529827602</v>
          </cell>
        </row>
        <row r="61">
          <cell r="G61">
            <v>60.295213629999992</v>
          </cell>
          <cell r="H61">
            <v>63.215545240000004</v>
          </cell>
          <cell r="I61">
            <v>61.142694120000002</v>
          </cell>
          <cell r="R61">
            <v>63.827966309755347</v>
          </cell>
          <cell r="W61">
            <v>65.767925991838467</v>
          </cell>
          <cell r="AB61">
            <v>67.547765254100369</v>
          </cell>
          <cell r="AG61">
            <v>69.454575301647893</v>
          </cell>
          <cell r="AL61">
            <v>71.537124801906117</v>
          </cell>
        </row>
        <row r="68">
          <cell r="G68">
            <v>0.26726557000000001</v>
          </cell>
          <cell r="H68">
            <v>1.2344350799999999</v>
          </cell>
          <cell r="I68">
            <v>0.56808773000000001</v>
          </cell>
          <cell r="R68">
            <v>0.56808773000000001</v>
          </cell>
          <cell r="W68">
            <v>0.56808773000000001</v>
          </cell>
          <cell r="AB68">
            <v>0.56808773000000001</v>
          </cell>
          <cell r="AG68">
            <v>0.56808773000000001</v>
          </cell>
          <cell r="AL68">
            <v>0.56808773000000001</v>
          </cell>
        </row>
        <row r="72">
          <cell r="G72">
            <v>184.25225839999999</v>
          </cell>
          <cell r="H72">
            <v>194.02202332000002</v>
          </cell>
          <cell r="I72">
            <v>184.85342424999999</v>
          </cell>
          <cell r="R72">
            <v>184.56541542048518</v>
          </cell>
          <cell r="W72">
            <v>186.22745018612619</v>
          </cell>
          <cell r="AB72">
            <v>187.95433750219661</v>
          </cell>
          <cell r="AG72">
            <v>189.75051655261331</v>
          </cell>
          <cell r="AL72">
            <v>191.62080503512124</v>
          </cell>
        </row>
        <row r="79">
          <cell r="G79">
            <v>0</v>
          </cell>
          <cell r="H79">
            <v>0</v>
          </cell>
          <cell r="I79">
            <v>0</v>
          </cell>
          <cell r="R79">
            <v>0</v>
          </cell>
          <cell r="W79">
            <v>0</v>
          </cell>
          <cell r="AB79">
            <v>0</v>
          </cell>
          <cell r="AG79">
            <v>0</v>
          </cell>
          <cell r="AL79">
            <v>0</v>
          </cell>
        </row>
        <row r="87">
          <cell r="H87">
            <v>981.95520630999999</v>
          </cell>
          <cell r="I87">
            <v>990.55856647999997</v>
          </cell>
          <cell r="R87">
            <v>991.12770663063782</v>
          </cell>
          <cell r="W87">
            <v>1006.7071715161517</v>
          </cell>
          <cell r="AB87">
            <v>1043.4838421464328</v>
          </cell>
          <cell r="AG87">
            <v>1081.5850628658939</v>
          </cell>
          <cell r="AL87">
            <v>1120.6003879291438</v>
          </cell>
        </row>
        <row r="92">
          <cell r="H92">
            <v>705.25293506999992</v>
          </cell>
          <cell r="I92">
            <v>742.87408088999996</v>
          </cell>
          <cell r="R92">
            <v>795.97136909478684</v>
          </cell>
          <cell r="W92">
            <v>835.79384953420367</v>
          </cell>
          <cell r="AB92">
            <v>870.71073452464111</v>
          </cell>
          <cell r="AG92">
            <v>904.83763569698567</v>
          </cell>
          <cell r="AL92">
            <v>941.07733864355248</v>
          </cell>
        </row>
        <row r="103">
          <cell r="H103">
            <v>75.800326829999989</v>
          </cell>
          <cell r="I103">
            <v>74.299346509999992</v>
          </cell>
          <cell r="R103">
            <v>77.849196793820639</v>
          </cell>
          <cell r="W103">
            <v>79.2421345309873</v>
          </cell>
          <cell r="AB103">
            <v>81.412168734170095</v>
          </cell>
          <cell r="AG103">
            <v>85.541346087701427</v>
          </cell>
          <cell r="AL103">
            <v>88.07219156683486</v>
          </cell>
        </row>
        <row r="122">
          <cell r="H122">
            <v>0</v>
          </cell>
          <cell r="I122">
            <v>0</v>
          </cell>
          <cell r="R122">
            <v>0</v>
          </cell>
          <cell r="W122">
            <v>0</v>
          </cell>
          <cell r="AB122">
            <v>0</v>
          </cell>
          <cell r="AG122">
            <v>0</v>
          </cell>
          <cell r="AL122">
            <v>0</v>
          </cell>
        </row>
        <row r="171">
          <cell r="H171">
            <v>22.085180659999999</v>
          </cell>
          <cell r="I171">
            <v>76.694160310000001</v>
          </cell>
          <cell r="R171">
            <v>25.72046308115182</v>
          </cell>
        </row>
        <row r="180">
          <cell r="H180">
            <v>60.295213629999992</v>
          </cell>
          <cell r="I180">
            <v>63.215545240000004</v>
          </cell>
          <cell r="R180">
            <v>61.142694120000002</v>
          </cell>
          <cell r="W180">
            <v>63.827966309755347</v>
          </cell>
          <cell r="AB180">
            <v>65.767925991838467</v>
          </cell>
          <cell r="AG180">
            <v>67.547765254100369</v>
          </cell>
          <cell r="AL180">
            <v>69.454575301647893</v>
          </cell>
        </row>
      </sheetData>
      <sheetData sheetId="4">
        <row r="6">
          <cell r="H6">
            <v>7234.5708767199994</v>
          </cell>
          <cell r="I6">
            <v>7750.1797332300011</v>
          </cell>
          <cell r="R6">
            <v>7896.6597101714915</v>
          </cell>
          <cell r="W6">
            <v>8087.1974085853371</v>
          </cell>
          <cell r="AB6">
            <v>8342.5805286315899</v>
          </cell>
          <cell r="AG6">
            <v>8617.0247544553094</v>
          </cell>
          <cell r="AL6">
            <v>8905.0599620090816</v>
          </cell>
        </row>
        <row r="10">
          <cell r="G10">
            <v>6499.3807921200005</v>
          </cell>
          <cell r="H10">
            <v>6815.5706679599989</v>
          </cell>
          <cell r="I10">
            <v>7349.1206674400009</v>
          </cell>
          <cell r="R10">
            <v>7581.7590663947731</v>
          </cell>
          <cell r="W10">
            <v>7764.7265454003673</v>
          </cell>
          <cell r="AB10">
            <v>8012.7895637878273</v>
          </cell>
          <cell r="AG10">
            <v>8279.8204685064011</v>
          </cell>
          <cell r="AL10">
            <v>8559.9947917070149</v>
          </cell>
        </row>
        <row r="54">
          <cell r="G54">
            <v>107.91984495</v>
          </cell>
          <cell r="H54">
            <v>97.43604741</v>
          </cell>
          <cell r="I54">
            <v>92.908344780000007</v>
          </cell>
          <cell r="R54">
            <v>0</v>
          </cell>
          <cell r="W54">
            <v>0</v>
          </cell>
          <cell r="AB54">
            <v>0</v>
          </cell>
          <cell r="AG54">
            <v>0</v>
          </cell>
          <cell r="AL54">
            <v>0</v>
          </cell>
        </row>
        <row r="60">
          <cell r="G60">
            <v>12.956246630000001</v>
          </cell>
          <cell r="H60">
            <v>14.96616875</v>
          </cell>
          <cell r="I60">
            <v>13.820899639999997</v>
          </cell>
          <cell r="R60">
            <v>14.37283603133098</v>
          </cell>
          <cell r="W60">
            <v>14.883739375311869</v>
          </cell>
          <cell r="AB60">
            <v>15.363032288539198</v>
          </cell>
          <cell r="AG60">
            <v>15.834553978090188</v>
          </cell>
          <cell r="AL60">
            <v>16.333554228752604</v>
          </cell>
        </row>
        <row r="72">
          <cell r="G72">
            <v>158.87089508</v>
          </cell>
          <cell r="H72">
            <v>191.40549885999997</v>
          </cell>
          <cell r="I72">
            <v>168.39361477</v>
          </cell>
          <cell r="R72">
            <v>174.79254935524244</v>
          </cell>
          <cell r="W72">
            <v>180.72118997844493</v>
          </cell>
          <cell r="AB72">
            <v>186.38710089644911</v>
          </cell>
          <cell r="AG72">
            <v>192.1067501619452</v>
          </cell>
          <cell r="AL72">
            <v>198.19594341332888</v>
          </cell>
        </row>
        <row r="84">
          <cell r="G84">
            <v>0.16864579000000002</v>
          </cell>
          <cell r="H84">
            <v>0.73243577999999998</v>
          </cell>
          <cell r="I84">
            <v>0.38614483999999999</v>
          </cell>
          <cell r="R84">
            <v>0.3785781528830231</v>
          </cell>
          <cell r="W84">
            <v>0.38009606664978435</v>
          </cell>
          <cell r="AB84">
            <v>0.38182166305224169</v>
          </cell>
          <cell r="AG84">
            <v>0.38377348420886115</v>
          </cell>
          <cell r="AL84">
            <v>0.38597178703683921</v>
          </cell>
        </row>
        <row r="88">
          <cell r="G88">
            <v>114.4501968</v>
          </cell>
          <cell r="H88">
            <v>114.46005796</v>
          </cell>
          <cell r="I88">
            <v>125.55006176000001</v>
          </cell>
          <cell r="R88">
            <v>125.35668023726214</v>
          </cell>
          <cell r="W88">
            <v>126.48583776456316</v>
          </cell>
          <cell r="AB88">
            <v>127.65900999572172</v>
          </cell>
          <cell r="AG88">
            <v>128.87920832466483</v>
          </cell>
          <cell r="AL88">
            <v>130.14970087294665</v>
          </cell>
        </row>
        <row r="95">
          <cell r="G95">
            <v>0</v>
          </cell>
          <cell r="H95">
            <v>0</v>
          </cell>
          <cell r="I95">
            <v>0</v>
          </cell>
          <cell r="R95"/>
          <cell r="W95"/>
          <cell r="AB95"/>
          <cell r="AG95"/>
          <cell r="AL95"/>
        </row>
        <row r="103">
          <cell r="H103">
            <v>7234.6103347100006</v>
          </cell>
          <cell r="I103">
            <v>7750.1797332300002</v>
          </cell>
          <cell r="R103">
            <v>7896.6597101714906</v>
          </cell>
          <cell r="W103">
            <v>8087.1974085853371</v>
          </cell>
          <cell r="AB103">
            <v>8342.5805286315881</v>
          </cell>
          <cell r="AG103">
            <v>8617.0247544553113</v>
          </cell>
          <cell r="AL103">
            <v>8905.0599620090816</v>
          </cell>
        </row>
        <row r="108">
          <cell r="H108">
            <v>3352.37812231</v>
          </cell>
          <cell r="I108">
            <v>3543.3168391900003</v>
          </cell>
          <cell r="R108">
            <v>3686.6225419720586</v>
          </cell>
          <cell r="W108">
            <v>3825.0958706280553</v>
          </cell>
          <cell r="AB108">
            <v>3948.5095868937119</v>
          </cell>
          <cell r="AG108">
            <v>4067.9693628136661</v>
          </cell>
          <cell r="AL108">
            <v>4194.5973265172679</v>
          </cell>
        </row>
        <row r="134">
          <cell r="H134">
            <v>240.55728690000001</v>
          </cell>
          <cell r="I134">
            <v>283.4381654</v>
          </cell>
          <cell r="R134">
            <v>280.37170181348608</v>
          </cell>
          <cell r="W134">
            <v>286.55827693280389</v>
          </cell>
          <cell r="AB134">
            <v>294.90278991749227</v>
          </cell>
          <cell r="AG134">
            <v>309.45600860585068</v>
          </cell>
          <cell r="AL134">
            <v>318.21737733399937</v>
          </cell>
        </row>
        <row r="153">
          <cell r="H153">
            <v>0</v>
          </cell>
          <cell r="I153">
            <v>0</v>
          </cell>
          <cell r="R153">
            <v>0</v>
          </cell>
          <cell r="W153">
            <v>0</v>
          </cell>
          <cell r="AB153">
            <v>0</v>
          </cell>
          <cell r="AG153">
            <v>0</v>
          </cell>
          <cell r="AL153">
            <v>0</v>
          </cell>
        </row>
        <row r="202">
          <cell r="H202">
            <v>2596.6026350000002</v>
          </cell>
          <cell r="I202">
            <v>2595.9372039999998</v>
          </cell>
          <cell r="R202">
            <v>2546.7981087956</v>
          </cell>
          <cell r="W202">
            <v>2509.4933539018471</v>
          </cell>
          <cell r="AB202">
            <v>2478.4316967900977</v>
          </cell>
          <cell r="AG202">
            <v>2449.1283110993359</v>
          </cell>
          <cell r="AL202">
            <v>2416.4186627475128</v>
          </cell>
        </row>
        <row r="209">
          <cell r="H209">
            <v>146.19300853999999</v>
          </cell>
          <cell r="I209">
            <v>420.71999957000003</v>
          </cell>
          <cell r="R209">
            <v>464.73369457572102</v>
          </cell>
          <cell r="W209">
            <v>503.65329925868099</v>
          </cell>
          <cell r="AB209">
            <v>626.3423205427423</v>
          </cell>
          <cell r="AG209">
            <v>765.64461832161078</v>
          </cell>
          <cell r="AL209">
            <v>910.48226845690851</v>
          </cell>
        </row>
        <row r="229">
          <cell r="H229">
            <v>158.78605741000001</v>
          </cell>
          <cell r="I229">
            <v>191.36642725999999</v>
          </cell>
          <cell r="R229">
            <v>168.38399546957982</v>
          </cell>
          <cell r="W229">
            <v>174.77215399019127</v>
          </cell>
          <cell r="AB229">
            <v>180.67980313583806</v>
          </cell>
          <cell r="AG229">
            <v>186.34608919107481</v>
          </cell>
          <cell r="AL229">
            <v>192.05585573132956</v>
          </cell>
        </row>
      </sheetData>
      <sheetData sheetId="5">
        <row r="6">
          <cell r="H6">
            <v>694.20683297999994</v>
          </cell>
          <cell r="I6">
            <v>753.27455806999978</v>
          </cell>
          <cell r="R6">
            <v>772.16320899903542</v>
          </cell>
          <cell r="W6">
            <v>785.43857801640775</v>
          </cell>
          <cell r="AB6">
            <v>789.36109361305978</v>
          </cell>
          <cell r="AG6">
            <v>811.58053880793341</v>
          </cell>
          <cell r="AL6">
            <v>830.66615148984363</v>
          </cell>
        </row>
        <row r="10">
          <cell r="G10">
            <v>655.85460454999998</v>
          </cell>
          <cell r="H10">
            <v>675.39227533999997</v>
          </cell>
          <cell r="I10">
            <v>714.56468964999988</v>
          </cell>
          <cell r="R10">
            <v>731.89101604201687</v>
          </cell>
          <cell r="W10">
            <v>739.12476426949559</v>
          </cell>
          <cell r="AB10">
            <v>748.76287964262849</v>
          </cell>
          <cell r="AG10">
            <v>764.14992134849319</v>
          </cell>
          <cell r="AL10">
            <v>782.27592626677369</v>
          </cell>
        </row>
        <row r="53">
          <cell r="G53">
            <v>0</v>
          </cell>
          <cell r="H53">
            <v>0</v>
          </cell>
          <cell r="I53">
            <v>0</v>
          </cell>
          <cell r="R53">
            <v>0.69354175240886207</v>
          </cell>
          <cell r="W53">
            <v>6.3720728543908294</v>
          </cell>
          <cell r="AB53">
            <v>0.17292677070717133</v>
          </cell>
          <cell r="AG53">
            <v>6.2337506297911318</v>
          </cell>
          <cell r="AL53">
            <v>6.2845570145040526</v>
          </cell>
        </row>
        <row r="59">
          <cell r="G59">
            <v>-6.1848300000000023E-3</v>
          </cell>
          <cell r="H59">
            <v>0.14516596000000001</v>
          </cell>
          <cell r="I59">
            <v>0.36093129999999995</v>
          </cell>
          <cell r="R59">
            <v>0.36969815299402897</v>
          </cell>
          <cell r="W59">
            <v>0.37336207678943428</v>
          </cell>
          <cell r="AB59">
            <v>0.37824152360416169</v>
          </cell>
          <cell r="AG59">
            <v>0.38602750337789582</v>
          </cell>
          <cell r="AL59">
            <v>0.39519818243700749</v>
          </cell>
        </row>
        <row r="71">
          <cell r="G71">
            <v>41.91202131</v>
          </cell>
          <cell r="H71">
            <v>18.66939168</v>
          </cell>
          <cell r="I71">
            <v>38.348937120000002</v>
          </cell>
          <cell r="R71">
            <v>39.208953051615552</v>
          </cell>
          <cell r="W71">
            <v>39.568378815731826</v>
          </cell>
          <cell r="AB71">
            <v>40.047045676119978</v>
          </cell>
          <cell r="AG71">
            <v>40.810839326271108</v>
          </cell>
          <cell r="AL71">
            <v>41.710470026128952</v>
          </cell>
        </row>
        <row r="102">
          <cell r="H102">
            <v>694.20683297999994</v>
          </cell>
          <cell r="I102">
            <v>753.27455807000001</v>
          </cell>
          <cell r="R102">
            <v>772.16320899903542</v>
          </cell>
          <cell r="W102">
            <v>785.43857801640786</v>
          </cell>
          <cell r="AB102">
            <v>789.36109361305989</v>
          </cell>
          <cell r="AG102">
            <v>811.58053880793329</v>
          </cell>
          <cell r="AL102">
            <v>830.66615148984363</v>
          </cell>
        </row>
        <row r="107">
          <cell r="H107">
            <v>0</v>
          </cell>
          <cell r="I107">
            <v>0</v>
          </cell>
          <cell r="R107">
            <v>0</v>
          </cell>
          <cell r="W107">
            <v>0</v>
          </cell>
          <cell r="AB107">
            <v>0</v>
          </cell>
          <cell r="AG107">
            <v>0</v>
          </cell>
          <cell r="AL107">
            <v>0</v>
          </cell>
        </row>
        <row r="152">
          <cell r="H152">
            <v>0</v>
          </cell>
          <cell r="I152">
            <v>0</v>
          </cell>
          <cell r="R152">
            <v>0</v>
          </cell>
          <cell r="W152">
            <v>0</v>
          </cell>
          <cell r="AB152">
            <v>0</v>
          </cell>
          <cell r="AG152">
            <v>0</v>
          </cell>
          <cell r="AL152">
            <v>0</v>
          </cell>
        </row>
        <row r="208">
          <cell r="H208">
            <v>0</v>
          </cell>
          <cell r="I208">
            <v>0</v>
          </cell>
          <cell r="R208">
            <v>5.6843418860808015E-14</v>
          </cell>
          <cell r="W208">
            <v>0</v>
          </cell>
          <cell r="AB208">
            <v>0</v>
          </cell>
          <cell r="AG208">
            <v>5.6843418860808015E-14</v>
          </cell>
          <cell r="AL208">
            <v>0</v>
          </cell>
        </row>
        <row r="228">
          <cell r="H228">
            <v>22.62901802</v>
          </cell>
          <cell r="I228">
            <v>40.224680360000001</v>
          </cell>
          <cell r="R228">
            <v>38.348937120000002</v>
          </cell>
          <cell r="W228">
            <v>39.208953051615552</v>
          </cell>
          <cell r="AB228">
            <v>39.568378815731826</v>
          </cell>
          <cell r="AG228">
            <v>40.047045676119978</v>
          </cell>
          <cell r="AL228">
            <v>40.810839326271108</v>
          </cell>
        </row>
      </sheetData>
      <sheetData sheetId="6"/>
      <sheetData sheetId="7">
        <row r="10">
          <cell r="N10">
            <v>601.75679587999991</v>
          </cell>
          <cell r="O10">
            <v>614.81689668000024</v>
          </cell>
          <cell r="P10">
            <v>617.89098116340017</v>
          </cell>
          <cell r="Q10">
            <v>1285.4320965157913</v>
          </cell>
          <cell r="R10">
            <v>1279.0049360332121</v>
          </cell>
          <cell r="S10">
            <v>1272.6099113530461</v>
          </cell>
          <cell r="T10">
            <v>1266.2468617962809</v>
          </cell>
        </row>
        <row r="19">
          <cell r="N19">
            <v>403.37206431999982</v>
          </cell>
          <cell r="O19">
            <v>411.71022593000009</v>
          </cell>
          <cell r="P19">
            <v>413.76877705965006</v>
          </cell>
          <cell r="Q19">
            <v>860.78561232132381</v>
          </cell>
          <cell r="R19">
            <v>856.48168425971699</v>
          </cell>
          <cell r="S19">
            <v>852.19927583841854</v>
          </cell>
          <cell r="T19">
            <v>847.93827945922658</v>
          </cell>
        </row>
        <row r="28">
          <cell r="N28">
            <v>199.02363040000003</v>
          </cell>
          <cell r="O28">
            <v>203.18721968999995</v>
          </cell>
          <cell r="P28">
            <v>204.20315578844992</v>
          </cell>
          <cell r="Q28">
            <v>424.81489237156075</v>
          </cell>
          <cell r="R28">
            <v>422.69081790970284</v>
          </cell>
          <cell r="S28">
            <v>420.57736382015435</v>
          </cell>
          <cell r="T28">
            <v>418.47447700105363</v>
          </cell>
        </row>
        <row r="40">
          <cell r="N40">
            <v>2.670698570000003</v>
          </cell>
          <cell r="O40">
            <v>2.3582390700000109</v>
          </cell>
          <cell r="P40">
            <v>2.3700302653500107</v>
          </cell>
          <cell r="Q40">
            <v>4.9305024117014833</v>
          </cell>
          <cell r="R40">
            <v>4.9058498996429751</v>
          </cell>
          <cell r="S40">
            <v>4.8813206501447608</v>
          </cell>
          <cell r="T40">
            <v>4.8569140468940377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die"/>
      <sheetName val="AT"/>
      <sheetName val="Famille"/>
      <sheetName val="Vieillesse"/>
      <sheetName val="SASPA"/>
      <sheetName val="Feuil1"/>
      <sheetName val="Prev Cot Exo"/>
      <sheetName val="Solde Cot Exo"/>
      <sheetName val="Hypotheses"/>
      <sheetName val="allégts généraux 2021"/>
      <sheetName val="allégts généraux 2020"/>
      <sheetName val="allégts généraux 2019"/>
      <sheetName val="PàR2021"/>
      <sheetName val="PàR2020"/>
      <sheetName val="PàR2019"/>
      <sheetName val="PàR2018"/>
      <sheetName val="allégts généraux 2018"/>
      <sheetName val="allégts généraux 2017"/>
      <sheetName val="recettes"/>
      <sheetName val="compens"/>
      <sheetName val="Contribution RG"/>
      <sheetName val="Synthese"/>
      <sheetName val="Soldes Tech Gest"/>
      <sheetName val="Resultat NSA+SA"/>
      <sheetName val="Commentaire"/>
      <sheetName val="CPSS"/>
    </sheetNames>
    <sheetDataSet>
      <sheetData sheetId="0">
        <row r="252">
          <cell r="H252">
            <v>2672.4198642800002</v>
          </cell>
        </row>
      </sheetData>
      <sheetData sheetId="1"/>
      <sheetData sheetId="2">
        <row r="171">
          <cell r="H171">
            <v>193.54892878000001</v>
          </cell>
        </row>
      </sheetData>
      <sheetData sheetId="3">
        <row r="54">
          <cell r="H54">
            <v>248.57770237</v>
          </cell>
        </row>
      </sheetData>
      <sheetData sheetId="4">
        <row r="208">
          <cell r="H208">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umanoir.newten@ccmsa.msa.fr" TargetMode="External"/><Relationship Id="rId2" Type="http://schemas.openxmlformats.org/officeDocument/2006/relationships/hyperlink" Target="mailto:foucaud.david@ccmsa.msa.fr" TargetMode="External"/><Relationship Id="rId1" Type="http://schemas.openxmlformats.org/officeDocument/2006/relationships/hyperlink" Target="mailto:joubert.nadia@ccmsa.msa.f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1477-3BC0-4C52-AF3D-DC6D4D2DD055}">
  <sheetPr>
    <tabColor rgb="FF002060"/>
  </sheetPr>
  <dimension ref="A1:AG161"/>
  <sheetViews>
    <sheetView showGridLines="0" tabSelected="1" workbookViewId="0">
      <selection activeCell="A4" sqref="A4:G4"/>
    </sheetView>
  </sheetViews>
  <sheetFormatPr baseColWidth="10" defaultRowHeight="12.75" x14ac:dyDescent="0.2"/>
  <cols>
    <col min="7" max="7" width="31.140625" customWidth="1"/>
    <col min="8" max="33" width="10.85546875" style="598"/>
  </cols>
  <sheetData>
    <row r="1" spans="1:7" ht="15.75" thickTop="1" x14ac:dyDescent="0.25">
      <c r="A1" s="596"/>
      <c r="B1" s="597"/>
      <c r="C1" s="597"/>
      <c r="D1" s="597"/>
      <c r="E1" s="597"/>
      <c r="F1" s="597"/>
      <c r="G1" s="613" t="s">
        <v>295</v>
      </c>
    </row>
    <row r="2" spans="1:7" x14ac:dyDescent="0.2">
      <c r="A2" s="599"/>
      <c r="B2" s="614"/>
      <c r="C2" s="614"/>
      <c r="D2" s="614"/>
      <c r="E2" s="614"/>
      <c r="F2" s="614"/>
      <c r="G2" s="600"/>
    </row>
    <row r="3" spans="1:7" x14ac:dyDescent="0.2">
      <c r="A3" s="599"/>
      <c r="B3" s="614"/>
      <c r="C3" s="614"/>
      <c r="D3" s="614"/>
      <c r="E3" s="614"/>
      <c r="F3" s="614"/>
      <c r="G3" s="600"/>
    </row>
    <row r="4" spans="1:7" ht="26.1" customHeight="1" x14ac:dyDescent="0.4">
      <c r="A4" s="617" t="s">
        <v>296</v>
      </c>
      <c r="B4" s="618"/>
      <c r="C4" s="618"/>
      <c r="D4" s="618"/>
      <c r="E4" s="618"/>
      <c r="F4" s="618"/>
      <c r="G4" s="619"/>
    </row>
    <row r="5" spans="1:7" ht="26.1" customHeight="1" x14ac:dyDescent="0.4">
      <c r="A5" s="617" t="s">
        <v>297</v>
      </c>
      <c r="B5" s="618"/>
      <c r="C5" s="618"/>
      <c r="D5" s="618"/>
      <c r="E5" s="618"/>
      <c r="F5" s="618"/>
      <c r="G5" s="619"/>
    </row>
    <row r="6" spans="1:7" ht="26.1" customHeight="1" x14ac:dyDescent="0.4">
      <c r="A6" s="617" t="s">
        <v>298</v>
      </c>
      <c r="B6" s="618"/>
      <c r="C6" s="618"/>
      <c r="D6" s="618"/>
      <c r="E6" s="618"/>
      <c r="F6" s="618"/>
      <c r="G6" s="619"/>
    </row>
    <row r="7" spans="1:7" ht="18.75" x14ac:dyDescent="0.3">
      <c r="A7" s="599"/>
      <c r="B7" s="615"/>
      <c r="C7" s="615"/>
      <c r="D7" s="615"/>
      <c r="E7" s="615"/>
      <c r="F7" s="615"/>
      <c r="G7" s="602"/>
    </row>
    <row r="8" spans="1:7" ht="18.75" x14ac:dyDescent="0.3">
      <c r="A8" s="601"/>
      <c r="B8" s="615"/>
      <c r="C8" s="615"/>
      <c r="D8" s="615"/>
      <c r="E8" s="615"/>
      <c r="F8" s="615"/>
      <c r="G8" s="602"/>
    </row>
    <row r="9" spans="1:7" ht="18.75" x14ac:dyDescent="0.3">
      <c r="A9" s="603" t="s">
        <v>286</v>
      </c>
      <c r="B9" s="615"/>
      <c r="C9" s="615"/>
      <c r="D9" s="615"/>
      <c r="E9" s="615"/>
      <c r="F9" s="615"/>
      <c r="G9" s="602"/>
    </row>
    <row r="10" spans="1:7" x14ac:dyDescent="0.2">
      <c r="A10" s="604" t="s">
        <v>287</v>
      </c>
      <c r="B10" s="614"/>
      <c r="C10" s="614"/>
      <c r="D10" s="614"/>
      <c r="E10" s="614"/>
      <c r="F10" s="614"/>
      <c r="G10" s="600"/>
    </row>
    <row r="11" spans="1:7" x14ac:dyDescent="0.2">
      <c r="A11" s="605" t="s">
        <v>288</v>
      </c>
      <c r="B11" s="614"/>
      <c r="C11" s="614"/>
      <c r="D11" s="614"/>
      <c r="E11" s="614"/>
      <c r="F11" s="614"/>
      <c r="G11" s="600"/>
    </row>
    <row r="12" spans="1:7" x14ac:dyDescent="0.2">
      <c r="A12" s="606"/>
      <c r="B12" s="614"/>
      <c r="C12" s="614"/>
      <c r="D12" s="614"/>
      <c r="E12" s="614"/>
      <c r="F12" s="614"/>
      <c r="G12" s="600"/>
    </row>
    <row r="13" spans="1:7" x14ac:dyDescent="0.2">
      <c r="A13" s="604" t="s">
        <v>289</v>
      </c>
      <c r="B13" s="614"/>
      <c r="C13" s="614"/>
      <c r="D13" s="614"/>
      <c r="E13" s="614"/>
      <c r="F13" s="614"/>
      <c r="G13" s="600"/>
    </row>
    <row r="14" spans="1:7" x14ac:dyDescent="0.2">
      <c r="A14" s="604" t="s">
        <v>290</v>
      </c>
      <c r="B14" s="614"/>
      <c r="C14" s="614"/>
      <c r="D14" s="614"/>
      <c r="E14" s="614"/>
      <c r="F14" s="614"/>
      <c r="G14" s="600"/>
    </row>
    <row r="15" spans="1:7" x14ac:dyDescent="0.2">
      <c r="A15" s="607" t="s">
        <v>291</v>
      </c>
      <c r="B15" s="614"/>
      <c r="C15" s="614"/>
      <c r="D15" s="614"/>
      <c r="E15" s="614"/>
      <c r="F15" s="614"/>
      <c r="G15" s="600"/>
    </row>
    <row r="16" spans="1:7" x14ac:dyDescent="0.2">
      <c r="A16" s="607"/>
      <c r="B16" s="614"/>
      <c r="C16" s="614"/>
      <c r="D16" s="614"/>
      <c r="E16" s="614"/>
      <c r="F16" s="614"/>
      <c r="G16" s="600"/>
    </row>
    <row r="17" spans="1:7" x14ac:dyDescent="0.2">
      <c r="A17" s="608" t="s">
        <v>292</v>
      </c>
      <c r="B17" s="616"/>
      <c r="C17" s="616"/>
      <c r="D17" s="614"/>
      <c r="E17" s="614"/>
      <c r="F17" s="614"/>
      <c r="G17" s="600"/>
    </row>
    <row r="18" spans="1:7" x14ac:dyDescent="0.2">
      <c r="A18" s="609" t="s">
        <v>293</v>
      </c>
      <c r="B18" s="614"/>
      <c r="C18" s="614"/>
      <c r="D18" s="614"/>
      <c r="E18" s="614"/>
      <c r="F18" s="614"/>
      <c r="G18" s="600"/>
    </row>
    <row r="19" spans="1:7" x14ac:dyDescent="0.2">
      <c r="A19" s="607" t="s">
        <v>294</v>
      </c>
      <c r="B19" s="614"/>
      <c r="C19" s="614"/>
      <c r="D19" s="614"/>
      <c r="E19" s="614"/>
      <c r="F19" s="614"/>
      <c r="G19" s="600"/>
    </row>
    <row r="20" spans="1:7" ht="13.5" thickBot="1" x14ac:dyDescent="0.25">
      <c r="A20" s="610"/>
      <c r="B20" s="611"/>
      <c r="C20" s="611"/>
      <c r="D20" s="611"/>
      <c r="E20" s="611"/>
      <c r="F20" s="611"/>
      <c r="G20" s="612"/>
    </row>
    <row r="21" spans="1:7" s="598" customFormat="1" ht="13.5" thickTop="1" x14ac:dyDescent="0.2"/>
    <row r="22" spans="1:7" s="598" customFormat="1" x14ac:dyDescent="0.2"/>
    <row r="23" spans="1:7" s="598" customFormat="1" x14ac:dyDescent="0.2"/>
    <row r="24" spans="1:7" s="598" customFormat="1" x14ac:dyDescent="0.2"/>
    <row r="25" spans="1:7" s="598" customFormat="1" x14ac:dyDescent="0.2"/>
    <row r="26" spans="1:7" s="598" customFormat="1" x14ac:dyDescent="0.2"/>
    <row r="27" spans="1:7" s="598" customFormat="1" x14ac:dyDescent="0.2"/>
    <row r="28" spans="1:7" s="598" customFormat="1" x14ac:dyDescent="0.2"/>
    <row r="29" spans="1:7" s="598" customFormat="1" x14ac:dyDescent="0.2"/>
    <row r="30" spans="1:7" s="598" customFormat="1" x14ac:dyDescent="0.2"/>
    <row r="31" spans="1:7" s="598" customFormat="1" x14ac:dyDescent="0.2"/>
    <row r="32" spans="1:7" s="598" customFormat="1" x14ac:dyDescent="0.2"/>
    <row r="33" s="598" customFormat="1" x14ac:dyDescent="0.2"/>
    <row r="34" s="598" customFormat="1" x14ac:dyDescent="0.2"/>
    <row r="35" s="598" customFormat="1" x14ac:dyDescent="0.2"/>
    <row r="36" s="598" customFormat="1" x14ac:dyDescent="0.2"/>
    <row r="37" s="598" customFormat="1" x14ac:dyDescent="0.2"/>
    <row r="38" s="598" customFormat="1" x14ac:dyDescent="0.2"/>
    <row r="39" s="598" customFormat="1" x14ac:dyDescent="0.2"/>
    <row r="40" s="598" customFormat="1" x14ac:dyDescent="0.2"/>
    <row r="41" s="598" customFormat="1" x14ac:dyDescent="0.2"/>
    <row r="42" s="598" customFormat="1" x14ac:dyDescent="0.2"/>
    <row r="43" s="598" customFormat="1" x14ac:dyDescent="0.2"/>
    <row r="44" s="598" customFormat="1" x14ac:dyDescent="0.2"/>
    <row r="45" s="598" customFormat="1" x14ac:dyDescent="0.2"/>
    <row r="46" s="598" customFormat="1" x14ac:dyDescent="0.2"/>
    <row r="47" s="598" customFormat="1" x14ac:dyDescent="0.2"/>
    <row r="48" s="598" customFormat="1" x14ac:dyDescent="0.2"/>
    <row r="49" s="598" customFormat="1" x14ac:dyDescent="0.2"/>
    <row r="50" s="598" customFormat="1" x14ac:dyDescent="0.2"/>
    <row r="51" s="598" customFormat="1" x14ac:dyDescent="0.2"/>
    <row r="52" s="598" customFormat="1" x14ac:dyDescent="0.2"/>
    <row r="53" s="598" customFormat="1" x14ac:dyDescent="0.2"/>
    <row r="54" s="598" customFormat="1" x14ac:dyDescent="0.2"/>
    <row r="55" s="598" customFormat="1" x14ac:dyDescent="0.2"/>
    <row r="56" s="598" customFormat="1" x14ac:dyDescent="0.2"/>
    <row r="57" s="598" customFormat="1" x14ac:dyDescent="0.2"/>
    <row r="58" s="598" customFormat="1" x14ac:dyDescent="0.2"/>
    <row r="59" s="598" customFormat="1" x14ac:dyDescent="0.2"/>
    <row r="60" s="598" customFormat="1" x14ac:dyDescent="0.2"/>
    <row r="61" s="598" customFormat="1" x14ac:dyDescent="0.2"/>
    <row r="62" s="598" customFormat="1" x14ac:dyDescent="0.2"/>
    <row r="63" s="598" customFormat="1" x14ac:dyDescent="0.2"/>
    <row r="64" s="598" customFormat="1" x14ac:dyDescent="0.2"/>
    <row r="65" s="598" customFormat="1" x14ac:dyDescent="0.2"/>
    <row r="66" s="598" customFormat="1" x14ac:dyDescent="0.2"/>
    <row r="67" s="598" customFormat="1" x14ac:dyDescent="0.2"/>
    <row r="68" s="598" customFormat="1" x14ac:dyDescent="0.2"/>
    <row r="69" s="598" customFormat="1" x14ac:dyDescent="0.2"/>
    <row r="70" s="598" customFormat="1" x14ac:dyDescent="0.2"/>
    <row r="71" s="598" customFormat="1" x14ac:dyDescent="0.2"/>
    <row r="72" s="598" customFormat="1" x14ac:dyDescent="0.2"/>
    <row r="73" s="598" customFormat="1" x14ac:dyDescent="0.2"/>
    <row r="74" s="598" customFormat="1" x14ac:dyDescent="0.2"/>
    <row r="75" s="598" customFormat="1" x14ac:dyDescent="0.2"/>
    <row r="76" s="598" customFormat="1" x14ac:dyDescent="0.2"/>
    <row r="77" s="598" customFormat="1" x14ac:dyDescent="0.2"/>
    <row r="78" s="598" customFormat="1" x14ac:dyDescent="0.2"/>
    <row r="79" s="598" customFormat="1" x14ac:dyDescent="0.2"/>
    <row r="80" s="598" customFormat="1" x14ac:dyDescent="0.2"/>
    <row r="81" s="598" customFormat="1" x14ac:dyDescent="0.2"/>
    <row r="82" s="598" customFormat="1" x14ac:dyDescent="0.2"/>
    <row r="83" s="598" customFormat="1" x14ac:dyDescent="0.2"/>
    <row r="84" s="598" customFormat="1" x14ac:dyDescent="0.2"/>
    <row r="85" s="598" customFormat="1" x14ac:dyDescent="0.2"/>
    <row r="86" s="598" customFormat="1" x14ac:dyDescent="0.2"/>
    <row r="87" s="598" customFormat="1" x14ac:dyDescent="0.2"/>
    <row r="88" s="598" customFormat="1" x14ac:dyDescent="0.2"/>
    <row r="89" s="598" customFormat="1" x14ac:dyDescent="0.2"/>
    <row r="90" s="598" customFormat="1" x14ac:dyDescent="0.2"/>
    <row r="91" s="598" customFormat="1" x14ac:dyDescent="0.2"/>
    <row r="92" s="598" customFormat="1" x14ac:dyDescent="0.2"/>
    <row r="93" s="598" customFormat="1" x14ac:dyDescent="0.2"/>
    <row r="94" s="598" customFormat="1" x14ac:dyDescent="0.2"/>
    <row r="95" s="598" customFormat="1" x14ac:dyDescent="0.2"/>
    <row r="96" s="598" customFormat="1" x14ac:dyDescent="0.2"/>
    <row r="97" s="598" customFormat="1" x14ac:dyDescent="0.2"/>
    <row r="98" s="598" customFormat="1" x14ac:dyDescent="0.2"/>
    <row r="99" s="598" customFormat="1" x14ac:dyDescent="0.2"/>
    <row r="100" s="598" customFormat="1" x14ac:dyDescent="0.2"/>
    <row r="101" s="598" customFormat="1" x14ac:dyDescent="0.2"/>
    <row r="102" s="598" customFormat="1" x14ac:dyDescent="0.2"/>
    <row r="103" s="598" customFormat="1" x14ac:dyDescent="0.2"/>
    <row r="104" s="598" customFormat="1" x14ac:dyDescent="0.2"/>
    <row r="105" s="598" customFormat="1" x14ac:dyDescent="0.2"/>
    <row r="106" s="598" customFormat="1" x14ac:dyDescent="0.2"/>
    <row r="107" s="598" customFormat="1" x14ac:dyDescent="0.2"/>
    <row r="108" s="598" customFormat="1" x14ac:dyDescent="0.2"/>
    <row r="109" s="598" customFormat="1" x14ac:dyDescent="0.2"/>
    <row r="110" s="598" customFormat="1" x14ac:dyDescent="0.2"/>
    <row r="111" s="598" customFormat="1" x14ac:dyDescent="0.2"/>
    <row r="112" s="598" customFormat="1" x14ac:dyDescent="0.2"/>
    <row r="113" s="598" customFormat="1" x14ac:dyDescent="0.2"/>
    <row r="114" s="598" customFormat="1" x14ac:dyDescent="0.2"/>
    <row r="115" s="598" customFormat="1" x14ac:dyDescent="0.2"/>
    <row r="116" s="598" customFormat="1" x14ac:dyDescent="0.2"/>
    <row r="117" s="598" customFormat="1" x14ac:dyDescent="0.2"/>
    <row r="118" s="598" customFormat="1" x14ac:dyDescent="0.2"/>
    <row r="119" s="598" customFormat="1" x14ac:dyDescent="0.2"/>
    <row r="120" s="598" customFormat="1" x14ac:dyDescent="0.2"/>
    <row r="121" s="598" customFormat="1" x14ac:dyDescent="0.2"/>
    <row r="122" s="598" customFormat="1" x14ac:dyDescent="0.2"/>
    <row r="123" s="598" customFormat="1" x14ac:dyDescent="0.2"/>
    <row r="124" s="598" customFormat="1" x14ac:dyDescent="0.2"/>
    <row r="125" s="598" customFormat="1" x14ac:dyDescent="0.2"/>
    <row r="126" s="598" customFormat="1" x14ac:dyDescent="0.2"/>
    <row r="127" s="598" customFormat="1" x14ac:dyDescent="0.2"/>
    <row r="128" s="598" customFormat="1" x14ac:dyDescent="0.2"/>
    <row r="129" s="598" customFormat="1" x14ac:dyDescent="0.2"/>
    <row r="130" s="598" customFormat="1" x14ac:dyDescent="0.2"/>
    <row r="131" s="598" customFormat="1" x14ac:dyDescent="0.2"/>
    <row r="132" s="598" customFormat="1" x14ac:dyDescent="0.2"/>
    <row r="133" s="598" customFormat="1" x14ac:dyDescent="0.2"/>
    <row r="134" s="598" customFormat="1" x14ac:dyDescent="0.2"/>
    <row r="135" s="598" customFormat="1" x14ac:dyDescent="0.2"/>
    <row r="136" s="598" customFormat="1" x14ac:dyDescent="0.2"/>
    <row r="137" s="598" customFormat="1" x14ac:dyDescent="0.2"/>
    <row r="138" s="598" customFormat="1" x14ac:dyDescent="0.2"/>
    <row r="139" s="598" customFormat="1" x14ac:dyDescent="0.2"/>
    <row r="140" s="598" customFormat="1" x14ac:dyDescent="0.2"/>
    <row r="141" s="598" customFormat="1" x14ac:dyDescent="0.2"/>
    <row r="142" s="598" customFormat="1" x14ac:dyDescent="0.2"/>
    <row r="143" s="598" customFormat="1" x14ac:dyDescent="0.2"/>
    <row r="144" s="598" customFormat="1" x14ac:dyDescent="0.2"/>
    <row r="145" s="598" customFormat="1" x14ac:dyDescent="0.2"/>
    <row r="146" s="598" customFormat="1" x14ac:dyDescent="0.2"/>
    <row r="147" s="598" customFormat="1" x14ac:dyDescent="0.2"/>
    <row r="148" s="598" customFormat="1" x14ac:dyDescent="0.2"/>
    <row r="149" s="598" customFormat="1" x14ac:dyDescent="0.2"/>
    <row r="150" s="598" customFormat="1" x14ac:dyDescent="0.2"/>
    <row r="151" s="598" customFormat="1" x14ac:dyDescent="0.2"/>
    <row r="152" s="598" customFormat="1" x14ac:dyDescent="0.2"/>
    <row r="153" s="598" customFormat="1" x14ac:dyDescent="0.2"/>
    <row r="154" s="598" customFormat="1" x14ac:dyDescent="0.2"/>
    <row r="155" s="598" customFormat="1" x14ac:dyDescent="0.2"/>
    <row r="156" s="598" customFormat="1" x14ac:dyDescent="0.2"/>
    <row r="157" s="598" customFormat="1" x14ac:dyDescent="0.2"/>
    <row r="158" s="598" customFormat="1" x14ac:dyDescent="0.2"/>
    <row r="159" s="598" customFormat="1" x14ac:dyDescent="0.2"/>
    <row r="160" s="598" customFormat="1" x14ac:dyDescent="0.2"/>
    <row r="161" s="598" customFormat="1" x14ac:dyDescent="0.2"/>
  </sheetData>
  <mergeCells count="3">
    <mergeCell ref="A4:G4"/>
    <mergeCell ref="A5:G5"/>
    <mergeCell ref="A6:G6"/>
  </mergeCells>
  <hyperlinks>
    <hyperlink ref="A11" r:id="rId1" display="mailto:joubert.nadia@ccmsa.msa.fr" xr:uid="{01DE938F-49EA-49CA-86F1-792A6CD73947}"/>
    <hyperlink ref="A15" r:id="rId2" xr:uid="{C77C49F8-B6CB-4902-A0C9-46A03A88A1CC}"/>
    <hyperlink ref="A19" r:id="rId3" xr:uid="{1BBE4311-A124-4737-8436-262AEC0AE03E}"/>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P62"/>
  <sheetViews>
    <sheetView zoomScale="90" zoomScaleNormal="90" workbookViewId="0">
      <selection sqref="A1:B1"/>
    </sheetView>
  </sheetViews>
  <sheetFormatPr baseColWidth="10" defaultColWidth="11.42578125" defaultRowHeight="14.25" x14ac:dyDescent="0.2"/>
  <cols>
    <col min="1" max="1" width="16.42578125" style="4" customWidth="1"/>
    <col min="2" max="2" width="21" style="4" bestFit="1" customWidth="1"/>
    <col min="3" max="3" width="14.28515625" style="4" bestFit="1" customWidth="1"/>
    <col min="4" max="10" width="12.7109375" style="4" customWidth="1"/>
    <col min="11" max="11" width="14.140625" style="4" bestFit="1" customWidth="1"/>
    <col min="12" max="16384" width="11.42578125" style="4"/>
  </cols>
  <sheetData>
    <row r="1" spans="1:16" x14ac:dyDescent="0.2">
      <c r="A1" s="651" t="s">
        <v>37</v>
      </c>
      <c r="B1" s="652"/>
      <c r="C1" s="208" t="s">
        <v>203</v>
      </c>
      <c r="D1" s="654"/>
      <c r="E1" s="655"/>
      <c r="F1" s="653" t="s">
        <v>1</v>
      </c>
      <c r="G1" s="654"/>
      <c r="H1" s="654"/>
      <c r="I1" s="654"/>
      <c r="J1" s="655"/>
      <c r="L1"/>
    </row>
    <row r="2" spans="1:16" x14ac:dyDescent="0.2">
      <c r="A2" s="1"/>
      <c r="B2" s="2" t="s">
        <v>2</v>
      </c>
      <c r="C2" s="118"/>
      <c r="D2" s="3">
        <f>TableauxNote!C4</f>
        <v>2023</v>
      </c>
      <c r="E2" s="3">
        <f>TableauxNote!D4</f>
        <v>2024</v>
      </c>
      <c r="F2" s="3" t="str">
        <f>TableauxNote!E4</f>
        <v>2025(p)</v>
      </c>
      <c r="G2" s="3" t="str">
        <f>TableauxNote!F4</f>
        <v>2026(p)</v>
      </c>
      <c r="H2" s="3" t="str">
        <f>TableauxNote!G4</f>
        <v>2027(p)</v>
      </c>
      <c r="I2" s="3" t="str">
        <f>TableauxNote!H4</f>
        <v>2028(p)</v>
      </c>
      <c r="J2" s="3" t="str">
        <f>TableauxNote!I4</f>
        <v>2029(p)</v>
      </c>
      <c r="K2" s="212" t="s">
        <v>243</v>
      </c>
      <c r="L2"/>
    </row>
    <row r="3" spans="1:16" s="9" customFormat="1" ht="12.75" x14ac:dyDescent="0.2">
      <c r="A3" s="7"/>
      <c r="B3" s="8" t="s">
        <v>12</v>
      </c>
      <c r="D3" s="41">
        <f>TableauxNote!C42</f>
        <v>5134.0496223500004</v>
      </c>
      <c r="E3" s="379">
        <f>TableauxNote!D42</f>
        <v>5306.8196092999988</v>
      </c>
      <c r="F3" s="379">
        <f>TableauxNote!E42</f>
        <v>5469.8720079719387</v>
      </c>
      <c r="G3" s="379">
        <f>TableauxNote!F42</f>
        <v>5666.713747875935</v>
      </c>
      <c r="H3" s="379">
        <f>TableauxNote!G42</f>
        <v>5918.281856591545</v>
      </c>
      <c r="I3" s="379">
        <f>TableauxNote!H42</f>
        <v>6176.3964518339844</v>
      </c>
      <c r="J3" s="379">
        <f>TableauxNote!I42</f>
        <v>6458.9132696539127</v>
      </c>
      <c r="K3" s="181">
        <f t="shared" ref="K3:K8" si="0">E3/$E$8</f>
        <v>0.36022290026720538</v>
      </c>
      <c r="L3"/>
    </row>
    <row r="4" spans="1:16" s="9" customFormat="1" ht="12.75" x14ac:dyDescent="0.2">
      <c r="A4" s="12"/>
      <c r="B4" s="13" t="s">
        <v>35</v>
      </c>
      <c r="C4" s="119"/>
      <c r="D4" s="41">
        <f>TableauxNote!C43</f>
        <v>617.05188923999992</v>
      </c>
      <c r="E4" s="379">
        <f>TableauxNote!D43</f>
        <v>625.26974294000001</v>
      </c>
      <c r="F4" s="379">
        <f>TableauxNote!E43</f>
        <v>646.40184958045279</v>
      </c>
      <c r="G4" s="379">
        <f>TableauxNote!F43</f>
        <v>667.54673684416684</v>
      </c>
      <c r="H4" s="379">
        <f>TableauxNote!G43</f>
        <v>690.18252399309461</v>
      </c>
      <c r="I4" s="379">
        <f>TableauxNote!H43</f>
        <v>713.05418934187276</v>
      </c>
      <c r="J4" s="379">
        <f>TableauxNote!I43</f>
        <v>736.04405396573191</v>
      </c>
      <c r="K4" s="181">
        <f t="shared" si="0"/>
        <v>4.2442837110283231E-2</v>
      </c>
      <c r="L4"/>
    </row>
    <row r="5" spans="1:16" s="9" customFormat="1" ht="12.75" x14ac:dyDescent="0.2">
      <c r="A5" s="10"/>
      <c r="B5" s="11" t="s">
        <v>14</v>
      </c>
      <c r="C5" s="119"/>
      <c r="D5" s="41">
        <f>TableauxNote!C44</f>
        <v>715.24798183999997</v>
      </c>
      <c r="E5" s="379">
        <f>TableauxNote!D44</f>
        <v>736.26927056</v>
      </c>
      <c r="F5" s="379">
        <f>TableauxNote!E44</f>
        <v>733.91567713151233</v>
      </c>
      <c r="G5" s="379">
        <f>TableauxNote!F44</f>
        <v>731.69603493117506</v>
      </c>
      <c r="H5" s="379">
        <f>TableauxNote!G44</f>
        <v>731.69561629582518</v>
      </c>
      <c r="I5" s="379">
        <f>TableauxNote!H44</f>
        <v>736.13832812133319</v>
      </c>
      <c r="J5" s="379">
        <f>TableauxNote!I44</f>
        <v>742.50989710701413</v>
      </c>
      <c r="K5" s="181">
        <f t="shared" si="0"/>
        <v>4.997740106973924E-2</v>
      </c>
      <c r="L5"/>
    </row>
    <row r="6" spans="1:16" s="9" customFormat="1" ht="12.75" x14ac:dyDescent="0.2">
      <c r="A6" s="10"/>
      <c r="B6" s="11" t="s">
        <v>13</v>
      </c>
      <c r="C6" s="119"/>
      <c r="D6" s="41">
        <f>TableauxNote!C45</f>
        <v>6815.5706679599989</v>
      </c>
      <c r="E6" s="379">
        <f>TableauxNote!D45</f>
        <v>7349.1206674400009</v>
      </c>
      <c r="F6" s="379">
        <f>TableauxNote!E45</f>
        <v>7581.7590663947731</v>
      </c>
      <c r="G6" s="379">
        <f>TableauxNote!F45</f>
        <v>7764.7265454003673</v>
      </c>
      <c r="H6" s="379">
        <f>TableauxNote!G45</f>
        <v>8012.7895637878273</v>
      </c>
      <c r="I6" s="379">
        <f>TableauxNote!H45</f>
        <v>8279.8204685064011</v>
      </c>
      <c r="J6" s="379">
        <f>TableauxNote!I45</f>
        <v>8559.9947917070149</v>
      </c>
      <c r="K6" s="181">
        <f t="shared" si="0"/>
        <v>0.49885275101485776</v>
      </c>
      <c r="L6"/>
    </row>
    <row r="7" spans="1:16" s="9" customFormat="1" ht="12.75" x14ac:dyDescent="0.2">
      <c r="A7" s="204"/>
      <c r="B7" s="203" t="s">
        <v>228</v>
      </c>
      <c r="C7" s="119"/>
      <c r="D7" s="41">
        <f>TableauxNote!C46</f>
        <v>675.39227533999997</v>
      </c>
      <c r="E7" s="379">
        <f>TableauxNote!D46</f>
        <v>714.56468964999988</v>
      </c>
      <c r="F7" s="379">
        <f>TableauxNote!E46</f>
        <v>731.89101604201687</v>
      </c>
      <c r="G7" s="379">
        <f>TableauxNote!F46</f>
        <v>739.12476426949559</v>
      </c>
      <c r="H7" s="379">
        <f>TableauxNote!G46</f>
        <v>748.76287964262849</v>
      </c>
      <c r="I7" s="379">
        <f>TableauxNote!H46</f>
        <v>764.14992134849319</v>
      </c>
      <c r="J7" s="379">
        <f>TableauxNote!I46</f>
        <v>782.27592626677369</v>
      </c>
      <c r="K7" s="181">
        <f t="shared" si="0"/>
        <v>4.8504110537914327E-2</v>
      </c>
      <c r="L7"/>
    </row>
    <row r="8" spans="1:16" ht="15" customHeight="1" x14ac:dyDescent="0.25">
      <c r="A8" s="17" t="s">
        <v>15</v>
      </c>
      <c r="B8" s="18"/>
      <c r="C8" s="18"/>
      <c r="D8" s="42">
        <f>SUM(D3:D7)</f>
        <v>13957.312436729999</v>
      </c>
      <c r="E8" s="42">
        <f t="shared" ref="E8:J8" si="1">SUM(E3:E7)</f>
        <v>14732.043979890001</v>
      </c>
      <c r="F8" s="42">
        <f t="shared" si="1"/>
        <v>15163.839617120693</v>
      </c>
      <c r="G8" s="42">
        <f t="shared" si="1"/>
        <v>15569.80782932114</v>
      </c>
      <c r="H8" s="42">
        <f t="shared" si="1"/>
        <v>16101.712440310921</v>
      </c>
      <c r="I8" s="42">
        <f t="shared" si="1"/>
        <v>16669.559359152085</v>
      </c>
      <c r="J8" s="42">
        <f t="shared" si="1"/>
        <v>17279.737938700448</v>
      </c>
      <c r="K8" s="508">
        <f t="shared" si="0"/>
        <v>1</v>
      </c>
      <c r="L8"/>
    </row>
    <row r="9" spans="1:16" s="25" customFormat="1" ht="12.75" x14ac:dyDescent="0.2">
      <c r="A9" s="22" t="s">
        <v>21</v>
      </c>
      <c r="B9" s="23"/>
      <c r="C9" s="23"/>
      <c r="D9" s="132">
        <f>D8/CHARGES_PRODUITS!C8</f>
        <v>0.88255041366108822</v>
      </c>
      <c r="E9" s="132">
        <f>E8/CHARGES_PRODUITS!D8</f>
        <v>0.88868940010443598</v>
      </c>
      <c r="F9" s="132">
        <f>F8/CHARGES_PRODUITS!E8</f>
        <v>0.89470757046163674</v>
      </c>
      <c r="G9" s="132">
        <f>G8/CHARGES_PRODUITS!F8</f>
        <v>0.89362653899085021</v>
      </c>
      <c r="H9" s="132">
        <f>H8/CHARGES_PRODUITS!G8</f>
        <v>0.89312747990639207</v>
      </c>
      <c r="I9" s="132">
        <f>I8/CHARGES_PRODUITS!H8</f>
        <v>0.89218377071490307</v>
      </c>
      <c r="J9" s="132">
        <f>J8/CHARGES_PRODUITS!I8</f>
        <v>0.89174135702699053</v>
      </c>
      <c r="K9" s="381"/>
      <c r="L9" s="53"/>
    </row>
    <row r="10" spans="1:16" s="9" customFormat="1" ht="12.75" x14ac:dyDescent="0.2">
      <c r="A10" s="7"/>
      <c r="B10" s="8" t="s">
        <v>16</v>
      </c>
      <c r="D10" s="41">
        <f>TableauxNote!C49</f>
        <v>1718.7206791599999</v>
      </c>
      <c r="E10" s="380">
        <f>TableauxNote!D49</f>
        <v>1816.51448605</v>
      </c>
      <c r="F10" s="380">
        <f>TableauxNote!E49</f>
        <v>1980.0427978314967</v>
      </c>
      <c r="G10" s="380">
        <f>TableauxNote!F49</f>
        <v>2114.2320305798248</v>
      </c>
      <c r="H10" s="380">
        <f>TableauxNote!G49</f>
        <v>2238.9139781236968</v>
      </c>
      <c r="I10" s="380">
        <f>TableauxNote!H49</f>
        <v>2360.2095018033783</v>
      </c>
      <c r="J10" s="380">
        <f>TableauxNote!I49</f>
        <v>2485.153634779183</v>
      </c>
      <c r="K10" s="183">
        <f t="shared" ref="K10:K15" si="2">E10/$E$15</f>
        <v>0.27355211822951697</v>
      </c>
      <c r="M10" s="20"/>
      <c r="N10" s="20"/>
      <c r="O10" s="20"/>
      <c r="P10" s="20"/>
    </row>
    <row r="11" spans="1:16" s="9" customFormat="1" ht="12.75" x14ac:dyDescent="0.2">
      <c r="A11" s="12"/>
      <c r="B11" s="13" t="s">
        <v>36</v>
      </c>
      <c r="C11" s="119"/>
      <c r="D11" s="41">
        <f>TableauxNote!C50</f>
        <v>527.6335978699999</v>
      </c>
      <c r="E11" s="380">
        <f>TableauxNote!D50</f>
        <v>537.76405104999992</v>
      </c>
      <c r="F11" s="380">
        <f>TableauxNote!E50</f>
        <v>558.22157826637499</v>
      </c>
      <c r="G11" s="380">
        <f>TableauxNote!F50</f>
        <v>574.97901304413813</v>
      </c>
      <c r="H11" s="380">
        <f>TableauxNote!G50</f>
        <v>592.03025311033093</v>
      </c>
      <c r="I11" s="380">
        <f>TableauxNote!H50</f>
        <v>608.98937175913932</v>
      </c>
      <c r="J11" s="380">
        <f>TableauxNote!I50</f>
        <v>626.34465186726811</v>
      </c>
      <c r="K11" s="183">
        <f t="shared" si="2"/>
        <v>8.0982836306632375E-2</v>
      </c>
      <c r="M11" s="20"/>
      <c r="N11" s="20"/>
      <c r="O11" s="20"/>
      <c r="P11" s="20"/>
    </row>
    <row r="12" spans="1:16" s="9" customFormat="1" ht="12.75" x14ac:dyDescent="0.2">
      <c r="A12" s="10"/>
      <c r="B12" s="11" t="s">
        <v>18</v>
      </c>
      <c r="C12" s="119"/>
      <c r="D12" s="41">
        <f>TableauxNote!C51</f>
        <v>705.25293506999992</v>
      </c>
      <c r="E12" s="380">
        <f>TableauxNote!D51</f>
        <v>742.87408088999996</v>
      </c>
      <c r="F12" s="380">
        <f>TableauxNote!E51</f>
        <v>795.97136909478684</v>
      </c>
      <c r="G12" s="380">
        <f>TableauxNote!F51</f>
        <v>835.79384953420367</v>
      </c>
      <c r="H12" s="380">
        <f>TableauxNote!G51</f>
        <v>870.71073452464111</v>
      </c>
      <c r="I12" s="380">
        <f>TableauxNote!H51</f>
        <v>904.83763569698567</v>
      </c>
      <c r="J12" s="380">
        <f>TableauxNote!I51</f>
        <v>941.07733864355248</v>
      </c>
      <c r="K12" s="183">
        <f t="shared" si="2"/>
        <v>0.11187071722568773</v>
      </c>
      <c r="M12" s="20"/>
      <c r="N12" s="20"/>
      <c r="O12" s="20"/>
      <c r="P12" s="20"/>
    </row>
    <row r="13" spans="1:16" s="9" customFormat="1" ht="12.75" x14ac:dyDescent="0.2">
      <c r="A13" s="10"/>
      <c r="B13" s="11" t="s">
        <v>17</v>
      </c>
      <c r="D13" s="41">
        <f>TableauxNote!C52</f>
        <v>3352.37812231</v>
      </c>
      <c r="E13" s="380">
        <f>TableauxNote!D52</f>
        <v>3543.3168391900003</v>
      </c>
      <c r="F13" s="380">
        <f>TableauxNote!E52</f>
        <v>3686.6225419720586</v>
      </c>
      <c r="G13" s="380">
        <f>TableauxNote!F52</f>
        <v>3825.0958706280553</v>
      </c>
      <c r="H13" s="380">
        <f>TableauxNote!G52</f>
        <v>3948.5095868937119</v>
      </c>
      <c r="I13" s="380">
        <f>TableauxNote!H52</f>
        <v>4067.9693628136661</v>
      </c>
      <c r="J13" s="380">
        <f>TableauxNote!I52</f>
        <v>4194.5973265172679</v>
      </c>
      <c r="K13" s="183">
        <f t="shared" si="2"/>
        <v>0.53359432823816277</v>
      </c>
      <c r="M13" s="20"/>
      <c r="N13" s="20"/>
      <c r="O13" s="20"/>
      <c r="P13" s="20"/>
    </row>
    <row r="14" spans="1:16" s="9" customFormat="1" ht="12.75" x14ac:dyDescent="0.2">
      <c r="A14" s="204"/>
      <c r="B14" s="203" t="s">
        <v>240</v>
      </c>
      <c r="C14" s="133"/>
      <c r="D14" s="41">
        <f>TableauxNote!C53</f>
        <v>0</v>
      </c>
      <c r="E14" s="380">
        <f>TableauxNote!D53</f>
        <v>0</v>
      </c>
      <c r="F14" s="380">
        <f>TableauxNote!E53</f>
        <v>0</v>
      </c>
      <c r="G14" s="380">
        <f>TableauxNote!F53</f>
        <v>0</v>
      </c>
      <c r="H14" s="380">
        <f>TableauxNote!G53</f>
        <v>0</v>
      </c>
      <c r="I14" s="380">
        <f>TableauxNote!H53</f>
        <v>0</v>
      </c>
      <c r="J14" s="380">
        <f>TableauxNote!I53</f>
        <v>0</v>
      </c>
      <c r="K14" s="183">
        <f t="shared" si="2"/>
        <v>0</v>
      </c>
      <c r="M14" s="20"/>
      <c r="N14" s="20"/>
      <c r="O14" s="20"/>
      <c r="P14" s="20"/>
    </row>
    <row r="15" spans="1:16" x14ac:dyDescent="0.2">
      <c r="A15" s="17" t="s">
        <v>19</v>
      </c>
      <c r="B15" s="18"/>
      <c r="C15" s="18"/>
      <c r="D15" s="42">
        <f>SUM(D10:D14)</f>
        <v>6303.9853344099993</v>
      </c>
      <c r="E15" s="42">
        <f t="shared" ref="E15:J15" si="3">SUM(E10:E14)</f>
        <v>6640.469457180001</v>
      </c>
      <c r="F15" s="42">
        <f t="shared" si="3"/>
        <v>7020.8582871647177</v>
      </c>
      <c r="G15" s="42">
        <f t="shared" si="3"/>
        <v>7350.1007637862222</v>
      </c>
      <c r="H15" s="42">
        <f t="shared" si="3"/>
        <v>7650.1645526523807</v>
      </c>
      <c r="I15" s="42">
        <f t="shared" si="3"/>
        <v>7942.0058720731695</v>
      </c>
      <c r="J15" s="42">
        <f t="shared" si="3"/>
        <v>8247.1729518072716</v>
      </c>
      <c r="K15" s="509">
        <f t="shared" si="2"/>
        <v>1</v>
      </c>
      <c r="M15" s="19"/>
      <c r="N15" s="19"/>
      <c r="O15" s="19"/>
      <c r="P15" s="19"/>
    </row>
    <row r="16" spans="1:16" s="25" customFormat="1" ht="12.75" x14ac:dyDescent="0.2">
      <c r="A16" s="22" t="s">
        <v>22</v>
      </c>
      <c r="B16" s="23"/>
      <c r="C16" s="23"/>
      <c r="D16" s="24">
        <f>D15/TableauxNote!C16</f>
        <v>0.39709261658421452</v>
      </c>
      <c r="E16" s="24">
        <f>E15/TableauxNote!D16</f>
        <v>0.39969898611043847</v>
      </c>
      <c r="F16" s="24">
        <f>F15/TableauxNote!E16</f>
        <v>0.41336140895056012</v>
      </c>
      <c r="G16" s="24">
        <f>G15/TableauxNote!F16</f>
        <v>0.42102052233234977</v>
      </c>
      <c r="H16" s="24">
        <f>H15/TableauxNote!G16</f>
        <v>0.42343239814823658</v>
      </c>
      <c r="I16" s="24">
        <f>I15/TableauxNote!H16</f>
        <v>0.4241774188495358</v>
      </c>
      <c r="J16" s="24">
        <f>J15/TableauxNote!I16</f>
        <v>0.42472793824985483</v>
      </c>
    </row>
    <row r="17" spans="1:10" x14ac:dyDescent="0.2">
      <c r="D17" s="378" t="b">
        <f>D8='RESULTAT NET'!B3</f>
        <v>1</v>
      </c>
      <c r="E17" s="378" t="b">
        <f>E8='RESULTAT NET'!C3</f>
        <v>1</v>
      </c>
      <c r="F17" s="378" t="b">
        <f>F8='RESULTAT NET'!D3</f>
        <v>1</v>
      </c>
      <c r="G17" s="378" t="b">
        <f>G8='RESULTAT NET'!E3</f>
        <v>1</v>
      </c>
      <c r="H17" s="378" t="b">
        <f>H8='RESULTAT NET'!F3</f>
        <v>1</v>
      </c>
      <c r="I17" s="378" t="b">
        <f>I8='RESULTAT NET'!G3</f>
        <v>1</v>
      </c>
      <c r="J17" s="378" t="b">
        <f>J8='RESULTAT NET'!H3</f>
        <v>1</v>
      </c>
    </row>
    <row r="18" spans="1:10" x14ac:dyDescent="0.2">
      <c r="D18" s="378" t="b">
        <f>D15='RESULTAT NET'!B5</f>
        <v>1</v>
      </c>
      <c r="E18" s="378" t="b">
        <f>E15='RESULTAT NET'!C5</f>
        <v>1</v>
      </c>
      <c r="F18" s="378" t="b">
        <f>F15='RESULTAT NET'!D5</f>
        <v>1</v>
      </c>
      <c r="G18" s="378" t="b">
        <f>G15='RESULTAT NET'!E5</f>
        <v>1</v>
      </c>
      <c r="H18" s="378" t="b">
        <f>H15='RESULTAT NET'!F5</f>
        <v>1</v>
      </c>
      <c r="I18" s="378" t="b">
        <f>I15='RESULTAT NET'!G5</f>
        <v>1</v>
      </c>
      <c r="J18" s="378" t="b">
        <f>J15='RESULTAT NET'!H5</f>
        <v>1</v>
      </c>
    </row>
    <row r="19" spans="1:10" x14ac:dyDescent="0.2">
      <c r="A19" s="651" t="s">
        <v>32</v>
      </c>
      <c r="B19" s="652"/>
      <c r="C19" s="114"/>
      <c r="D19" s="16"/>
      <c r="E19" s="656" t="s">
        <v>1</v>
      </c>
      <c r="F19" s="656"/>
      <c r="G19" s="656"/>
      <c r="H19" s="656"/>
      <c r="I19" s="656"/>
    </row>
    <row r="20" spans="1:10" x14ac:dyDescent="0.2">
      <c r="A20" s="1"/>
      <c r="B20" s="2" t="s">
        <v>0</v>
      </c>
      <c r="C20" s="2"/>
      <c r="D20" s="14" t="str">
        <f>TableauxNote!C23</f>
        <v>2024/2023</v>
      </c>
      <c r="E20" s="14" t="str">
        <f>TableauxNote!D23</f>
        <v>2025/2024</v>
      </c>
      <c r="F20" s="14" t="str">
        <f>TableauxNote!E23</f>
        <v>2026/2025</v>
      </c>
      <c r="G20" s="14" t="str">
        <f>TableauxNote!F23</f>
        <v>2027/2026</v>
      </c>
      <c r="H20" s="14" t="str">
        <f>TableauxNote!G23</f>
        <v>2028/2027</v>
      </c>
      <c r="I20" s="14" t="str">
        <f>TableauxNote!H23</f>
        <v>2029/2028</v>
      </c>
    </row>
    <row r="21" spans="1:10" s="9" customFormat="1" ht="12.75" x14ac:dyDescent="0.2">
      <c r="A21" s="7"/>
      <c r="B21" s="8" t="s">
        <v>12</v>
      </c>
      <c r="C21"/>
      <c r="D21" s="382">
        <f t="shared" ref="D21:I25" si="4">(E3/D3)-1</f>
        <v>3.3651795299733944E-2</v>
      </c>
      <c r="E21" s="382">
        <f t="shared" si="4"/>
        <v>3.0725069001063643E-2</v>
      </c>
      <c r="F21" s="382">
        <f t="shared" si="4"/>
        <v>3.5986534898277966E-2</v>
      </c>
      <c r="G21" s="382">
        <f t="shared" si="4"/>
        <v>4.4394003280985528E-2</v>
      </c>
      <c r="H21" s="382">
        <f t="shared" si="4"/>
        <v>4.3613096080404201E-2</v>
      </c>
      <c r="I21" s="382">
        <f t="shared" si="4"/>
        <v>4.5741367158521617E-2</v>
      </c>
      <c r="J21" s="181">
        <f t="shared" ref="J21:J26" si="5">(((J3/F3))^(1/4))-1</f>
        <v>4.2426809456523218E-2</v>
      </c>
    </row>
    <row r="22" spans="1:10" s="9" customFormat="1" ht="12.75" x14ac:dyDescent="0.2">
      <c r="A22" s="10"/>
      <c r="B22" s="13" t="s">
        <v>35</v>
      </c>
      <c r="C22" s="13"/>
      <c r="D22" s="383">
        <f t="shared" si="4"/>
        <v>1.3317929728927203E-2</v>
      </c>
      <c r="E22" s="383">
        <f t="shared" si="4"/>
        <v>3.3796784314382933E-2</v>
      </c>
      <c r="F22" s="383">
        <f t="shared" si="4"/>
        <v>3.2711675063179513E-2</v>
      </c>
      <c r="G22" s="382">
        <f t="shared" si="4"/>
        <v>3.3908917382981629E-2</v>
      </c>
      <c r="H22" s="382">
        <f t="shared" si="4"/>
        <v>3.313857501991313E-2</v>
      </c>
      <c r="I22" s="382">
        <f t="shared" si="4"/>
        <v>3.2241398995324744E-2</v>
      </c>
      <c r="J22" s="181">
        <f t="shared" si="5"/>
        <v>3.2999959651172084E-2</v>
      </c>
    </row>
    <row r="23" spans="1:10" s="9" customFormat="1" ht="12.75" x14ac:dyDescent="0.2">
      <c r="A23" s="10"/>
      <c r="B23" s="11" t="s">
        <v>14</v>
      </c>
      <c r="C23" s="11"/>
      <c r="D23" s="383">
        <f t="shared" si="4"/>
        <v>2.9390210463680067E-2</v>
      </c>
      <c r="E23" s="383">
        <f t="shared" si="4"/>
        <v>-3.1966476431883883E-3</v>
      </c>
      <c r="F23" s="383">
        <f t="shared" si="4"/>
        <v>-3.0243831403257149E-3</v>
      </c>
      <c r="G23" s="382">
        <f t="shared" si="4"/>
        <v>-5.721438000039214E-7</v>
      </c>
      <c r="H23" s="382">
        <f t="shared" si="4"/>
        <v>6.0718032561122293E-3</v>
      </c>
      <c r="I23" s="382">
        <f t="shared" si="4"/>
        <v>8.6553963328352967E-3</v>
      </c>
      <c r="J23" s="181">
        <f t="shared" si="5"/>
        <v>2.9147544860095298E-3</v>
      </c>
    </row>
    <row r="24" spans="1:10" s="9" customFormat="1" ht="12.75" x14ac:dyDescent="0.2">
      <c r="A24" s="12"/>
      <c r="B24" s="11" t="s">
        <v>13</v>
      </c>
      <c r="C24" s="13"/>
      <c r="D24" s="384">
        <f t="shared" si="4"/>
        <v>7.8283980237813466E-2</v>
      </c>
      <c r="E24" s="384">
        <f t="shared" si="4"/>
        <v>3.165526999515289E-2</v>
      </c>
      <c r="F24" s="384">
        <f t="shared" si="4"/>
        <v>2.4132589469451071E-2</v>
      </c>
      <c r="G24" s="382">
        <f t="shared" si="4"/>
        <v>3.1947424926948242E-2</v>
      </c>
      <c r="H24" s="382">
        <f t="shared" si="4"/>
        <v>3.3325585626929E-2</v>
      </c>
      <c r="I24" s="382">
        <f t="shared" si="4"/>
        <v>3.3838212346064767E-2</v>
      </c>
      <c r="J24" s="181">
        <f t="shared" si="5"/>
        <v>3.0803490033423309E-2</v>
      </c>
    </row>
    <row r="25" spans="1:10" s="9" customFormat="1" ht="12.75" x14ac:dyDescent="0.2">
      <c r="A25" s="204"/>
      <c r="B25" s="203" t="s">
        <v>228</v>
      </c>
      <c r="C25" s="119"/>
      <c r="D25" s="384">
        <f t="shared" si="4"/>
        <v>5.7999500053920627E-2</v>
      </c>
      <c r="E25" s="384">
        <f t="shared" si="4"/>
        <v>2.4247386755849254E-2</v>
      </c>
      <c r="F25" s="384">
        <f t="shared" si="4"/>
        <v>9.8836412374589955E-3</v>
      </c>
      <c r="G25" s="382">
        <f t="shared" si="4"/>
        <v>1.3039903192336721E-2</v>
      </c>
      <c r="H25" s="382">
        <f t="shared" si="4"/>
        <v>2.0549952627470836E-2</v>
      </c>
      <c r="I25" s="382">
        <f t="shared" si="4"/>
        <v>2.372048260672921E-2</v>
      </c>
      <c r="J25" s="181">
        <f t="shared" si="5"/>
        <v>1.6783259526645722E-2</v>
      </c>
    </row>
    <row r="26" spans="1:10" s="9" customFormat="1" x14ac:dyDescent="0.2">
      <c r="A26" s="17" t="s">
        <v>15</v>
      </c>
      <c r="B26" s="21"/>
      <c r="C26" s="504"/>
      <c r="D26" s="505">
        <f t="shared" ref="D26:I26" si="6">(E8/D8)-1</f>
        <v>5.5507215065360382E-2</v>
      </c>
      <c r="E26" s="505">
        <f t="shared" si="6"/>
        <v>2.9309961185298938E-2</v>
      </c>
      <c r="F26" s="505">
        <f t="shared" si="6"/>
        <v>2.6772125164268301E-2</v>
      </c>
      <c r="G26" s="505">
        <f t="shared" si="6"/>
        <v>3.4162567503761787E-2</v>
      </c>
      <c r="H26" s="505">
        <f t="shared" si="6"/>
        <v>3.5266243944311659E-2</v>
      </c>
      <c r="I26" s="505">
        <f t="shared" si="6"/>
        <v>3.6604361663186813E-2</v>
      </c>
      <c r="J26" s="182">
        <f t="shared" si="5"/>
        <v>3.3194278070309613E-2</v>
      </c>
    </row>
    <row r="27" spans="1:10" s="9" customFormat="1" x14ac:dyDescent="0.2">
      <c r="A27" s="7"/>
      <c r="B27" s="8" t="s">
        <v>16</v>
      </c>
      <c r="C27" s="134"/>
      <c r="D27" s="382">
        <f t="shared" ref="D27:I31" si="7">(E10/D10)-1</f>
        <v>5.6899185583660694E-2</v>
      </c>
      <c r="E27" s="382">
        <f t="shared" si="7"/>
        <v>9.0023125627304079E-2</v>
      </c>
      <c r="F27" s="382">
        <f t="shared" si="7"/>
        <v>6.7770874899921063E-2</v>
      </c>
      <c r="G27" s="382">
        <f t="shared" si="7"/>
        <v>5.8972688778004212E-2</v>
      </c>
      <c r="H27" s="382">
        <f t="shared" si="7"/>
        <v>5.4176053597794871E-2</v>
      </c>
      <c r="I27" s="382">
        <f t="shared" si="7"/>
        <v>5.293772984149836E-2</v>
      </c>
      <c r="J27" s="181">
        <f t="shared" ref="J27:J32" si="8">(((J10/F10))^(1/4))-1</f>
        <v>5.844834026524981E-2</v>
      </c>
    </row>
    <row r="28" spans="1:10" s="9" customFormat="1" ht="12.75" x14ac:dyDescent="0.2">
      <c r="A28" s="10"/>
      <c r="B28" s="13" t="s">
        <v>36</v>
      </c>
      <c r="C28" s="13"/>
      <c r="D28" s="383">
        <f t="shared" si="7"/>
        <v>1.9199787922709266E-2</v>
      </c>
      <c r="E28" s="383">
        <f t="shared" si="7"/>
        <v>3.8041827408193507E-2</v>
      </c>
      <c r="F28" s="383">
        <f t="shared" si="7"/>
        <v>3.0019324637727829E-2</v>
      </c>
      <c r="G28" s="383">
        <f t="shared" si="7"/>
        <v>2.9655412944409321E-2</v>
      </c>
      <c r="H28" s="383">
        <f t="shared" si="7"/>
        <v>2.8645695992241649E-2</v>
      </c>
      <c r="I28" s="383">
        <f t="shared" si="7"/>
        <v>2.8498494247930717E-2</v>
      </c>
      <c r="J28" s="181">
        <f t="shared" si="8"/>
        <v>2.9204528169636257E-2</v>
      </c>
    </row>
    <row r="29" spans="1:10" s="9" customFormat="1" ht="12.75" x14ac:dyDescent="0.2">
      <c r="A29" s="10"/>
      <c r="B29" s="11" t="s">
        <v>18</v>
      </c>
      <c r="C29" s="11"/>
      <c r="D29" s="383">
        <f t="shared" si="7"/>
        <v>5.3344188941611304E-2</v>
      </c>
      <c r="E29" s="383">
        <f t="shared" si="7"/>
        <v>7.1475489010430548E-2</v>
      </c>
      <c r="F29" s="383">
        <f t="shared" si="7"/>
        <v>5.0030041262294045E-2</v>
      </c>
      <c r="G29" s="383">
        <f t="shared" si="7"/>
        <v>4.1776910669894196E-2</v>
      </c>
      <c r="H29" s="383">
        <f t="shared" si="7"/>
        <v>3.919430393950063E-2</v>
      </c>
      <c r="I29" s="383">
        <f t="shared" si="7"/>
        <v>4.0051056141858776E-2</v>
      </c>
      <c r="J29" s="181">
        <f t="shared" si="8"/>
        <v>4.2754246822787723E-2</v>
      </c>
    </row>
    <row r="30" spans="1:10" s="9" customFormat="1" ht="12.75" x14ac:dyDescent="0.2">
      <c r="A30" s="10"/>
      <c r="B30" s="11" t="s">
        <v>17</v>
      </c>
      <c r="C30" s="11"/>
      <c r="D30" s="383">
        <f t="shared" si="7"/>
        <v>5.695619942431529E-2</v>
      </c>
      <c r="E30" s="383">
        <f t="shared" si="7"/>
        <v>4.0443942578620051E-2</v>
      </c>
      <c r="F30" s="383">
        <f t="shared" si="7"/>
        <v>3.7561026950679866E-2</v>
      </c>
      <c r="G30" s="383">
        <f t="shared" si="7"/>
        <v>3.2264215183028355E-2</v>
      </c>
      <c r="H30" s="383">
        <f t="shared" si="7"/>
        <v>3.0254396827723795E-2</v>
      </c>
      <c r="I30" s="383">
        <f t="shared" si="7"/>
        <v>3.1128052453182065E-2</v>
      </c>
      <c r="J30" s="181">
        <f t="shared" si="8"/>
        <v>3.2798028791723777E-2</v>
      </c>
    </row>
    <row r="31" spans="1:10" s="9" customFormat="1" ht="12.75" x14ac:dyDescent="0.2">
      <c r="A31" s="204"/>
      <c r="B31" s="203" t="s">
        <v>240</v>
      </c>
      <c r="C31" s="119"/>
      <c r="D31" s="166" t="e">
        <f t="shared" si="7"/>
        <v>#DIV/0!</v>
      </c>
      <c r="E31" s="166" t="e">
        <f t="shared" si="7"/>
        <v>#DIV/0!</v>
      </c>
      <c r="F31" s="166" t="e">
        <f t="shared" si="7"/>
        <v>#DIV/0!</v>
      </c>
      <c r="G31" s="166" t="e">
        <f t="shared" si="7"/>
        <v>#DIV/0!</v>
      </c>
      <c r="H31" s="166" t="e">
        <f t="shared" si="7"/>
        <v>#DIV/0!</v>
      </c>
      <c r="I31" s="166" t="e">
        <f t="shared" si="7"/>
        <v>#DIV/0!</v>
      </c>
      <c r="J31" s="181" t="e">
        <f t="shared" si="8"/>
        <v>#DIV/0!</v>
      </c>
    </row>
    <row r="32" spans="1:10" s="9" customFormat="1" x14ac:dyDescent="0.2">
      <c r="A32" s="17" t="s">
        <v>19</v>
      </c>
      <c r="B32" s="21"/>
      <c r="C32" s="21"/>
      <c r="D32" s="200">
        <f t="shared" ref="D32:I32" si="9">(E15/D15)-1</f>
        <v>5.3376412685054886E-2</v>
      </c>
      <c r="E32" s="200">
        <f t="shared" si="9"/>
        <v>5.7283424377989167E-2</v>
      </c>
      <c r="F32" s="200">
        <f t="shared" si="9"/>
        <v>4.6894904177657848E-2</v>
      </c>
      <c r="G32" s="200">
        <f t="shared" si="9"/>
        <v>4.0824445610945448E-2</v>
      </c>
      <c r="H32" s="200">
        <f t="shared" si="9"/>
        <v>3.8148371503931244E-2</v>
      </c>
      <c r="I32" s="200">
        <f t="shared" si="9"/>
        <v>3.8424433908714972E-2</v>
      </c>
      <c r="J32" s="182">
        <f t="shared" si="8"/>
        <v>4.106710421291071E-2</v>
      </c>
    </row>
    <row r="34" spans="1:11" x14ac:dyDescent="0.2">
      <c r="C34" s="196"/>
      <c r="D34" s="196"/>
      <c r="E34" s="196"/>
      <c r="F34" s="196"/>
      <c r="G34" s="196"/>
      <c r="H34" s="196"/>
      <c r="I34" s="196"/>
      <c r="J34" s="196"/>
    </row>
    <row r="35" spans="1:11" x14ac:dyDescent="0.2">
      <c r="A35" s="5" t="s">
        <v>15</v>
      </c>
      <c r="B35" s="6"/>
      <c r="C35" s="194"/>
      <c r="D35" s="195">
        <f t="shared" ref="D35:J35" si="10">-D8</f>
        <v>-13957.312436729999</v>
      </c>
      <c r="E35" s="195">
        <f t="shared" si="10"/>
        <v>-14732.043979890001</v>
      </c>
      <c r="F35" s="195">
        <f t="shared" si="10"/>
        <v>-15163.839617120693</v>
      </c>
      <c r="G35" s="195">
        <f t="shared" si="10"/>
        <v>-15569.80782932114</v>
      </c>
      <c r="H35" s="195">
        <f t="shared" si="10"/>
        <v>-16101.712440310921</v>
      </c>
      <c r="I35" s="195">
        <f t="shared" si="10"/>
        <v>-16669.559359152085</v>
      </c>
      <c r="J35" s="195">
        <f t="shared" si="10"/>
        <v>-17279.737938700448</v>
      </c>
    </row>
    <row r="36" spans="1:11" x14ac:dyDescent="0.2">
      <c r="A36" s="5" t="s">
        <v>19</v>
      </c>
      <c r="B36" s="6"/>
      <c r="C36" s="194"/>
      <c r="D36" s="195">
        <f t="shared" ref="D36:J36" si="11">D15</f>
        <v>6303.9853344099993</v>
      </c>
      <c r="E36" s="195">
        <f t="shared" si="11"/>
        <v>6640.469457180001</v>
      </c>
      <c r="F36" s="195">
        <f t="shared" si="11"/>
        <v>7020.8582871647177</v>
      </c>
      <c r="G36" s="195">
        <f t="shared" si="11"/>
        <v>7350.1007637862222</v>
      </c>
      <c r="H36" s="195">
        <f t="shared" si="11"/>
        <v>7650.1645526523807</v>
      </c>
      <c r="I36" s="195">
        <f t="shared" si="11"/>
        <v>7942.0058720731695</v>
      </c>
      <c r="J36" s="195">
        <f t="shared" si="11"/>
        <v>8247.1729518072716</v>
      </c>
    </row>
    <row r="37" spans="1:11" x14ac:dyDescent="0.2">
      <c r="A37" s="197"/>
      <c r="B37" s="197"/>
      <c r="C37" s="197"/>
      <c r="D37" s="198"/>
      <c r="E37" s="198"/>
      <c r="F37" s="198"/>
      <c r="G37" s="198"/>
      <c r="H37" s="198"/>
      <c r="I37" s="198"/>
      <c r="J37" s="198"/>
    </row>
    <row r="38" spans="1:11" x14ac:dyDescent="0.2">
      <c r="A38" s="199" t="s">
        <v>15</v>
      </c>
      <c r="B38" s="196"/>
      <c r="C38" s="196"/>
      <c r="D38" s="195">
        <f>-D35</f>
        <v>13957.312436729999</v>
      </c>
      <c r="E38" s="195">
        <f t="shared" ref="E38:J38" si="12">-E35</f>
        <v>14732.043979890001</v>
      </c>
      <c r="F38" s="195">
        <f t="shared" si="12"/>
        <v>15163.839617120693</v>
      </c>
      <c r="G38" s="195">
        <f t="shared" si="12"/>
        <v>15569.80782932114</v>
      </c>
      <c r="H38" s="195">
        <f t="shared" si="12"/>
        <v>16101.712440310921</v>
      </c>
      <c r="I38" s="195">
        <f t="shared" si="12"/>
        <v>16669.559359152085</v>
      </c>
      <c r="J38" s="195">
        <f t="shared" si="12"/>
        <v>17279.737938700448</v>
      </c>
    </row>
    <row r="39" spans="1:11" x14ac:dyDescent="0.2">
      <c r="A39" s="6" t="s">
        <v>29</v>
      </c>
      <c r="B39" s="197"/>
      <c r="C39" s="197"/>
      <c r="D39" s="198">
        <f>D40-D38</f>
        <v>1857.4356169600014</v>
      </c>
      <c r="E39" s="198">
        <f t="shared" ref="E39:J39" si="13">E40-E38</f>
        <v>1845.2258493199988</v>
      </c>
      <c r="F39" s="198">
        <f t="shared" si="13"/>
        <v>1784.5356037313013</v>
      </c>
      <c r="G39" s="198">
        <f t="shared" si="13"/>
        <v>1853.3629808292935</v>
      </c>
      <c r="H39" s="198">
        <f t="shared" si="13"/>
        <v>1926.7468810824012</v>
      </c>
      <c r="I39" s="198">
        <f t="shared" si="13"/>
        <v>2014.4381605459457</v>
      </c>
      <c r="J39" s="198">
        <f t="shared" si="13"/>
        <v>2097.7842570963294</v>
      </c>
    </row>
    <row r="40" spans="1:11" x14ac:dyDescent="0.2">
      <c r="A40" s="196" t="str">
        <f>CHARGES_PRODUITS!A38</f>
        <v xml:space="preserve">Total charges </v>
      </c>
      <c r="B40" s="196"/>
      <c r="C40" s="196"/>
      <c r="D40" s="195">
        <f>CHARGES_PRODUITS!C8</f>
        <v>15814.74805369</v>
      </c>
      <c r="E40" s="195">
        <f>CHARGES_PRODUITS!D8</f>
        <v>16577.269829209999</v>
      </c>
      <c r="F40" s="195">
        <f>CHARGES_PRODUITS!E8</f>
        <v>16948.375220851995</v>
      </c>
      <c r="G40" s="195">
        <f>CHARGES_PRODUITS!F8</f>
        <v>17423.170810150434</v>
      </c>
      <c r="H40" s="195">
        <f>CHARGES_PRODUITS!G8</f>
        <v>18028.459321393322</v>
      </c>
      <c r="I40" s="195">
        <f>CHARGES_PRODUITS!H8</f>
        <v>18683.99751969803</v>
      </c>
      <c r="J40" s="195">
        <f>CHARGES_PRODUITS!I8</f>
        <v>19377.522195796777</v>
      </c>
    </row>
    <row r="42" spans="1:11" x14ac:dyDescent="0.2">
      <c r="A42" s="196" t="str">
        <f>A36</f>
        <v>Total Cotisations</v>
      </c>
      <c r="B42" s="196"/>
      <c r="C42" s="196"/>
      <c r="D42" s="195">
        <f t="shared" ref="D42:J42" si="14">D36</f>
        <v>6303.9853344099993</v>
      </c>
      <c r="E42" s="195">
        <f t="shared" si="14"/>
        <v>6640.469457180001</v>
      </c>
      <c r="F42" s="195">
        <f t="shared" si="14"/>
        <v>7020.8582871647177</v>
      </c>
      <c r="G42" s="195">
        <f t="shared" si="14"/>
        <v>7350.1007637862222</v>
      </c>
      <c r="H42" s="195">
        <f t="shared" si="14"/>
        <v>7650.1645526523807</v>
      </c>
      <c r="I42" s="195">
        <f t="shared" si="14"/>
        <v>7942.0058720731695</v>
      </c>
      <c r="J42" s="195">
        <f t="shared" si="14"/>
        <v>8247.1729518072716</v>
      </c>
    </row>
    <row r="43" spans="1:11" x14ac:dyDescent="0.2">
      <c r="A43" s="197" t="s">
        <v>30</v>
      </c>
      <c r="B43" s="197"/>
      <c r="C43" s="197"/>
      <c r="D43" s="198">
        <f t="shared" ref="D43:J43" si="15">D44-D42</f>
        <v>9571.3673443600019</v>
      </c>
      <c r="E43" s="198">
        <f t="shared" si="15"/>
        <v>9973.2065538599982</v>
      </c>
      <c r="F43" s="198">
        <f t="shared" si="15"/>
        <v>9963.9354916963475</v>
      </c>
      <c r="G43" s="198">
        <f t="shared" si="15"/>
        <v>10107.719874192369</v>
      </c>
      <c r="H43" s="198">
        <f t="shared" si="15"/>
        <v>10416.862406333848</v>
      </c>
      <c r="I43" s="198">
        <f t="shared" si="15"/>
        <v>10781.305457449438</v>
      </c>
      <c r="J43" s="198">
        <f t="shared" si="15"/>
        <v>11170.369924676885</v>
      </c>
    </row>
    <row r="44" spans="1:11" x14ac:dyDescent="0.2">
      <c r="A44" s="196" t="str">
        <f>CHARGES_PRODUITS!A36</f>
        <v>Total produits</v>
      </c>
      <c r="B44" s="196"/>
      <c r="C44" s="196"/>
      <c r="D44" s="195">
        <f>CHARGES_PRODUITS!C14</f>
        <v>15875.352678770001</v>
      </c>
      <c r="E44" s="195">
        <f>CHARGES_PRODUITS!D14</f>
        <v>16613.676011039999</v>
      </c>
      <c r="F44" s="195">
        <f>CHARGES_PRODUITS!E14</f>
        <v>16984.793778861065</v>
      </c>
      <c r="G44" s="195">
        <f>CHARGES_PRODUITS!F14</f>
        <v>17457.820637978592</v>
      </c>
      <c r="H44" s="195">
        <f>CHARGES_PRODUITS!G14</f>
        <v>18067.026958986229</v>
      </c>
      <c r="I44" s="195">
        <f>CHARGES_PRODUITS!H14</f>
        <v>18723.311329522607</v>
      </c>
      <c r="J44" s="195">
        <f>CHARGES_PRODUITS!I14</f>
        <v>19417.542876484156</v>
      </c>
    </row>
    <row r="46" spans="1:11" x14ac:dyDescent="0.2">
      <c r="A46" s="4" t="s">
        <v>128</v>
      </c>
      <c r="K46"/>
    </row>
    <row r="47" spans="1:11" x14ac:dyDescent="0.2">
      <c r="A47" s="503"/>
      <c r="B47" s="32" t="s">
        <v>2</v>
      </c>
      <c r="C47" s="35">
        <f t="shared" ref="C47:H47" si="16">E2</f>
        <v>2024</v>
      </c>
      <c r="D47" s="35" t="str">
        <f t="shared" si="16"/>
        <v>2025(p)</v>
      </c>
      <c r="E47" s="35" t="str">
        <f t="shared" si="16"/>
        <v>2026(p)</v>
      </c>
      <c r="F47" s="35" t="str">
        <f t="shared" si="16"/>
        <v>2027(p)</v>
      </c>
      <c r="G47" s="35" t="str">
        <f t="shared" si="16"/>
        <v>2028(p)</v>
      </c>
      <c r="H47" s="35" t="str">
        <f t="shared" si="16"/>
        <v>2029(p)</v>
      </c>
    </row>
    <row r="48" spans="1:11" x14ac:dyDescent="0.2">
      <c r="A48" s="207"/>
      <c r="B48" s="506" t="s">
        <v>12</v>
      </c>
      <c r="C48" s="45">
        <f t="shared" ref="C48:D51" si="17">(D3/$E$8)*D21*100</f>
        <v>1.1727496007060427</v>
      </c>
      <c r="D48" s="45">
        <f t="shared" si="17"/>
        <v>1.1067873466473153</v>
      </c>
      <c r="E48" s="45">
        <f>(F3/$F$8)*F21*100</f>
        <v>1.298099590038873</v>
      </c>
      <c r="F48" s="45">
        <f>(G3/$G$8)*G21*100</f>
        <v>1.6157431836882132</v>
      </c>
      <c r="G48" s="45">
        <f>(H3/$H$8)*H21*100</f>
        <v>1.603025741512099</v>
      </c>
      <c r="H48" s="45">
        <f>(I3/$I$8)*I21*100</f>
        <v>1.6948067536339424</v>
      </c>
    </row>
    <row r="49" spans="1:9" x14ac:dyDescent="0.2">
      <c r="A49" s="207"/>
      <c r="B49" s="507" t="s">
        <v>35</v>
      </c>
      <c r="C49" s="45">
        <f t="shared" si="17"/>
        <v>5.5782169203525897E-2</v>
      </c>
      <c r="D49" s="45">
        <f t="shared" si="17"/>
        <v>0.143443141150673</v>
      </c>
      <c r="E49" s="45">
        <f>(F4/$F$8)*F22*100</f>
        <v>0.1394428310877176</v>
      </c>
      <c r="F49" s="45">
        <f>(G4/$G$8)*G22*100</f>
        <v>0.14538257245731706</v>
      </c>
      <c r="G49" s="45">
        <f>(H4/$H$8)*H22*100</f>
        <v>0.14204492493306828</v>
      </c>
      <c r="H49" s="45">
        <f>(I4/$I$8)*I22*100</f>
        <v>0.13791525095855059</v>
      </c>
    </row>
    <row r="50" spans="1:9" x14ac:dyDescent="0.2">
      <c r="A50" s="207"/>
      <c r="B50" s="154" t="s">
        <v>14</v>
      </c>
      <c r="C50" s="45">
        <f t="shared" si="17"/>
        <v>0.14269091749043894</v>
      </c>
      <c r="D50" s="45">
        <f t="shared" si="17"/>
        <v>-1.597601413422628E-2</v>
      </c>
      <c r="E50" s="45">
        <f>(F5/$F$8)*F23*100</f>
        <v>-1.4637731975423925E-2</v>
      </c>
      <c r="F50" s="45">
        <f>(G5/$G$8)*G23*100</f>
        <v>-2.6887637565118068E-6</v>
      </c>
      <c r="G50" s="45">
        <f>(H5/$H$8)*H23*100</f>
        <v>2.7591548675193256E-2</v>
      </c>
      <c r="H50" s="45">
        <f>(I5/$I$8)*I23*100</f>
        <v>3.8222779909192456E-2</v>
      </c>
    </row>
    <row r="51" spans="1:9" x14ac:dyDescent="0.2">
      <c r="A51" s="207"/>
      <c r="B51" s="154" t="s">
        <v>13</v>
      </c>
      <c r="C51" s="45">
        <f t="shared" si="17"/>
        <v>3.6216970313713759</v>
      </c>
      <c r="D51" s="45">
        <f t="shared" si="17"/>
        <v>1.5791318521200102</v>
      </c>
      <c r="E51" s="45">
        <f>(F6/$F$8)*F24*100</f>
        <v>1.2066038920578843</v>
      </c>
      <c r="F51" s="45">
        <f>(G6/$G$8)*G24*100</f>
        <v>1.5932310861300862</v>
      </c>
      <c r="G51" s="45">
        <f>(H6/$H$8)*H24*100</f>
        <v>1.6584006558833937</v>
      </c>
      <c r="H51" s="45">
        <f>(I6/$I$8)*I24*100</f>
        <v>1.6807542248967067</v>
      </c>
    </row>
    <row r="52" spans="1:9" x14ac:dyDescent="0.2">
      <c r="A52" s="207"/>
      <c r="B52" s="203" t="s">
        <v>228</v>
      </c>
      <c r="C52" s="45">
        <f>(E7/$E$8)*D26*100</f>
        <v>0.26923280951820239</v>
      </c>
      <c r="D52" s="45">
        <f>(F7/$F$8)*E26*100</f>
        <v>0.14146613136055947</v>
      </c>
      <c r="E52" s="45">
        <f>(G7/$G$8)*F26*100</f>
        <v>0.12709174652604568</v>
      </c>
      <c r="F52" s="45">
        <f>(H7/$H$8)*G26*100</f>
        <v>0.15886299370285129</v>
      </c>
      <c r="G52" s="45">
        <f>(I7/$I$8)*H26*100</f>
        <v>0.16166412654157467</v>
      </c>
      <c r="H52" s="45">
        <f>(J7/$J$8)*I26*100</f>
        <v>0.16571264579969069</v>
      </c>
    </row>
    <row r="53" spans="1:9" ht="15" x14ac:dyDescent="0.2">
      <c r="A53" s="73" t="s">
        <v>20</v>
      </c>
      <c r="B53" s="73"/>
      <c r="C53" s="43">
        <f t="shared" ref="C53:H53" si="18">(D8/$E$8)*D26*100</f>
        <v>5.2588191035646501</v>
      </c>
      <c r="D53" s="43">
        <f t="shared" si="18"/>
        <v>2.9309961185298938</v>
      </c>
      <c r="E53" s="43">
        <f t="shared" si="18"/>
        <v>2.7556815113680968</v>
      </c>
      <c r="F53" s="43">
        <f t="shared" si="18"/>
        <v>3.6105282587797016</v>
      </c>
      <c r="G53" s="43">
        <f t="shared" si="18"/>
        <v>3.8545019253017641</v>
      </c>
      <c r="H53" s="43">
        <f t="shared" si="18"/>
        <v>4.1418460356301452</v>
      </c>
    </row>
    <row r="54" spans="1:9" x14ac:dyDescent="0.2">
      <c r="A54" s="33"/>
      <c r="B54" s="8" t="s">
        <v>16</v>
      </c>
      <c r="C54" s="45">
        <f>(E10/$E$15)*D27*100</f>
        <v>1.5564892741944778</v>
      </c>
      <c r="D54" s="45">
        <f>(E10/$E$15)*E27*100</f>
        <v>2.4626016704990943</v>
      </c>
      <c r="E54" s="45">
        <f>(F10/$F$15)*F27*100</f>
        <v>1.9112938512610065</v>
      </c>
      <c r="F54" s="45">
        <f>(G10/$G$15)*G27*100</f>
        <v>1.6963297722145116</v>
      </c>
      <c r="G54" s="45">
        <f>(H10/$H$15)*H27*100</f>
        <v>1.5855282960890991</v>
      </c>
      <c r="H54" s="45">
        <f>(I10/$I$15)*I27*100</f>
        <v>1.5732062527824529</v>
      </c>
    </row>
    <row r="55" spans="1:9" x14ac:dyDescent="0.2">
      <c r="A55" s="33"/>
      <c r="B55" s="13" t="s">
        <v>36</v>
      </c>
      <c r="C55" s="45">
        <f>(D11/$E$15)*D28*100</f>
        <v>0.15255628002394497</v>
      </c>
      <c r="D55" s="45">
        <f>(E11/$E$15)*E28*100</f>
        <v>0.30807350818028961</v>
      </c>
      <c r="E55" s="45">
        <f>(F11/$F$15)*F28*100</f>
        <v>0.23868071526808118</v>
      </c>
      <c r="F55" s="45">
        <f>(G11/$G$15)*G28*100</f>
        <v>0.23198648037866229</v>
      </c>
      <c r="G55" s="45">
        <f>(H11/$H$15)*H28*100</f>
        <v>0.22168305703866906</v>
      </c>
      <c r="H55" s="45">
        <f>(I11/$I$15)*I28*100</f>
        <v>0.21852514827716157</v>
      </c>
    </row>
    <row r="56" spans="1:9" x14ac:dyDescent="0.2">
      <c r="A56" s="33"/>
      <c r="B56" s="11" t="s">
        <v>18</v>
      </c>
      <c r="C56" s="45">
        <f>(D12/$E$15)*D29*100</f>
        <v>0.566543465979234</v>
      </c>
      <c r="D56" s="45">
        <f>(E12/$E$15)*E29*100</f>
        <v>0.79960142196536266</v>
      </c>
      <c r="E56" s="45">
        <f>(F12/$F$15)*F29*100</f>
        <v>0.56720245318466123</v>
      </c>
      <c r="F56" s="45">
        <f>(G12/$G$15)*G29*100</f>
        <v>0.47505314705986224</v>
      </c>
      <c r="G56" s="45">
        <f>(H12/$H$15)*H29*100</f>
        <v>0.44609368775620029</v>
      </c>
      <c r="H56" s="45">
        <f>(I12/$I$15)*I29*100</f>
        <v>0.45630415703919364</v>
      </c>
    </row>
    <row r="57" spans="1:9" x14ac:dyDescent="0.2">
      <c r="A57" s="33"/>
      <c r="B57" s="11" t="s">
        <v>17</v>
      </c>
      <c r="C57" s="45">
        <f>(D13/$D$15)*D30*100</f>
        <v>3.0288572506311247</v>
      </c>
      <c r="D57" s="45">
        <f>(E13/$E$15)*E30*100</f>
        <v>2.1580658371541594</v>
      </c>
      <c r="E57" s="45">
        <f>(F13/$F$15)*F30*100</f>
        <v>1.972313398052036</v>
      </c>
      <c r="F57" s="45">
        <f>(G13/$G$15)*G30*100</f>
        <v>1.6790751614415047</v>
      </c>
      <c r="G57" s="45">
        <f>(H13/$H$15)*H30*100</f>
        <v>1.5615321095091521</v>
      </c>
      <c r="H57" s="45">
        <f>(I13/$I$15)*I30*100</f>
        <v>1.5944078327726878</v>
      </c>
    </row>
    <row r="58" spans="1:9" x14ac:dyDescent="0.2">
      <c r="A58" s="33"/>
      <c r="B58" s="203" t="s">
        <v>240</v>
      </c>
      <c r="C58" s="45" t="e">
        <f>(E13/$E$14)*D31*100</f>
        <v>#DIV/0!</v>
      </c>
      <c r="D58" s="45" t="e">
        <f>(F14/$F$15)*E31*100</f>
        <v>#DIV/0!</v>
      </c>
      <c r="E58" s="45" t="e">
        <f>(G14/$G$15)*F31*100</f>
        <v>#DIV/0!</v>
      </c>
      <c r="F58" s="45" t="e">
        <f>(H14/$H$15)*G31*100</f>
        <v>#DIV/0!</v>
      </c>
      <c r="G58" s="45" t="e">
        <f>(I13/$I$14)*H31*100</f>
        <v>#DIV/0!</v>
      </c>
      <c r="H58" s="45" t="e">
        <f>(J14/$J$15)*I31*100</f>
        <v>#DIV/0!</v>
      </c>
    </row>
    <row r="59" spans="1:9" ht="15" x14ac:dyDescent="0.2">
      <c r="A59" s="73" t="s">
        <v>10</v>
      </c>
      <c r="B59" s="73"/>
      <c r="C59" s="43">
        <f>(D15/$E$15)*D32*100</f>
        <v>5.0671737132406918</v>
      </c>
      <c r="D59" s="43">
        <f>(E15/$E$15)*E32*100</f>
        <v>5.7283424377989167</v>
      </c>
      <c r="E59" s="43">
        <f>(F15/$F$15)*F32*100</f>
        <v>4.6894904177657848</v>
      </c>
      <c r="F59" s="43">
        <f>(G15/$G$15)*G32*100</f>
        <v>4.0824445610945448</v>
      </c>
      <c r="G59" s="43">
        <f>(H15/$H$15)*H32*100</f>
        <v>3.8148371503931244</v>
      </c>
      <c r="H59" s="43">
        <f>(I15/$I$15)*I32*100</f>
        <v>3.8424433908714972</v>
      </c>
    </row>
    <row r="61" spans="1:9" ht="15" x14ac:dyDescent="0.25">
      <c r="A61" s="385" t="s">
        <v>242</v>
      </c>
      <c r="C61"/>
      <c r="I61" s="213" t="s">
        <v>158</v>
      </c>
    </row>
    <row r="62" spans="1:9" x14ac:dyDescent="0.2">
      <c r="A62" s="117" t="s">
        <v>133</v>
      </c>
      <c r="I62" s="117" t="s">
        <v>132</v>
      </c>
    </row>
  </sheetData>
  <mergeCells count="5">
    <mergeCell ref="A1:B1"/>
    <mergeCell ref="A19:B19"/>
    <mergeCell ref="F1:J1"/>
    <mergeCell ref="D1:E1"/>
    <mergeCell ref="E19:I19"/>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K53"/>
  <sheetViews>
    <sheetView zoomScale="90" zoomScaleNormal="90" workbookViewId="0"/>
  </sheetViews>
  <sheetFormatPr baseColWidth="10" defaultColWidth="11.42578125" defaultRowHeight="14.25" x14ac:dyDescent="0.2"/>
  <cols>
    <col min="1" max="1" width="30.42578125" style="4" bestFit="1" customWidth="1"/>
    <col min="2" max="2" width="13.28515625" style="4" bestFit="1" customWidth="1"/>
    <col min="3" max="7" width="10.7109375" style="4" bestFit="1" customWidth="1"/>
    <col min="8" max="16384" width="11.42578125" style="4"/>
  </cols>
  <sheetData>
    <row r="1" spans="1:11" ht="15" thickBot="1" x14ac:dyDescent="0.25">
      <c r="A1" s="371" t="s">
        <v>38</v>
      </c>
      <c r="B1" s="672">
        <f>'Prest._cotisa.'!D2</f>
        <v>2023</v>
      </c>
      <c r="C1" s="672">
        <f>'Prest._cotisa.'!E2</f>
        <v>2024</v>
      </c>
      <c r="D1" s="669" t="s">
        <v>1</v>
      </c>
      <c r="E1" s="670"/>
      <c r="F1" s="670"/>
      <c r="G1" s="670"/>
      <c r="H1" s="671"/>
    </row>
    <row r="2" spans="1:11" ht="15.75" thickBot="1" x14ac:dyDescent="0.3">
      <c r="A2" s="372" t="s">
        <v>26</v>
      </c>
      <c r="B2" s="673"/>
      <c r="C2" s="673"/>
      <c r="D2" s="373" t="str">
        <f>'Prest._cotisa.'!F2</f>
        <v>2025(p)</v>
      </c>
      <c r="E2" s="373" t="str">
        <f>'Prest._cotisa.'!G2</f>
        <v>2026(p)</v>
      </c>
      <c r="F2" s="373" t="str">
        <f>'Prest._cotisa.'!H2</f>
        <v>2027(p)</v>
      </c>
      <c r="G2" s="373" t="str">
        <f>'Prest._cotisa.'!I2</f>
        <v>2028(p)</v>
      </c>
      <c r="H2" s="373" t="str">
        <f>'Prest._cotisa.'!J2</f>
        <v>2029(p)</v>
      </c>
      <c r="J2" s="370" t="s">
        <v>260</v>
      </c>
      <c r="K2" s="370"/>
    </row>
    <row r="3" spans="1:11" ht="15" thickBot="1" x14ac:dyDescent="0.25">
      <c r="A3" s="47" t="s">
        <v>27</v>
      </c>
      <c r="B3" s="49">
        <f>CHARGES_PRODUITS!C8</f>
        <v>15814.74805369</v>
      </c>
      <c r="C3" s="49">
        <f>CHARGES_PRODUITS!D8</f>
        <v>16577.269829209999</v>
      </c>
      <c r="D3" s="49">
        <f>CHARGES_PRODUITS!E8</f>
        <v>16948.375220851995</v>
      </c>
      <c r="E3" s="49">
        <f>CHARGES_PRODUITS!F8</f>
        <v>17423.170810150434</v>
      </c>
      <c r="F3" s="49">
        <f>CHARGES_PRODUITS!G8</f>
        <v>18028.459321393322</v>
      </c>
      <c r="G3" s="49">
        <f>CHARGES_PRODUITS!H8</f>
        <v>18683.99751969803</v>
      </c>
      <c r="H3" s="49">
        <f>CHARGES_PRODUITS!I8</f>
        <v>19377.522195796777</v>
      </c>
      <c r="J3" s="117" t="s">
        <v>283</v>
      </c>
    </row>
    <row r="4" spans="1:11" ht="15" thickBot="1" x14ac:dyDescent="0.25">
      <c r="A4" s="48" t="s">
        <v>28</v>
      </c>
      <c r="B4" s="50">
        <f>CHARGES_PRODUITS!C14</f>
        <v>15875.352678770001</v>
      </c>
      <c r="C4" s="50">
        <f>CHARGES_PRODUITS!D14</f>
        <v>16613.676011039999</v>
      </c>
      <c r="D4" s="50">
        <f>CHARGES_PRODUITS!E14</f>
        <v>16984.793778861065</v>
      </c>
      <c r="E4" s="50">
        <f>CHARGES_PRODUITS!F14</f>
        <v>17457.820637978592</v>
      </c>
      <c r="F4" s="50">
        <f>CHARGES_PRODUITS!G14</f>
        <v>18067.026958986229</v>
      </c>
      <c r="G4" s="50">
        <f>CHARGES_PRODUITS!H14</f>
        <v>18723.311329522607</v>
      </c>
      <c r="H4" s="50">
        <f>CHARGES_PRODUITS!I14</f>
        <v>19417.542876484156</v>
      </c>
      <c r="J4" s="120" t="s">
        <v>134</v>
      </c>
    </row>
    <row r="5" spans="1:11" ht="15" thickBot="1" x14ac:dyDescent="0.25">
      <c r="A5" s="374" t="s">
        <v>39</v>
      </c>
      <c r="B5" s="376">
        <f t="shared" ref="B5:H5" si="0">B4-B3</f>
        <v>60.604625080000915</v>
      </c>
      <c r="C5" s="376">
        <f>C4-C3</f>
        <v>36.406181829999696</v>
      </c>
      <c r="D5" s="376">
        <f>D4-D3</f>
        <v>36.418558009070694</v>
      </c>
      <c r="E5" s="376">
        <f t="shared" si="0"/>
        <v>34.649827828157868</v>
      </c>
      <c r="F5" s="376">
        <f t="shared" si="0"/>
        <v>38.567637592906976</v>
      </c>
      <c r="G5" s="376">
        <f t="shared" si="0"/>
        <v>39.31380982457631</v>
      </c>
      <c r="H5" s="376">
        <f t="shared" si="0"/>
        <v>40.020680687379354</v>
      </c>
    </row>
    <row r="6" spans="1:11" x14ac:dyDescent="0.2">
      <c r="B6" s="367" t="b">
        <f>B5='RESULTAT NET'!B11</f>
        <v>1</v>
      </c>
      <c r="C6" s="367" t="b">
        <f>C5='RESULTAT NET'!C11</f>
        <v>1</v>
      </c>
      <c r="D6" s="367" t="b">
        <f>D5='RESULTAT NET'!D11</f>
        <v>1</v>
      </c>
      <c r="E6" s="367" t="b">
        <f>E5='RESULTAT NET'!E11</f>
        <v>1</v>
      </c>
      <c r="F6" s="367" t="b">
        <f>F5='RESULTAT NET'!F11</f>
        <v>1</v>
      </c>
      <c r="G6" s="367" t="b">
        <f>G5='RESULTAT NET'!G11</f>
        <v>1</v>
      </c>
      <c r="H6" s="367" t="b">
        <f>H5='RESULTAT NET'!H11</f>
        <v>1</v>
      </c>
    </row>
    <row r="7" spans="1:11" ht="15" thickBot="1" x14ac:dyDescent="0.25"/>
    <row r="8" spans="1:11" ht="15" thickBot="1" x14ac:dyDescent="0.25">
      <c r="A8" s="371" t="s">
        <v>38</v>
      </c>
      <c r="B8" s="672" t="str">
        <f>CHARGES_PRODUITS!C19</f>
        <v>2024/2023</v>
      </c>
      <c r="C8" s="669" t="s">
        <v>1</v>
      </c>
      <c r="D8" s="670"/>
      <c r="E8" s="670"/>
      <c r="F8" s="670"/>
      <c r="G8" s="671"/>
    </row>
    <row r="9" spans="1:11" ht="15" thickBot="1" x14ac:dyDescent="0.25">
      <c r="A9" s="372" t="s">
        <v>26</v>
      </c>
      <c r="B9" s="673"/>
      <c r="C9" s="373" t="str">
        <f>CHARGES_PRODUITS!D19</f>
        <v>2025/2024</v>
      </c>
      <c r="D9" s="373" t="str">
        <f>CHARGES_PRODUITS!E19</f>
        <v>2026/2025</v>
      </c>
      <c r="E9" s="373" t="str">
        <f>CHARGES_PRODUITS!F19</f>
        <v>2027/2026</v>
      </c>
      <c r="F9" s="373" t="str">
        <f>CHARGES_PRODUITS!G19</f>
        <v>2028/2027</v>
      </c>
      <c r="G9" s="373" t="str">
        <f>CHARGES_PRODUITS!H19</f>
        <v>2029/2028</v>
      </c>
    </row>
    <row r="10" spans="1:11" ht="15" thickBot="1" x14ac:dyDescent="0.25">
      <c r="A10" s="47" t="s">
        <v>27</v>
      </c>
      <c r="B10" s="51">
        <f t="shared" ref="B10:G10" si="1">C3/B3-1</f>
        <v>4.8215866160579379E-2</v>
      </c>
      <c r="C10" s="51">
        <f t="shared" si="1"/>
        <v>2.2386399899704035E-2</v>
      </c>
      <c r="D10" s="51">
        <f t="shared" si="1"/>
        <v>2.8014224556126566E-2</v>
      </c>
      <c r="E10" s="51">
        <f t="shared" si="1"/>
        <v>3.4740433749880895E-2</v>
      </c>
      <c r="F10" s="51">
        <f t="shared" si="1"/>
        <v>3.6361298911816498E-2</v>
      </c>
      <c r="G10" s="51">
        <f t="shared" si="1"/>
        <v>3.7118645266762673E-2</v>
      </c>
      <c r="H10" s="52"/>
      <c r="I10" s="52"/>
    </row>
    <row r="11" spans="1:11" ht="15" thickBot="1" x14ac:dyDescent="0.25">
      <c r="A11" s="48" t="s">
        <v>28</v>
      </c>
      <c r="B11" s="51">
        <f t="shared" ref="B11:G11" si="2">C4/B4-1</f>
        <v>4.6507523153003882E-2</v>
      </c>
      <c r="C11" s="51">
        <f t="shared" si="2"/>
        <v>2.2338088667098965E-2</v>
      </c>
      <c r="D11" s="51">
        <f t="shared" si="2"/>
        <v>2.7850020746571946E-2</v>
      </c>
      <c r="E11" s="51">
        <f t="shared" si="2"/>
        <v>3.4895897583134827E-2</v>
      </c>
      <c r="F11" s="51">
        <f t="shared" si="2"/>
        <v>3.6324978759715298E-2</v>
      </c>
      <c r="G11" s="51">
        <f t="shared" si="2"/>
        <v>3.707845982707636E-2</v>
      </c>
      <c r="H11" s="52"/>
      <c r="I11" s="52"/>
    </row>
    <row r="12" spans="1:11" ht="15" thickBot="1" x14ac:dyDescent="0.25">
      <c r="A12" s="374" t="s">
        <v>39</v>
      </c>
      <c r="B12" s="375">
        <f t="shared" ref="B12:G12" si="3">C5/B5-1</f>
        <v>-0.39928377113228819</v>
      </c>
      <c r="C12" s="375">
        <f t="shared" si="3"/>
        <v>3.3994718613428176E-4</v>
      </c>
      <c r="D12" s="375">
        <f t="shared" si="3"/>
        <v>-4.856672744901902E-2</v>
      </c>
      <c r="E12" s="375">
        <f t="shared" si="3"/>
        <v>0.11306866470387877</v>
      </c>
      <c r="F12" s="375">
        <f t="shared" si="3"/>
        <v>1.9347107529514851E-2</v>
      </c>
      <c r="G12" s="375">
        <f t="shared" si="3"/>
        <v>1.798021779006409E-2</v>
      </c>
      <c r="H12" s="52"/>
    </row>
    <row r="13" spans="1:11" x14ac:dyDescent="0.2">
      <c r="B13" s="367" t="b">
        <f>B12='RESULTAT NET'!B25</f>
        <v>1</v>
      </c>
      <c r="C13" s="367" t="b">
        <f>C12='RESULTAT NET'!C25</f>
        <v>1</v>
      </c>
      <c r="D13" s="367" t="b">
        <f>D12='RESULTAT NET'!D25</f>
        <v>1</v>
      </c>
      <c r="E13" s="367" t="b">
        <f>E12='RESULTAT NET'!E25</f>
        <v>1</v>
      </c>
      <c r="F13" s="367" t="b">
        <f>F12='RESULTAT NET'!F25</f>
        <v>1</v>
      </c>
      <c r="G13" s="367" t="b">
        <f>G12='RESULTAT NET'!G25</f>
        <v>1</v>
      </c>
    </row>
    <row r="14" spans="1:11" ht="15" x14ac:dyDescent="0.25">
      <c r="A14" s="15" t="s">
        <v>103</v>
      </c>
      <c r="B14" s="134"/>
    </row>
    <row r="15" spans="1:11" x14ac:dyDescent="0.2">
      <c r="A15" s="477" t="s">
        <v>38</v>
      </c>
      <c r="B15" s="667">
        <f>B1</f>
        <v>2023</v>
      </c>
      <c r="C15" s="667">
        <f>C1</f>
        <v>2024</v>
      </c>
      <c r="D15" s="668" t="s">
        <v>1</v>
      </c>
      <c r="E15" s="668"/>
      <c r="F15" s="668"/>
      <c r="G15" s="668"/>
      <c r="H15" s="668"/>
    </row>
    <row r="16" spans="1:11" x14ac:dyDescent="0.2">
      <c r="A16" s="477" t="s">
        <v>26</v>
      </c>
      <c r="B16" s="667"/>
      <c r="C16" s="667"/>
      <c r="D16" s="477" t="str">
        <f>D2</f>
        <v>2025(p)</v>
      </c>
      <c r="E16" s="477" t="str">
        <f>E2</f>
        <v>2026(p)</v>
      </c>
      <c r="F16" s="477" t="str">
        <f>F2</f>
        <v>2027(p)</v>
      </c>
      <c r="G16" s="477" t="str">
        <f>G2</f>
        <v>2028(p)</v>
      </c>
      <c r="H16" s="477" t="str">
        <f>H2</f>
        <v>2029(p)</v>
      </c>
    </row>
    <row r="17" spans="1:11" x14ac:dyDescent="0.2">
      <c r="A17" s="478" t="s">
        <v>98</v>
      </c>
      <c r="B17" s="137">
        <f>CHARGES_PRODUITS!C9-CHARGES_PRODUITS!C3</f>
        <v>0</v>
      </c>
      <c r="C17" s="137">
        <f>CHARGES_PRODUITS!D9-CHARGES_PRODUITS!D3</f>
        <v>0</v>
      </c>
      <c r="D17" s="137">
        <f>CHARGES_PRODUITS!E9-CHARGES_PRODUITS!E3</f>
        <v>0</v>
      </c>
      <c r="E17" s="137">
        <f>CHARGES_PRODUITS!F9-CHARGES_PRODUITS!F3</f>
        <v>0</v>
      </c>
      <c r="F17" s="137">
        <f>CHARGES_PRODUITS!G9-CHARGES_PRODUITS!G3</f>
        <v>0</v>
      </c>
      <c r="G17" s="137">
        <f>CHARGES_PRODUITS!H9-CHARGES_PRODUITS!H3</f>
        <v>0</v>
      </c>
      <c r="H17" s="137">
        <f>CHARGES_PRODUITS!I9-CHARGES_PRODUITS!I3</f>
        <v>0</v>
      </c>
    </row>
    <row r="18" spans="1:11" x14ac:dyDescent="0.2">
      <c r="A18" s="478" t="s">
        <v>102</v>
      </c>
      <c r="B18" s="137">
        <f>CHARGES_PRODUITS!C10-CHARGES_PRODUITS!C4</f>
        <v>60.565167089999932</v>
      </c>
      <c r="C18" s="137">
        <f>CHARGES_PRODUITS!D10-CHARGES_PRODUITS!D4</f>
        <v>36.406181829999809</v>
      </c>
      <c r="D18" s="137">
        <f>CHARGES_PRODUITS!E10-CHARGES_PRODUITS!E4</f>
        <v>36.418558009070694</v>
      </c>
      <c r="E18" s="137">
        <f>CHARGES_PRODUITS!F10-CHARGES_PRODUITS!F4</f>
        <v>34.649827828157754</v>
      </c>
      <c r="F18" s="137">
        <f>CHARGES_PRODUITS!G10-CHARGES_PRODUITS!G4</f>
        <v>38.567637592905385</v>
      </c>
      <c r="G18" s="137">
        <f>CHARGES_PRODUITS!H10-CHARGES_PRODUITS!H4</f>
        <v>39.313809824579266</v>
      </c>
      <c r="H18" s="137">
        <f>CHARGES_PRODUITS!I10-CHARGES_PRODUITS!I4</f>
        <v>40.020680687379695</v>
      </c>
    </row>
    <row r="19" spans="1:11" x14ac:dyDescent="0.2">
      <c r="A19" s="478" t="s">
        <v>99</v>
      </c>
      <c r="B19" s="137">
        <f>CHARGES_PRODUITS!C11-CHARGES_PRODUITS!C5</f>
        <v>0</v>
      </c>
      <c r="C19" s="137">
        <f>CHARGES_PRODUITS!D11-CHARGES_PRODUITS!D5</f>
        <v>0</v>
      </c>
      <c r="D19" s="137">
        <f>CHARGES_PRODUITS!E11-CHARGES_PRODUITS!E5</f>
        <v>0</v>
      </c>
      <c r="E19" s="137">
        <f>CHARGES_PRODUITS!F11-CHARGES_PRODUITS!F5</f>
        <v>0</v>
      </c>
      <c r="F19" s="137">
        <f>CHARGES_PRODUITS!G11-CHARGES_PRODUITS!G5</f>
        <v>0</v>
      </c>
      <c r="G19" s="137">
        <f>CHARGES_PRODUITS!H11-CHARGES_PRODUITS!H5</f>
        <v>0</v>
      </c>
      <c r="H19" s="137">
        <f>CHARGES_PRODUITS!I11-CHARGES_PRODUITS!I5</f>
        <v>0</v>
      </c>
    </row>
    <row r="20" spans="1:11" x14ac:dyDescent="0.2">
      <c r="A20" s="478" t="s">
        <v>100</v>
      </c>
      <c r="B20" s="137">
        <f>CHARGES_PRODUITS!C12-CHARGES_PRODUITS!C6</f>
        <v>3.9457990001210419E-2</v>
      </c>
      <c r="C20" s="137">
        <f>CHARGES_PRODUITS!D12-CHARGES_PRODUITS!D6</f>
        <v>0</v>
      </c>
      <c r="D20" s="137">
        <f>CHARGES_PRODUITS!E12-CHARGES_PRODUITS!E6</f>
        <v>0</v>
      </c>
      <c r="E20" s="137">
        <f>CHARGES_PRODUITS!F12-CHARGES_PRODUITS!F6</f>
        <v>0</v>
      </c>
      <c r="F20" s="137">
        <f>CHARGES_PRODUITS!G12-CHARGES_PRODUITS!G6</f>
        <v>0</v>
      </c>
      <c r="G20" s="137">
        <f>CHARGES_PRODUITS!H12-CHARGES_PRODUITS!H6</f>
        <v>0</v>
      </c>
      <c r="H20" s="137">
        <f>CHARGES_PRODUITS!I12-CHARGES_PRODUITS!I6</f>
        <v>0</v>
      </c>
    </row>
    <row r="21" spans="1:11" x14ac:dyDescent="0.2">
      <c r="A21" s="479" t="s">
        <v>238</v>
      </c>
      <c r="B21" s="137">
        <f>CHARGES_PRODUITS!C13-CHARGES_PRODUITS!C7</f>
        <v>0</v>
      </c>
      <c r="C21" s="137">
        <f>CHARGES_PRODUITS!D13-CHARGES_PRODUITS!D7</f>
        <v>0</v>
      </c>
      <c r="D21" s="137">
        <f>CHARGES_PRODUITS!E13-CHARGES_PRODUITS!E7</f>
        <v>0</v>
      </c>
      <c r="E21" s="137">
        <f>CHARGES_PRODUITS!F13-CHARGES_PRODUITS!F7</f>
        <v>0</v>
      </c>
      <c r="F21" s="137">
        <f>CHARGES_PRODUITS!G13-CHARGES_PRODUITS!G7</f>
        <v>0</v>
      </c>
      <c r="G21" s="137">
        <f>CHARGES_PRODUITS!H13-CHARGES_PRODUITS!H7</f>
        <v>0</v>
      </c>
      <c r="H21" s="137">
        <f>CHARGES_PRODUITS!I13-CHARGES_PRODUITS!I7</f>
        <v>0</v>
      </c>
    </row>
    <row r="22" spans="1:11" ht="15" x14ac:dyDescent="0.25">
      <c r="A22" s="480" t="s">
        <v>39</v>
      </c>
      <c r="B22" s="93">
        <f>SUM(B17:B21)</f>
        <v>60.604625080001142</v>
      </c>
      <c r="C22" s="93">
        <f t="shared" ref="C22:H22" si="4">SUM(C17:C21)</f>
        <v>36.406181829999809</v>
      </c>
      <c r="D22" s="93">
        <f t="shared" si="4"/>
        <v>36.418558009070694</v>
      </c>
      <c r="E22" s="93">
        <f t="shared" si="4"/>
        <v>34.649827828157754</v>
      </c>
      <c r="F22" s="93">
        <f t="shared" si="4"/>
        <v>38.567637592905385</v>
      </c>
      <c r="G22" s="93">
        <f t="shared" si="4"/>
        <v>39.313809824579266</v>
      </c>
      <c r="H22" s="93">
        <f t="shared" si="4"/>
        <v>40.020680687379695</v>
      </c>
      <c r="J22" s="134"/>
      <c r="K22" s="252"/>
    </row>
    <row r="23" spans="1:11" x14ac:dyDescent="0.2">
      <c r="B23" s="368">
        <f t="shared" ref="B23:H23" si="5">B5</f>
        <v>60.604625080000915</v>
      </c>
      <c r="C23" s="368">
        <f t="shared" si="5"/>
        <v>36.406181829999696</v>
      </c>
      <c r="D23" s="368">
        <f t="shared" si="5"/>
        <v>36.418558009070694</v>
      </c>
      <c r="E23" s="368">
        <f t="shared" si="5"/>
        <v>34.649827828157868</v>
      </c>
      <c r="F23" s="368">
        <f t="shared" si="5"/>
        <v>38.567637592906976</v>
      </c>
      <c r="G23" s="368">
        <f t="shared" si="5"/>
        <v>39.31380982457631</v>
      </c>
      <c r="H23" s="368">
        <f t="shared" si="5"/>
        <v>40.020680687379354</v>
      </c>
      <c r="J23" s="117"/>
    </row>
    <row r="24" spans="1:11" ht="15" x14ac:dyDescent="0.25">
      <c r="A24" s="15" t="s">
        <v>101</v>
      </c>
      <c r="C24" s="44"/>
      <c r="J24" s="120"/>
    </row>
    <row r="25" spans="1:11" x14ac:dyDescent="0.2">
      <c r="A25" s="477" t="s">
        <v>38</v>
      </c>
      <c r="B25" s="667" t="str">
        <f>B8</f>
        <v>2024/2023</v>
      </c>
      <c r="C25" s="668" t="s">
        <v>1</v>
      </c>
      <c r="D25" s="668"/>
      <c r="E25" s="668"/>
      <c r="F25" s="668"/>
      <c r="G25" s="668"/>
    </row>
    <row r="26" spans="1:11" x14ac:dyDescent="0.2">
      <c r="A26" s="477"/>
      <c r="B26" s="667"/>
      <c r="C26" s="477" t="str">
        <f>C9</f>
        <v>2025/2024</v>
      </c>
      <c r="D26" s="477" t="str">
        <f>D9</f>
        <v>2026/2025</v>
      </c>
      <c r="E26" s="477" t="str">
        <f>E9</f>
        <v>2027/2026</v>
      </c>
      <c r="F26" s="477" t="str">
        <f>F9</f>
        <v>2028/2027</v>
      </c>
      <c r="G26" s="477" t="str">
        <f>G9</f>
        <v>2029/2028</v>
      </c>
    </row>
    <row r="27" spans="1:11" x14ac:dyDescent="0.2">
      <c r="A27" s="33" t="s">
        <v>98</v>
      </c>
      <c r="B27" s="94" t="e">
        <f t="shared" ref="B27:G31" si="6">C17/B17-1</f>
        <v>#DIV/0!</v>
      </c>
      <c r="C27" s="94" t="e">
        <f t="shared" si="6"/>
        <v>#DIV/0!</v>
      </c>
      <c r="D27" s="94" t="e">
        <f t="shared" si="6"/>
        <v>#DIV/0!</v>
      </c>
      <c r="E27" s="94" t="e">
        <f t="shared" si="6"/>
        <v>#DIV/0!</v>
      </c>
      <c r="F27" s="94" t="e">
        <f t="shared" si="6"/>
        <v>#DIV/0!</v>
      </c>
      <c r="G27" s="94" t="e">
        <f t="shared" si="6"/>
        <v>#DIV/0!</v>
      </c>
    </row>
    <row r="28" spans="1:11" x14ac:dyDescent="0.2">
      <c r="A28" s="33" t="s">
        <v>102</v>
      </c>
      <c r="B28" s="94">
        <f t="shared" si="6"/>
        <v>-0.39889240665512959</v>
      </c>
      <c r="C28" s="94">
        <f t="shared" si="6"/>
        <v>3.399471861309511E-4</v>
      </c>
      <c r="D28" s="94">
        <f t="shared" si="6"/>
        <v>-4.8566727449022129E-2</v>
      </c>
      <c r="E28" s="94">
        <f t="shared" si="6"/>
        <v>0.11306866470383636</v>
      </c>
      <c r="F28" s="94">
        <f t="shared" si="6"/>
        <v>1.9347107529633645E-2</v>
      </c>
      <c r="G28" s="94">
        <f t="shared" si="6"/>
        <v>1.7980217789996145E-2</v>
      </c>
    </row>
    <row r="29" spans="1:11" x14ac:dyDescent="0.2">
      <c r="A29" s="33" t="s">
        <v>99</v>
      </c>
      <c r="B29" s="94" t="e">
        <f t="shared" si="6"/>
        <v>#DIV/0!</v>
      </c>
      <c r="C29" s="94" t="e">
        <f t="shared" si="6"/>
        <v>#DIV/0!</v>
      </c>
      <c r="D29" s="94" t="e">
        <f t="shared" si="6"/>
        <v>#DIV/0!</v>
      </c>
      <c r="E29" s="94" t="e">
        <f t="shared" si="6"/>
        <v>#DIV/0!</v>
      </c>
      <c r="F29" s="94" t="e">
        <f t="shared" si="6"/>
        <v>#DIV/0!</v>
      </c>
      <c r="G29" s="94" t="e">
        <f t="shared" si="6"/>
        <v>#DIV/0!</v>
      </c>
    </row>
    <row r="30" spans="1:11" x14ac:dyDescent="0.2">
      <c r="A30" s="33" t="s">
        <v>100</v>
      </c>
      <c r="B30" s="94">
        <f t="shared" si="6"/>
        <v>-1</v>
      </c>
      <c r="C30" s="94" t="e">
        <f t="shared" si="6"/>
        <v>#DIV/0!</v>
      </c>
      <c r="D30" s="94" t="e">
        <f t="shared" si="6"/>
        <v>#DIV/0!</v>
      </c>
      <c r="E30" s="94" t="e">
        <f t="shared" si="6"/>
        <v>#DIV/0!</v>
      </c>
      <c r="F30" s="94" t="e">
        <f t="shared" si="6"/>
        <v>#DIV/0!</v>
      </c>
      <c r="G30" s="94" t="e">
        <f t="shared" si="6"/>
        <v>#DIV/0!</v>
      </c>
    </row>
    <row r="31" spans="1:11" x14ac:dyDescent="0.2">
      <c r="A31" s="207" t="s">
        <v>238</v>
      </c>
      <c r="B31" s="94" t="e">
        <f t="shared" si="6"/>
        <v>#DIV/0!</v>
      </c>
      <c r="C31" s="94" t="e">
        <f t="shared" si="6"/>
        <v>#DIV/0!</v>
      </c>
      <c r="D31" s="94" t="e">
        <f t="shared" si="6"/>
        <v>#DIV/0!</v>
      </c>
      <c r="E31" s="94" t="e">
        <f t="shared" si="6"/>
        <v>#DIV/0!</v>
      </c>
      <c r="F31" s="94" t="e">
        <f t="shared" si="6"/>
        <v>#DIV/0!</v>
      </c>
      <c r="G31" s="94" t="e">
        <f t="shared" si="6"/>
        <v>#DIV/0!</v>
      </c>
    </row>
    <row r="32" spans="1:11" x14ac:dyDescent="0.2">
      <c r="A32" s="480" t="s">
        <v>39</v>
      </c>
      <c r="B32" s="95">
        <f t="shared" ref="B32:G32" si="7">C22/B22-1</f>
        <v>-0.39928377113228863</v>
      </c>
      <c r="C32" s="95">
        <f>D22/C22-1</f>
        <v>3.399471861309511E-4</v>
      </c>
      <c r="D32" s="95">
        <f t="shared" si="7"/>
        <v>-4.8566727449022129E-2</v>
      </c>
      <c r="E32" s="95">
        <f t="shared" si="7"/>
        <v>0.11306866470383636</v>
      </c>
      <c r="F32" s="95">
        <f t="shared" si="7"/>
        <v>1.9347107529633645E-2</v>
      </c>
      <c r="G32" s="95">
        <f t="shared" si="7"/>
        <v>1.7980217789996145E-2</v>
      </c>
    </row>
    <row r="33" spans="1:8" x14ac:dyDescent="0.2">
      <c r="B33" s="369">
        <f t="shared" ref="B33:G33" si="8">B12</f>
        <v>-0.39928377113228819</v>
      </c>
      <c r="C33" s="369">
        <f t="shared" si="8"/>
        <v>3.3994718613428176E-4</v>
      </c>
      <c r="D33" s="369">
        <f t="shared" si="8"/>
        <v>-4.856672744901902E-2</v>
      </c>
      <c r="E33" s="369">
        <f t="shared" si="8"/>
        <v>0.11306866470387877</v>
      </c>
      <c r="F33" s="369">
        <f t="shared" si="8"/>
        <v>1.9347107529514851E-2</v>
      </c>
      <c r="G33" s="369">
        <f t="shared" si="8"/>
        <v>1.798021779006409E-2</v>
      </c>
    </row>
    <row r="34" spans="1:8" ht="15" x14ac:dyDescent="0.25">
      <c r="A34" s="15" t="s">
        <v>94</v>
      </c>
    </row>
    <row r="35" spans="1:8" x14ac:dyDescent="0.2">
      <c r="A35" s="477" t="s">
        <v>38</v>
      </c>
      <c r="B35" s="667">
        <f>C15</f>
        <v>2024</v>
      </c>
      <c r="C35" s="668" t="s">
        <v>1</v>
      </c>
      <c r="D35" s="668"/>
      <c r="E35" s="668"/>
      <c r="F35" s="668"/>
      <c r="G35" s="668"/>
    </row>
    <row r="36" spans="1:8" x14ac:dyDescent="0.2">
      <c r="A36" s="477"/>
      <c r="B36" s="667"/>
      <c r="C36" s="477" t="str">
        <f>D16</f>
        <v>2025(p)</v>
      </c>
      <c r="D36" s="477" t="str">
        <f>E16</f>
        <v>2026(p)</v>
      </c>
      <c r="E36" s="477" t="str">
        <f>F16</f>
        <v>2027(p)</v>
      </c>
      <c r="F36" s="477" t="str">
        <f>G16</f>
        <v>2028(p)</v>
      </c>
      <c r="G36" s="477" t="str">
        <f>H16</f>
        <v>2029(p)</v>
      </c>
    </row>
    <row r="37" spans="1:8" x14ac:dyDescent="0.2">
      <c r="A37" s="33" t="s">
        <v>98</v>
      </c>
      <c r="B37" s="96" t="e">
        <f t="shared" ref="B37:G37" si="9">(B17/B$22)*B27*100</f>
        <v>#DIV/0!</v>
      </c>
      <c r="C37" s="96" t="e">
        <f t="shared" si="9"/>
        <v>#DIV/0!</v>
      </c>
      <c r="D37" s="96" t="e">
        <f t="shared" si="9"/>
        <v>#DIV/0!</v>
      </c>
      <c r="E37" s="96" t="e">
        <f t="shared" si="9"/>
        <v>#DIV/0!</v>
      </c>
      <c r="F37" s="96" t="e">
        <f t="shared" si="9"/>
        <v>#DIV/0!</v>
      </c>
      <c r="G37" s="96" t="e">
        <f t="shared" si="9"/>
        <v>#DIV/0!</v>
      </c>
    </row>
    <row r="38" spans="1:8" x14ac:dyDescent="0.2">
      <c r="A38" s="33" t="s">
        <v>102</v>
      </c>
      <c r="B38" s="96">
        <f t="shared" ref="B38:G38" si="10">(B18/B$22)*B28*100</f>
        <v>-39.863269887585403</v>
      </c>
      <c r="C38" s="96">
        <f t="shared" si="10"/>
        <v>3.399471861309511E-2</v>
      </c>
      <c r="D38" s="96">
        <f t="shared" si="10"/>
        <v>-4.8566727449022125</v>
      </c>
      <c r="E38" s="96">
        <f t="shared" si="10"/>
        <v>11.306866470383635</v>
      </c>
      <c r="F38" s="96">
        <f t="shared" si="10"/>
        <v>1.9347107529633645</v>
      </c>
      <c r="G38" s="96">
        <f t="shared" si="10"/>
        <v>1.7980217789996145</v>
      </c>
    </row>
    <row r="39" spans="1:8" x14ac:dyDescent="0.2">
      <c r="A39" s="33" t="s">
        <v>99</v>
      </c>
      <c r="B39" s="96" t="e">
        <f t="shared" ref="B39:G39" si="11">(B19/B$22)*B29*100</f>
        <v>#DIV/0!</v>
      </c>
      <c r="C39" s="96" t="e">
        <f t="shared" si="11"/>
        <v>#DIV/0!</v>
      </c>
      <c r="D39" s="96" t="e">
        <f t="shared" si="11"/>
        <v>#DIV/0!</v>
      </c>
      <c r="E39" s="96" t="e">
        <f t="shared" si="11"/>
        <v>#DIV/0!</v>
      </c>
      <c r="F39" s="96" t="e">
        <f t="shared" si="11"/>
        <v>#DIV/0!</v>
      </c>
      <c r="G39" s="96" t="e">
        <f t="shared" si="11"/>
        <v>#DIV/0!</v>
      </c>
    </row>
    <row r="40" spans="1:8" x14ac:dyDescent="0.2">
      <c r="A40" s="33" t="s">
        <v>100</v>
      </c>
      <c r="B40" s="96">
        <f t="shared" ref="B40:G41" si="12">(B20/B$22)*B30*100</f>
        <v>-6.5107225643461858E-2</v>
      </c>
      <c r="C40" s="96" t="e">
        <f t="shared" si="12"/>
        <v>#DIV/0!</v>
      </c>
      <c r="D40" s="96" t="e">
        <f t="shared" si="12"/>
        <v>#DIV/0!</v>
      </c>
      <c r="E40" s="96" t="e">
        <f t="shared" si="12"/>
        <v>#DIV/0!</v>
      </c>
      <c r="F40" s="96" t="e">
        <f t="shared" si="12"/>
        <v>#DIV/0!</v>
      </c>
      <c r="G40" s="96" t="e">
        <f t="shared" si="12"/>
        <v>#DIV/0!</v>
      </c>
    </row>
    <row r="41" spans="1:8" x14ac:dyDescent="0.2">
      <c r="A41" s="207" t="s">
        <v>238</v>
      </c>
      <c r="B41" s="96" t="e">
        <f t="shared" si="12"/>
        <v>#DIV/0!</v>
      </c>
      <c r="C41" s="96" t="e">
        <f t="shared" si="12"/>
        <v>#DIV/0!</v>
      </c>
      <c r="D41" s="96" t="e">
        <f t="shared" si="12"/>
        <v>#DIV/0!</v>
      </c>
      <c r="E41" s="96" t="e">
        <f t="shared" si="12"/>
        <v>#DIV/0!</v>
      </c>
      <c r="F41" s="96" t="e">
        <f t="shared" si="12"/>
        <v>#DIV/0!</v>
      </c>
      <c r="G41" s="96" t="e">
        <f t="shared" si="12"/>
        <v>#DIV/0!</v>
      </c>
    </row>
    <row r="42" spans="1:8" x14ac:dyDescent="0.2">
      <c r="A42" s="480" t="s">
        <v>39</v>
      </c>
      <c r="B42" s="97">
        <f t="shared" ref="B42:G42" si="13">(B22/B$22)*B32*100</f>
        <v>-39.928377113228862</v>
      </c>
      <c r="C42" s="97">
        <f t="shared" si="13"/>
        <v>3.399471861309511E-2</v>
      </c>
      <c r="D42" s="97">
        <f t="shared" si="13"/>
        <v>-4.8566727449022125</v>
      </c>
      <c r="E42" s="97">
        <f t="shared" si="13"/>
        <v>11.306866470383635</v>
      </c>
      <c r="F42" s="97">
        <f t="shared" si="13"/>
        <v>1.9347107529633645</v>
      </c>
      <c r="G42" s="97">
        <f t="shared" si="13"/>
        <v>1.7980217789996145</v>
      </c>
    </row>
    <row r="44" spans="1:8" ht="15.75" thickBot="1" x14ac:dyDescent="0.3">
      <c r="A44" s="370" t="s">
        <v>168</v>
      </c>
      <c r="G44" s="138"/>
    </row>
    <row r="45" spans="1:8" ht="15" thickTop="1" x14ac:dyDescent="0.2">
      <c r="A45" s="661" t="s">
        <v>141</v>
      </c>
      <c r="B45" s="662">
        <f>B15</f>
        <v>2023</v>
      </c>
      <c r="C45" s="663">
        <f>C15</f>
        <v>2024</v>
      </c>
      <c r="D45" s="665" t="str">
        <f>C36</f>
        <v>2025(p)</v>
      </c>
      <c r="E45" s="657" t="str">
        <f>D36</f>
        <v>2026(p)</v>
      </c>
      <c r="F45" s="657" t="str">
        <f>E36</f>
        <v>2027(p)</v>
      </c>
      <c r="G45" s="657" t="str">
        <f>F36</f>
        <v>2028(p)</v>
      </c>
      <c r="H45" s="659" t="str">
        <f>G36</f>
        <v>2029(p)</v>
      </c>
    </row>
    <row r="46" spans="1:8" x14ac:dyDescent="0.2">
      <c r="A46" s="661"/>
      <c r="B46" s="662"/>
      <c r="C46" s="664"/>
      <c r="D46" s="666"/>
      <c r="E46" s="658"/>
      <c r="F46" s="658"/>
      <c r="G46" s="658"/>
      <c r="H46" s="660"/>
    </row>
    <row r="47" spans="1:8" x14ac:dyDescent="0.2">
      <c r="A47" s="661"/>
      <c r="B47" s="662"/>
      <c r="C47" s="664"/>
      <c r="D47" s="666"/>
      <c r="E47" s="658"/>
      <c r="F47" s="658"/>
      <c r="G47" s="658"/>
      <c r="H47" s="660"/>
    </row>
    <row r="48" spans="1:8" x14ac:dyDescent="0.2">
      <c r="A48" s="481" t="s">
        <v>142</v>
      </c>
      <c r="B48" s="580">
        <f>TableauxNote!M14</f>
        <v>2589.8622132199998</v>
      </c>
      <c r="C48" s="583">
        <f>TableauxNote!N14</f>
        <v>2677.45939438</v>
      </c>
      <c r="D48" s="586">
        <f>TableauxNote!O14</f>
        <v>2608.4130858157359</v>
      </c>
      <c r="E48" s="482">
        <f>TableauxNote!P14</f>
        <v>2639.5268795098223</v>
      </c>
      <c r="F48" s="482">
        <f>TableauxNote!Q14</f>
        <v>2741.4975939817814</v>
      </c>
      <c r="G48" s="482">
        <f>TableauxNote!R14</f>
        <v>2846.380491416573</v>
      </c>
      <c r="H48" s="587">
        <f>TableauxNote!S14</f>
        <v>2975.693833246467</v>
      </c>
    </row>
    <row r="49" spans="1:9" x14ac:dyDescent="0.2">
      <c r="A49" s="481" t="s">
        <v>143</v>
      </c>
      <c r="B49" s="580">
        <f>TableauxNote!M15</f>
        <v>22.085180659999999</v>
      </c>
      <c r="C49" s="583">
        <f>TableauxNote!N15</f>
        <v>76.694160310000001</v>
      </c>
      <c r="D49" s="586">
        <f>TableauxNote!O15</f>
        <v>25.72046308115182</v>
      </c>
      <c r="E49" s="482">
        <f>TableauxNote!P15</f>
        <v>-13.816356005352199</v>
      </c>
      <c r="F49" s="482">
        <f>TableauxNote!Q15</f>
        <v>-46.752866169924275</v>
      </c>
      <c r="G49" s="482">
        <f>TableauxNote!R15</f>
        <v>-76.382086754160426</v>
      </c>
      <c r="H49" s="587">
        <f>TableauxNote!S15</f>
        <v>-104.72650440211942</v>
      </c>
    </row>
    <row r="50" spans="1:9" x14ac:dyDescent="0.2">
      <c r="A50" s="481" t="s">
        <v>145</v>
      </c>
      <c r="B50" s="580">
        <f>TableauxNote!M16</f>
        <v>146.19300853999999</v>
      </c>
      <c r="C50" s="583">
        <f>TableauxNote!N16</f>
        <v>420.71999957000003</v>
      </c>
      <c r="D50" s="588">
        <f>TableauxNote!O16</f>
        <v>464.73369457572102</v>
      </c>
      <c r="E50" s="483">
        <f>TableauxNote!P16</f>
        <v>503.65329925868099</v>
      </c>
      <c r="F50" s="483">
        <f>TableauxNote!Q16</f>
        <v>626.3423205427423</v>
      </c>
      <c r="G50" s="483">
        <f>TableauxNote!R16</f>
        <v>765.64461832161078</v>
      </c>
      <c r="H50" s="589">
        <f>TableauxNote!S16</f>
        <v>910.48226845690851</v>
      </c>
      <c r="I50" s="92"/>
    </row>
    <row r="51" spans="1:9" x14ac:dyDescent="0.2">
      <c r="A51" s="481" t="s">
        <v>238</v>
      </c>
      <c r="B51" s="580">
        <f>TableauxNote!M17</f>
        <v>0</v>
      </c>
      <c r="C51" s="584">
        <f>TableauxNote!N17</f>
        <v>0</v>
      </c>
      <c r="D51" s="590">
        <f>TableauxNote!O17</f>
        <v>5.6843418860808015E-14</v>
      </c>
      <c r="E51" s="582">
        <f>TableauxNote!P17</f>
        <v>0</v>
      </c>
      <c r="F51" s="582">
        <f>TableauxNote!Q17</f>
        <v>0</v>
      </c>
      <c r="G51" s="582">
        <f>TableauxNote!R17</f>
        <v>5.6843418860808015E-14</v>
      </c>
      <c r="H51" s="591">
        <f>TableauxNote!S17</f>
        <v>0</v>
      </c>
      <c r="I51" s="92"/>
    </row>
    <row r="52" spans="1:9" ht="15" thickBot="1" x14ac:dyDescent="0.25">
      <c r="A52" s="484" t="s">
        <v>144</v>
      </c>
      <c r="B52" s="581">
        <f t="shared" ref="B52:H52" si="14">SUM(B48:B50)</f>
        <v>2758.1404024199996</v>
      </c>
      <c r="C52" s="585">
        <f t="shared" si="14"/>
        <v>3174.8735542599998</v>
      </c>
      <c r="D52" s="592">
        <f t="shared" si="14"/>
        <v>3098.8672434726091</v>
      </c>
      <c r="E52" s="593">
        <f t="shared" si="14"/>
        <v>3129.3638227631509</v>
      </c>
      <c r="F52" s="593">
        <f t="shared" si="14"/>
        <v>3321.0870483545996</v>
      </c>
      <c r="G52" s="593">
        <f t="shared" si="14"/>
        <v>3535.6430229840234</v>
      </c>
      <c r="H52" s="594">
        <f t="shared" si="14"/>
        <v>3781.4495973012558</v>
      </c>
    </row>
    <row r="53" spans="1:9" ht="15" thickTop="1" x14ac:dyDescent="0.2"/>
  </sheetData>
  <mergeCells count="20">
    <mergeCell ref="B1:B2"/>
    <mergeCell ref="C1:C2"/>
    <mergeCell ref="D1:H1"/>
    <mergeCell ref="B8:B9"/>
    <mergeCell ref="B15:B16"/>
    <mergeCell ref="C15:C16"/>
    <mergeCell ref="D15:H15"/>
    <mergeCell ref="B25:B26"/>
    <mergeCell ref="C25:G25"/>
    <mergeCell ref="B35:B36"/>
    <mergeCell ref="C35:G35"/>
    <mergeCell ref="C8:G8"/>
    <mergeCell ref="F45:F47"/>
    <mergeCell ref="G45:G47"/>
    <mergeCell ref="H45:H47"/>
    <mergeCell ref="A45:A47"/>
    <mergeCell ref="B45:B47"/>
    <mergeCell ref="C45:C47"/>
    <mergeCell ref="D45:D47"/>
    <mergeCell ref="E45:E47"/>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A121"/>
  <sheetViews>
    <sheetView zoomScaleNormal="100" zoomScaleSheetLayoutView="90" workbookViewId="0"/>
  </sheetViews>
  <sheetFormatPr baseColWidth="10" defaultColWidth="11.42578125" defaultRowHeight="12" x14ac:dyDescent="0.2"/>
  <cols>
    <col min="1" max="1" width="12.28515625" style="140" customWidth="1"/>
    <col min="2" max="2" width="17.7109375" style="140" customWidth="1"/>
    <col min="3" max="4" width="11.42578125" style="140"/>
    <col min="5" max="5" width="12.42578125" style="140" customWidth="1"/>
    <col min="6" max="6" width="12" style="140" customWidth="1"/>
    <col min="7" max="7" width="11.42578125" style="140"/>
    <col min="8" max="8" width="11.5703125" style="140" bestFit="1" customWidth="1"/>
    <col min="9" max="10" width="11.42578125" style="140"/>
    <col min="11" max="11" width="15.28515625" style="140" customWidth="1"/>
    <col min="12" max="12" width="13.7109375" style="140" bestFit="1" customWidth="1"/>
    <col min="13" max="13" width="15.28515625" style="140" customWidth="1"/>
    <col min="14" max="16384" width="11.42578125" style="140"/>
  </cols>
  <sheetData>
    <row r="1" spans="1:19" ht="12.75" x14ac:dyDescent="0.2">
      <c r="E1"/>
    </row>
    <row r="2" spans="1:19" ht="12.75" x14ac:dyDescent="0.2">
      <c r="A2" s="141" t="s">
        <v>172</v>
      </c>
      <c r="E2"/>
    </row>
    <row r="3" spans="1:19" ht="12.75" x14ac:dyDescent="0.2">
      <c r="A3" s="142"/>
      <c r="E3"/>
    </row>
    <row r="4" spans="1:19" ht="7.5" customHeight="1" thickBot="1" x14ac:dyDescent="0.25">
      <c r="A4" s="221"/>
    </row>
    <row r="5" spans="1:19" ht="12.75" thickBot="1" x14ac:dyDescent="0.25">
      <c r="A5" s="707" t="s">
        <v>173</v>
      </c>
      <c r="B5" s="708"/>
      <c r="C5" s="266" t="s">
        <v>174</v>
      </c>
      <c r="D5" s="266" t="s">
        <v>174</v>
      </c>
      <c r="E5" s="711" t="s">
        <v>1</v>
      </c>
      <c r="F5" s="712"/>
      <c r="G5" s="712"/>
      <c r="H5" s="712"/>
      <c r="I5" s="713"/>
    </row>
    <row r="6" spans="1:19" ht="13.5" thickBot="1" x14ac:dyDescent="0.25">
      <c r="A6" s="709"/>
      <c r="B6" s="710"/>
      <c r="C6" s="267">
        <v>2023</v>
      </c>
      <c r="D6" s="267">
        <v>2024</v>
      </c>
      <c r="E6" s="267">
        <f>D6+1</f>
        <v>2025</v>
      </c>
      <c r="F6" s="267">
        <f t="shared" ref="F6:I6" si="0">E6+1</f>
        <v>2026</v>
      </c>
      <c r="G6" s="267">
        <f t="shared" si="0"/>
        <v>2027</v>
      </c>
      <c r="H6" s="267">
        <f t="shared" si="0"/>
        <v>2028</v>
      </c>
      <c r="I6" s="267">
        <f t="shared" si="0"/>
        <v>2029</v>
      </c>
      <c r="K6"/>
    </row>
    <row r="7" spans="1:19" x14ac:dyDescent="0.2">
      <c r="A7" s="222" t="s">
        <v>175</v>
      </c>
      <c r="B7" s="144" t="s">
        <v>256</v>
      </c>
      <c r="C7" s="550">
        <v>181319.26699999996</v>
      </c>
      <c r="D7" s="551">
        <v>176831.61600000001</v>
      </c>
      <c r="E7" s="552">
        <v>179782.28679046006</v>
      </c>
      <c r="F7" s="552">
        <v>180606.72700786768</v>
      </c>
      <c r="G7" s="552">
        <v>182302.34767328907</v>
      </c>
      <c r="H7" s="552">
        <v>189051.60254530751</v>
      </c>
      <c r="I7" s="552">
        <v>191029.58393933854</v>
      </c>
      <c r="K7" s="145"/>
      <c r="L7" s="145"/>
      <c r="M7" s="145"/>
      <c r="N7" s="145"/>
      <c r="O7" s="145"/>
      <c r="P7" s="145"/>
      <c r="Q7" s="145"/>
      <c r="R7" s="145"/>
      <c r="S7" s="145"/>
    </row>
    <row r="8" spans="1:19" x14ac:dyDescent="0.2">
      <c r="A8" s="223"/>
      <c r="B8" s="144" t="s">
        <v>212</v>
      </c>
      <c r="C8" s="553">
        <v>114484.69000000009</v>
      </c>
      <c r="D8" s="551">
        <v>111927.3109999999</v>
      </c>
      <c r="E8" s="552">
        <v>109880.8736250737</v>
      </c>
      <c r="F8" s="552">
        <v>110049.80584617771</v>
      </c>
      <c r="G8" s="552">
        <v>109147.18433926866</v>
      </c>
      <c r="H8" s="552">
        <v>103186.55028370986</v>
      </c>
      <c r="I8" s="552">
        <v>101997.0940353029</v>
      </c>
      <c r="K8" s="145"/>
      <c r="L8" s="145"/>
      <c r="M8" s="145"/>
      <c r="N8" s="145"/>
      <c r="O8" s="145"/>
      <c r="P8" s="145"/>
      <c r="Q8" s="145"/>
      <c r="R8" s="145"/>
      <c r="S8" s="145"/>
    </row>
    <row r="9" spans="1:19" ht="12" customHeight="1" x14ac:dyDescent="0.2">
      <c r="A9" s="224"/>
      <c r="B9" s="144" t="s">
        <v>176</v>
      </c>
      <c r="C9" s="553">
        <v>363068.46900000004</v>
      </c>
      <c r="D9" s="551">
        <v>371278.02100000007</v>
      </c>
      <c r="E9" s="552">
        <v>378269.12720197131</v>
      </c>
      <c r="F9" s="552">
        <v>384007.39522823528</v>
      </c>
      <c r="G9" s="552">
        <v>389745.66325449932</v>
      </c>
      <c r="H9" s="552">
        <v>395483.93128076335</v>
      </c>
      <c r="I9" s="552">
        <v>401222.19930702727</v>
      </c>
      <c r="K9" s="145"/>
      <c r="L9" s="145"/>
      <c r="M9" s="145"/>
      <c r="N9" s="145"/>
      <c r="O9" s="145"/>
      <c r="P9" s="145"/>
      <c r="Q9" s="145"/>
      <c r="R9" s="145"/>
      <c r="S9" s="145"/>
    </row>
    <row r="10" spans="1:19" ht="12" customHeight="1" thickBot="1" x14ac:dyDescent="0.25">
      <c r="A10" s="224"/>
      <c r="B10" s="146" t="s">
        <v>177</v>
      </c>
      <c r="C10" s="225">
        <f t="shared" ref="C10:I10" si="1">SUM(C7:C9)</f>
        <v>658872.42600000009</v>
      </c>
      <c r="D10" s="261">
        <f t="shared" si="1"/>
        <v>660036.94799999997</v>
      </c>
      <c r="E10" s="261">
        <f t="shared" si="1"/>
        <v>667932.28761750506</v>
      </c>
      <c r="F10" s="261">
        <f t="shared" si="1"/>
        <v>674663.92808228068</v>
      </c>
      <c r="G10" s="261">
        <f t="shared" si="1"/>
        <v>681195.19526705705</v>
      </c>
      <c r="H10" s="261">
        <f t="shared" si="1"/>
        <v>687722.08410978073</v>
      </c>
      <c r="I10" s="261">
        <f t="shared" si="1"/>
        <v>694248.87728166871</v>
      </c>
      <c r="K10" s="145"/>
      <c r="L10" s="145"/>
      <c r="M10" s="145"/>
      <c r="N10" s="145"/>
      <c r="O10" s="145"/>
      <c r="P10" s="145"/>
      <c r="Q10" s="145"/>
      <c r="R10" s="145"/>
      <c r="S10" s="145"/>
    </row>
    <row r="11" spans="1:19" x14ac:dyDescent="0.2">
      <c r="A11" s="226" t="s">
        <v>178</v>
      </c>
      <c r="B11" s="143" t="s">
        <v>257</v>
      </c>
      <c r="C11" s="550">
        <v>36697.464000000007</v>
      </c>
      <c r="D11" s="554">
        <v>33293.754000000001</v>
      </c>
      <c r="E11" s="554">
        <v>32901.044839214956</v>
      </c>
      <c r="F11" s="554">
        <v>33980.055781442898</v>
      </c>
      <c r="G11" s="554">
        <v>33549.996701858588</v>
      </c>
      <c r="H11" s="554">
        <v>33264.106673963222</v>
      </c>
      <c r="I11" s="554">
        <v>33542.916544337924</v>
      </c>
      <c r="K11" s="145"/>
      <c r="L11" s="145"/>
      <c r="M11" s="145"/>
      <c r="N11" s="145"/>
      <c r="O11" s="145"/>
      <c r="P11" s="145"/>
      <c r="Q11" s="145"/>
      <c r="R11" s="145"/>
      <c r="S11" s="145"/>
    </row>
    <row r="12" spans="1:19" ht="12" customHeight="1" x14ac:dyDescent="0.2">
      <c r="A12" s="227"/>
      <c r="B12" s="144" t="s">
        <v>176</v>
      </c>
      <c r="C12" s="553">
        <v>208921.19199999998</v>
      </c>
      <c r="D12" s="551">
        <v>213447.24400000001</v>
      </c>
      <c r="E12" s="551">
        <v>215399.53371526976</v>
      </c>
      <c r="F12" s="551">
        <v>218763.29899636083</v>
      </c>
      <c r="G12" s="551">
        <v>221352.68101049672</v>
      </c>
      <c r="H12" s="551">
        <v>224366.68846047006</v>
      </c>
      <c r="I12" s="551">
        <v>227147.85673576829</v>
      </c>
      <c r="K12" s="145"/>
      <c r="L12" s="145"/>
      <c r="M12" s="145"/>
      <c r="N12" s="145"/>
      <c r="O12" s="145"/>
      <c r="P12" s="145"/>
      <c r="Q12" s="145"/>
      <c r="R12" s="145"/>
      <c r="S12" s="145"/>
    </row>
    <row r="13" spans="1:19" ht="12.75" customHeight="1" thickBot="1" x14ac:dyDescent="0.25">
      <c r="A13" s="228"/>
      <c r="B13" s="146" t="s">
        <v>177</v>
      </c>
      <c r="C13" s="225">
        <f t="shared" ref="C13:I13" si="2">SUM(C11:C12)</f>
        <v>245618.65599999999</v>
      </c>
      <c r="D13" s="261">
        <f t="shared" si="2"/>
        <v>246740.99800000002</v>
      </c>
      <c r="E13" s="261">
        <f t="shared" si="2"/>
        <v>248300.5785544847</v>
      </c>
      <c r="F13" s="261">
        <f t="shared" si="2"/>
        <v>252743.35477780373</v>
      </c>
      <c r="G13" s="261">
        <f t="shared" si="2"/>
        <v>254902.6777123553</v>
      </c>
      <c r="H13" s="261">
        <f t="shared" si="2"/>
        <v>257630.79513443328</v>
      </c>
      <c r="I13" s="261">
        <f t="shared" si="2"/>
        <v>260690.77328010622</v>
      </c>
      <c r="K13" s="145"/>
      <c r="L13" s="145"/>
      <c r="M13" s="145"/>
      <c r="N13" s="145"/>
      <c r="O13" s="145"/>
      <c r="P13" s="145"/>
      <c r="Q13" s="145"/>
      <c r="R13" s="145"/>
      <c r="S13" s="145"/>
    </row>
    <row r="14" spans="1:19" x14ac:dyDescent="0.2">
      <c r="A14" s="226" t="s">
        <v>180</v>
      </c>
      <c r="B14" s="143" t="str">
        <f>B11</f>
        <v xml:space="preserve">Cdd </v>
      </c>
      <c r="C14" s="550">
        <v>44051.903999999995</v>
      </c>
      <c r="D14" s="554">
        <v>38162.391000000003</v>
      </c>
      <c r="E14" s="551">
        <v>36580.952078096125</v>
      </c>
      <c r="F14" s="551">
        <v>37501.303914371856</v>
      </c>
      <c r="G14" s="551">
        <v>37677.06190455833</v>
      </c>
      <c r="H14" s="551">
        <v>37677.06190455833</v>
      </c>
      <c r="I14" s="551">
        <v>37677.06190455833</v>
      </c>
      <c r="K14" s="145"/>
      <c r="L14" s="145"/>
      <c r="M14" s="145"/>
      <c r="N14" s="145"/>
      <c r="O14" s="145"/>
      <c r="P14" s="145"/>
      <c r="Q14" s="145"/>
      <c r="R14" s="145"/>
      <c r="S14" s="145"/>
    </row>
    <row r="15" spans="1:19" ht="12" customHeight="1" x14ac:dyDescent="0.2">
      <c r="A15" s="227"/>
      <c r="B15" s="144" t="s">
        <v>176</v>
      </c>
      <c r="C15" s="553">
        <v>304178.39799999999</v>
      </c>
      <c r="D15" s="551">
        <v>314360.56599999999</v>
      </c>
      <c r="E15" s="551">
        <v>319662.81317682186</v>
      </c>
      <c r="F15" s="551">
        <v>322279.5227207127</v>
      </c>
      <c r="G15" s="551">
        <v>324896.2322646036</v>
      </c>
      <c r="H15" s="551">
        <v>327512.94180849451</v>
      </c>
      <c r="I15" s="551">
        <v>330129.65135238529</v>
      </c>
      <c r="K15" s="145"/>
      <c r="L15" s="145"/>
      <c r="M15" s="145"/>
      <c r="N15" s="145"/>
      <c r="O15" s="145"/>
      <c r="P15" s="145"/>
      <c r="Q15" s="145"/>
      <c r="R15" s="145"/>
      <c r="S15" s="145"/>
    </row>
    <row r="16" spans="1:19" ht="12.75" customHeight="1" thickBot="1" x14ac:dyDescent="0.25">
      <c r="A16" s="228"/>
      <c r="B16" s="146" t="s">
        <v>177</v>
      </c>
      <c r="C16" s="225">
        <f t="shared" ref="C16:I16" si="3">SUM(C14:C15)</f>
        <v>348230.30199999997</v>
      </c>
      <c r="D16" s="261">
        <f t="shared" si="3"/>
        <v>352522.95699999999</v>
      </c>
      <c r="E16" s="261">
        <f t="shared" si="3"/>
        <v>356243.76525491796</v>
      </c>
      <c r="F16" s="261">
        <f t="shared" si="3"/>
        <v>359780.82663508458</v>
      </c>
      <c r="G16" s="261">
        <f t="shared" si="3"/>
        <v>362573.29416916193</v>
      </c>
      <c r="H16" s="261">
        <f t="shared" si="3"/>
        <v>365190.00371305284</v>
      </c>
      <c r="I16" s="261">
        <f t="shared" si="3"/>
        <v>367806.71325694362</v>
      </c>
      <c r="K16" s="145"/>
      <c r="L16" s="145"/>
      <c r="M16" s="145"/>
      <c r="N16" s="145"/>
      <c r="O16" s="145"/>
      <c r="P16" s="145"/>
      <c r="Q16" s="145"/>
      <c r="R16" s="145"/>
      <c r="S16" s="145"/>
    </row>
    <row r="17" spans="1:27" x14ac:dyDescent="0.2">
      <c r="A17" s="229" t="s">
        <v>181</v>
      </c>
      <c r="B17" s="144" t="str">
        <f>B11</f>
        <v xml:space="preserve">Cdd </v>
      </c>
      <c r="C17" s="553">
        <v>62642.896000000008</v>
      </c>
      <c r="D17" s="554">
        <v>62036.144999999997</v>
      </c>
      <c r="E17" s="551">
        <v>60852.145265883693</v>
      </c>
      <c r="F17" s="551">
        <v>60508.203586664837</v>
      </c>
      <c r="G17" s="551">
        <v>60132.314783399648</v>
      </c>
      <c r="H17" s="551">
        <v>59756.08360725097</v>
      </c>
      <c r="I17" s="551">
        <v>59379.848761939771</v>
      </c>
      <c r="K17" s="145"/>
      <c r="L17" s="145"/>
      <c r="M17" s="145"/>
      <c r="N17" s="145"/>
      <c r="O17" s="145"/>
      <c r="P17" s="145"/>
      <c r="Q17" s="145"/>
      <c r="R17" s="145"/>
      <c r="S17" s="145"/>
    </row>
    <row r="18" spans="1:27" ht="12" customHeight="1" x14ac:dyDescent="0.2">
      <c r="A18" s="227"/>
      <c r="B18" s="147" t="s">
        <v>176</v>
      </c>
      <c r="C18" s="553">
        <v>158557.56200000001</v>
      </c>
      <c r="D18" s="551">
        <v>163166.28</v>
      </c>
      <c r="E18" s="551">
        <v>166602.16881295881</v>
      </c>
      <c r="F18" s="551">
        <v>169224.96598394591</v>
      </c>
      <c r="G18" s="551">
        <v>170662.86314201803</v>
      </c>
      <c r="H18" s="551">
        <v>171771.7627592709</v>
      </c>
      <c r="I18" s="551">
        <v>172506.4081694654</v>
      </c>
      <c r="K18" s="145"/>
      <c r="L18" s="145"/>
      <c r="M18" s="145"/>
      <c r="N18" s="145"/>
      <c r="O18" s="145"/>
      <c r="P18" s="145"/>
      <c r="Q18" s="145"/>
      <c r="R18" s="145"/>
      <c r="S18" s="145"/>
    </row>
    <row r="19" spans="1:27" ht="12.75" customHeight="1" thickBot="1" x14ac:dyDescent="0.25">
      <c r="A19" s="227"/>
      <c r="B19" s="230" t="s">
        <v>177</v>
      </c>
      <c r="C19" s="231">
        <f t="shared" ref="C19:I19" si="4">SUM(C17:C18)</f>
        <v>221200.45800000001</v>
      </c>
      <c r="D19" s="262">
        <f t="shared" si="4"/>
        <v>225202.42499999999</v>
      </c>
      <c r="E19" s="262">
        <f t="shared" si="4"/>
        <v>227454.31407884252</v>
      </c>
      <c r="F19" s="262">
        <f t="shared" si="4"/>
        <v>229733.16957061074</v>
      </c>
      <c r="G19" s="262">
        <f t="shared" si="4"/>
        <v>230795.17792541767</v>
      </c>
      <c r="H19" s="262">
        <f t="shared" si="4"/>
        <v>231527.84636652187</v>
      </c>
      <c r="I19" s="262">
        <f t="shared" si="4"/>
        <v>231886.25693140517</v>
      </c>
      <c r="K19" s="145"/>
      <c r="L19" s="145"/>
      <c r="M19" s="145"/>
      <c r="N19" s="145"/>
      <c r="O19" s="145"/>
      <c r="P19" s="145"/>
      <c r="Q19" s="145"/>
      <c r="R19" s="145"/>
      <c r="S19" s="145"/>
    </row>
    <row r="20" spans="1:27" ht="13.5" thickBot="1" x14ac:dyDescent="0.25">
      <c r="A20" s="714" t="s">
        <v>182</v>
      </c>
      <c r="B20" s="715"/>
      <c r="C20" s="232">
        <f>C19+C16+C13+C10</f>
        <v>1473921.8420000002</v>
      </c>
      <c r="D20" s="263">
        <f t="shared" ref="D20:I20" si="5">D19+D16+D13+D10</f>
        <v>1484503.328</v>
      </c>
      <c r="E20" s="263">
        <f t="shared" si="5"/>
        <v>1499930.9455057504</v>
      </c>
      <c r="F20" s="263">
        <f t="shared" si="5"/>
        <v>1516921.2790657799</v>
      </c>
      <c r="G20" s="263">
        <f t="shared" si="5"/>
        <v>1529466.3450739919</v>
      </c>
      <c r="H20" s="263">
        <f t="shared" si="5"/>
        <v>1542070.7293237888</v>
      </c>
      <c r="I20" s="263">
        <f t="shared" si="5"/>
        <v>1554632.6207501236</v>
      </c>
      <c r="J20" s="129"/>
      <c r="K20" s="145"/>
      <c r="L20" s="145"/>
      <c r="M20" s="145"/>
      <c r="N20" s="145"/>
      <c r="O20" s="145"/>
      <c r="P20" s="145"/>
      <c r="Q20" s="145"/>
      <c r="R20" s="145"/>
      <c r="S20" s="145"/>
    </row>
    <row r="21" spans="1:27" ht="12.75" x14ac:dyDescent="0.2">
      <c r="A21" s="167"/>
      <c r="B21" s="168" t="s">
        <v>209</v>
      </c>
      <c r="C21" s="233">
        <f>C8+C7+C11+C14+C17</f>
        <v>439196.22100000008</v>
      </c>
      <c r="D21" s="264">
        <f t="shared" ref="D21:I21" si="6">D8+D7+D11+D14+D17</f>
        <v>422251.21699999995</v>
      </c>
      <c r="E21" s="264">
        <f t="shared" si="6"/>
        <v>419997.30259872851</v>
      </c>
      <c r="F21" s="264">
        <f t="shared" si="6"/>
        <v>422646.09613652504</v>
      </c>
      <c r="G21" s="264">
        <f t="shared" si="6"/>
        <v>422808.90540237428</v>
      </c>
      <c r="H21" s="264">
        <f t="shared" si="6"/>
        <v>422935.4050147899</v>
      </c>
      <c r="I21" s="264">
        <f t="shared" si="6"/>
        <v>423626.50518547749</v>
      </c>
      <c r="J21"/>
      <c r="K21" s="145"/>
      <c r="L21" s="145"/>
      <c r="M21" s="145"/>
      <c r="N21" s="145"/>
      <c r="O21" s="145"/>
      <c r="P21" s="145"/>
      <c r="Q21" s="145"/>
      <c r="R21" s="145"/>
      <c r="S21" s="145"/>
    </row>
    <row r="22" spans="1:27" ht="13.5" thickBot="1" x14ac:dyDescent="0.25">
      <c r="A22" s="169"/>
      <c r="B22" s="170" t="s">
        <v>210</v>
      </c>
      <c r="C22" s="234">
        <f>C9+C12+C15+C18</f>
        <v>1034725.6210000002</v>
      </c>
      <c r="D22" s="265">
        <f t="shared" ref="D22:I22" si="7">D9+D12+D15+D18</f>
        <v>1062252.111</v>
      </c>
      <c r="E22" s="265">
        <f t="shared" si="7"/>
        <v>1079933.6429070218</v>
      </c>
      <c r="F22" s="265">
        <f t="shared" si="7"/>
        <v>1094275.1829292548</v>
      </c>
      <c r="G22" s="265">
        <f t="shared" si="7"/>
        <v>1106657.4396716177</v>
      </c>
      <c r="H22" s="265">
        <f t="shared" si="7"/>
        <v>1119135.3243089989</v>
      </c>
      <c r="I22" s="265">
        <f t="shared" si="7"/>
        <v>1131006.1155646462</v>
      </c>
      <c r="J22"/>
      <c r="K22" s="145"/>
      <c r="L22" s="145"/>
      <c r="M22" s="145"/>
      <c r="N22" s="145"/>
      <c r="O22" s="145"/>
      <c r="P22" s="145"/>
      <c r="Q22" s="145"/>
      <c r="R22" s="145"/>
      <c r="S22" s="145"/>
    </row>
    <row r="23" spans="1:27" ht="12.75" thickBot="1" x14ac:dyDescent="0.25"/>
    <row r="24" spans="1:27" ht="18" customHeight="1" thickTop="1" thickBot="1" x14ac:dyDescent="0.25">
      <c r="A24" s="159" t="s">
        <v>183</v>
      </c>
      <c r="B24" s="160"/>
      <c r="C24" s="705" t="s">
        <v>174</v>
      </c>
      <c r="D24" s="706"/>
      <c r="E24" s="685" t="s">
        <v>1</v>
      </c>
      <c r="F24" s="686"/>
      <c r="G24" s="686"/>
      <c r="H24" s="686"/>
      <c r="I24" s="686"/>
      <c r="J24" s="687"/>
      <c r="K24" s="679" t="s">
        <v>285</v>
      </c>
      <c r="L24" s="679" t="s">
        <v>185</v>
      </c>
    </row>
    <row r="25" spans="1:27" ht="14.25" customHeight="1" thickTop="1" thickBot="1" x14ac:dyDescent="0.25">
      <c r="A25" s="157" t="s">
        <v>186</v>
      </c>
      <c r="B25" s="158"/>
      <c r="C25" s="268">
        <v>2024</v>
      </c>
      <c r="D25" s="269" t="s">
        <v>187</v>
      </c>
      <c r="E25" s="310">
        <f>E6</f>
        <v>2025</v>
      </c>
      <c r="F25" s="310" t="s">
        <v>211</v>
      </c>
      <c r="G25" s="310" t="s">
        <v>224</v>
      </c>
      <c r="H25" s="310" t="s">
        <v>255</v>
      </c>
      <c r="I25" s="310" t="s">
        <v>262</v>
      </c>
      <c r="J25" s="310" t="s">
        <v>284</v>
      </c>
      <c r="K25" s="680"/>
      <c r="L25" s="680"/>
    </row>
    <row r="26" spans="1:27" x14ac:dyDescent="0.2">
      <c r="A26" s="217" t="s">
        <v>175</v>
      </c>
      <c r="B26" s="148" t="s">
        <v>256</v>
      </c>
      <c r="C26" s="273">
        <f>D7</f>
        <v>176831.61600000001</v>
      </c>
      <c r="D26" s="274">
        <f t="shared" ref="D26:D41" si="8">D7/C7-1</f>
        <v>-2.4749995266636238E-2</v>
      </c>
      <c r="E26" s="292">
        <f>E7</f>
        <v>179782.28679046006</v>
      </c>
      <c r="F26" s="293">
        <f t="shared" ref="F26:J27" si="9">(E7/D7)-1</f>
        <v>1.6686330517162951E-2</v>
      </c>
      <c r="G26" s="293">
        <f t="shared" si="9"/>
        <v>4.5857700006259883E-3</v>
      </c>
      <c r="H26" s="293">
        <f t="shared" si="9"/>
        <v>9.3884690427257222E-3</v>
      </c>
      <c r="I26" s="293">
        <f t="shared" si="9"/>
        <v>3.7022314622705998E-2</v>
      </c>
      <c r="J26" s="293">
        <f t="shared" si="9"/>
        <v>1.0462653409970324E-2</v>
      </c>
      <c r="K26" s="275">
        <f t="shared" ref="K26:K41" si="10">(I7/D7)^(1/5)-1</f>
        <v>1.5565976710437246E-2</v>
      </c>
      <c r="L26" s="276">
        <f t="shared" ref="L26:L41" si="11">(C26/$C$39)*K26*100</f>
        <v>0.18541937659603433</v>
      </c>
      <c r="N26" s="238"/>
      <c r="O26" s="238"/>
      <c r="P26" s="238"/>
      <c r="Q26" s="238"/>
      <c r="R26" s="238"/>
      <c r="S26" s="238"/>
      <c r="T26" s="238"/>
      <c r="U26" s="238"/>
      <c r="V26" s="238"/>
      <c r="W26" s="238"/>
      <c r="X26" s="238"/>
      <c r="Y26" s="238"/>
      <c r="Z26" s="238"/>
      <c r="AA26" s="238"/>
    </row>
    <row r="27" spans="1:27" x14ac:dyDescent="0.2">
      <c r="A27" s="218"/>
      <c r="B27" s="148" t="s">
        <v>257</v>
      </c>
      <c r="C27" s="273">
        <f>D8</f>
        <v>111927.3109999999</v>
      </c>
      <c r="D27" s="274">
        <f t="shared" si="8"/>
        <v>-2.2338174650254006E-2</v>
      </c>
      <c r="E27" s="292">
        <f>E8</f>
        <v>109880.8736250737</v>
      </c>
      <c r="F27" s="293">
        <f t="shared" si="9"/>
        <v>-1.8283628514279227E-2</v>
      </c>
      <c r="G27" s="293">
        <f t="shared" si="9"/>
        <v>1.5374124315796767E-3</v>
      </c>
      <c r="H27" s="293">
        <f t="shared" si="9"/>
        <v>-8.2019363866092654E-3</v>
      </c>
      <c r="I27" s="293">
        <f t="shared" si="9"/>
        <v>-5.4610974086431785E-2</v>
      </c>
      <c r="J27" s="293">
        <f t="shared" si="9"/>
        <v>-1.1527241148546641E-2</v>
      </c>
      <c r="K27" s="275">
        <f t="shared" si="10"/>
        <v>-1.8409501982069587E-2</v>
      </c>
      <c r="L27" s="276">
        <f t="shared" si="11"/>
        <v>-0.13880238695579519</v>
      </c>
      <c r="N27" s="238"/>
      <c r="O27" s="238"/>
      <c r="P27" s="238"/>
      <c r="Q27" s="238"/>
      <c r="R27" s="238"/>
      <c r="S27" s="238"/>
      <c r="T27" s="238"/>
      <c r="U27" s="238"/>
      <c r="V27" s="238"/>
      <c r="W27" s="238"/>
      <c r="X27" s="238"/>
      <c r="Y27" s="238"/>
      <c r="Z27" s="238"/>
      <c r="AA27" s="238"/>
    </row>
    <row r="28" spans="1:27" ht="12.75" thickBot="1" x14ac:dyDescent="0.25">
      <c r="A28" s="218"/>
      <c r="B28" s="149" t="s">
        <v>176</v>
      </c>
      <c r="C28" s="273">
        <f>D9</f>
        <v>371278.02100000007</v>
      </c>
      <c r="D28" s="274">
        <f t="shared" si="8"/>
        <v>2.2611580737406323E-2</v>
      </c>
      <c r="E28" s="292">
        <f>E9</f>
        <v>378269.12720197131</v>
      </c>
      <c r="F28" s="293">
        <f t="shared" ref="F28:F41" si="12">E9/D9-1</f>
        <v>1.8829841268657388E-2</v>
      </c>
      <c r="G28" s="293">
        <f t="shared" ref="G28:G41" si="13">F9/E9-1</f>
        <v>1.5169802697644119E-2</v>
      </c>
      <c r="H28" s="293">
        <f t="shared" ref="H28:H41" si="14">G9/F9-1</f>
        <v>1.4943118537739331E-2</v>
      </c>
      <c r="I28" s="293">
        <f t="shared" ref="I28:I41" si="15">H9/G9-1</f>
        <v>1.4723109369191301E-2</v>
      </c>
      <c r="J28" s="294">
        <f t="shared" ref="J28:J41" si="16">I9/H9-1</f>
        <v>1.4509484639946502E-2</v>
      </c>
      <c r="K28" s="275">
        <f t="shared" si="10"/>
        <v>1.5633793205205304E-2</v>
      </c>
      <c r="L28" s="276">
        <f t="shared" si="11"/>
        <v>0.39100510537567978</v>
      </c>
      <c r="N28" s="238"/>
      <c r="O28" s="238"/>
      <c r="P28" s="238"/>
      <c r="Q28" s="238"/>
      <c r="R28" s="238"/>
      <c r="S28" s="238"/>
      <c r="T28" s="238"/>
      <c r="U28" s="238"/>
      <c r="V28" s="238"/>
      <c r="W28" s="238"/>
      <c r="X28" s="238"/>
      <c r="Y28" s="238"/>
      <c r="Z28" s="238"/>
      <c r="AA28" s="238"/>
    </row>
    <row r="29" spans="1:27" ht="12.75" thickBot="1" x14ac:dyDescent="0.25">
      <c r="A29" s="219"/>
      <c r="B29" s="150" t="s">
        <v>177</v>
      </c>
      <c r="C29" s="277">
        <f>C26+C28+C27</f>
        <v>660036.94799999997</v>
      </c>
      <c r="D29" s="278">
        <f t="shared" si="8"/>
        <v>1.7674468592798753E-3</v>
      </c>
      <c r="E29" s="295">
        <f>E26+E28+E27</f>
        <v>667932.28761750506</v>
      </c>
      <c r="F29" s="296">
        <f t="shared" si="12"/>
        <v>1.1961966131485591E-2</v>
      </c>
      <c r="G29" s="297">
        <f t="shared" si="13"/>
        <v>1.0078327683165522E-2</v>
      </c>
      <c r="H29" s="297">
        <f t="shared" si="14"/>
        <v>9.6807712891089359E-3</v>
      </c>
      <c r="I29" s="297">
        <f t="shared" si="15"/>
        <v>9.5815250725086454E-3</v>
      </c>
      <c r="J29" s="298">
        <f t="shared" si="16"/>
        <v>9.4904516267448891E-3</v>
      </c>
      <c r="K29" s="279">
        <f t="shared" si="10"/>
        <v>1.0158186361420407E-2</v>
      </c>
      <c r="L29" s="280">
        <f t="shared" si="11"/>
        <v>0.4516512827384615</v>
      </c>
      <c r="N29" s="238"/>
      <c r="O29" s="238"/>
      <c r="P29" s="238"/>
      <c r="Q29" s="238"/>
      <c r="R29" s="238"/>
      <c r="S29" s="238"/>
      <c r="T29" s="238"/>
      <c r="U29" s="238"/>
      <c r="V29" s="238"/>
      <c r="W29" s="238"/>
      <c r="X29" s="238"/>
      <c r="Y29" s="238"/>
      <c r="Z29" s="238"/>
      <c r="AA29" s="238"/>
    </row>
    <row r="30" spans="1:27" x14ac:dyDescent="0.2">
      <c r="A30" s="217" t="s">
        <v>178</v>
      </c>
      <c r="B30" s="148" t="s">
        <v>257</v>
      </c>
      <c r="C30" s="273">
        <f>D11</f>
        <v>33293.754000000001</v>
      </c>
      <c r="D30" s="274">
        <f t="shared" si="8"/>
        <v>-9.2750550828253564E-2</v>
      </c>
      <c r="E30" s="292">
        <f>E11</f>
        <v>32901.044839214956</v>
      </c>
      <c r="F30" s="293">
        <f t="shared" si="12"/>
        <v>-1.1795280303478095E-2</v>
      </c>
      <c r="G30" s="293">
        <f t="shared" si="13"/>
        <v>3.2795643649038864E-2</v>
      </c>
      <c r="H30" s="293">
        <f t="shared" si="14"/>
        <v>-1.2656220529784212E-2</v>
      </c>
      <c r="I30" s="293">
        <f t="shared" si="15"/>
        <v>-8.5213131445562862E-3</v>
      </c>
      <c r="J30" s="294">
        <f t="shared" si="16"/>
        <v>8.3817032306758854E-3</v>
      </c>
      <c r="K30" s="275">
        <f t="shared" si="10"/>
        <v>1.4922919579756222E-3</v>
      </c>
      <c r="L30" s="276">
        <f t="shared" si="11"/>
        <v>3.346843379054971E-3</v>
      </c>
      <c r="N30" s="238"/>
      <c r="O30" s="238"/>
      <c r="P30" s="238"/>
      <c r="Q30" s="238"/>
      <c r="R30" s="238"/>
      <c r="S30" s="238"/>
      <c r="T30" s="238"/>
      <c r="U30" s="238"/>
      <c r="V30" s="238"/>
      <c r="W30" s="238"/>
      <c r="X30" s="238"/>
      <c r="Y30" s="238"/>
      <c r="Z30" s="238"/>
      <c r="AA30" s="238"/>
    </row>
    <row r="31" spans="1:27" ht="12.75" thickBot="1" x14ac:dyDescent="0.25">
      <c r="A31" s="218"/>
      <c r="B31" s="149" t="s">
        <v>176</v>
      </c>
      <c r="C31" s="281">
        <f>D12</f>
        <v>213447.24400000001</v>
      </c>
      <c r="D31" s="274">
        <f t="shared" si="8"/>
        <v>2.1663920048857532E-2</v>
      </c>
      <c r="E31" s="299">
        <f>E12</f>
        <v>215399.53371526976</v>
      </c>
      <c r="F31" s="293">
        <f t="shared" si="12"/>
        <v>9.1464742232501006E-3</v>
      </c>
      <c r="G31" s="293">
        <f t="shared" si="13"/>
        <v>1.5616400012905984E-2</v>
      </c>
      <c r="H31" s="293">
        <f t="shared" si="14"/>
        <v>1.1836455319587103E-2</v>
      </c>
      <c r="I31" s="293">
        <f t="shared" si="15"/>
        <v>1.3616313279848802E-2</v>
      </c>
      <c r="J31" s="294">
        <f t="shared" si="16"/>
        <v>1.2395638115362262E-2</v>
      </c>
      <c r="K31" s="275">
        <f t="shared" si="10"/>
        <v>1.2520018391818599E-2</v>
      </c>
      <c r="L31" s="276">
        <f t="shared" si="11"/>
        <v>0.18001734116442428</v>
      </c>
      <c r="N31" s="238"/>
      <c r="O31" s="238"/>
      <c r="P31" s="238"/>
      <c r="Q31" s="238"/>
      <c r="R31" s="238"/>
      <c r="S31" s="238"/>
      <c r="T31" s="238"/>
      <c r="U31" s="238"/>
      <c r="V31" s="238"/>
      <c r="W31" s="238"/>
      <c r="X31" s="238"/>
      <c r="Y31" s="238"/>
      <c r="Z31" s="238"/>
      <c r="AA31" s="238"/>
    </row>
    <row r="32" spans="1:27" ht="12.75" thickBot="1" x14ac:dyDescent="0.25">
      <c r="A32" s="219"/>
      <c r="B32" s="150" t="s">
        <v>177</v>
      </c>
      <c r="C32" s="282">
        <f>C30+C31</f>
        <v>246740.99800000002</v>
      </c>
      <c r="D32" s="278">
        <f t="shared" si="8"/>
        <v>4.5694493174004425E-3</v>
      </c>
      <c r="E32" s="300">
        <f>E30+E31</f>
        <v>248300.5785544847</v>
      </c>
      <c r="F32" s="296">
        <f t="shared" si="12"/>
        <v>6.320719163520172E-3</v>
      </c>
      <c r="G32" s="297">
        <f t="shared" si="13"/>
        <v>1.789273407731562E-2</v>
      </c>
      <c r="H32" s="297">
        <f t="shared" si="14"/>
        <v>8.5435398942532714E-3</v>
      </c>
      <c r="I32" s="297">
        <f t="shared" si="15"/>
        <v>1.0702584400296145E-2</v>
      </c>
      <c r="J32" s="298">
        <f t="shared" si="16"/>
        <v>1.1877377252498933E-2</v>
      </c>
      <c r="K32" s="279">
        <f t="shared" si="10"/>
        <v>1.1059859572857711E-2</v>
      </c>
      <c r="L32" s="280">
        <f t="shared" si="11"/>
        <v>0.18382719238651418</v>
      </c>
      <c r="N32" s="238"/>
      <c r="O32" s="238"/>
      <c r="P32" s="238"/>
      <c r="Q32" s="238"/>
      <c r="R32" s="238"/>
      <c r="S32" s="238"/>
      <c r="T32" s="238"/>
      <c r="U32" s="238"/>
      <c r="V32" s="238"/>
      <c r="W32" s="238"/>
      <c r="X32" s="238"/>
      <c r="Y32" s="238"/>
      <c r="Z32" s="238"/>
      <c r="AA32" s="238"/>
    </row>
    <row r="33" spans="1:27" x14ac:dyDescent="0.2">
      <c r="A33" s="217" t="s">
        <v>180</v>
      </c>
      <c r="B33" s="148" t="s">
        <v>257</v>
      </c>
      <c r="C33" s="273">
        <f>D14</f>
        <v>38162.391000000003</v>
      </c>
      <c r="D33" s="274">
        <f t="shared" si="8"/>
        <v>-0.13369485686702653</v>
      </c>
      <c r="E33" s="292">
        <f>E14</f>
        <v>36580.952078096125</v>
      </c>
      <c r="F33" s="293">
        <f t="shared" si="12"/>
        <v>-4.1439723258007599E-2</v>
      </c>
      <c r="G33" s="293">
        <f t="shared" si="13"/>
        <v>2.515931882557032E-2</v>
      </c>
      <c r="H33" s="293">
        <f t="shared" si="14"/>
        <v>4.686716776242994E-3</v>
      </c>
      <c r="I33" s="293">
        <f t="shared" si="15"/>
        <v>0</v>
      </c>
      <c r="J33" s="294">
        <f t="shared" si="16"/>
        <v>0</v>
      </c>
      <c r="K33" s="275">
        <f t="shared" si="10"/>
        <v>-2.5565325131522432E-3</v>
      </c>
      <c r="L33" s="276">
        <f t="shared" si="11"/>
        <v>-6.5721235871239857E-3</v>
      </c>
      <c r="N33" s="238"/>
      <c r="O33" s="238"/>
      <c r="P33" s="238"/>
      <c r="Q33" s="238"/>
      <c r="R33" s="238"/>
      <c r="S33" s="238"/>
      <c r="T33" s="238"/>
      <c r="U33" s="238"/>
      <c r="V33" s="238"/>
      <c r="W33" s="238"/>
      <c r="X33" s="238"/>
      <c r="Y33" s="238"/>
      <c r="Z33" s="238"/>
      <c r="AA33" s="238"/>
    </row>
    <row r="34" spans="1:27" ht="12.75" thickBot="1" x14ac:dyDescent="0.25">
      <c r="A34" s="218"/>
      <c r="B34" s="149" t="s">
        <v>176</v>
      </c>
      <c r="C34" s="281">
        <f>D15</f>
        <v>314360.56599999999</v>
      </c>
      <c r="D34" s="274">
        <f t="shared" si="8"/>
        <v>3.3474329758288679E-2</v>
      </c>
      <c r="E34" s="299">
        <f>E15</f>
        <v>319662.81317682186</v>
      </c>
      <c r="F34" s="293">
        <f t="shared" si="12"/>
        <v>1.6866769405237347E-2</v>
      </c>
      <c r="G34" s="293">
        <f t="shared" si="13"/>
        <v>8.1858428194567789E-3</v>
      </c>
      <c r="H34" s="293">
        <f t="shared" si="14"/>
        <v>8.1193788603148853E-3</v>
      </c>
      <c r="I34" s="293">
        <f t="shared" si="15"/>
        <v>8.0539855006991345E-3</v>
      </c>
      <c r="J34" s="294">
        <f t="shared" si="16"/>
        <v>7.989637079504508E-3</v>
      </c>
      <c r="K34" s="275">
        <f t="shared" si="10"/>
        <v>9.8370353960688384E-3</v>
      </c>
      <c r="L34" s="276">
        <f t="shared" si="11"/>
        <v>0.2083104804511583</v>
      </c>
      <c r="N34" s="238"/>
      <c r="O34" s="238"/>
      <c r="P34" s="238"/>
      <c r="Q34" s="238"/>
      <c r="R34" s="238"/>
      <c r="S34" s="238"/>
      <c r="T34" s="238"/>
      <c r="U34" s="238"/>
      <c r="V34" s="238"/>
      <c r="W34" s="238"/>
      <c r="X34" s="238"/>
      <c r="Y34" s="238"/>
      <c r="Z34" s="238"/>
      <c r="AA34" s="238"/>
    </row>
    <row r="35" spans="1:27" ht="12.75" thickBot="1" x14ac:dyDescent="0.25">
      <c r="A35" s="219"/>
      <c r="B35" s="150" t="s">
        <v>177</v>
      </c>
      <c r="C35" s="282">
        <f>C33+C34</f>
        <v>352522.95699999999</v>
      </c>
      <c r="D35" s="278">
        <f t="shared" si="8"/>
        <v>1.2327057626363658E-2</v>
      </c>
      <c r="E35" s="300">
        <f>E33+E34</f>
        <v>356243.76525491796</v>
      </c>
      <c r="F35" s="296">
        <f t="shared" si="12"/>
        <v>1.055479701685913E-2</v>
      </c>
      <c r="G35" s="297">
        <f t="shared" si="13"/>
        <v>9.9287671115748655E-3</v>
      </c>
      <c r="H35" s="297">
        <f t="shared" si="14"/>
        <v>7.7615796266699011E-3</v>
      </c>
      <c r="I35" s="297">
        <f t="shared" si="15"/>
        <v>7.2170498654267057E-3</v>
      </c>
      <c r="J35" s="298">
        <f t="shared" si="16"/>
        <v>7.165337269053218E-3</v>
      </c>
      <c r="K35" s="279">
        <f t="shared" si="10"/>
        <v>8.5244919288605114E-3</v>
      </c>
      <c r="L35" s="280">
        <f t="shared" si="11"/>
        <v>0.20242993363532163</v>
      </c>
      <c r="N35" s="238"/>
      <c r="O35" s="238"/>
      <c r="P35" s="238"/>
      <c r="Q35" s="238"/>
      <c r="R35" s="238"/>
      <c r="S35" s="238"/>
      <c r="T35" s="238"/>
      <c r="U35" s="238"/>
      <c r="V35" s="238"/>
      <c r="W35" s="238"/>
      <c r="X35" s="238"/>
      <c r="Y35" s="238"/>
      <c r="Z35" s="238"/>
      <c r="AA35" s="238"/>
    </row>
    <row r="36" spans="1:27" x14ac:dyDescent="0.2">
      <c r="A36" s="217" t="s">
        <v>181</v>
      </c>
      <c r="B36" s="148" t="s">
        <v>257</v>
      </c>
      <c r="C36" s="273">
        <f>D17</f>
        <v>62036.144999999997</v>
      </c>
      <c r="D36" s="274">
        <f t="shared" si="8"/>
        <v>-9.6858708447963293E-3</v>
      </c>
      <c r="E36" s="292">
        <f>E17</f>
        <v>60852.145265883693</v>
      </c>
      <c r="F36" s="293">
        <f t="shared" si="12"/>
        <v>-1.9085643282900744E-2</v>
      </c>
      <c r="G36" s="293">
        <f t="shared" si="13"/>
        <v>-5.6520879866446272E-3</v>
      </c>
      <c r="H36" s="293">
        <f t="shared" si="14"/>
        <v>-6.2121957186649368E-3</v>
      </c>
      <c r="I36" s="293">
        <f t="shared" si="15"/>
        <v>-6.2567219888987058E-3</v>
      </c>
      <c r="J36" s="294">
        <f t="shared" si="16"/>
        <v>-6.2961764325790703E-3</v>
      </c>
      <c r="K36" s="275">
        <f t="shared" si="10"/>
        <v>-8.7142640998857379E-3</v>
      </c>
      <c r="L36" s="276">
        <f t="shared" si="11"/>
        <v>-3.6416176445837251E-2</v>
      </c>
      <c r="N36" s="238"/>
      <c r="O36" s="238"/>
      <c r="P36" s="238"/>
      <c r="Q36" s="238"/>
      <c r="R36" s="238"/>
      <c r="S36" s="238"/>
      <c r="T36" s="238"/>
      <c r="U36" s="238"/>
      <c r="V36" s="238"/>
      <c r="W36" s="238"/>
      <c r="X36" s="238"/>
      <c r="Y36" s="238"/>
      <c r="Z36" s="238"/>
      <c r="AA36" s="238"/>
    </row>
    <row r="37" spans="1:27" ht="12.75" thickBot="1" x14ac:dyDescent="0.25">
      <c r="A37" s="218"/>
      <c r="B37" s="149" t="s">
        <v>176</v>
      </c>
      <c r="C37" s="281">
        <f>D18</f>
        <v>163166.28</v>
      </c>
      <c r="D37" s="274">
        <f t="shared" si="8"/>
        <v>2.9066529163711552E-2</v>
      </c>
      <c r="E37" s="299">
        <f>E18</f>
        <v>166602.16881295881</v>
      </c>
      <c r="F37" s="293">
        <f t="shared" si="12"/>
        <v>2.1057591145418053E-2</v>
      </c>
      <c r="G37" s="293">
        <f t="shared" si="13"/>
        <v>1.5742875315936988E-2</v>
      </c>
      <c r="H37" s="293">
        <f t="shared" si="14"/>
        <v>8.496956401861766E-3</v>
      </c>
      <c r="I37" s="293">
        <f t="shared" si="15"/>
        <v>6.4976035022341616E-3</v>
      </c>
      <c r="J37" s="294">
        <f t="shared" si="16"/>
        <v>4.2768694830481735E-3</v>
      </c>
      <c r="K37" s="275">
        <f t="shared" si="10"/>
        <v>1.1195117736563009E-2</v>
      </c>
      <c r="L37" s="276">
        <f t="shared" si="11"/>
        <v>0.12304894713156254</v>
      </c>
      <c r="N37" s="238"/>
      <c r="O37" s="238"/>
      <c r="P37" s="238"/>
      <c r="Q37" s="238"/>
      <c r="R37" s="238"/>
      <c r="S37" s="238"/>
      <c r="T37" s="238"/>
      <c r="U37" s="238"/>
      <c r="V37" s="238"/>
      <c r="W37" s="238"/>
      <c r="X37" s="238"/>
      <c r="Y37" s="238"/>
      <c r="Z37" s="238"/>
      <c r="AA37" s="238"/>
    </row>
    <row r="38" spans="1:27" ht="12.75" thickBot="1" x14ac:dyDescent="0.25">
      <c r="A38" s="219"/>
      <c r="B38" s="150" t="s">
        <v>177</v>
      </c>
      <c r="C38" s="282">
        <f>C36+C37</f>
        <v>225202.42499999999</v>
      </c>
      <c r="D38" s="278">
        <f t="shared" si="8"/>
        <v>1.8092037585202281E-2</v>
      </c>
      <c r="E38" s="300">
        <f>E36+E37</f>
        <v>227454.31407884252</v>
      </c>
      <c r="F38" s="296">
        <f t="shared" si="12"/>
        <v>9.9993997792986455E-3</v>
      </c>
      <c r="G38" s="297">
        <f t="shared" si="13"/>
        <v>1.0018959196255617E-2</v>
      </c>
      <c r="H38" s="297">
        <f t="shared" si="14"/>
        <v>4.6227906783853356E-3</v>
      </c>
      <c r="I38" s="297">
        <f t="shared" si="15"/>
        <v>3.1745396402560466E-3</v>
      </c>
      <c r="J38" s="298">
        <f t="shared" si="16"/>
        <v>1.5480235768958739E-3</v>
      </c>
      <c r="K38" s="279">
        <f t="shared" si="10"/>
        <v>5.8666045520530119E-3</v>
      </c>
      <c r="L38" s="280">
        <f t="shared" si="11"/>
        <v>8.8997683381305093E-2</v>
      </c>
      <c r="N38" s="238"/>
      <c r="O38" s="238"/>
      <c r="P38" s="238"/>
      <c r="Q38" s="238"/>
      <c r="R38" s="238"/>
      <c r="S38" s="238"/>
      <c r="T38" s="238"/>
      <c r="U38" s="238"/>
      <c r="V38" s="238"/>
      <c r="W38" s="238"/>
      <c r="X38" s="238"/>
      <c r="Y38" s="238"/>
      <c r="Z38" s="238"/>
      <c r="AA38" s="238"/>
    </row>
    <row r="39" spans="1:27" ht="12.75" thickBot="1" x14ac:dyDescent="0.25">
      <c r="A39" s="239" t="s">
        <v>182</v>
      </c>
      <c r="B39" s="240"/>
      <c r="C39" s="270">
        <f>C29+C32+C35+C38</f>
        <v>1484503.328</v>
      </c>
      <c r="D39" s="283">
        <f t="shared" si="8"/>
        <v>7.1791364361908361E-3</v>
      </c>
      <c r="E39" s="301">
        <f>E29+E32+E35+E38</f>
        <v>1499930.9455057504</v>
      </c>
      <c r="F39" s="302">
        <f t="shared" si="12"/>
        <v>1.03924438664178E-2</v>
      </c>
      <c r="G39" s="302">
        <f t="shared" si="13"/>
        <v>1.1327410512422365E-2</v>
      </c>
      <c r="H39" s="302">
        <f t="shared" si="14"/>
        <v>8.2700837422085005E-3</v>
      </c>
      <c r="I39" s="302">
        <f t="shared" si="15"/>
        <v>8.2410340641965174E-3</v>
      </c>
      <c r="J39" s="303">
        <f t="shared" si="16"/>
        <v>8.1461188436171561E-3</v>
      </c>
      <c r="K39" s="284">
        <f t="shared" si="10"/>
        <v>9.2745452907347925E-3</v>
      </c>
      <c r="L39" s="285">
        <f t="shared" si="11"/>
        <v>0.92745452907347925</v>
      </c>
      <c r="M39" s="151"/>
      <c r="N39" s="238"/>
      <c r="O39" s="238"/>
      <c r="P39" s="238"/>
      <c r="Q39" s="238"/>
      <c r="R39" s="238"/>
      <c r="S39" s="238"/>
      <c r="T39" s="238"/>
      <c r="U39" s="238"/>
      <c r="V39" s="238"/>
      <c r="W39" s="238"/>
      <c r="X39" s="238"/>
      <c r="Y39" s="238"/>
      <c r="Z39" s="238"/>
      <c r="AA39" s="238"/>
    </row>
    <row r="40" spans="1:27" ht="12.75" x14ac:dyDescent="0.2">
      <c r="A40" s="167"/>
      <c r="B40" s="171" t="s">
        <v>209</v>
      </c>
      <c r="C40" s="271">
        <f>C26+C30+C33+C36+C27</f>
        <v>422251.21699999995</v>
      </c>
      <c r="D40" s="286">
        <f t="shared" si="8"/>
        <v>-3.8581852916262038E-2</v>
      </c>
      <c r="E40" s="304">
        <f>E26+E27+E30+E33+E36</f>
        <v>419997.30259872851</v>
      </c>
      <c r="F40" s="305">
        <f t="shared" si="12"/>
        <v>-5.3378517586876173E-3</v>
      </c>
      <c r="G40" s="305">
        <f t="shared" si="13"/>
        <v>6.3066917844643022E-3</v>
      </c>
      <c r="H40" s="305">
        <f t="shared" si="14"/>
        <v>3.8521417170889194E-4</v>
      </c>
      <c r="I40" s="305">
        <f t="shared" si="15"/>
        <v>2.9918861878086567E-4</v>
      </c>
      <c r="J40" s="306">
        <f t="shared" si="16"/>
        <v>1.6340560815981675E-3</v>
      </c>
      <c r="K40" s="287">
        <f t="shared" si="10"/>
        <v>6.5056055610090979E-4</v>
      </c>
      <c r="L40" s="288">
        <f t="shared" si="11"/>
        <v>1.8504504595210032E-2</v>
      </c>
      <c r="M40" s="151"/>
      <c r="N40" s="238"/>
      <c r="O40" s="238"/>
      <c r="P40" s="238"/>
      <c r="Q40" s="238"/>
      <c r="R40" s="238"/>
      <c r="S40" s="238"/>
      <c r="T40" s="238"/>
      <c r="U40" s="238"/>
      <c r="V40" s="238"/>
      <c r="W40" s="238"/>
      <c r="X40" s="238"/>
      <c r="Y40" s="238"/>
      <c r="Z40" s="238"/>
      <c r="AA40" s="238"/>
    </row>
    <row r="41" spans="1:27" ht="13.5" thickBot="1" x14ac:dyDescent="0.25">
      <c r="A41" s="169"/>
      <c r="B41" s="172" t="s">
        <v>210</v>
      </c>
      <c r="C41" s="272">
        <f>C28+C31+C34+C37</f>
        <v>1062252.111</v>
      </c>
      <c r="D41" s="289">
        <f t="shared" si="8"/>
        <v>2.6602694899346524E-2</v>
      </c>
      <c r="E41" s="307">
        <f>E28+E31+E34+E37</f>
        <v>1079933.6429070218</v>
      </c>
      <c r="F41" s="308">
        <f t="shared" si="12"/>
        <v>1.6645325270642664E-2</v>
      </c>
      <c r="G41" s="308">
        <f t="shared" si="13"/>
        <v>1.3280019671975118E-2</v>
      </c>
      <c r="H41" s="308">
        <f t="shared" si="14"/>
        <v>1.1315487123830126E-2</v>
      </c>
      <c r="I41" s="308">
        <f t="shared" si="15"/>
        <v>1.1275290970875096E-2</v>
      </c>
      <c r="J41" s="309">
        <f t="shared" si="16"/>
        <v>1.0607109790745639E-2</v>
      </c>
      <c r="K41" s="290">
        <f t="shared" si="10"/>
        <v>1.2622260082230774E-2</v>
      </c>
      <c r="L41" s="291">
        <f t="shared" si="11"/>
        <v>0.90319921586195817</v>
      </c>
      <c r="M41" s="151"/>
      <c r="N41" s="238"/>
      <c r="O41" s="238"/>
      <c r="P41" s="238"/>
      <c r="Q41" s="238"/>
      <c r="R41" s="238"/>
      <c r="S41" s="238"/>
      <c r="T41" s="238"/>
      <c r="U41" s="238"/>
      <c r="V41" s="238"/>
      <c r="W41" s="238"/>
      <c r="X41" s="238"/>
      <c r="Y41" s="238"/>
      <c r="Z41" s="238"/>
      <c r="AA41" s="238"/>
    </row>
    <row r="42" spans="1:27" x14ac:dyDescent="0.2">
      <c r="N42" s="238"/>
      <c r="O42" s="238"/>
      <c r="P42" s="238"/>
      <c r="Q42" s="238"/>
      <c r="R42" s="238"/>
      <c r="S42" s="238"/>
      <c r="T42" s="238"/>
      <c r="U42" s="238"/>
      <c r="V42" s="238"/>
      <c r="W42" s="238"/>
      <c r="X42" s="238"/>
      <c r="Y42" s="238"/>
      <c r="Z42" s="238"/>
      <c r="AA42" s="238"/>
    </row>
    <row r="43" spans="1:27" ht="12.75" x14ac:dyDescent="0.2">
      <c r="A43" s="141" t="s">
        <v>188</v>
      </c>
    </row>
    <row r="44" spans="1:27" ht="12.75" thickBot="1" x14ac:dyDescent="0.25"/>
    <row r="45" spans="1:27" ht="13.5" customHeight="1" thickTop="1" thickBot="1" x14ac:dyDescent="0.25">
      <c r="A45" s="697" t="s">
        <v>189</v>
      </c>
      <c r="B45" s="311"/>
      <c r="C45" s="312" t="s">
        <v>174</v>
      </c>
      <c r="D45" s="312" t="s">
        <v>174</v>
      </c>
      <c r="E45" s="699" t="s">
        <v>1</v>
      </c>
      <c r="F45" s="700"/>
      <c r="G45" s="700"/>
      <c r="H45" s="700"/>
      <c r="I45" s="701"/>
      <c r="J45"/>
      <c r="K45"/>
      <c r="L45"/>
      <c r="M45"/>
    </row>
    <row r="46" spans="1:27" ht="12.75" customHeight="1" thickBot="1" x14ac:dyDescent="0.25">
      <c r="A46" s="698"/>
      <c r="B46" s="313"/>
      <c r="C46" s="267">
        <f>C6</f>
        <v>2023</v>
      </c>
      <c r="D46" s="267">
        <f t="shared" ref="D46:I46" si="17">D6</f>
        <v>2024</v>
      </c>
      <c r="E46" s="267">
        <f t="shared" si="17"/>
        <v>2025</v>
      </c>
      <c r="F46" s="267">
        <f t="shared" si="17"/>
        <v>2026</v>
      </c>
      <c r="G46" s="267">
        <f t="shared" si="17"/>
        <v>2027</v>
      </c>
      <c r="H46" s="267">
        <f t="shared" si="17"/>
        <v>2028</v>
      </c>
      <c r="I46" s="267">
        <f t="shared" si="17"/>
        <v>2029</v>
      </c>
      <c r="J46"/>
      <c r="K46"/>
      <c r="L46"/>
      <c r="M46"/>
    </row>
    <row r="47" spans="1:27" ht="12" customHeight="1" x14ac:dyDescent="0.2">
      <c r="A47" s="702" t="s">
        <v>175</v>
      </c>
      <c r="B47" s="144" t="s">
        <v>256</v>
      </c>
      <c r="C47" s="555">
        <v>13.582577382689291</v>
      </c>
      <c r="D47" s="555">
        <v>13.733723815542124</v>
      </c>
      <c r="E47" s="555">
        <v>13.92539048220879</v>
      </c>
      <c r="F47" s="555">
        <v>14.075390482208789</v>
      </c>
      <c r="G47" s="555">
        <v>14.29539048220879</v>
      </c>
      <c r="H47" s="555">
        <v>14.52539048220879</v>
      </c>
      <c r="I47" s="555">
        <v>14.77539048220879</v>
      </c>
      <c r="J47"/>
      <c r="K47" s="89"/>
      <c r="L47" s="89"/>
      <c r="M47" s="89"/>
      <c r="N47" s="89"/>
      <c r="O47" s="89"/>
      <c r="P47" s="89"/>
      <c r="Q47" s="89"/>
    </row>
    <row r="48" spans="1:27" ht="12" customHeight="1" x14ac:dyDescent="0.2">
      <c r="A48" s="703"/>
      <c r="B48" s="144" t="s">
        <v>212</v>
      </c>
      <c r="C48" s="556">
        <v>11.273927439555454</v>
      </c>
      <c r="D48" s="556">
        <v>11.3203701731028</v>
      </c>
      <c r="E48" s="556">
        <v>11.512036839769467</v>
      </c>
      <c r="F48" s="556">
        <v>11.662036839769465</v>
      </c>
      <c r="G48" s="556">
        <v>11.882036839769466</v>
      </c>
      <c r="H48" s="556">
        <v>12.112036839769466</v>
      </c>
      <c r="I48" s="556">
        <v>12.362036839769466</v>
      </c>
      <c r="J48"/>
      <c r="K48" s="89"/>
      <c r="L48" s="89"/>
      <c r="M48" s="89"/>
      <c r="N48" s="89"/>
      <c r="O48" s="89"/>
      <c r="P48" s="89"/>
      <c r="Q48" s="89"/>
    </row>
    <row r="49" spans="1:19" ht="12" customHeight="1" x14ac:dyDescent="0.2">
      <c r="A49" s="703"/>
      <c r="B49" s="144" t="s">
        <v>176</v>
      </c>
      <c r="C49" s="557">
        <v>16.191201649075175</v>
      </c>
      <c r="D49" s="557">
        <v>16.611008137214778</v>
      </c>
      <c r="E49" s="557">
        <v>17.037697098266747</v>
      </c>
      <c r="F49" s="557">
        <v>17.472369974472031</v>
      </c>
      <c r="G49" s="557">
        <v>17.907042850677318</v>
      </c>
      <c r="H49" s="557">
        <v>18.341715726882594</v>
      </c>
      <c r="I49" s="557">
        <v>18.776388603087881</v>
      </c>
      <c r="J49"/>
      <c r="K49" s="89"/>
      <c r="L49" s="89"/>
      <c r="M49" s="89"/>
      <c r="N49" s="89"/>
      <c r="O49" s="89"/>
      <c r="P49" s="89"/>
      <c r="Q49" s="89"/>
    </row>
    <row r="50" spans="1:19" ht="12.75" customHeight="1" thickBot="1" x14ac:dyDescent="0.25">
      <c r="A50" s="704"/>
      <c r="B50" s="146" t="s">
        <v>177</v>
      </c>
      <c r="C50" s="558">
        <v>14.61889961836102</v>
      </c>
      <c r="D50" s="558">
        <v>14.942977702817934</v>
      </c>
      <c r="E50" s="558">
        <v>15.211951301468657</v>
      </c>
      <c r="F50" s="558">
        <v>15.470554473593623</v>
      </c>
      <c r="G50" s="558">
        <v>15.795436117539088</v>
      </c>
      <c r="H50" s="558">
        <v>16.11134483988987</v>
      </c>
      <c r="I50" s="558">
        <v>16.433571736687668</v>
      </c>
      <c r="J50"/>
      <c r="K50" s="89"/>
      <c r="L50" s="89"/>
      <c r="M50" s="89"/>
      <c r="N50" s="89"/>
      <c r="O50" s="89"/>
      <c r="P50" s="89"/>
      <c r="Q50" s="89"/>
    </row>
    <row r="51" spans="1:19" ht="12.75" x14ac:dyDescent="0.2">
      <c r="A51" s="702" t="s">
        <v>178</v>
      </c>
      <c r="B51" s="143" t="s">
        <v>179</v>
      </c>
      <c r="C51" s="559">
        <v>14.478833796253602</v>
      </c>
      <c r="D51" s="559">
        <v>14.25647771651103</v>
      </c>
      <c r="E51" s="559">
        <v>14.448144383177697</v>
      </c>
      <c r="F51" s="559">
        <v>14.598144383177695</v>
      </c>
      <c r="G51" s="559">
        <v>14.818144383177696</v>
      </c>
      <c r="H51" s="559">
        <v>15.048144383177696</v>
      </c>
      <c r="I51" s="559">
        <v>15.298144383177696</v>
      </c>
      <c r="J51"/>
      <c r="K51" s="89"/>
      <c r="L51" s="89"/>
      <c r="M51" s="89"/>
      <c r="N51" s="89"/>
      <c r="O51" s="89"/>
      <c r="P51" s="89"/>
      <c r="Q51" s="89"/>
    </row>
    <row r="52" spans="1:19" ht="12" customHeight="1" x14ac:dyDescent="0.2">
      <c r="A52" s="703"/>
      <c r="B52" s="144" t="s">
        <v>176</v>
      </c>
      <c r="C52" s="560">
        <v>21.543385445551163</v>
      </c>
      <c r="D52" s="560">
        <v>22.182689259740453</v>
      </c>
      <c r="E52" s="560">
        <v>23.022893001318856</v>
      </c>
      <c r="F52" s="560">
        <v>23.852684609057377</v>
      </c>
      <c r="G52" s="560">
        <v>24.526240364872852</v>
      </c>
      <c r="H52" s="560">
        <v>25.38527291207884</v>
      </c>
      <c r="I52" s="560">
        <v>26.215064519817371</v>
      </c>
      <c r="J52"/>
      <c r="K52" s="89"/>
      <c r="L52" s="89"/>
      <c r="M52" s="89"/>
      <c r="N52" s="89"/>
      <c r="O52" s="89"/>
      <c r="P52" s="89"/>
      <c r="Q52" s="89"/>
    </row>
    <row r="53" spans="1:19" ht="12.75" customHeight="1" thickBot="1" x14ac:dyDescent="0.25">
      <c r="A53" s="704"/>
      <c r="B53" s="146" t="s">
        <v>177</v>
      </c>
      <c r="C53" s="558">
        <v>20.48788284632581</v>
      </c>
      <c r="D53" s="558">
        <v>21.113173697222383</v>
      </c>
      <c r="E53" s="558">
        <v>21.683229387047387</v>
      </c>
      <c r="F53" s="558">
        <v>22.22531012172357</v>
      </c>
      <c r="G53" s="558">
        <v>22.669816324158042</v>
      </c>
      <c r="H53" s="558">
        <v>23.25923154858615</v>
      </c>
      <c r="I53" s="558">
        <v>23.86397156884939</v>
      </c>
      <c r="J53"/>
      <c r="K53" s="89"/>
      <c r="L53" s="89"/>
      <c r="M53" s="89"/>
      <c r="N53" s="89"/>
      <c r="O53" s="89"/>
      <c r="P53" s="89"/>
      <c r="Q53" s="89"/>
    </row>
    <row r="54" spans="1:19" ht="12.75" x14ac:dyDescent="0.2">
      <c r="A54" s="702" t="s">
        <v>180</v>
      </c>
      <c r="B54" s="143" t="str">
        <f>B51</f>
        <v>Cdd</v>
      </c>
      <c r="C54" s="559">
        <v>15.28884942180933</v>
      </c>
      <c r="D54" s="559">
        <v>14.990137095969693</v>
      </c>
      <c r="E54" s="559">
        <v>15.18180376263636</v>
      </c>
      <c r="F54" s="559">
        <v>15.331803762636358</v>
      </c>
      <c r="G54" s="559">
        <v>15.551803762636359</v>
      </c>
      <c r="H54" s="559">
        <v>15.781803762636359</v>
      </c>
      <c r="I54" s="559">
        <v>16.031803762636358</v>
      </c>
      <c r="J54"/>
      <c r="K54" s="89"/>
      <c r="L54" s="89"/>
      <c r="M54" s="89"/>
      <c r="N54" s="89"/>
      <c r="O54" s="89"/>
      <c r="P54" s="89"/>
      <c r="Q54" s="89"/>
    </row>
    <row r="55" spans="1:19" ht="12" customHeight="1" x14ac:dyDescent="0.2">
      <c r="A55" s="703"/>
      <c r="B55" s="144" t="s">
        <v>176</v>
      </c>
      <c r="C55" s="560">
        <v>24.518125997888909</v>
      </c>
      <c r="D55" s="560">
        <v>25.406670310550336</v>
      </c>
      <c r="E55" s="560">
        <v>26.34279047909385</v>
      </c>
      <c r="F55" s="560">
        <v>27.262272069080545</v>
      </c>
      <c r="G55" s="560">
        <v>28.193749652977658</v>
      </c>
      <c r="H55" s="560">
        <v>29.119053460456804</v>
      </c>
      <c r="I55" s="560">
        <v>30.047534621604502</v>
      </c>
      <c r="J55"/>
      <c r="K55" s="89"/>
      <c r="L55" s="89"/>
      <c r="M55" s="89"/>
      <c r="N55" s="89"/>
      <c r="O55" s="89"/>
      <c r="P55" s="89"/>
      <c r="Q55" s="89"/>
    </row>
    <row r="56" spans="1:19" ht="12.75" customHeight="1" thickBot="1" x14ac:dyDescent="0.25">
      <c r="A56" s="704"/>
      <c r="B56" s="146" t="s">
        <v>177</v>
      </c>
      <c r="C56" s="558">
        <v>23.350602082296678</v>
      </c>
      <c r="D56" s="558">
        <v>24.279027966964431</v>
      </c>
      <c r="E56" s="558">
        <v>24.958840750039435</v>
      </c>
      <c r="F56" s="558">
        <v>25.632729450290498</v>
      </c>
      <c r="G56" s="558">
        <v>26.299180415998052</v>
      </c>
      <c r="H56" s="558">
        <v>26.982959106814</v>
      </c>
      <c r="I56" s="558">
        <v>27.657533084484349</v>
      </c>
      <c r="J56"/>
      <c r="K56" s="89"/>
      <c r="L56" s="89"/>
      <c r="M56" s="89"/>
      <c r="N56" s="89"/>
      <c r="O56" s="89"/>
      <c r="P56" s="89"/>
      <c r="Q56" s="89"/>
    </row>
    <row r="57" spans="1:19" ht="12.75" x14ac:dyDescent="0.2">
      <c r="A57" s="702" t="s">
        <v>181</v>
      </c>
      <c r="B57" s="144" t="str">
        <f>B54</f>
        <v>Cdd</v>
      </c>
      <c r="C57" s="559">
        <v>9.8175685555789105</v>
      </c>
      <c r="D57" s="559">
        <v>9.8982417588971732</v>
      </c>
      <c r="E57" s="559">
        <v>10.08990842556384</v>
      </c>
      <c r="F57" s="559">
        <v>10.144277760007403</v>
      </c>
      <c r="G57" s="559">
        <v>10.195519620319276</v>
      </c>
      <c r="H57" s="559">
        <v>10.24381390744076</v>
      </c>
      <c r="I57" s="559">
        <v>10.289330173914637</v>
      </c>
      <c r="J57"/>
      <c r="K57" s="89"/>
      <c r="L57" s="89"/>
      <c r="M57" s="89"/>
      <c r="N57" s="89"/>
      <c r="O57" s="89"/>
      <c r="P57" s="89"/>
      <c r="Q57" s="89"/>
    </row>
    <row r="58" spans="1:19" ht="12" customHeight="1" x14ac:dyDescent="0.2">
      <c r="A58" s="703"/>
      <c r="B58" s="147" t="s">
        <v>176</v>
      </c>
      <c r="C58" s="560">
        <v>16.11618916668257</v>
      </c>
      <c r="D58" s="560">
        <v>16.576170897565355</v>
      </c>
      <c r="E58" s="560">
        <v>16.845994631064038</v>
      </c>
      <c r="F58" s="560">
        <v>17.160931781354265</v>
      </c>
      <c r="G58" s="560">
        <v>17.475883325454348</v>
      </c>
      <c r="H58" s="560">
        <v>17.790834874269255</v>
      </c>
      <c r="I58" s="560">
        <v>18.105786423085714</v>
      </c>
      <c r="J58"/>
      <c r="K58" s="89"/>
      <c r="L58" s="89"/>
      <c r="M58" s="89"/>
      <c r="N58" s="89"/>
      <c r="O58" s="89"/>
      <c r="P58" s="89"/>
      <c r="Q58" s="89"/>
      <c r="R58" s="241"/>
      <c r="S58" s="241"/>
    </row>
    <row r="59" spans="1:19" ht="12.75" customHeight="1" thickBot="1" x14ac:dyDescent="0.25">
      <c r="A59" s="704"/>
      <c r="B59" s="146" t="s">
        <v>177</v>
      </c>
      <c r="C59" s="558">
        <v>14.332450383081937</v>
      </c>
      <c r="D59" s="558">
        <v>14.736612640827468</v>
      </c>
      <c r="E59" s="558">
        <v>15.001871668362362</v>
      </c>
      <c r="F59" s="558">
        <v>15.18189412838271</v>
      </c>
      <c r="G59" s="558">
        <v>15.364076857923303</v>
      </c>
      <c r="H59" s="558">
        <v>15.548445780218383</v>
      </c>
      <c r="I59" s="558">
        <v>15.719478683800784</v>
      </c>
      <c r="J59"/>
      <c r="K59" s="89"/>
      <c r="L59" s="89"/>
      <c r="M59" s="89"/>
      <c r="N59" s="89"/>
      <c r="O59" s="89"/>
      <c r="P59" s="89"/>
      <c r="Q59" s="89"/>
      <c r="R59" s="242"/>
      <c r="S59" s="242"/>
    </row>
    <row r="60" spans="1:19" ht="13.5" thickBot="1" x14ac:dyDescent="0.25">
      <c r="A60" s="243" t="s">
        <v>190</v>
      </c>
      <c r="B60" s="244"/>
      <c r="C60" s="561">
        <v>17.616896072838035</v>
      </c>
      <c r="D60" s="561">
        <v>18.154245984283843</v>
      </c>
      <c r="E60" s="561">
        <v>18.592132932460995</v>
      </c>
      <c r="F60" s="561">
        <v>19.004387159313833</v>
      </c>
      <c r="G60" s="561">
        <v>19.411539839757669</v>
      </c>
      <c r="H60" s="561">
        <v>19.817651619232791</v>
      </c>
      <c r="I60" s="561">
        <v>20.223551017061297</v>
      </c>
      <c r="J60"/>
      <c r="K60" s="89"/>
      <c r="L60" s="89"/>
      <c r="M60" s="89"/>
      <c r="N60" s="89"/>
      <c r="O60" s="89"/>
      <c r="P60" s="89"/>
      <c r="Q60" s="89"/>
      <c r="R60" s="89"/>
      <c r="S60" s="245"/>
    </row>
    <row r="61" spans="1:19" ht="12.75" x14ac:dyDescent="0.2">
      <c r="A61" s="235"/>
      <c r="B61" s="246"/>
      <c r="C61" s="245"/>
      <c r="D61" s="245"/>
      <c r="E61" s="245"/>
      <c r="F61" s="245"/>
      <c r="G61" s="245"/>
      <c r="H61" s="245"/>
      <c r="I61" s="245"/>
      <c r="J61"/>
      <c r="K61"/>
      <c r="L61"/>
      <c r="M61"/>
    </row>
    <row r="62" spans="1:19" ht="12.75" thickBot="1" x14ac:dyDescent="0.25"/>
    <row r="63" spans="1:19" ht="22.5" customHeight="1" thickTop="1" thickBot="1" x14ac:dyDescent="0.25">
      <c r="A63" s="159" t="s">
        <v>191</v>
      </c>
      <c r="B63" s="160"/>
      <c r="C63" s="705" t="s">
        <v>174</v>
      </c>
      <c r="D63" s="706"/>
      <c r="E63" s="685" t="s">
        <v>1</v>
      </c>
      <c r="F63" s="686"/>
      <c r="G63" s="686"/>
      <c r="H63" s="686"/>
      <c r="I63" s="686"/>
      <c r="J63" s="687"/>
      <c r="K63" s="679" t="s">
        <v>184</v>
      </c>
    </row>
    <row r="64" spans="1:19" ht="13.5" thickTop="1" thickBot="1" x14ac:dyDescent="0.25">
      <c r="A64" s="157" t="s">
        <v>192</v>
      </c>
      <c r="B64" s="158"/>
      <c r="C64" s="314">
        <f>C25</f>
        <v>2024</v>
      </c>
      <c r="D64" s="314" t="str">
        <f t="shared" ref="D64:J64" si="18">D25</f>
        <v>Evol 2024</v>
      </c>
      <c r="E64" s="314">
        <f t="shared" si="18"/>
        <v>2025</v>
      </c>
      <c r="F64" s="314" t="str">
        <f t="shared" si="18"/>
        <v>Evol 2025</v>
      </c>
      <c r="G64" s="314" t="str">
        <f t="shared" si="18"/>
        <v>Evol 2026</v>
      </c>
      <c r="H64" s="314" t="str">
        <f t="shared" si="18"/>
        <v>Evol 2027</v>
      </c>
      <c r="I64" s="314" t="str">
        <f t="shared" si="18"/>
        <v>Evol 2028</v>
      </c>
      <c r="J64" s="314" t="str">
        <f t="shared" si="18"/>
        <v>Evol 2029</v>
      </c>
      <c r="K64" s="680"/>
    </row>
    <row r="65" spans="1:20" x14ac:dyDescent="0.2">
      <c r="A65" s="247" t="s">
        <v>175</v>
      </c>
      <c r="B65" s="148" t="s">
        <v>256</v>
      </c>
      <c r="C65" s="315">
        <f t="shared" ref="C65:C78" si="19">D47</f>
        <v>13.733723815542124</v>
      </c>
      <c r="D65" s="316">
        <f t="shared" ref="D65:D78" si="20">D47/C47-1</f>
        <v>1.1127964052350281E-2</v>
      </c>
      <c r="E65" s="362">
        <f>E47</f>
        <v>13.92539048220879</v>
      </c>
      <c r="F65" s="346">
        <f t="shared" ref="F65:F78" si="21">E47/D47-1</f>
        <v>1.3955913868732628E-2</v>
      </c>
      <c r="G65" s="346">
        <f t="shared" ref="G65:G78" si="22">F47/E47-1</f>
        <v>1.0771690760962072E-2</v>
      </c>
      <c r="H65" s="346">
        <f t="shared" ref="H65:H78" si="23">G47/F47-1</f>
        <v>1.5630116995906995E-2</v>
      </c>
      <c r="I65" s="346">
        <f t="shared" ref="I65:I78" si="24">H47/G47-1</f>
        <v>1.6089102307925485E-2</v>
      </c>
      <c r="J65" s="347">
        <f t="shared" ref="J65:J78" si="25">I47/H47-1</f>
        <v>1.7211241261032351E-2</v>
      </c>
      <c r="K65" s="275">
        <f t="shared" ref="K65:K78" si="26">(I47/D47)^(1/5)-1</f>
        <v>1.4729138452370227E-2</v>
      </c>
      <c r="L65" s="152"/>
      <c r="M65" s="173"/>
      <c r="N65" s="173"/>
      <c r="O65" s="173"/>
      <c r="P65" s="173"/>
      <c r="Q65" s="173"/>
      <c r="R65" s="173"/>
      <c r="S65" s="173"/>
      <c r="T65" s="173"/>
    </row>
    <row r="66" spans="1:20" x14ac:dyDescent="0.2">
      <c r="A66" s="248"/>
      <c r="B66" s="148" t="s">
        <v>212</v>
      </c>
      <c r="C66" s="315">
        <f t="shared" si="19"/>
        <v>11.3203701731028</v>
      </c>
      <c r="D66" s="316">
        <f t="shared" si="20"/>
        <v>4.1194813250613471E-3</v>
      </c>
      <c r="E66" s="362">
        <f>E48</f>
        <v>11.512036839769467</v>
      </c>
      <c r="F66" s="346">
        <f t="shared" si="21"/>
        <v>1.6931130672923178E-2</v>
      </c>
      <c r="G66" s="346">
        <f t="shared" si="22"/>
        <v>1.302984016536568E-2</v>
      </c>
      <c r="H66" s="346">
        <f t="shared" si="23"/>
        <v>1.8864629140062705E-2</v>
      </c>
      <c r="I66" s="346">
        <f t="shared" si="24"/>
        <v>1.9356950588655275E-2</v>
      </c>
      <c r="J66" s="347">
        <f t="shared" si="25"/>
        <v>2.0640624141691211E-2</v>
      </c>
      <c r="K66" s="275">
        <f t="shared" si="26"/>
        <v>1.7761178267134081E-2</v>
      </c>
      <c r="L66" s="152"/>
      <c r="M66" s="173"/>
      <c r="N66" s="173"/>
      <c r="O66" s="173"/>
      <c r="P66" s="173"/>
      <c r="Q66" s="173"/>
      <c r="R66" s="173"/>
      <c r="S66" s="173"/>
      <c r="T66" s="173"/>
    </row>
    <row r="67" spans="1:20" ht="12.75" thickBot="1" x14ac:dyDescent="0.25">
      <c r="A67" s="248"/>
      <c r="B67" s="149" t="s">
        <v>176</v>
      </c>
      <c r="C67" s="315">
        <f t="shared" si="19"/>
        <v>16.611008137214778</v>
      </c>
      <c r="D67" s="316">
        <f t="shared" si="20"/>
        <v>2.592806248964119E-2</v>
      </c>
      <c r="E67" s="362">
        <f>E49</f>
        <v>17.037697098266747</v>
      </c>
      <c r="F67" s="346">
        <f t="shared" si="21"/>
        <v>2.5687120102965144E-2</v>
      </c>
      <c r="G67" s="346">
        <f t="shared" si="22"/>
        <v>2.5512419530542285E-2</v>
      </c>
      <c r="H67" s="346">
        <f t="shared" si="23"/>
        <v>2.4877728484479444E-2</v>
      </c>
      <c r="I67" s="346">
        <f t="shared" si="24"/>
        <v>2.4273850229203919E-2</v>
      </c>
      <c r="J67" s="347">
        <f t="shared" si="25"/>
        <v>2.369859410525077E-2</v>
      </c>
      <c r="K67" s="275">
        <f t="shared" si="26"/>
        <v>2.4809670212800672E-2</v>
      </c>
      <c r="L67" s="152"/>
      <c r="M67" s="173"/>
      <c r="N67" s="173"/>
      <c r="O67" s="173"/>
      <c r="P67" s="173"/>
      <c r="Q67" s="173"/>
      <c r="R67" s="173"/>
      <c r="S67" s="173"/>
      <c r="T67" s="173"/>
    </row>
    <row r="68" spans="1:20" ht="12.75" thickBot="1" x14ac:dyDescent="0.25">
      <c r="A68" s="249"/>
      <c r="B68" s="150" t="s">
        <v>177</v>
      </c>
      <c r="C68" s="317">
        <f t="shared" si="19"/>
        <v>14.942977702817934</v>
      </c>
      <c r="D68" s="318">
        <f t="shared" si="20"/>
        <v>2.2168432160918572E-2</v>
      </c>
      <c r="E68" s="363">
        <f>E87/E10</f>
        <v>15.211951301468657</v>
      </c>
      <c r="F68" s="349">
        <f t="shared" si="21"/>
        <v>1.8000000000000016E-2</v>
      </c>
      <c r="G68" s="350">
        <f t="shared" si="22"/>
        <v>1.6999999999999904E-2</v>
      </c>
      <c r="H68" s="350">
        <f t="shared" si="23"/>
        <v>2.0999999999999908E-2</v>
      </c>
      <c r="I68" s="350">
        <f t="shared" si="24"/>
        <v>2.0000000000000018E-2</v>
      </c>
      <c r="J68" s="351">
        <f t="shared" si="25"/>
        <v>2.0000000000000018E-2</v>
      </c>
      <c r="K68" s="279">
        <f t="shared" si="26"/>
        <v>1.9198939989914621E-2</v>
      </c>
      <c r="L68" s="250"/>
      <c r="M68" s="173"/>
      <c r="N68" s="173"/>
      <c r="O68" s="173"/>
      <c r="P68" s="173"/>
      <c r="Q68" s="173"/>
      <c r="R68" s="173"/>
      <c r="S68" s="173"/>
      <c r="T68" s="173"/>
    </row>
    <row r="69" spans="1:20" x14ac:dyDescent="0.2">
      <c r="A69" s="247" t="s">
        <v>178</v>
      </c>
      <c r="B69" s="148" t="s">
        <v>258</v>
      </c>
      <c r="C69" s="315">
        <f t="shared" si="19"/>
        <v>14.25647771651103</v>
      </c>
      <c r="D69" s="316">
        <f t="shared" si="20"/>
        <v>-1.5357319717290041E-2</v>
      </c>
      <c r="E69" s="362">
        <f>E51</f>
        <v>14.448144383177697</v>
      </c>
      <c r="F69" s="346">
        <f t="shared" si="21"/>
        <v>1.3444180987614462E-2</v>
      </c>
      <c r="G69" s="346">
        <f t="shared" si="22"/>
        <v>1.0381956050677932E-2</v>
      </c>
      <c r="H69" s="346">
        <f t="shared" si="23"/>
        <v>1.5070408555043491E-2</v>
      </c>
      <c r="I69" s="346">
        <f t="shared" si="24"/>
        <v>1.5521511604456251E-2</v>
      </c>
      <c r="J69" s="347">
        <f t="shared" si="25"/>
        <v>1.6613344053202583E-2</v>
      </c>
      <c r="K69" s="275">
        <f t="shared" si="26"/>
        <v>1.4203962888902355E-2</v>
      </c>
      <c r="L69" s="152"/>
      <c r="M69" s="173"/>
      <c r="N69" s="173"/>
      <c r="O69" s="173"/>
      <c r="P69" s="173"/>
      <c r="Q69" s="173"/>
      <c r="R69" s="173"/>
      <c r="S69" s="173"/>
      <c r="T69" s="173"/>
    </row>
    <row r="70" spans="1:20" ht="12.75" thickBot="1" x14ac:dyDescent="0.25">
      <c r="A70" s="248"/>
      <c r="B70" s="149" t="s">
        <v>176</v>
      </c>
      <c r="C70" s="315">
        <f t="shared" si="19"/>
        <v>22.182689259740453</v>
      </c>
      <c r="D70" s="316">
        <f t="shared" si="20"/>
        <v>2.9675178759859699E-2</v>
      </c>
      <c r="E70" s="362">
        <f>E52</f>
        <v>23.022893001318856</v>
      </c>
      <c r="F70" s="346">
        <f t="shared" si="21"/>
        <v>3.7876550121598518E-2</v>
      </c>
      <c r="G70" s="346">
        <f t="shared" si="22"/>
        <v>3.6042021638678756E-2</v>
      </c>
      <c r="H70" s="346">
        <f t="shared" si="23"/>
        <v>2.8238152931419291E-2</v>
      </c>
      <c r="I70" s="346">
        <f t="shared" si="24"/>
        <v>3.5025039893041177E-2</v>
      </c>
      <c r="J70" s="347">
        <f t="shared" si="25"/>
        <v>3.2687913602996943E-2</v>
      </c>
      <c r="K70" s="275">
        <f t="shared" si="26"/>
        <v>3.3968592755855731E-2</v>
      </c>
      <c r="L70" s="152"/>
      <c r="M70" s="173"/>
      <c r="N70" s="173"/>
      <c r="O70" s="173"/>
      <c r="P70" s="173"/>
      <c r="Q70" s="173"/>
      <c r="R70" s="173"/>
      <c r="S70" s="173"/>
      <c r="T70" s="173"/>
    </row>
    <row r="71" spans="1:20" ht="12.75" thickBot="1" x14ac:dyDescent="0.25">
      <c r="A71" s="249"/>
      <c r="B71" s="150" t="s">
        <v>177</v>
      </c>
      <c r="C71" s="317">
        <f t="shared" si="19"/>
        <v>21.113173697222383</v>
      </c>
      <c r="D71" s="318">
        <f t="shared" si="20"/>
        <v>3.0520032527846519E-2</v>
      </c>
      <c r="E71" s="363">
        <f>E90/E13</f>
        <v>21.683229387047387</v>
      </c>
      <c r="F71" s="349">
        <f t="shared" si="21"/>
        <v>2.6999999999999913E-2</v>
      </c>
      <c r="G71" s="350">
        <f t="shared" si="22"/>
        <v>2.4999999999999911E-2</v>
      </c>
      <c r="H71" s="350">
        <f t="shared" si="23"/>
        <v>2.0000000000000018E-2</v>
      </c>
      <c r="I71" s="350">
        <f t="shared" si="24"/>
        <v>2.6000000000000023E-2</v>
      </c>
      <c r="J71" s="351">
        <f t="shared" si="25"/>
        <v>2.6000000000000023E-2</v>
      </c>
      <c r="K71" s="279">
        <f t="shared" si="26"/>
        <v>2.4796988389451213E-2</v>
      </c>
      <c r="L71" s="152"/>
      <c r="M71" s="173"/>
      <c r="N71" s="173"/>
      <c r="O71" s="173"/>
      <c r="P71" s="173"/>
      <c r="Q71" s="173"/>
      <c r="R71" s="173"/>
      <c r="S71" s="173"/>
      <c r="T71" s="173"/>
    </row>
    <row r="72" spans="1:20" x14ac:dyDescent="0.2">
      <c r="A72" s="247" t="s">
        <v>180</v>
      </c>
      <c r="B72" s="148" t="str">
        <f>B69</f>
        <v xml:space="preserve">Cdd  </v>
      </c>
      <c r="C72" s="315">
        <f t="shared" si="19"/>
        <v>14.990137095969693</v>
      </c>
      <c r="D72" s="316">
        <f t="shared" si="20"/>
        <v>-1.9537920585019797E-2</v>
      </c>
      <c r="E72" s="362">
        <f>E54</f>
        <v>15.18180376263636</v>
      </c>
      <c r="F72" s="346">
        <f t="shared" si="21"/>
        <v>1.2786185038841325E-2</v>
      </c>
      <c r="G72" s="346">
        <f t="shared" si="22"/>
        <v>9.8802489048870346E-3</v>
      </c>
      <c r="H72" s="346">
        <f t="shared" si="23"/>
        <v>1.4349257491551137E-2</v>
      </c>
      <c r="I72" s="346">
        <f t="shared" si="24"/>
        <v>1.4789281263475118E-2</v>
      </c>
      <c r="J72" s="347">
        <f t="shared" si="25"/>
        <v>1.584102829816425E-2</v>
      </c>
      <c r="K72" s="275">
        <f t="shared" si="26"/>
        <v>1.3527079464662028E-2</v>
      </c>
      <c r="L72" s="152"/>
      <c r="M72" s="173"/>
      <c r="N72" s="173"/>
      <c r="O72" s="173"/>
      <c r="P72" s="173"/>
      <c r="Q72" s="173"/>
      <c r="R72" s="173"/>
      <c r="S72" s="173"/>
      <c r="T72" s="173"/>
    </row>
    <row r="73" spans="1:20" ht="12.75" thickBot="1" x14ac:dyDescent="0.25">
      <c r="A73" s="248"/>
      <c r="B73" s="149" t="s">
        <v>176</v>
      </c>
      <c r="C73" s="315">
        <f t="shared" si="19"/>
        <v>25.406670310550336</v>
      </c>
      <c r="D73" s="316">
        <f t="shared" si="20"/>
        <v>3.6240302898269405E-2</v>
      </c>
      <c r="E73" s="362">
        <f>E55</f>
        <v>26.34279047909385</v>
      </c>
      <c r="F73" s="346">
        <f t="shared" si="21"/>
        <v>3.684544873850637E-2</v>
      </c>
      <c r="G73" s="346">
        <f t="shared" si="22"/>
        <v>3.4904487082202396E-2</v>
      </c>
      <c r="H73" s="346">
        <f t="shared" si="23"/>
        <v>3.4167276356747545E-2</v>
      </c>
      <c r="I73" s="346">
        <f t="shared" si="24"/>
        <v>3.2819465976261952E-2</v>
      </c>
      <c r="J73" s="347">
        <f t="shared" si="25"/>
        <v>3.188569169696942E-2</v>
      </c>
      <c r="K73" s="275">
        <f t="shared" si="26"/>
        <v>3.4123050103778807E-2</v>
      </c>
      <c r="L73" s="152"/>
      <c r="M73" s="173"/>
      <c r="N73" s="173"/>
      <c r="O73" s="173"/>
      <c r="P73" s="173"/>
      <c r="Q73" s="173"/>
      <c r="R73" s="173"/>
      <c r="S73" s="173"/>
      <c r="T73" s="173"/>
    </row>
    <row r="74" spans="1:20" ht="12.75" thickBot="1" x14ac:dyDescent="0.25">
      <c r="A74" s="249"/>
      <c r="B74" s="150" t="s">
        <v>177</v>
      </c>
      <c r="C74" s="317">
        <f t="shared" si="19"/>
        <v>24.279027966964431</v>
      </c>
      <c r="D74" s="318">
        <f t="shared" si="20"/>
        <v>3.976025463478905E-2</v>
      </c>
      <c r="E74" s="363">
        <f>E93/E16</f>
        <v>24.958840750039439</v>
      </c>
      <c r="F74" s="349">
        <f t="shared" si="21"/>
        <v>2.8000000000000025E-2</v>
      </c>
      <c r="G74" s="350">
        <f t="shared" si="22"/>
        <v>2.6999999999999913E-2</v>
      </c>
      <c r="H74" s="350">
        <f t="shared" si="23"/>
        <v>2.6000000000000023E-2</v>
      </c>
      <c r="I74" s="350">
        <f t="shared" si="24"/>
        <v>2.6000000000000023E-2</v>
      </c>
      <c r="J74" s="351">
        <f t="shared" si="25"/>
        <v>2.4999999999999911E-2</v>
      </c>
      <c r="K74" s="279">
        <f t="shared" si="26"/>
        <v>2.6399493465663726E-2</v>
      </c>
      <c r="L74" s="152"/>
      <c r="M74" s="173"/>
      <c r="N74" s="173"/>
      <c r="O74" s="173"/>
      <c r="P74" s="173"/>
      <c r="Q74" s="173"/>
      <c r="R74" s="173"/>
      <c r="S74" s="173"/>
      <c r="T74" s="173"/>
    </row>
    <row r="75" spans="1:20" x14ac:dyDescent="0.2">
      <c r="A75" s="247" t="s">
        <v>181</v>
      </c>
      <c r="B75" s="148" t="str">
        <f>B72</f>
        <v xml:space="preserve">Cdd  </v>
      </c>
      <c r="C75" s="315">
        <f t="shared" si="19"/>
        <v>9.8982417588971732</v>
      </c>
      <c r="D75" s="316">
        <f t="shared" si="20"/>
        <v>8.2172284167467691E-3</v>
      </c>
      <c r="E75" s="362">
        <f>E57</f>
        <v>10.08990842556384</v>
      </c>
      <c r="F75" s="346">
        <f t="shared" si="21"/>
        <v>1.9363708357030607E-2</v>
      </c>
      <c r="G75" s="346">
        <f t="shared" si="22"/>
        <v>5.3884864114142061E-3</v>
      </c>
      <c r="H75" s="346">
        <f t="shared" si="23"/>
        <v>5.0513069066273619E-3</v>
      </c>
      <c r="I75" s="346">
        <f t="shared" si="24"/>
        <v>4.7368146911546116E-3</v>
      </c>
      <c r="J75" s="347">
        <f t="shared" si="25"/>
        <v>4.4432929849316238E-3</v>
      </c>
      <c r="K75" s="275">
        <f t="shared" si="26"/>
        <v>7.780171788784207E-3</v>
      </c>
      <c r="L75" s="152"/>
      <c r="M75" s="173"/>
      <c r="N75" s="173"/>
      <c r="O75" s="173"/>
      <c r="P75" s="173"/>
      <c r="Q75" s="173"/>
      <c r="R75" s="173"/>
      <c r="S75" s="173"/>
      <c r="T75" s="173"/>
    </row>
    <row r="76" spans="1:20" ht="12.75" thickBot="1" x14ac:dyDescent="0.25">
      <c r="A76" s="248"/>
      <c r="B76" s="149" t="s">
        <v>176</v>
      </c>
      <c r="C76" s="315">
        <f t="shared" si="19"/>
        <v>16.576170897565355</v>
      </c>
      <c r="D76" s="316">
        <f t="shared" si="20"/>
        <v>2.8541594177469598E-2</v>
      </c>
      <c r="E76" s="362">
        <f>E58</f>
        <v>16.845994631064038</v>
      </c>
      <c r="F76" s="346">
        <f t="shared" si="21"/>
        <v>1.6277808377223701E-2</v>
      </c>
      <c r="G76" s="346">
        <f t="shared" si="22"/>
        <v>1.8695076021779222E-2</v>
      </c>
      <c r="H76" s="346">
        <f t="shared" si="23"/>
        <v>1.835282303506891E-2</v>
      </c>
      <c r="I76" s="346">
        <f t="shared" si="24"/>
        <v>1.8022067494360527E-2</v>
      </c>
      <c r="J76" s="347">
        <f t="shared" si="25"/>
        <v>1.770302242937305E-2</v>
      </c>
      <c r="K76" s="275">
        <f t="shared" si="26"/>
        <v>1.7809817183813248E-2</v>
      </c>
      <c r="L76" s="152"/>
      <c r="M76" s="173"/>
      <c r="N76" s="173"/>
      <c r="O76" s="173"/>
      <c r="P76" s="173"/>
      <c r="Q76" s="173"/>
      <c r="R76" s="173"/>
      <c r="S76" s="173"/>
      <c r="T76" s="173"/>
    </row>
    <row r="77" spans="1:20" ht="12.75" thickBot="1" x14ac:dyDescent="0.25">
      <c r="A77" s="249"/>
      <c r="B77" s="150" t="s">
        <v>177</v>
      </c>
      <c r="C77" s="317">
        <f t="shared" si="19"/>
        <v>14.736612640827468</v>
      </c>
      <c r="D77" s="318">
        <f t="shared" si="20"/>
        <v>2.8199103917541324E-2</v>
      </c>
      <c r="E77" s="363">
        <f>E96/E19</f>
        <v>15.001871668362362</v>
      </c>
      <c r="F77" s="350">
        <f t="shared" si="21"/>
        <v>1.8000000000000016E-2</v>
      </c>
      <c r="G77" s="350">
        <f t="shared" si="22"/>
        <v>1.2000000000000011E-2</v>
      </c>
      <c r="H77" s="350">
        <f t="shared" si="23"/>
        <v>1.2000000000000011E-2</v>
      </c>
      <c r="I77" s="350">
        <f t="shared" si="24"/>
        <v>1.2000000000000011E-2</v>
      </c>
      <c r="J77" s="351">
        <f t="shared" si="25"/>
        <v>1.0999999999999899E-2</v>
      </c>
      <c r="K77" s="279">
        <f t="shared" si="26"/>
        <v>1.2996848446370723E-2</v>
      </c>
      <c r="L77" s="152"/>
      <c r="M77" s="173"/>
      <c r="N77" s="173"/>
      <c r="O77" s="173"/>
      <c r="P77" s="173"/>
      <c r="Q77" s="173"/>
      <c r="R77" s="173"/>
      <c r="S77" s="173"/>
      <c r="T77" s="173"/>
    </row>
    <row r="78" spans="1:20" ht="12.75" thickBot="1" x14ac:dyDescent="0.25">
      <c r="A78" s="681" t="s">
        <v>193</v>
      </c>
      <c r="B78" s="682"/>
      <c r="C78" s="319">
        <f t="shared" si="19"/>
        <v>18.154245984283843</v>
      </c>
      <c r="D78" s="320">
        <f t="shared" si="20"/>
        <v>3.0501962957839135E-2</v>
      </c>
      <c r="E78" s="364">
        <f>E97/E20</f>
        <v>18.592132932460995</v>
      </c>
      <c r="F78" s="365">
        <f t="shared" si="21"/>
        <v>2.4120359972880756E-2</v>
      </c>
      <c r="G78" s="365">
        <f t="shared" si="22"/>
        <v>2.2173584297746851E-2</v>
      </c>
      <c r="H78" s="365">
        <f t="shared" si="23"/>
        <v>2.1424141543248565E-2</v>
      </c>
      <c r="I78" s="365">
        <f t="shared" si="24"/>
        <v>2.0921152202636906E-2</v>
      </c>
      <c r="J78" s="366">
        <f t="shared" si="25"/>
        <v>2.0481710226179617E-2</v>
      </c>
      <c r="K78" s="321">
        <f t="shared" si="26"/>
        <v>2.1823390447717639E-2</v>
      </c>
      <c r="L78" s="152"/>
      <c r="M78" s="173"/>
      <c r="N78" s="173"/>
      <c r="O78" s="173"/>
      <c r="P78" s="173"/>
      <c r="Q78" s="173"/>
      <c r="R78" s="173"/>
      <c r="S78" s="173"/>
      <c r="T78" s="173"/>
    </row>
    <row r="79" spans="1:20" ht="12.75" x14ac:dyDescent="0.2">
      <c r="A79" s="235"/>
      <c r="B79" s="246"/>
      <c r="C79" s="322"/>
      <c r="D79" s="322"/>
      <c r="E79" s="322"/>
      <c r="F79" s="322"/>
      <c r="G79" s="322"/>
      <c r="H79" s="322"/>
      <c r="I79" s="322"/>
      <c r="J79" s="112"/>
      <c r="K79" s="112"/>
      <c r="L79"/>
      <c r="M79"/>
    </row>
    <row r="80" spans="1:20" ht="12.75" x14ac:dyDescent="0.2">
      <c r="A80" s="153" t="s">
        <v>194</v>
      </c>
    </row>
    <row r="81" spans="1:17" ht="12.75" thickBot="1" x14ac:dyDescent="0.25">
      <c r="A81" s="221"/>
    </row>
    <row r="82" spans="1:17" ht="13.5" customHeight="1" thickTop="1" thickBot="1" x14ac:dyDescent="0.25">
      <c r="A82" s="697" t="s">
        <v>195</v>
      </c>
      <c r="B82" s="311"/>
      <c r="C82" s="312" t="s">
        <v>174</v>
      </c>
      <c r="D82" s="312" t="s">
        <v>174</v>
      </c>
      <c r="E82" s="699" t="s">
        <v>1</v>
      </c>
      <c r="F82" s="700"/>
      <c r="G82" s="700"/>
      <c r="H82" s="700"/>
      <c r="I82" s="701"/>
    </row>
    <row r="83" spans="1:17" ht="12.75" customHeight="1" thickBot="1" x14ac:dyDescent="0.25">
      <c r="A83" s="698"/>
      <c r="B83" s="313"/>
      <c r="C83" s="267">
        <f>C46</f>
        <v>2023</v>
      </c>
      <c r="D83" s="267">
        <f t="shared" ref="D83:I83" si="27">D46</f>
        <v>2024</v>
      </c>
      <c r="E83" s="267">
        <f t="shared" si="27"/>
        <v>2025</v>
      </c>
      <c r="F83" s="267">
        <f t="shared" si="27"/>
        <v>2026</v>
      </c>
      <c r="G83" s="267">
        <f t="shared" si="27"/>
        <v>2027</v>
      </c>
      <c r="H83" s="267">
        <f t="shared" si="27"/>
        <v>2028</v>
      </c>
      <c r="I83" s="267">
        <f t="shared" si="27"/>
        <v>2029</v>
      </c>
    </row>
    <row r="84" spans="1:17" ht="12" customHeight="1" x14ac:dyDescent="0.2">
      <c r="A84" s="688" t="s">
        <v>175</v>
      </c>
      <c r="B84" s="144" t="s">
        <v>256</v>
      </c>
      <c r="C84" s="562">
        <v>2462782.9750000001</v>
      </c>
      <c r="D84" s="562">
        <v>2428556.5759999999</v>
      </c>
      <c r="E84" s="552">
        <v>2503538.5453416035</v>
      </c>
      <c r="F84" s="552">
        <v>2542110.2063494218</v>
      </c>
      <c r="G84" s="552">
        <v>2606083.245813054</v>
      </c>
      <c r="H84" s="552">
        <v>2746048.3482579286</v>
      </c>
      <c r="I84" s="552">
        <v>2822536.6963576078</v>
      </c>
      <c r="K84" s="145"/>
      <c r="L84" s="145"/>
      <c r="M84" s="145"/>
      <c r="N84" s="145"/>
      <c r="O84" s="145"/>
      <c r="P84" s="145"/>
      <c r="Q84" s="145"/>
    </row>
    <row r="85" spans="1:17" ht="12" customHeight="1" x14ac:dyDescent="0.2">
      <c r="A85" s="689"/>
      <c r="B85" s="144" t="s">
        <v>212</v>
      </c>
      <c r="C85" s="562">
        <v>1290692.0880000009</v>
      </c>
      <c r="D85" s="562">
        <v>1267058.5929999999</v>
      </c>
      <c r="E85" s="552">
        <v>1264952.6651579016</v>
      </c>
      <c r="F85" s="552">
        <v>1283404.8899876014</v>
      </c>
      <c r="G85" s="552">
        <v>1296890.8652762992</v>
      </c>
      <c r="H85" s="552">
        <v>1249799.2984050184</v>
      </c>
      <c r="I85" s="552">
        <v>1260891.8340138448</v>
      </c>
      <c r="K85" s="145"/>
      <c r="L85" s="145"/>
      <c r="M85" s="145"/>
      <c r="N85" s="145"/>
      <c r="O85" s="145"/>
      <c r="P85" s="145"/>
      <c r="Q85" s="145"/>
    </row>
    <row r="86" spans="1:17" ht="12" customHeight="1" x14ac:dyDescent="0.2">
      <c r="A86" s="689"/>
      <c r="B86" s="144" t="s">
        <v>176</v>
      </c>
      <c r="C86" s="562">
        <v>5878514.7939999998</v>
      </c>
      <c r="D86" s="562">
        <v>6167302.2280000001</v>
      </c>
      <c r="E86" s="552">
        <v>6444834.8108929219</v>
      </c>
      <c r="F86" s="552">
        <v>6709519.2823610324</v>
      </c>
      <c r="G86" s="552">
        <v>6979192.2927639717</v>
      </c>
      <c r="H86" s="552">
        <v>7253853.8421017323</v>
      </c>
      <c r="I86" s="552">
        <v>7533503.9303743215</v>
      </c>
      <c r="K86" s="145"/>
      <c r="L86" s="145"/>
      <c r="M86" s="145"/>
      <c r="N86" s="145"/>
      <c r="O86" s="145"/>
      <c r="P86" s="145"/>
      <c r="Q86" s="145"/>
    </row>
    <row r="87" spans="1:17" ht="12.75" customHeight="1" thickBot="1" x14ac:dyDescent="0.25">
      <c r="A87" s="690"/>
      <c r="B87" s="146" t="s">
        <v>177</v>
      </c>
      <c r="C87" s="563">
        <v>9631989.8570000008</v>
      </c>
      <c r="D87" s="563">
        <v>9862917.3969999999</v>
      </c>
      <c r="E87" s="564">
        <v>10160553.431916043</v>
      </c>
      <c r="F87" s="564">
        <v>10437425.050765574</v>
      </c>
      <c r="G87" s="564">
        <v>10759775.190415364</v>
      </c>
      <c r="H87" s="564">
        <v>11080127.651100423</v>
      </c>
      <c r="I87" s="564">
        <v>11408988.727923175</v>
      </c>
      <c r="K87" s="145"/>
      <c r="L87" s="145"/>
      <c r="M87" s="145"/>
      <c r="N87" s="145"/>
      <c r="O87" s="145"/>
      <c r="P87" s="145"/>
      <c r="Q87" s="145"/>
    </row>
    <row r="88" spans="1:17" x14ac:dyDescent="0.2">
      <c r="A88" s="688" t="s">
        <v>178</v>
      </c>
      <c r="B88" s="143" t="s">
        <v>179</v>
      </c>
      <c r="C88" s="565">
        <v>531336.48199999996</v>
      </c>
      <c r="D88" s="565">
        <v>474651.66200000001</v>
      </c>
      <c r="E88" s="552">
        <v>475359.04619438108</v>
      </c>
      <c r="F88" s="552">
        <v>496045.76044593542</v>
      </c>
      <c r="G88" s="552">
        <v>497148.69518327608</v>
      </c>
      <c r="H88" s="552">
        <v>500563.08000722341</v>
      </c>
      <c r="I88" s="552">
        <v>513144.38032816147</v>
      </c>
      <c r="K88" s="145"/>
      <c r="L88" s="145"/>
      <c r="M88" s="145"/>
      <c r="N88" s="145"/>
      <c r="O88" s="145"/>
      <c r="P88" s="145"/>
      <c r="Q88" s="145"/>
    </row>
    <row r="89" spans="1:17" x14ac:dyDescent="0.2">
      <c r="A89" s="691"/>
      <c r="B89" s="144" t="s">
        <v>176</v>
      </c>
      <c r="C89" s="562">
        <v>4500869.767</v>
      </c>
      <c r="D89" s="562">
        <v>4734833.8870000001</v>
      </c>
      <c r="E89" s="552">
        <v>4959120.4172606291</v>
      </c>
      <c r="F89" s="552">
        <v>5218091.9749971135</v>
      </c>
      <c r="G89" s="552">
        <v>5428949.0598724689</v>
      </c>
      <c r="H89" s="552">
        <v>5695609.6189484028</v>
      </c>
      <c r="I89" s="552">
        <v>5954695.7198663987</v>
      </c>
      <c r="K89" s="145"/>
      <c r="L89" s="145"/>
      <c r="M89" s="145"/>
      <c r="N89" s="145"/>
      <c r="O89" s="145"/>
      <c r="P89" s="145"/>
      <c r="Q89" s="145"/>
    </row>
    <row r="90" spans="1:17" ht="12.75" thickBot="1" x14ac:dyDescent="0.25">
      <c r="A90" s="692"/>
      <c r="B90" s="146" t="s">
        <v>177</v>
      </c>
      <c r="C90" s="563">
        <v>5032206.2489999998</v>
      </c>
      <c r="D90" s="563">
        <v>5209485.5490000006</v>
      </c>
      <c r="E90" s="564">
        <v>5383958.4017334711</v>
      </c>
      <c r="F90" s="564">
        <v>5617299.4411414927</v>
      </c>
      <c r="G90" s="564">
        <v>5778596.8842751486</v>
      </c>
      <c r="H90" s="564">
        <v>5992294.3180781463</v>
      </c>
      <c r="I90" s="564">
        <v>6221117.2018178171</v>
      </c>
      <c r="K90" s="145"/>
      <c r="L90" s="145"/>
      <c r="M90" s="145"/>
      <c r="N90" s="145"/>
      <c r="O90" s="145"/>
      <c r="P90" s="145"/>
      <c r="Q90" s="145"/>
    </row>
    <row r="91" spans="1:17" x14ac:dyDescent="0.2">
      <c r="A91" s="688" t="s">
        <v>180</v>
      </c>
      <c r="B91" s="143" t="str">
        <f>B88</f>
        <v>Cdd</v>
      </c>
      <c r="C91" s="565">
        <v>673502.92700000003</v>
      </c>
      <c r="D91" s="565">
        <v>572059.473</v>
      </c>
      <c r="E91" s="552">
        <v>555364.83590006013</v>
      </c>
      <c r="F91" s="552">
        <v>574962.63245813607</v>
      </c>
      <c r="G91" s="552">
        <v>585946.2730923933</v>
      </c>
      <c r="H91" s="552">
        <v>594611.99733044172</v>
      </c>
      <c r="I91" s="552">
        <v>604031.26280658122</v>
      </c>
      <c r="K91" s="145"/>
      <c r="L91" s="145"/>
      <c r="M91" s="145"/>
      <c r="N91" s="145"/>
      <c r="O91" s="145"/>
      <c r="P91" s="145"/>
      <c r="Q91" s="145"/>
    </row>
    <row r="92" spans="1:17" x14ac:dyDescent="0.2">
      <c r="A92" s="691"/>
      <c r="B92" s="144" t="s">
        <v>176</v>
      </c>
      <c r="C92" s="562">
        <v>7457884.2879999997</v>
      </c>
      <c r="D92" s="562">
        <v>7986855.2589999996</v>
      </c>
      <c r="E92" s="552">
        <v>8420810.5114747398</v>
      </c>
      <c r="F92" s="552">
        <v>8786072.0307054948</v>
      </c>
      <c r="G92" s="552">
        <v>9160043.0356639158</v>
      </c>
      <c r="H92" s="552">
        <v>9536866.8615130298</v>
      </c>
      <c r="I92" s="552">
        <v>9919582.1286290213</v>
      </c>
      <c r="K92" s="145"/>
      <c r="L92" s="145"/>
      <c r="M92" s="145"/>
      <c r="N92" s="145"/>
      <c r="O92" s="145"/>
      <c r="P92" s="145"/>
      <c r="Q92" s="145"/>
    </row>
    <row r="93" spans="1:17" ht="12.75" thickBot="1" x14ac:dyDescent="0.25">
      <c r="A93" s="692"/>
      <c r="B93" s="146" t="s">
        <v>177</v>
      </c>
      <c r="C93" s="563">
        <v>8131387.2149999999</v>
      </c>
      <c r="D93" s="563">
        <v>8558914.7319999989</v>
      </c>
      <c r="E93" s="564">
        <v>8891431.40519193</v>
      </c>
      <c r="F93" s="564">
        <v>9222164.5905389916</v>
      </c>
      <c r="G93" s="564">
        <v>9535380.4773775246</v>
      </c>
      <c r="H93" s="564">
        <v>9853906.9364065584</v>
      </c>
      <c r="I93" s="564">
        <v>10172626.340599367</v>
      </c>
      <c r="K93" s="145"/>
      <c r="L93" s="145"/>
      <c r="M93" s="145"/>
      <c r="N93" s="145"/>
      <c r="O93" s="145"/>
      <c r="P93" s="145"/>
      <c r="Q93" s="145"/>
    </row>
    <row r="94" spans="1:17" x14ac:dyDescent="0.2">
      <c r="A94" s="689" t="s">
        <v>181</v>
      </c>
      <c r="B94" s="144" t="str">
        <f>B91</f>
        <v>Cdd</v>
      </c>
      <c r="C94" s="562">
        <v>615000.92599999998</v>
      </c>
      <c r="D94" s="562">
        <v>614048.76100000006</v>
      </c>
      <c r="E94" s="552">
        <v>613992.57323187462</v>
      </c>
      <c r="F94" s="552">
        <v>613812.02394220431</v>
      </c>
      <c r="G94" s="552">
        <v>613080.195189366</v>
      </c>
      <c r="H94" s="552">
        <v>612130.20031015028</v>
      </c>
      <c r="I94" s="552">
        <v>610978.86958871456</v>
      </c>
      <c r="K94" s="145"/>
      <c r="L94" s="145"/>
      <c r="M94" s="145"/>
      <c r="N94" s="145"/>
      <c r="O94" s="145"/>
      <c r="P94" s="145"/>
      <c r="Q94" s="145"/>
    </row>
    <row r="95" spans="1:17" x14ac:dyDescent="0.2">
      <c r="A95" s="691"/>
      <c r="B95" s="147" t="s">
        <v>176</v>
      </c>
      <c r="C95" s="562">
        <v>2555343.6630000002</v>
      </c>
      <c r="D95" s="562">
        <v>2704672.142</v>
      </c>
      <c r="E95" s="552">
        <v>2806579.2413467285</v>
      </c>
      <c r="F95" s="552">
        <v>2904058.0969524914</v>
      </c>
      <c r="G95" s="552">
        <v>2982484.2842578902</v>
      </c>
      <c r="H95" s="552">
        <v>3055963.0673123416</v>
      </c>
      <c r="I95" s="552">
        <v>3123364.1829299894</v>
      </c>
      <c r="K95" s="145"/>
      <c r="L95" s="145"/>
      <c r="M95" s="145"/>
      <c r="N95" s="145"/>
      <c r="O95" s="145"/>
      <c r="P95" s="145"/>
      <c r="Q95" s="145"/>
    </row>
    <row r="96" spans="1:17" ht="12.75" thickBot="1" x14ac:dyDescent="0.25">
      <c r="A96" s="691"/>
      <c r="B96" s="230" t="s">
        <v>177</v>
      </c>
      <c r="C96" s="566">
        <v>3170344.5890000002</v>
      </c>
      <c r="D96" s="566">
        <v>3318720.9029999999</v>
      </c>
      <c r="E96" s="567">
        <v>3412240.4302261821</v>
      </c>
      <c r="F96" s="567">
        <v>3487784.6581988046</v>
      </c>
      <c r="G96" s="567">
        <v>3545954.8520842008</v>
      </c>
      <c r="H96" s="567">
        <v>3599898.1658405974</v>
      </c>
      <c r="I96" s="567">
        <v>3645131.0728995753</v>
      </c>
      <c r="K96" s="145"/>
      <c r="L96" s="145"/>
      <c r="M96" s="145"/>
      <c r="N96" s="145"/>
      <c r="O96" s="145"/>
      <c r="P96" s="145"/>
      <c r="Q96" s="145"/>
    </row>
    <row r="97" spans="1:23" ht="13.5" thickBot="1" x14ac:dyDescent="0.25">
      <c r="A97" s="693" t="s">
        <v>196</v>
      </c>
      <c r="B97" s="694"/>
      <c r="C97" s="568">
        <v>25965927.910000004</v>
      </c>
      <c r="D97" s="569">
        <v>26950038.581</v>
      </c>
      <c r="E97" s="570">
        <v>27886915.52835482</v>
      </c>
      <c r="F97" s="570">
        <v>28828159.277567621</v>
      </c>
      <c r="G97" s="570">
        <v>29689296.890972346</v>
      </c>
      <c r="H97" s="570">
        <v>30560220.485955074</v>
      </c>
      <c r="I97" s="570">
        <v>31440192.118527833</v>
      </c>
      <c r="K97" s="145"/>
      <c r="L97" s="145"/>
      <c r="M97" s="145"/>
      <c r="N97" s="145"/>
      <c r="O97" s="145"/>
      <c r="P97" s="145"/>
      <c r="Q97" s="145"/>
    </row>
    <row r="98" spans="1:23" ht="12.75" x14ac:dyDescent="0.2">
      <c r="A98" s="167"/>
      <c r="B98" s="168" t="s">
        <v>209</v>
      </c>
      <c r="C98" s="571">
        <v>5573315.3980000019</v>
      </c>
      <c r="D98" s="571">
        <v>5356375.0649999995</v>
      </c>
      <c r="E98" s="572">
        <v>5413207.6658258205</v>
      </c>
      <c r="F98" s="572">
        <v>5510335.5131832995</v>
      </c>
      <c r="G98" s="572">
        <v>5599149.2745543886</v>
      </c>
      <c r="H98" s="572">
        <v>5703152.9243107624</v>
      </c>
      <c r="I98" s="572">
        <v>5811583.0430949097</v>
      </c>
      <c r="J98"/>
      <c r="K98" s="145"/>
      <c r="L98" s="145"/>
      <c r="M98" s="145"/>
      <c r="N98" s="145"/>
      <c r="O98" s="145"/>
      <c r="P98" s="145"/>
      <c r="Q98" s="145"/>
    </row>
    <row r="99" spans="1:23" ht="13.5" thickBot="1" x14ac:dyDescent="0.25">
      <c r="A99" s="169"/>
      <c r="B99" s="170" t="s">
        <v>210</v>
      </c>
      <c r="C99" s="573">
        <v>20392612.511999998</v>
      </c>
      <c r="D99" s="573">
        <v>21593663.515999999</v>
      </c>
      <c r="E99" s="574">
        <v>22631344.980975021</v>
      </c>
      <c r="F99" s="574">
        <v>23617741.385016128</v>
      </c>
      <c r="G99" s="574">
        <v>24550668.672558248</v>
      </c>
      <c r="H99" s="574">
        <v>25542293.389875505</v>
      </c>
      <c r="I99" s="574">
        <v>26531145.96179973</v>
      </c>
      <c r="J99"/>
      <c r="K99" s="145"/>
      <c r="L99" s="145"/>
      <c r="M99" s="145"/>
      <c r="N99" s="145"/>
      <c r="O99" s="145"/>
      <c r="P99" s="145"/>
      <c r="Q99" s="145"/>
    </row>
    <row r="100" spans="1:23" ht="13.5" thickBot="1" x14ac:dyDescent="0.25">
      <c r="A100" s="235"/>
      <c r="B100" s="236"/>
      <c r="C100" s="237"/>
      <c r="D100" s="237"/>
      <c r="E100" s="237"/>
      <c r="F100" s="237"/>
      <c r="G100" s="237"/>
      <c r="H100" s="237"/>
      <c r="I100" s="237"/>
    </row>
    <row r="101" spans="1:23" ht="17.25" customHeight="1" thickTop="1" thickBot="1" x14ac:dyDescent="0.25">
      <c r="A101" s="159" t="s">
        <v>197</v>
      </c>
      <c r="B101" s="160"/>
      <c r="C101" s="695" t="s">
        <v>174</v>
      </c>
      <c r="D101" s="696"/>
      <c r="E101" s="685" t="s">
        <v>1</v>
      </c>
      <c r="F101" s="686"/>
      <c r="G101" s="686"/>
      <c r="H101" s="686"/>
      <c r="I101" s="686"/>
      <c r="J101" s="687"/>
      <c r="K101" s="674" t="s">
        <v>184</v>
      </c>
      <c r="L101" s="674" t="str">
        <f>L24</f>
        <v>Contribution moyenne</v>
      </c>
    </row>
    <row r="102" spans="1:23" ht="25.5" thickTop="1" thickBot="1" x14ac:dyDescent="0.25">
      <c r="A102" s="157" t="s">
        <v>198</v>
      </c>
      <c r="B102" s="158"/>
      <c r="C102" s="323">
        <f>C64</f>
        <v>2024</v>
      </c>
      <c r="D102" s="323" t="str">
        <f t="shared" ref="D102:J102" si="28">D64</f>
        <v>Evol 2024</v>
      </c>
      <c r="E102" s="323">
        <f t="shared" si="28"/>
        <v>2025</v>
      </c>
      <c r="F102" s="323" t="str">
        <f t="shared" si="28"/>
        <v>Evol 2025</v>
      </c>
      <c r="G102" s="323" t="str">
        <f t="shared" si="28"/>
        <v>Evol 2026</v>
      </c>
      <c r="H102" s="323" t="str">
        <f t="shared" si="28"/>
        <v>Evol 2027</v>
      </c>
      <c r="I102" s="323" t="str">
        <f t="shared" si="28"/>
        <v>Evol 2028</v>
      </c>
      <c r="J102" s="323" t="str">
        <f t="shared" si="28"/>
        <v>Evol 2029</v>
      </c>
      <c r="K102" s="675"/>
      <c r="L102" s="675"/>
    </row>
    <row r="103" spans="1:23" x14ac:dyDescent="0.2">
      <c r="A103" s="247" t="s">
        <v>175</v>
      </c>
      <c r="B103" s="148" t="str">
        <f>B84</f>
        <v>Tode</v>
      </c>
      <c r="C103" s="324">
        <f>D84</f>
        <v>2428556.5759999999</v>
      </c>
      <c r="D103" s="325">
        <f t="shared" ref="D103:D118" si="29">D84/C84-1</f>
        <v>-1.3897448271908863E-2</v>
      </c>
      <c r="E103" s="345">
        <f>E84</f>
        <v>2503538.5453416035</v>
      </c>
      <c r="F103" s="346">
        <f t="shared" ref="F103:F118" si="30">E84/D84-1</f>
        <v>3.0875117377378247E-2</v>
      </c>
      <c r="G103" s="346">
        <f t="shared" ref="G103:G118" si="31">F84/E84-1</f>
        <v>1.540685725793578E-2</v>
      </c>
      <c r="H103" s="346">
        <f t="shared" ref="H103:H118" si="32">G84/F84-1</f>
        <v>2.5165328908183016E-2</v>
      </c>
      <c r="I103" s="346">
        <f t="shared" ref="I103:I118" si="33">H84/G84-1</f>
        <v>5.3707072738272243E-2</v>
      </c>
      <c r="J103" s="347">
        <f t="shared" ref="J103:J118" si="34">I84/H84-1</f>
        <v>2.785396992307243E-2</v>
      </c>
      <c r="K103" s="326">
        <f t="shared" ref="K103:K118" si="35">(I84/D84)^(1/5)-1</f>
        <v>3.0524388588922147E-2</v>
      </c>
      <c r="L103" s="327">
        <f t="shared" ref="L103:L117" si="36">(C103/$C$116)*K103*100</f>
        <v>0.27506530060505607</v>
      </c>
      <c r="M103" s="145"/>
      <c r="N103" s="145"/>
      <c r="O103" s="145"/>
      <c r="P103" s="145"/>
      <c r="Q103" s="145"/>
      <c r="R103" s="145"/>
      <c r="S103" s="145"/>
      <c r="T103" s="145"/>
      <c r="U103" s="145"/>
      <c r="V103" s="145"/>
      <c r="W103" s="145"/>
    </row>
    <row r="104" spans="1:23" x14ac:dyDescent="0.2">
      <c r="A104" s="248"/>
      <c r="B104" s="148" t="s">
        <v>257</v>
      </c>
      <c r="C104" s="324">
        <f>D85</f>
        <v>1267058.5929999999</v>
      </c>
      <c r="D104" s="325">
        <f t="shared" si="29"/>
        <v>-1.8310715018500234E-2</v>
      </c>
      <c r="E104" s="345">
        <f>E85</f>
        <v>1264952.6651579016</v>
      </c>
      <c r="F104" s="346">
        <f t="shared" si="30"/>
        <v>-1.6620603449064575E-3</v>
      </c>
      <c r="G104" s="346">
        <f t="shared" si="31"/>
        <v>1.458728483519689E-2</v>
      </c>
      <c r="H104" s="346">
        <f t="shared" si="32"/>
        <v>1.0507966265289825E-2</v>
      </c>
      <c r="I104" s="346">
        <f t="shared" si="33"/>
        <v>-3.6311125424765778E-2</v>
      </c>
      <c r="J104" s="347">
        <f t="shared" si="34"/>
        <v>8.8754535412067792E-3</v>
      </c>
      <c r="K104" s="326">
        <f t="shared" si="35"/>
        <v>-9.7529816144814596E-4</v>
      </c>
      <c r="L104" s="327">
        <f t="shared" si="36"/>
        <v>-4.5853734586903169E-3</v>
      </c>
      <c r="M104" s="145"/>
      <c r="N104" s="145"/>
      <c r="O104" s="145"/>
      <c r="P104" s="145"/>
      <c r="Q104" s="145"/>
      <c r="R104" s="145"/>
      <c r="S104" s="145"/>
      <c r="T104" s="145"/>
      <c r="U104" s="145"/>
      <c r="V104" s="145"/>
      <c r="W104" s="145"/>
    </row>
    <row r="105" spans="1:23" ht="12.75" thickBot="1" x14ac:dyDescent="0.25">
      <c r="A105" s="248"/>
      <c r="B105" s="149" t="s">
        <v>176</v>
      </c>
      <c r="C105" s="324">
        <f>D86</f>
        <v>6167302.2280000001</v>
      </c>
      <c r="D105" s="325">
        <f t="shared" si="29"/>
        <v>4.9125917705396649E-2</v>
      </c>
      <c r="E105" s="345">
        <f>E86</f>
        <v>6444834.8108929219</v>
      </c>
      <c r="F105" s="346">
        <f t="shared" si="30"/>
        <v>4.5000645765810532E-2</v>
      </c>
      <c r="G105" s="346">
        <f t="shared" si="31"/>
        <v>4.1069240598804235E-2</v>
      </c>
      <c r="H105" s="346">
        <f t="shared" si="32"/>
        <v>4.0192597867912072E-2</v>
      </c>
      <c r="I105" s="346">
        <f t="shared" si="33"/>
        <v>3.9354346150131114E-2</v>
      </c>
      <c r="J105" s="347">
        <f t="shared" si="34"/>
        <v>3.8551933132356053E-2</v>
      </c>
      <c r="K105" s="326">
        <f t="shared" si="35"/>
        <v>4.0831332671602327E-2</v>
      </c>
      <c r="L105" s="327">
        <f t="shared" si="36"/>
        <v>0.93439261024033127</v>
      </c>
      <c r="M105" s="145"/>
      <c r="N105" s="145"/>
      <c r="O105" s="145"/>
      <c r="P105" s="145"/>
      <c r="Q105" s="145"/>
      <c r="R105" s="145"/>
      <c r="S105" s="145"/>
      <c r="T105" s="145"/>
      <c r="U105" s="145"/>
      <c r="V105" s="145"/>
      <c r="W105" s="145"/>
    </row>
    <row r="106" spans="1:23" ht="12.75" thickBot="1" x14ac:dyDescent="0.25">
      <c r="A106" s="249"/>
      <c r="B106" s="150" t="s">
        <v>177</v>
      </c>
      <c r="C106" s="328">
        <f>SUM(C103:C105)</f>
        <v>9862917.3969999999</v>
      </c>
      <c r="D106" s="329">
        <f t="shared" si="29"/>
        <v>2.3975060545996518E-2</v>
      </c>
      <c r="E106" s="348">
        <f>SUM(E103:E105)</f>
        <v>10213326.021392427</v>
      </c>
      <c r="F106" s="349">
        <f t="shared" si="30"/>
        <v>3.0177281521852173E-2</v>
      </c>
      <c r="G106" s="350">
        <f t="shared" si="31"/>
        <v>2.7249659253779424E-2</v>
      </c>
      <c r="H106" s="350">
        <f t="shared" si="32"/>
        <v>3.0884067486180111E-2</v>
      </c>
      <c r="I106" s="350">
        <f t="shared" si="33"/>
        <v>2.9773155573958876E-2</v>
      </c>
      <c r="J106" s="351">
        <f t="shared" si="34"/>
        <v>2.9680260659279645E-2</v>
      </c>
      <c r="K106" s="330">
        <f t="shared" si="35"/>
        <v>2.9552152761694206E-2</v>
      </c>
      <c r="L106" s="331">
        <f t="shared" si="36"/>
        <v>1.0815214260865826</v>
      </c>
      <c r="M106" s="145"/>
      <c r="N106" s="145"/>
      <c r="O106" s="145"/>
      <c r="P106" s="145"/>
      <c r="Q106" s="145"/>
      <c r="R106" s="145"/>
      <c r="S106" s="145"/>
      <c r="T106" s="145"/>
      <c r="U106" s="145"/>
      <c r="V106" s="145"/>
      <c r="W106" s="145"/>
    </row>
    <row r="107" spans="1:23" x14ac:dyDescent="0.2">
      <c r="A107" s="676" t="s">
        <v>178</v>
      </c>
      <c r="B107" s="148" t="s">
        <v>257</v>
      </c>
      <c r="C107" s="324">
        <f>D88</f>
        <v>474651.66200000001</v>
      </c>
      <c r="D107" s="325">
        <f t="shared" si="29"/>
        <v>-0.10668347068251927</v>
      </c>
      <c r="E107" s="345">
        <f>E88</f>
        <v>475359.04619438108</v>
      </c>
      <c r="F107" s="346">
        <f t="shared" si="30"/>
        <v>1.4903228009366387E-3</v>
      </c>
      <c r="G107" s="346">
        <f t="shared" si="31"/>
        <v>4.3518082630734867E-2</v>
      </c>
      <c r="H107" s="346">
        <f t="shared" si="32"/>
        <v>2.2234536111127579E-3</v>
      </c>
      <c r="I107" s="346">
        <f t="shared" si="33"/>
        <v>6.8679347990414641E-3</v>
      </c>
      <c r="J107" s="347">
        <f t="shared" si="34"/>
        <v>2.5134295403401508E-2</v>
      </c>
      <c r="K107" s="326">
        <f t="shared" si="35"/>
        <v>1.57174513064684E-2</v>
      </c>
      <c r="L107" s="327">
        <f t="shared" si="36"/>
        <v>2.7682017458330772E-2</v>
      </c>
      <c r="M107" s="145"/>
      <c r="N107" s="145"/>
      <c r="O107" s="145"/>
      <c r="P107" s="145"/>
      <c r="Q107" s="145"/>
      <c r="R107" s="145"/>
      <c r="S107" s="145"/>
      <c r="T107" s="145"/>
      <c r="U107" s="145"/>
      <c r="V107" s="145"/>
      <c r="W107" s="145"/>
    </row>
    <row r="108" spans="1:23" ht="12.75" thickBot="1" x14ac:dyDescent="0.25">
      <c r="A108" s="677"/>
      <c r="B108" s="149" t="s">
        <v>176</v>
      </c>
      <c r="C108" s="332">
        <f>D89</f>
        <v>4734833.8870000001</v>
      </c>
      <c r="D108" s="325">
        <f t="shared" si="29"/>
        <v>5.1981979508806342E-2</v>
      </c>
      <c r="E108" s="352">
        <f>E89</f>
        <v>4959120.4172606291</v>
      </c>
      <c r="F108" s="346">
        <f t="shared" si="30"/>
        <v>4.7369461234201271E-2</v>
      </c>
      <c r="G108" s="346">
        <f t="shared" si="31"/>
        <v>5.2221268278768163E-2</v>
      </c>
      <c r="H108" s="346">
        <f t="shared" si="32"/>
        <v>4.0408847886486798E-2</v>
      </c>
      <c r="I108" s="346">
        <f t="shared" si="33"/>
        <v>4.9118265088712754E-2</v>
      </c>
      <c r="J108" s="347">
        <f t="shared" si="34"/>
        <v>4.5488739266128286E-2</v>
      </c>
      <c r="K108" s="326">
        <f t="shared" si="35"/>
        <v>4.6913898553721856E-2</v>
      </c>
      <c r="L108" s="327">
        <f t="shared" si="36"/>
        <v>0.82422708218327267</v>
      </c>
      <c r="M108" s="145"/>
      <c r="N108" s="145"/>
      <c r="O108" s="145"/>
      <c r="P108" s="145"/>
      <c r="Q108" s="145"/>
      <c r="R108" s="145"/>
      <c r="S108" s="145"/>
      <c r="T108" s="145"/>
      <c r="U108" s="145"/>
      <c r="V108" s="145"/>
      <c r="W108" s="145"/>
    </row>
    <row r="109" spans="1:23" ht="12.75" thickBot="1" x14ac:dyDescent="0.25">
      <c r="A109" s="678"/>
      <c r="B109" s="150" t="s">
        <v>177</v>
      </c>
      <c r="C109" s="333">
        <f>C107+C108</f>
        <v>5209485.5490000006</v>
      </c>
      <c r="D109" s="329">
        <f t="shared" si="29"/>
        <v>3.5228941587048368E-2</v>
      </c>
      <c r="E109" s="348">
        <f>E107+E108</f>
        <v>5434479.4634550102</v>
      </c>
      <c r="F109" s="349">
        <f t="shared" si="30"/>
        <v>3.3491378580935205E-2</v>
      </c>
      <c r="G109" s="350">
        <f t="shared" si="31"/>
        <v>4.3340052429248432E-2</v>
      </c>
      <c r="H109" s="350">
        <f t="shared" si="32"/>
        <v>2.8714410692138426E-2</v>
      </c>
      <c r="I109" s="350">
        <f t="shared" si="33"/>
        <v>3.6980851594703879E-2</v>
      </c>
      <c r="J109" s="351">
        <f t="shared" si="34"/>
        <v>3.8186189061063747E-2</v>
      </c>
      <c r="K109" s="330">
        <f t="shared" si="35"/>
        <v>3.6131099171725856E-2</v>
      </c>
      <c r="L109" s="331">
        <f t="shared" si="36"/>
        <v>0.69841992410835185</v>
      </c>
      <c r="M109" s="145"/>
      <c r="N109" s="145"/>
      <c r="O109" s="145"/>
      <c r="P109" s="145"/>
      <c r="Q109" s="145"/>
      <c r="R109" s="145"/>
      <c r="S109" s="145"/>
      <c r="T109" s="145"/>
      <c r="U109" s="145"/>
      <c r="V109" s="145"/>
      <c r="W109" s="145"/>
    </row>
    <row r="110" spans="1:23" x14ac:dyDescent="0.2">
      <c r="A110" s="676" t="s">
        <v>180</v>
      </c>
      <c r="B110" s="148" t="s">
        <v>257</v>
      </c>
      <c r="C110" s="324">
        <f>D91</f>
        <v>572059.473</v>
      </c>
      <c r="D110" s="325">
        <f t="shared" si="29"/>
        <v>-0.15062065795595281</v>
      </c>
      <c r="E110" s="345">
        <f>E91</f>
        <v>555364.83590006013</v>
      </c>
      <c r="F110" s="346">
        <f t="shared" si="30"/>
        <v>-2.9183394188701528E-2</v>
      </c>
      <c r="G110" s="346">
        <f t="shared" si="31"/>
        <v>3.5288148062731617E-2</v>
      </c>
      <c r="H110" s="346">
        <f t="shared" si="32"/>
        <v>1.9103225173606297E-2</v>
      </c>
      <c r="I110" s="346">
        <f t="shared" si="33"/>
        <v>1.4789281263475118E-2</v>
      </c>
      <c r="J110" s="347">
        <f t="shared" si="34"/>
        <v>1.584102829816425E-2</v>
      </c>
      <c r="K110" s="326">
        <f t="shared" si="35"/>
        <v>1.0935964533050457E-2</v>
      </c>
      <c r="L110" s="327">
        <f t="shared" si="36"/>
        <v>2.3213406870348906E-2</v>
      </c>
      <c r="M110" s="145"/>
      <c r="N110" s="145"/>
      <c r="O110" s="145"/>
      <c r="P110" s="145"/>
      <c r="Q110" s="145"/>
      <c r="R110" s="145"/>
      <c r="S110" s="145"/>
      <c r="T110" s="145"/>
      <c r="U110" s="145"/>
      <c r="V110" s="145"/>
      <c r="W110" s="145"/>
    </row>
    <row r="111" spans="1:23" ht="12.75" thickBot="1" x14ac:dyDescent="0.25">
      <c r="A111" s="677"/>
      <c r="B111" s="149" t="s">
        <v>176</v>
      </c>
      <c r="C111" s="332">
        <f>D92</f>
        <v>7986855.2589999996</v>
      </c>
      <c r="D111" s="325">
        <f t="shared" si="29"/>
        <v>7.0927752506315001E-2</v>
      </c>
      <c r="E111" s="352">
        <f>E92</f>
        <v>8420810.5114747398</v>
      </c>
      <c r="F111" s="346">
        <f t="shared" si="30"/>
        <v>5.4333681831248537E-2</v>
      </c>
      <c r="G111" s="346">
        <f t="shared" si="31"/>
        <v>4.3376052546607813E-2</v>
      </c>
      <c r="H111" s="346">
        <f t="shared" si="32"/>
        <v>4.2564072278427734E-2</v>
      </c>
      <c r="I111" s="346">
        <f t="shared" si="33"/>
        <v>4.1137778980074646E-2</v>
      </c>
      <c r="J111" s="347">
        <f t="shared" si="34"/>
        <v>4.0130083881162015E-2</v>
      </c>
      <c r="K111" s="326">
        <f t="shared" si="35"/>
        <v>4.4295755151540384E-2</v>
      </c>
      <c r="L111" s="327">
        <f t="shared" si="36"/>
        <v>1.31273943790521</v>
      </c>
      <c r="M111" s="145"/>
      <c r="N111" s="145"/>
      <c r="O111" s="145"/>
      <c r="P111" s="145"/>
      <c r="Q111" s="145"/>
      <c r="R111" s="145"/>
      <c r="S111" s="145"/>
      <c r="T111" s="145"/>
      <c r="U111" s="145"/>
      <c r="V111" s="145"/>
      <c r="W111" s="145"/>
    </row>
    <row r="112" spans="1:23" ht="12.75" thickBot="1" x14ac:dyDescent="0.25">
      <c r="A112" s="678"/>
      <c r="B112" s="150" t="s">
        <v>177</v>
      </c>
      <c r="C112" s="333">
        <f>C110+C111</f>
        <v>8558914.7319999989</v>
      </c>
      <c r="D112" s="329">
        <f t="shared" si="29"/>
        <v>5.2577439211274779E-2</v>
      </c>
      <c r="E112" s="348">
        <f>E110+E111</f>
        <v>8976175.3473748006</v>
      </c>
      <c r="F112" s="349">
        <f t="shared" si="30"/>
        <v>3.8850331333331489E-2</v>
      </c>
      <c r="G112" s="350">
        <f t="shared" si="31"/>
        <v>3.7196843823587011E-2</v>
      </c>
      <c r="H112" s="350">
        <f t="shared" si="32"/>
        <v>3.3963380696963474E-2</v>
      </c>
      <c r="I112" s="350">
        <f t="shared" si="33"/>
        <v>3.3404693161927845E-2</v>
      </c>
      <c r="J112" s="351">
        <f t="shared" si="34"/>
        <v>3.2344470700779393E-2</v>
      </c>
      <c r="K112" s="330">
        <f t="shared" si="35"/>
        <v>3.5149027663498478E-2</v>
      </c>
      <c r="L112" s="331">
        <f t="shared" si="36"/>
        <v>1.1162786642416371</v>
      </c>
      <c r="M112" s="145"/>
      <c r="N112" s="145"/>
      <c r="O112" s="145"/>
      <c r="P112" s="145"/>
      <c r="Q112" s="145"/>
      <c r="R112" s="145"/>
      <c r="S112" s="145"/>
      <c r="T112" s="145"/>
      <c r="U112" s="145"/>
      <c r="V112" s="145"/>
      <c r="W112" s="145"/>
    </row>
    <row r="113" spans="1:23" x14ac:dyDescent="0.2">
      <c r="A113" s="676" t="s">
        <v>181</v>
      </c>
      <c r="B113" s="148" t="str">
        <f>B107</f>
        <v xml:space="preserve">Cdd </v>
      </c>
      <c r="C113" s="324">
        <f>D94</f>
        <v>614048.76100000006</v>
      </c>
      <c r="D113" s="325">
        <f t="shared" si="29"/>
        <v>-1.5482334411963672E-3</v>
      </c>
      <c r="E113" s="345">
        <f>E94</f>
        <v>613992.57323187462</v>
      </c>
      <c r="F113" s="346">
        <f t="shared" si="30"/>
        <v>-9.1503756206479103E-5</v>
      </c>
      <c r="G113" s="346">
        <f t="shared" si="31"/>
        <v>-2.9405777454272197E-4</v>
      </c>
      <c r="H113" s="346">
        <f t="shared" si="32"/>
        <v>-1.1922685191765314E-3</v>
      </c>
      <c r="I113" s="346">
        <f t="shared" si="33"/>
        <v>-1.5495442303796736E-3</v>
      </c>
      <c r="J113" s="347">
        <f t="shared" si="34"/>
        <v>-1.8808592042222072E-3</v>
      </c>
      <c r="K113" s="326">
        <f t="shared" si="35"/>
        <v>-1.0018907828114321E-3</v>
      </c>
      <c r="L113" s="327">
        <f t="shared" si="36"/>
        <v>-2.2827788984183793E-3</v>
      </c>
      <c r="M113" s="145"/>
      <c r="N113" s="145"/>
      <c r="O113" s="145"/>
      <c r="P113" s="145"/>
      <c r="Q113" s="145"/>
      <c r="R113" s="145"/>
      <c r="S113" s="145"/>
      <c r="T113" s="145"/>
      <c r="U113" s="145"/>
      <c r="V113" s="145"/>
      <c r="W113" s="145"/>
    </row>
    <row r="114" spans="1:23" ht="12.75" thickBot="1" x14ac:dyDescent="0.25">
      <c r="A114" s="677"/>
      <c r="B114" s="149" t="s">
        <v>176</v>
      </c>
      <c r="C114" s="332">
        <f>D95</f>
        <v>2704672.142</v>
      </c>
      <c r="D114" s="325">
        <f t="shared" si="29"/>
        <v>5.8437728420719148E-2</v>
      </c>
      <c r="E114" s="352">
        <f>E95</f>
        <v>2806579.2413467285</v>
      </c>
      <c r="F114" s="346">
        <f t="shared" si="30"/>
        <v>3.7678170956192858E-2</v>
      </c>
      <c r="G114" s="346">
        <f t="shared" si="31"/>
        <v>3.4732265588548916E-2</v>
      </c>
      <c r="H114" s="346">
        <f t="shared" si="32"/>
        <v>2.7005722574110713E-2</v>
      </c>
      <c r="I114" s="346">
        <f t="shared" si="33"/>
        <v>2.4636771245463374E-2</v>
      </c>
      <c r="J114" s="347">
        <f t="shared" si="34"/>
        <v>2.2055605428807024E-2</v>
      </c>
      <c r="K114" s="326">
        <f t="shared" si="35"/>
        <v>2.9204317920615619E-2</v>
      </c>
      <c r="L114" s="327">
        <f t="shared" si="36"/>
        <v>0.29309087951246088</v>
      </c>
      <c r="M114" s="145"/>
      <c r="N114" s="145"/>
      <c r="O114" s="145"/>
      <c r="P114" s="145"/>
      <c r="Q114" s="145"/>
      <c r="R114" s="145"/>
      <c r="S114" s="145"/>
      <c r="T114" s="145"/>
      <c r="U114" s="145"/>
      <c r="V114" s="145"/>
      <c r="W114" s="145"/>
    </row>
    <row r="115" spans="1:23" ht="12.75" thickBot="1" x14ac:dyDescent="0.25">
      <c r="A115" s="678"/>
      <c r="B115" s="150" t="s">
        <v>177</v>
      </c>
      <c r="C115" s="333">
        <f>C113+C114</f>
        <v>3318720.9029999999</v>
      </c>
      <c r="D115" s="329">
        <f t="shared" si="29"/>
        <v>4.6801320750688769E-2</v>
      </c>
      <c r="E115" s="353">
        <f>E113+E114</f>
        <v>3420571.814578603</v>
      </c>
      <c r="F115" s="349">
        <f t="shared" si="30"/>
        <v>2.8179388975325903E-2</v>
      </c>
      <c r="G115" s="350">
        <f t="shared" si="31"/>
        <v>2.2139186706610525E-2</v>
      </c>
      <c r="H115" s="350">
        <f t="shared" si="32"/>
        <v>1.6678264166525958E-2</v>
      </c>
      <c r="I115" s="350">
        <f t="shared" si="33"/>
        <v>1.5212634115939316E-2</v>
      </c>
      <c r="J115" s="351">
        <f t="shared" si="34"/>
        <v>1.2565051836241459E-2</v>
      </c>
      <c r="K115" s="330">
        <f t="shared" si="35"/>
        <v>1.8939700368681756E-2</v>
      </c>
      <c r="L115" s="331">
        <f t="shared" si="36"/>
        <v>0.23323001680010452</v>
      </c>
      <c r="M115" s="145"/>
      <c r="N115" s="145"/>
      <c r="O115" s="145"/>
      <c r="P115" s="145"/>
      <c r="Q115" s="145"/>
      <c r="R115" s="145"/>
      <c r="S115" s="145"/>
      <c r="T115" s="145"/>
      <c r="U115" s="145"/>
      <c r="V115" s="145"/>
      <c r="W115" s="145"/>
    </row>
    <row r="116" spans="1:23" ht="13.5" customHeight="1" thickBot="1" x14ac:dyDescent="0.25">
      <c r="A116" s="683" t="s">
        <v>196</v>
      </c>
      <c r="B116" s="684"/>
      <c r="C116" s="334">
        <f>C106+C109+C112+C115</f>
        <v>26950038.581</v>
      </c>
      <c r="D116" s="335">
        <f t="shared" si="29"/>
        <v>3.790007714767607E-2</v>
      </c>
      <c r="E116" s="354">
        <f>E106+E109+E112+E115</f>
        <v>28044552.646800842</v>
      </c>
      <c r="F116" s="355">
        <f t="shared" si="30"/>
        <v>3.4763473326354655E-2</v>
      </c>
      <c r="G116" s="355">
        <f t="shared" si="31"/>
        <v>3.3752164102041515E-2</v>
      </c>
      <c r="H116" s="355">
        <f t="shared" si="32"/>
        <v>2.9871404730124729E-2</v>
      </c>
      <c r="I116" s="355">
        <f t="shared" si="33"/>
        <v>2.9334598194797668E-2</v>
      </c>
      <c r="J116" s="356">
        <f t="shared" si="34"/>
        <v>2.879467551541981E-2</v>
      </c>
      <c r="K116" s="336">
        <f t="shared" si="35"/>
        <v>3.1300337761557051E-2</v>
      </c>
      <c r="L116" s="331">
        <f t="shared" si="36"/>
        <v>3.1300337761557051</v>
      </c>
      <c r="M116" s="145"/>
      <c r="N116" s="145"/>
      <c r="O116" s="145"/>
      <c r="P116" s="145"/>
      <c r="Q116" s="145"/>
      <c r="R116" s="145"/>
      <c r="S116" s="145"/>
      <c r="T116" s="145"/>
      <c r="U116" s="145"/>
      <c r="V116" s="145"/>
      <c r="W116" s="145"/>
    </row>
    <row r="117" spans="1:23" ht="12.75" thickBot="1" x14ac:dyDescent="0.25">
      <c r="A117" s="167"/>
      <c r="B117" s="174" t="s">
        <v>209</v>
      </c>
      <c r="C117" s="337">
        <f>D98</f>
        <v>5356375.0649999995</v>
      </c>
      <c r="D117" s="338">
        <f t="shared" si="29"/>
        <v>-3.8924826159641324E-2</v>
      </c>
      <c r="E117" s="345">
        <f>E98</f>
        <v>5413207.6658258205</v>
      </c>
      <c r="F117" s="357">
        <f t="shared" si="30"/>
        <v>1.061027283118765E-2</v>
      </c>
      <c r="G117" s="357">
        <f t="shared" si="31"/>
        <v>1.7942752865488298E-2</v>
      </c>
      <c r="H117" s="357">
        <f t="shared" si="32"/>
        <v>1.6117668544611385E-2</v>
      </c>
      <c r="I117" s="357">
        <f t="shared" si="33"/>
        <v>1.8574902124689485E-2</v>
      </c>
      <c r="J117" s="358">
        <f t="shared" si="34"/>
        <v>1.9012311299236417E-2</v>
      </c>
      <c r="K117" s="339">
        <f t="shared" si="35"/>
        <v>1.6446895271986284E-2</v>
      </c>
      <c r="L117" s="340">
        <f t="shared" si="36"/>
        <v>0.326885393750946</v>
      </c>
      <c r="M117" s="145"/>
      <c r="N117" s="145"/>
      <c r="O117" s="145"/>
      <c r="P117" s="145"/>
      <c r="Q117" s="145"/>
      <c r="R117" s="145"/>
      <c r="S117" s="145"/>
      <c r="T117" s="145"/>
      <c r="U117" s="145"/>
      <c r="V117" s="145"/>
      <c r="W117" s="145"/>
    </row>
    <row r="118" spans="1:23" ht="12.75" thickBot="1" x14ac:dyDescent="0.25">
      <c r="A118" s="169"/>
      <c r="B118" s="172" t="s">
        <v>210</v>
      </c>
      <c r="C118" s="341">
        <f>D99</f>
        <v>21593663.515999999</v>
      </c>
      <c r="D118" s="342">
        <f t="shared" si="29"/>
        <v>5.8896377464792371E-2</v>
      </c>
      <c r="E118" s="359">
        <f>E99</f>
        <v>22631344.980975021</v>
      </c>
      <c r="F118" s="360">
        <f t="shared" si="30"/>
        <v>4.8054905746129695E-2</v>
      </c>
      <c r="G118" s="360">
        <f t="shared" si="31"/>
        <v>4.35854079759872E-2</v>
      </c>
      <c r="H118" s="360">
        <f t="shared" si="32"/>
        <v>3.9501122157853619E-2</v>
      </c>
      <c r="I118" s="360">
        <f t="shared" si="33"/>
        <v>4.0390945376801657E-2</v>
      </c>
      <c r="J118" s="361">
        <f t="shared" si="34"/>
        <v>3.8714322039546722E-2</v>
      </c>
      <c r="K118" s="343">
        <f t="shared" si="35"/>
        <v>4.2043708563309412E-2</v>
      </c>
      <c r="L118" s="344">
        <f>(C118/$C$116)*K118*100</f>
        <v>3.3687435843632985</v>
      </c>
      <c r="M118" s="145"/>
      <c r="N118" s="145"/>
      <c r="O118" s="145"/>
      <c r="P118" s="145"/>
      <c r="Q118" s="145"/>
      <c r="R118" s="145"/>
      <c r="S118" s="145"/>
      <c r="T118" s="145"/>
      <c r="U118" s="145"/>
      <c r="V118" s="145"/>
      <c r="W118" s="145"/>
    </row>
    <row r="121" spans="1:23" x14ac:dyDescent="0.2">
      <c r="E121" s="251"/>
    </row>
  </sheetData>
  <mergeCells count="32">
    <mergeCell ref="A5:B6"/>
    <mergeCell ref="E5:I5"/>
    <mergeCell ref="A20:B20"/>
    <mergeCell ref="A47:A50"/>
    <mergeCell ref="A51:A53"/>
    <mergeCell ref="C24:D24"/>
    <mergeCell ref="E24:J24"/>
    <mergeCell ref="L24:L25"/>
    <mergeCell ref="A45:A46"/>
    <mergeCell ref="E45:I45"/>
    <mergeCell ref="A57:A59"/>
    <mergeCell ref="E82:I82"/>
    <mergeCell ref="C63:D63"/>
    <mergeCell ref="E63:J63"/>
    <mergeCell ref="A54:A56"/>
    <mergeCell ref="A82:A83"/>
    <mergeCell ref="A113:A115"/>
    <mergeCell ref="A116:B116"/>
    <mergeCell ref="E101:J101"/>
    <mergeCell ref="K101:K102"/>
    <mergeCell ref="K24:K25"/>
    <mergeCell ref="A84:A87"/>
    <mergeCell ref="A88:A90"/>
    <mergeCell ref="A91:A93"/>
    <mergeCell ref="A94:A96"/>
    <mergeCell ref="A97:B97"/>
    <mergeCell ref="C101:D101"/>
    <mergeCell ref="L101:L102"/>
    <mergeCell ref="A107:A109"/>
    <mergeCell ref="A110:A112"/>
    <mergeCell ref="K63:K64"/>
    <mergeCell ref="A78:B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26FA-C7B4-4980-9A63-F0829F31B6D0}">
  <sheetPr>
    <tabColor rgb="FF002060"/>
  </sheetPr>
  <dimension ref="A25:D35"/>
  <sheetViews>
    <sheetView showGridLines="0" zoomScale="90" zoomScaleNormal="90" workbookViewId="0"/>
  </sheetViews>
  <sheetFormatPr baseColWidth="10" defaultRowHeight="12.75" x14ac:dyDescent="0.2"/>
  <cols>
    <col min="1" max="1" width="24.7109375" bestFit="1" customWidth="1"/>
    <col min="2" max="2" width="21.28515625" customWidth="1"/>
  </cols>
  <sheetData>
    <row r="25" spans="1:4" x14ac:dyDescent="0.2">
      <c r="A25" s="476" t="s">
        <v>275</v>
      </c>
      <c r="B25" s="476" t="s">
        <v>270</v>
      </c>
      <c r="C25" s="476" t="s">
        <v>276</v>
      </c>
      <c r="D25" s="476" t="s">
        <v>270</v>
      </c>
    </row>
    <row r="26" spans="1:4" x14ac:dyDescent="0.2">
      <c r="A26" s="475" t="s">
        <v>24</v>
      </c>
      <c r="B26" s="475" t="s">
        <v>199</v>
      </c>
      <c r="C26" s="475" t="s">
        <v>171</v>
      </c>
      <c r="D26" s="475" t="s">
        <v>204</v>
      </c>
    </row>
    <row r="27" spans="1:4" ht="22.5" x14ac:dyDescent="0.2">
      <c r="A27" s="475" t="s">
        <v>25</v>
      </c>
      <c r="B27" s="475" t="s">
        <v>200</v>
      </c>
      <c r="C27" s="475" t="s">
        <v>155</v>
      </c>
      <c r="D27" s="475" t="s">
        <v>200</v>
      </c>
    </row>
    <row r="28" spans="1:4" ht="22.5" x14ac:dyDescent="0.2">
      <c r="A28" s="475" t="s">
        <v>203</v>
      </c>
      <c r="B28" s="475" t="s">
        <v>202</v>
      </c>
      <c r="C28" s="475" t="s">
        <v>156</v>
      </c>
      <c r="D28" s="475" t="s">
        <v>201</v>
      </c>
    </row>
    <row r="29" spans="1:4" x14ac:dyDescent="0.2">
      <c r="A29" s="475" t="s">
        <v>157</v>
      </c>
      <c r="B29" s="475" t="s">
        <v>204</v>
      </c>
      <c r="C29" s="475" t="s">
        <v>158</v>
      </c>
      <c r="D29" s="475" t="s">
        <v>202</v>
      </c>
    </row>
    <row r="30" spans="1:4" x14ac:dyDescent="0.2">
      <c r="A30" s="475" t="s">
        <v>168</v>
      </c>
      <c r="B30" s="475" t="s">
        <v>221</v>
      </c>
      <c r="C30" s="475" t="s">
        <v>159</v>
      </c>
      <c r="D30" s="475" t="s">
        <v>204</v>
      </c>
    </row>
    <row r="31" spans="1:4" x14ac:dyDescent="0.2">
      <c r="A31" s="475" t="s">
        <v>160</v>
      </c>
      <c r="B31" s="475" t="s">
        <v>204</v>
      </c>
      <c r="C31" s="475" t="s">
        <v>162</v>
      </c>
      <c r="D31" s="475" t="s">
        <v>204</v>
      </c>
    </row>
    <row r="32" spans="1:4" ht="22.5" x14ac:dyDescent="0.2">
      <c r="A32" s="475" t="s">
        <v>169</v>
      </c>
      <c r="B32" s="475" t="s">
        <v>202</v>
      </c>
      <c r="C32" s="475" t="s">
        <v>163</v>
      </c>
      <c r="D32" s="475" t="s">
        <v>201</v>
      </c>
    </row>
    <row r="33" spans="1:4" x14ac:dyDescent="0.2">
      <c r="A33" s="475" t="s">
        <v>164</v>
      </c>
      <c r="B33" s="475" t="s">
        <v>202</v>
      </c>
      <c r="C33" s="475" t="s">
        <v>245</v>
      </c>
      <c r="D33" s="475" t="s">
        <v>11</v>
      </c>
    </row>
    <row r="34" spans="1:4" x14ac:dyDescent="0.2">
      <c r="A34" s="475" t="s">
        <v>166</v>
      </c>
      <c r="B34" s="475" t="s">
        <v>205</v>
      </c>
      <c r="C34" s="475" t="s">
        <v>165</v>
      </c>
      <c r="D34" s="475" t="s">
        <v>205</v>
      </c>
    </row>
    <row r="35" spans="1:4" x14ac:dyDescent="0.2">
      <c r="A35" s="475"/>
      <c r="B35" s="475"/>
      <c r="C35" s="475" t="s">
        <v>206</v>
      </c>
      <c r="D35" s="475" t="s">
        <v>205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O18"/>
  <sheetViews>
    <sheetView zoomScaleNormal="100" workbookViewId="0">
      <pane xSplit="1" topLeftCell="B1" activePane="topRight" state="frozen"/>
      <selection pane="topRight"/>
    </sheetView>
  </sheetViews>
  <sheetFormatPr baseColWidth="10" defaultRowHeight="12.75" x14ac:dyDescent="0.2"/>
  <cols>
    <col min="1" max="1" width="25.7109375" bestFit="1" customWidth="1"/>
    <col min="2" max="2" width="18.28515625" bestFit="1" customWidth="1"/>
    <col min="3" max="3" width="9.5703125" customWidth="1"/>
    <col min="4" max="6" width="9.5703125" bestFit="1" customWidth="1"/>
    <col min="7" max="8" width="11.140625" customWidth="1"/>
    <col min="9" max="10" width="9.28515625" customWidth="1"/>
  </cols>
  <sheetData>
    <row r="1" spans="1:15" x14ac:dyDescent="0.2">
      <c r="A1" s="485" t="str">
        <f>A9</f>
        <v>Tableau 1</v>
      </c>
      <c r="B1" s="486">
        <v>2022</v>
      </c>
      <c r="C1" s="486">
        <f t="shared" ref="C1:I1" si="0">B1+1</f>
        <v>2023</v>
      </c>
      <c r="D1" s="486">
        <f t="shared" si="0"/>
        <v>2024</v>
      </c>
      <c r="E1" s="486">
        <f t="shared" si="0"/>
        <v>2025</v>
      </c>
      <c r="F1" s="486">
        <f t="shared" si="0"/>
        <v>2026</v>
      </c>
      <c r="G1" s="486">
        <f t="shared" si="0"/>
        <v>2027</v>
      </c>
      <c r="H1" s="486">
        <f t="shared" si="0"/>
        <v>2028</v>
      </c>
      <c r="I1" s="486">
        <f t="shared" si="0"/>
        <v>2029</v>
      </c>
    </row>
    <row r="2" spans="1:15" x14ac:dyDescent="0.2">
      <c r="A2" s="487" t="s">
        <v>31</v>
      </c>
      <c r="B2" s="488">
        <f>[1]Effectifs!$N$10</f>
        <v>1942318</v>
      </c>
      <c r="C2" s="524">
        <f>[1]Effectifs!$P$10</f>
        <v>1945441</v>
      </c>
      <c r="D2" s="525">
        <f>[2]Effectifs!$R$10</f>
        <v>1952742</v>
      </c>
      <c r="E2" s="525">
        <f>[2]Effectifs!$T$10</f>
        <v>1960553.2307445146</v>
      </c>
      <c r="F2" s="525">
        <f>[2]Effectifs!$V$10</f>
        <v>1966434.8675145146</v>
      </c>
      <c r="G2" s="525">
        <f>[2]Effectifs!$X$10</f>
        <v>1972334.5785661514</v>
      </c>
      <c r="H2" s="525">
        <f>[2]Effectifs!$Z$10</f>
        <v>1976279.2223332974</v>
      </c>
      <c r="I2" s="525">
        <f>[2]Effectifs!$AB$10</f>
        <v>1980232.1880082833</v>
      </c>
      <c r="J2" s="527"/>
      <c r="K2" s="180" t="s">
        <v>110</v>
      </c>
      <c r="L2" s="180"/>
      <c r="M2" s="180"/>
      <c r="N2" s="180"/>
      <c r="O2" s="180"/>
    </row>
    <row r="3" spans="1:15" ht="22.5" x14ac:dyDescent="0.2">
      <c r="A3" s="489" t="s">
        <v>112</v>
      </c>
      <c r="B3" s="490">
        <f>'[3]Famille SA - 1'!$B$15</f>
        <v>151837</v>
      </c>
      <c r="C3" s="522">
        <f>'[4]Famille SA - 1'!$B$15</f>
        <v>148998</v>
      </c>
      <c r="D3" s="523">
        <f>'[4]Famille SA - 1'!$C$15</f>
        <v>145416</v>
      </c>
      <c r="E3" s="523">
        <f>'[4]Famille SA - 1'!$D$15</f>
        <v>142749</v>
      </c>
      <c r="F3" s="523">
        <f>'[4]Famille SA - 1'!$E$15</f>
        <v>139840</v>
      </c>
      <c r="G3" s="523">
        <f>'[4]Famille SA - 1'!$F$15</f>
        <v>137133</v>
      </c>
      <c r="H3" s="523">
        <f>'[4]Famille SA - 1'!$G$15</f>
        <v>134408</v>
      </c>
      <c r="I3" s="523">
        <f>'[4]Famille SA - 1'!$H$15</f>
        <v>131772</v>
      </c>
      <c r="J3" s="527"/>
      <c r="K3" s="180" t="s">
        <v>111</v>
      </c>
      <c r="L3" s="180"/>
      <c r="M3" s="180"/>
      <c r="N3" s="180"/>
      <c r="O3" s="180"/>
    </row>
    <row r="4" spans="1:15" ht="22.5" x14ac:dyDescent="0.2">
      <c r="A4" s="491" t="s">
        <v>147</v>
      </c>
      <c r="B4" s="492">
        <f>[1]Effectifs!$N$16</f>
        <v>2288162</v>
      </c>
      <c r="C4" s="524">
        <f>[1]Effectifs!$P$16</f>
        <v>2243317</v>
      </c>
      <c r="D4" s="525">
        <f>[2]Effectifs!$R$16</f>
        <v>2199236</v>
      </c>
      <c r="E4" s="525">
        <f>[2]Effectifs!$T$16</f>
        <v>2161600</v>
      </c>
      <c r="F4" s="525">
        <f>[2]Effectifs!$V$16</f>
        <v>2127506</v>
      </c>
      <c r="G4" s="525">
        <f>[2]Effectifs!$X$16</f>
        <v>2097999</v>
      </c>
      <c r="H4" s="525">
        <f>[2]Effectifs!$Z$16</f>
        <v>2061613</v>
      </c>
      <c r="I4" s="525">
        <f>[2]Effectifs!$AB$16</f>
        <v>2025173</v>
      </c>
      <c r="J4" s="527"/>
    </row>
    <row r="5" spans="1:15" ht="22.5" x14ac:dyDescent="0.2">
      <c r="A5" s="514" t="s">
        <v>96</v>
      </c>
      <c r="B5" s="515">
        <f>[1]Effectifs!$N$20</f>
        <v>29805</v>
      </c>
      <c r="C5" s="526">
        <f>[1]Effectifs!$P$20</f>
        <v>30268</v>
      </c>
      <c r="D5" s="526">
        <f>[2]Effectifs!$R$20</f>
        <v>31039</v>
      </c>
      <c r="E5" s="526">
        <f>[2]Effectifs!$T$20</f>
        <v>31696.358102124173</v>
      </c>
      <c r="F5" s="526">
        <f>[2]Effectifs!$V$20</f>
        <v>32176.368480861991</v>
      </c>
      <c r="G5" s="526">
        <f>[2]Effectifs!$X$20</f>
        <v>32674.455593363775</v>
      </c>
      <c r="H5" s="526">
        <f>[2]Effectifs!$Z$20</f>
        <v>33190.203012698847</v>
      </c>
      <c r="I5" s="526">
        <f>[2]Effectifs!$AB$20</f>
        <v>33721.763921831611</v>
      </c>
      <c r="J5" s="527"/>
    </row>
    <row r="6" spans="1:15" x14ac:dyDescent="0.2">
      <c r="A6" s="493" t="s">
        <v>121</v>
      </c>
      <c r="B6" s="488">
        <f>[2]Effectifs!$N$22</f>
        <v>737934</v>
      </c>
      <c r="C6" s="524">
        <f>[2]Effectifs!$P$22</f>
        <v>758344</v>
      </c>
      <c r="D6" s="525">
        <f>[2]Effectifs!$R$22</f>
        <v>763788</v>
      </c>
      <c r="E6" s="525">
        <f>[2]Effectifs!$T$22</f>
        <v>771726</v>
      </c>
      <c r="F6" s="525">
        <f>[2]Effectifs!$V$22</f>
        <v>780468</v>
      </c>
      <c r="G6" s="525">
        <f>[2]Effectifs!$X$22</f>
        <v>786923</v>
      </c>
      <c r="H6" s="525">
        <f>[2]Effectifs!$Z$22</f>
        <v>793408</v>
      </c>
      <c r="I6" s="525">
        <f>[2]Effectifs!$AB$22</f>
        <v>799871</v>
      </c>
      <c r="J6" s="527"/>
    </row>
    <row r="7" spans="1:15" x14ac:dyDescent="0.2">
      <c r="C7" s="112"/>
      <c r="D7" s="112"/>
      <c r="H7" s="112"/>
      <c r="I7" s="112"/>
    </row>
    <row r="9" spans="1:15" x14ac:dyDescent="0.2">
      <c r="A9" s="620" t="s">
        <v>24</v>
      </c>
      <c r="B9" s="620" t="s">
        <v>1</v>
      </c>
      <c r="C9" s="620"/>
      <c r="D9" s="620"/>
      <c r="E9" s="620"/>
      <c r="F9" s="620"/>
      <c r="G9" s="620"/>
      <c r="H9" s="620"/>
      <c r="I9" s="621" t="s">
        <v>104</v>
      </c>
    </row>
    <row r="10" spans="1:15" x14ac:dyDescent="0.2">
      <c r="A10" s="620"/>
      <c r="B10" s="486" t="s">
        <v>149</v>
      </c>
      <c r="C10" s="486" t="s">
        <v>167</v>
      </c>
      <c r="D10" s="486" t="s">
        <v>207</v>
      </c>
      <c r="E10" s="486" t="s">
        <v>222</v>
      </c>
      <c r="F10" s="486" t="s">
        <v>247</v>
      </c>
      <c r="G10" s="486" t="s">
        <v>263</v>
      </c>
      <c r="H10" s="486" t="s">
        <v>277</v>
      </c>
      <c r="I10" s="621"/>
    </row>
    <row r="11" spans="1:15" x14ac:dyDescent="0.2">
      <c r="A11" s="494" t="s">
        <v>31</v>
      </c>
      <c r="B11" s="495">
        <f>C2/B2-1</f>
        <v>1.6078726552499756E-3</v>
      </c>
      <c r="C11" s="516">
        <f t="shared" ref="B11:F13" si="1">D2/C2-1</f>
        <v>3.752876597131527E-3</v>
      </c>
      <c r="D11" s="516">
        <f t="shared" si="1"/>
        <v>4.0001345515765507E-3</v>
      </c>
      <c r="E11" s="516">
        <f t="shared" si="1"/>
        <v>2.9999883082829637E-3</v>
      </c>
      <c r="F11" s="516">
        <f>G2/F2-1</f>
        <v>3.0002066933922933E-3</v>
      </c>
      <c r="G11" s="516">
        <f>H2/G2-1</f>
        <v>1.9999871269373859E-3</v>
      </c>
      <c r="H11" s="516">
        <f>I2/H2-1</f>
        <v>2.0002060591006732E-3</v>
      </c>
      <c r="I11" s="517">
        <f>AVERAGE(E11:H11)</f>
        <v>2.500097046928329E-3</v>
      </c>
      <c r="J11" s="113" t="s">
        <v>113</v>
      </c>
    </row>
    <row r="12" spans="1:15" ht="22.5" x14ac:dyDescent="0.2">
      <c r="A12" s="496" t="str">
        <f>A3</f>
        <v>Familles bénéficiaires de prestations familiales dans l'année</v>
      </c>
      <c r="B12" s="495">
        <f t="shared" si="1"/>
        <v>-1.8697682383081893E-2</v>
      </c>
      <c r="C12" s="516">
        <f t="shared" si="1"/>
        <v>-2.4040591148874468E-2</v>
      </c>
      <c r="D12" s="516">
        <f t="shared" si="1"/>
        <v>-1.8340485228585557E-2</v>
      </c>
      <c r="E12" s="516">
        <f t="shared" si="1"/>
        <v>-2.0378426468836919E-2</v>
      </c>
      <c r="F12" s="516">
        <f t="shared" si="1"/>
        <v>-1.9357837528604094E-2</v>
      </c>
      <c r="G12" s="516">
        <f t="shared" ref="G12:H15" si="2">H3/G3-1</f>
        <v>-1.9871219910597704E-2</v>
      </c>
      <c r="H12" s="516">
        <f t="shared" si="2"/>
        <v>-1.961192786143684E-2</v>
      </c>
      <c r="I12" s="517">
        <f t="shared" ref="I12:I15" si="3">AVERAGE(E12:H12)</f>
        <v>-1.9804852942368889E-2</v>
      </c>
      <c r="J12" s="113" t="s">
        <v>114</v>
      </c>
    </row>
    <row r="13" spans="1:15" ht="22.5" x14ac:dyDescent="0.2">
      <c r="A13" s="497" t="str">
        <f>A4</f>
        <v>Bénéficiaires de pensions vieillesse</v>
      </c>
      <c r="B13" s="498">
        <f t="shared" si="1"/>
        <v>-1.959869974241335E-2</v>
      </c>
      <c r="C13" s="517">
        <f t="shared" si="1"/>
        <v>-1.9649920185154435E-2</v>
      </c>
      <c r="D13" s="517">
        <f t="shared" si="1"/>
        <v>-1.7113215680354399E-2</v>
      </c>
      <c r="E13" s="517">
        <f t="shared" si="1"/>
        <v>-1.5772575869726135E-2</v>
      </c>
      <c r="F13" s="517">
        <f t="shared" si="1"/>
        <v>-1.3869291085430557E-2</v>
      </c>
      <c r="G13" s="517">
        <f t="shared" si="2"/>
        <v>-1.7343192251283224E-2</v>
      </c>
      <c r="H13" s="517">
        <f t="shared" si="2"/>
        <v>-1.76754803156558E-2</v>
      </c>
      <c r="I13" s="517">
        <f t="shared" si="3"/>
        <v>-1.6165134880523929E-2</v>
      </c>
      <c r="J13" s="113" t="s">
        <v>115</v>
      </c>
    </row>
    <row r="14" spans="1:15" ht="22.5" x14ac:dyDescent="0.2">
      <c r="A14" s="499" t="str">
        <f>A5</f>
        <v>Bénéficiaires de pensions d'invalidité</v>
      </c>
      <c r="B14" s="500">
        <f t="shared" ref="B14:F15" si="4">C5/B5-1</f>
        <v>1.5534306324442193E-2</v>
      </c>
      <c r="C14" s="501">
        <f t="shared" si="4"/>
        <v>2.5472446147746686E-2</v>
      </c>
      <c r="D14" s="501">
        <f t="shared" si="4"/>
        <v>2.1178456204264728E-2</v>
      </c>
      <c r="E14" s="501">
        <f t="shared" si="4"/>
        <v>1.5144023082754421E-2</v>
      </c>
      <c r="F14" s="501">
        <f t="shared" si="4"/>
        <v>1.5479904539197342E-2</v>
      </c>
      <c r="G14" s="501">
        <f t="shared" si="2"/>
        <v>1.5784422723169156E-2</v>
      </c>
      <c r="H14" s="501">
        <f t="shared" si="2"/>
        <v>1.6015596799133336E-2</v>
      </c>
      <c r="I14" s="517">
        <f t="shared" si="3"/>
        <v>1.5605986786063564E-2</v>
      </c>
    </row>
    <row r="15" spans="1:15" ht="22.5" x14ac:dyDescent="0.2">
      <c r="A15" s="502" t="str">
        <f>A6</f>
        <v>Actifs cotisants vieillesse au 1er juillet</v>
      </c>
      <c r="B15" s="495">
        <f t="shared" si="4"/>
        <v>2.7658300064775432E-2</v>
      </c>
      <c r="C15" s="516">
        <f t="shared" si="4"/>
        <v>7.1788001223718201E-3</v>
      </c>
      <c r="D15" s="516">
        <f t="shared" si="4"/>
        <v>1.0392936259799868E-2</v>
      </c>
      <c r="E15" s="516">
        <f t="shared" si="4"/>
        <v>1.1327854704908269E-2</v>
      </c>
      <c r="F15" s="516">
        <f t="shared" si="4"/>
        <v>8.2706786184698622E-3</v>
      </c>
      <c r="G15" s="516">
        <f t="shared" si="2"/>
        <v>8.2409587723322186E-3</v>
      </c>
      <c r="H15" s="516">
        <f t="shared" si="2"/>
        <v>8.1458719851577044E-3</v>
      </c>
      <c r="I15" s="517">
        <f t="shared" si="3"/>
        <v>8.9963410202170135E-3</v>
      </c>
      <c r="J15" s="113" t="s">
        <v>116</v>
      </c>
    </row>
    <row r="18" spans="8:8" x14ac:dyDescent="0.2">
      <c r="H18" s="121"/>
    </row>
  </sheetData>
  <mergeCells count="3">
    <mergeCell ref="A9:A10"/>
    <mergeCell ref="B9:H9"/>
    <mergeCell ref="I9:I10"/>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S70"/>
  <sheetViews>
    <sheetView zoomScaleNormal="100" workbookViewId="0"/>
  </sheetViews>
  <sheetFormatPr baseColWidth="10" defaultRowHeight="12.75" x14ac:dyDescent="0.2"/>
  <cols>
    <col min="1" max="1" width="7" customWidth="1"/>
    <col min="2" max="2" width="26.140625" customWidth="1"/>
    <col min="3" max="3" width="12.5703125" bestFit="1" customWidth="1"/>
    <col min="4" max="4" width="12.42578125" bestFit="1" customWidth="1"/>
    <col min="5" max="5" width="13" bestFit="1" customWidth="1"/>
    <col min="6" max="9" width="12.42578125" bestFit="1" customWidth="1"/>
    <col min="10" max="10" width="2.5703125" style="106" customWidth="1"/>
    <col min="11" max="11" width="27" bestFit="1" customWidth="1"/>
    <col min="12" max="12" width="12.42578125" hidden="1" customWidth="1"/>
    <col min="13" max="13" width="12.42578125" bestFit="1" customWidth="1"/>
  </cols>
  <sheetData>
    <row r="1" spans="1:19" x14ac:dyDescent="0.2">
      <c r="A1" s="27"/>
      <c r="B1" s="123"/>
    </row>
    <row r="3" spans="1:19" ht="14.25" x14ac:dyDescent="0.2">
      <c r="A3" s="623" t="s">
        <v>32</v>
      </c>
      <c r="B3" s="624"/>
      <c r="C3" s="456" t="s">
        <v>23</v>
      </c>
      <c r="D3" s="456" t="s">
        <v>23</v>
      </c>
      <c r="E3" s="625" t="s">
        <v>1</v>
      </c>
      <c r="F3" s="626"/>
      <c r="G3" s="626"/>
      <c r="H3" s="626"/>
      <c r="I3" s="627"/>
      <c r="K3" s="82"/>
      <c r="L3" s="105" t="s">
        <v>23</v>
      </c>
      <c r="M3" s="461" t="s">
        <v>23</v>
      </c>
      <c r="N3" s="622" t="s">
        <v>1</v>
      </c>
      <c r="O3" s="622"/>
      <c r="P3" s="622"/>
      <c r="Q3" s="622"/>
      <c r="R3" s="622"/>
    </row>
    <row r="4" spans="1:19" ht="14.25" x14ac:dyDescent="0.2">
      <c r="A4" s="457"/>
      <c r="B4" s="458" t="s">
        <v>2</v>
      </c>
      <c r="C4" s="459">
        <v>2023</v>
      </c>
      <c r="D4" s="460">
        <f>C4+1</f>
        <v>2024</v>
      </c>
      <c r="E4" s="460" t="s">
        <v>208</v>
      </c>
      <c r="F4" s="460" t="s">
        <v>223</v>
      </c>
      <c r="G4" s="460" t="s">
        <v>248</v>
      </c>
      <c r="H4" s="460" t="s">
        <v>264</v>
      </c>
      <c r="I4" s="460" t="s">
        <v>279</v>
      </c>
      <c r="K4" s="82"/>
      <c r="L4" s="105">
        <f>C4</f>
        <v>2023</v>
      </c>
      <c r="M4" s="461">
        <f t="shared" ref="M4:R4" si="0">L4+1</f>
        <v>2024</v>
      </c>
      <c r="N4" s="461">
        <f t="shared" si="0"/>
        <v>2025</v>
      </c>
      <c r="O4" s="461">
        <f t="shared" si="0"/>
        <v>2026</v>
      </c>
      <c r="P4" s="461">
        <f t="shared" si="0"/>
        <v>2027</v>
      </c>
      <c r="Q4" s="461">
        <f t="shared" si="0"/>
        <v>2028</v>
      </c>
      <c r="R4" s="461">
        <f t="shared" si="0"/>
        <v>2029</v>
      </c>
    </row>
    <row r="5" spans="1:19" x14ac:dyDescent="0.2">
      <c r="A5" s="7"/>
      <c r="B5" s="8" t="s">
        <v>3</v>
      </c>
      <c r="C5" s="528">
        <f>[5]Maladie!$H$6</f>
        <v>6137.2472051500008</v>
      </c>
      <c r="D5" s="528">
        <f>[5]Maladie!$I$6</f>
        <v>6293.6637514799995</v>
      </c>
      <c r="E5" s="529">
        <f>[5]Maladie!$R$6</f>
        <v>6477.6755286877024</v>
      </c>
      <c r="F5" s="530">
        <f>[5]Maladie!$W$6</f>
        <v>6704.9396173481819</v>
      </c>
      <c r="G5" s="530">
        <f>[5]Maladie!$AB$6</f>
        <v>6992.0216149166044</v>
      </c>
      <c r="H5" s="530">
        <f>[5]Maladie!$AG$6</f>
        <v>7286.3415456999337</v>
      </c>
      <c r="I5" s="530">
        <f>[5]Maladie!$AL$6</f>
        <v>7607.1297545954249</v>
      </c>
      <c r="K5" s="33" t="s">
        <v>106</v>
      </c>
      <c r="L5" s="161">
        <f t="shared" ref="L5:R7" si="1">C11-C5</f>
        <v>0</v>
      </c>
      <c r="M5" s="463">
        <f t="shared" si="1"/>
        <v>0</v>
      </c>
      <c r="N5" s="463">
        <f t="shared" si="1"/>
        <v>0</v>
      </c>
      <c r="O5" s="463">
        <f t="shared" si="1"/>
        <v>0</v>
      </c>
      <c r="P5" s="463">
        <f t="shared" si="1"/>
        <v>0</v>
      </c>
      <c r="Q5" s="463">
        <f t="shared" si="1"/>
        <v>0</v>
      </c>
      <c r="R5" s="463">
        <f t="shared" si="1"/>
        <v>0</v>
      </c>
    </row>
    <row r="6" spans="1:19" x14ac:dyDescent="0.2">
      <c r="A6" s="12"/>
      <c r="B6" s="13" t="s">
        <v>33</v>
      </c>
      <c r="C6" s="531">
        <f>[5]AT!$H$6</f>
        <v>766.76793252999994</v>
      </c>
      <c r="D6" s="531">
        <f>[5]AT!$I$6</f>
        <v>789.59321995000005</v>
      </c>
      <c r="E6" s="531">
        <f>[5]AT!$R$6</f>
        <v>810.7490663631288</v>
      </c>
      <c r="F6" s="531">
        <f>[5]AT!$W$6</f>
        <v>838.88803468435356</v>
      </c>
      <c r="G6" s="531">
        <f>[5]AT!$AB$6</f>
        <v>861.01224208563576</v>
      </c>
      <c r="H6" s="531">
        <f>[5]AT!$AG$6</f>
        <v>887.46561786895973</v>
      </c>
      <c r="I6" s="531">
        <f>[5]AT!$AL$6</f>
        <v>914.06593977328225</v>
      </c>
      <c r="K6" s="33" t="s">
        <v>107</v>
      </c>
      <c r="L6" s="162">
        <f t="shared" si="1"/>
        <v>60.565167089999932</v>
      </c>
      <c r="M6" s="464">
        <f t="shared" si="1"/>
        <v>36.406181829999809</v>
      </c>
      <c r="N6" s="464">
        <f t="shared" si="1"/>
        <v>36.418558009070694</v>
      </c>
      <c r="O6" s="464">
        <f t="shared" si="1"/>
        <v>34.649827828157754</v>
      </c>
      <c r="P6" s="464">
        <f t="shared" si="1"/>
        <v>38.567637592905385</v>
      </c>
      <c r="Q6" s="464">
        <f t="shared" si="1"/>
        <v>39.313809824579266</v>
      </c>
      <c r="R6" s="464">
        <f t="shared" si="1"/>
        <v>40.020680687379695</v>
      </c>
    </row>
    <row r="7" spans="1:19" x14ac:dyDescent="0.2">
      <c r="A7" s="10"/>
      <c r="B7" s="11" t="s">
        <v>5</v>
      </c>
      <c r="C7" s="532">
        <f>[5]Famille!$H$6</f>
        <v>981.95520630999999</v>
      </c>
      <c r="D7" s="532">
        <f>[5]Famille!$I$6</f>
        <v>990.55856647999997</v>
      </c>
      <c r="E7" s="532">
        <f>[5]Famille!$R$6</f>
        <v>991.12770663063793</v>
      </c>
      <c r="F7" s="532">
        <f>[5]Famille!$W$6</f>
        <v>1006.7071715161514</v>
      </c>
      <c r="G7" s="532">
        <f>[5]Famille!$AB$6</f>
        <v>1043.4838421464328</v>
      </c>
      <c r="H7" s="532">
        <f>[5]Famille!$AG$6</f>
        <v>1081.5850628658939</v>
      </c>
      <c r="I7" s="532">
        <f>[5]Famille!$AL$6</f>
        <v>1120.6003879291436</v>
      </c>
      <c r="K7" s="33" t="s">
        <v>108</v>
      </c>
      <c r="L7" s="162">
        <f t="shared" si="1"/>
        <v>0</v>
      </c>
      <c r="M7" s="76">
        <f t="shared" si="1"/>
        <v>0</v>
      </c>
      <c r="N7" s="76">
        <f t="shared" si="1"/>
        <v>0</v>
      </c>
      <c r="O7" s="76">
        <f t="shared" si="1"/>
        <v>0</v>
      </c>
      <c r="P7" s="76">
        <f t="shared" si="1"/>
        <v>0</v>
      </c>
      <c r="Q7" s="76">
        <f t="shared" si="1"/>
        <v>0</v>
      </c>
      <c r="R7" s="76">
        <f t="shared" si="1"/>
        <v>0</v>
      </c>
    </row>
    <row r="8" spans="1:19" x14ac:dyDescent="0.2">
      <c r="A8" s="155"/>
      <c r="B8" s="156" t="s">
        <v>4</v>
      </c>
      <c r="C8" s="532">
        <f>[5]Vieillesse!$H$6</f>
        <v>7234.5708767199994</v>
      </c>
      <c r="D8" s="532">
        <f>[5]Vieillesse!$I$6</f>
        <v>7750.1797332300011</v>
      </c>
      <c r="E8" s="532">
        <f>[5]Vieillesse!$R$6</f>
        <v>7896.6597101714915</v>
      </c>
      <c r="F8" s="532">
        <f>[5]Vieillesse!$W$6</f>
        <v>8087.1974085853371</v>
      </c>
      <c r="G8" s="532">
        <f>[5]Vieillesse!$AB$6</f>
        <v>8342.5805286315899</v>
      </c>
      <c r="H8" s="532">
        <f>[5]Vieillesse!$AG$6</f>
        <v>8617.0247544553094</v>
      </c>
      <c r="I8" s="532">
        <f>[5]Vieillesse!$AL$6</f>
        <v>8905.0599620090816</v>
      </c>
      <c r="K8" s="33" t="s">
        <v>109</v>
      </c>
      <c r="L8" s="163">
        <f>C14-C8</f>
        <v>3.9457990001210419E-2</v>
      </c>
      <c r="M8" s="465">
        <f t="shared" ref="M8:R9" si="2">D14-D8</f>
        <v>0</v>
      </c>
      <c r="N8" s="76">
        <f>E14-E8</f>
        <v>0</v>
      </c>
      <c r="O8" s="76">
        <f>F14-F8</f>
        <v>0</v>
      </c>
      <c r="P8" s="76">
        <f t="shared" si="2"/>
        <v>0</v>
      </c>
      <c r="Q8" s="76">
        <f t="shared" si="2"/>
        <v>0</v>
      </c>
      <c r="R8" s="76">
        <f t="shared" si="2"/>
        <v>0</v>
      </c>
    </row>
    <row r="9" spans="1:19" x14ac:dyDescent="0.2">
      <c r="A9" s="201"/>
      <c r="B9" s="202" t="s">
        <v>226</v>
      </c>
      <c r="C9" s="533">
        <f>[5]SASPA!$H$6</f>
        <v>694.20683297999994</v>
      </c>
      <c r="D9" s="533">
        <f>[5]SASPA!$I$6</f>
        <v>753.27455806999978</v>
      </c>
      <c r="E9" s="533">
        <f>[5]SASPA!$R$6</f>
        <v>772.16320899903542</v>
      </c>
      <c r="F9" s="533">
        <f>[5]SASPA!$W$6</f>
        <v>785.43857801640775</v>
      </c>
      <c r="G9" s="533">
        <f>[5]SASPA!$AB$6</f>
        <v>789.36109361305978</v>
      </c>
      <c r="H9" s="533">
        <f>[5]SASPA!$AG$6</f>
        <v>811.58053880793341</v>
      </c>
      <c r="I9" s="533">
        <f>[5]SASPA!$AL$6</f>
        <v>830.66615148984363</v>
      </c>
      <c r="K9" s="207" t="s">
        <v>230</v>
      </c>
      <c r="L9" s="163">
        <f>C15-C9</f>
        <v>0</v>
      </c>
      <c r="M9" s="465">
        <f t="shared" si="2"/>
        <v>0</v>
      </c>
      <c r="N9" s="465">
        <f>E15-E9</f>
        <v>0</v>
      </c>
      <c r="O9" s="465">
        <f>F15-F9</f>
        <v>0</v>
      </c>
      <c r="P9" s="465">
        <f t="shared" si="2"/>
        <v>0</v>
      </c>
      <c r="Q9" s="465">
        <f t="shared" si="2"/>
        <v>0</v>
      </c>
      <c r="R9" s="465">
        <f t="shared" si="2"/>
        <v>0</v>
      </c>
    </row>
    <row r="10" spans="1:19" ht="14.25" x14ac:dyDescent="0.2">
      <c r="A10" s="17" t="s">
        <v>20</v>
      </c>
      <c r="B10" s="18"/>
      <c r="C10" s="46">
        <f>SUM(C5:C9)</f>
        <v>15814.74805369</v>
      </c>
      <c r="D10" s="46">
        <f t="shared" ref="D10:I10" si="3">SUM(D5:D9)</f>
        <v>16577.269829209999</v>
      </c>
      <c r="E10" s="46">
        <f t="shared" si="3"/>
        <v>16948.375220851995</v>
      </c>
      <c r="F10" s="46">
        <f t="shared" si="3"/>
        <v>17423.170810150434</v>
      </c>
      <c r="G10" s="46">
        <f t="shared" si="3"/>
        <v>18028.459321393322</v>
      </c>
      <c r="H10" s="46">
        <f t="shared" si="3"/>
        <v>18683.99751969803</v>
      </c>
      <c r="I10" s="46">
        <f t="shared" si="3"/>
        <v>19377.522195796777</v>
      </c>
      <c r="L10" s="164">
        <f t="shared" ref="L10:R10" si="4">SUM(L5:L8)</f>
        <v>60.604625080001142</v>
      </c>
      <c r="M10" s="466">
        <f t="shared" si="4"/>
        <v>36.406181829999809</v>
      </c>
      <c r="N10" s="466">
        <f t="shared" si="4"/>
        <v>36.418558009070694</v>
      </c>
      <c r="O10" s="466">
        <f t="shared" si="4"/>
        <v>34.649827828157754</v>
      </c>
      <c r="P10" s="466">
        <f t="shared" si="4"/>
        <v>38.567637592905385</v>
      </c>
      <c r="Q10" s="466">
        <f t="shared" si="4"/>
        <v>39.313809824579266</v>
      </c>
      <c r="R10" s="466">
        <f t="shared" si="4"/>
        <v>40.020680687379695</v>
      </c>
    </row>
    <row r="11" spans="1:19" x14ac:dyDescent="0.2">
      <c r="A11" s="7"/>
      <c r="B11" s="8" t="s">
        <v>7</v>
      </c>
      <c r="C11" s="528">
        <f>[5]Maladie!$H$153</f>
        <v>6137.2472051499999</v>
      </c>
      <c r="D11" s="528">
        <f>[5]Maladie!$I$153</f>
        <v>6293.6637514799995</v>
      </c>
      <c r="E11" s="528">
        <f>[5]Maladie!$R$153</f>
        <v>6477.6755286877014</v>
      </c>
      <c r="F11" s="528">
        <f>[5]Maladie!$W$153</f>
        <v>6704.9396173481819</v>
      </c>
      <c r="G11" s="528">
        <f>[5]Maladie!$AB$153</f>
        <v>6992.0216149166054</v>
      </c>
      <c r="H11" s="528">
        <f>[5]Maladie!$AG$153</f>
        <v>7286.3415456999337</v>
      </c>
      <c r="I11" s="528">
        <f>[5]Maladie!$AL$153</f>
        <v>7607.1297545954249</v>
      </c>
      <c r="J11"/>
    </row>
    <row r="12" spans="1:19" ht="14.25" x14ac:dyDescent="0.2">
      <c r="A12" s="10"/>
      <c r="B12" s="11" t="s">
        <v>34</v>
      </c>
      <c r="C12" s="532">
        <f>[5]AT!$H$95</f>
        <v>827.33309961999987</v>
      </c>
      <c r="D12" s="532">
        <f>[5]AT!$I$95</f>
        <v>825.99940177999986</v>
      </c>
      <c r="E12" s="532">
        <f>[5]AT!$R$95</f>
        <v>847.1676243721995</v>
      </c>
      <c r="F12" s="532">
        <f>[5]AT!$W$95</f>
        <v>873.53786251251131</v>
      </c>
      <c r="G12" s="532">
        <f>[5]AT!$AB$95</f>
        <v>899.57987967854115</v>
      </c>
      <c r="H12" s="532">
        <f>[5]AT!$AG$95</f>
        <v>926.77942769353899</v>
      </c>
      <c r="I12" s="532">
        <f>[5]AT!$AL$95</f>
        <v>954.08662046066195</v>
      </c>
      <c r="J12"/>
      <c r="L12" s="188" t="s">
        <v>23</v>
      </c>
      <c r="M12" s="622" t="s">
        <v>23</v>
      </c>
      <c r="N12" s="622"/>
      <c r="O12" s="634" t="s">
        <v>1</v>
      </c>
      <c r="P12" s="635"/>
      <c r="Q12" s="635"/>
      <c r="R12" s="635"/>
      <c r="S12" s="636"/>
    </row>
    <row r="13" spans="1:19" ht="14.25" x14ac:dyDescent="0.2">
      <c r="A13" s="10"/>
      <c r="B13" s="11" t="s">
        <v>9</v>
      </c>
      <c r="C13" s="532">
        <f>[5]Famille!$H$87</f>
        <v>981.95520630999999</v>
      </c>
      <c r="D13" s="532">
        <f>[5]Famille!$I$87</f>
        <v>990.55856647999997</v>
      </c>
      <c r="E13" s="532">
        <f>[5]Famille!$R$87</f>
        <v>991.12770663063782</v>
      </c>
      <c r="F13" s="532">
        <f>[5]Famille!$W$87</f>
        <v>1006.7071715161517</v>
      </c>
      <c r="G13" s="532">
        <f>[5]Famille!$AB$87</f>
        <v>1043.4838421464328</v>
      </c>
      <c r="H13" s="532">
        <f>[5]Famille!$AG$87</f>
        <v>1081.5850628658939</v>
      </c>
      <c r="I13" s="532">
        <f>[5]Famille!$AL$87</f>
        <v>1120.6003879291438</v>
      </c>
      <c r="K13" s="209" t="s">
        <v>168</v>
      </c>
      <c r="L13" s="189">
        <f>L4</f>
        <v>2023</v>
      </c>
      <c r="M13" s="462">
        <v>2022</v>
      </c>
      <c r="N13" s="462">
        <f>L13+1</f>
        <v>2024</v>
      </c>
      <c r="O13" s="462">
        <f>N13+1</f>
        <v>2025</v>
      </c>
      <c r="P13" s="462">
        <f>O13+1</f>
        <v>2026</v>
      </c>
      <c r="Q13" s="462">
        <f>P13+1</f>
        <v>2027</v>
      </c>
      <c r="R13" s="462">
        <f>Q13+1</f>
        <v>2028</v>
      </c>
      <c r="S13" s="462">
        <f>R13+1</f>
        <v>2029</v>
      </c>
    </row>
    <row r="14" spans="1:19" s="133" customFormat="1" x14ac:dyDescent="0.2">
      <c r="A14" s="139"/>
      <c r="B14" s="154" t="s">
        <v>8</v>
      </c>
      <c r="C14" s="532">
        <f>[5]Vieillesse!$H$103</f>
        <v>7234.6103347100006</v>
      </c>
      <c r="D14" s="532">
        <f>[5]Vieillesse!$I$103</f>
        <v>7750.1797332300002</v>
      </c>
      <c r="E14" s="532">
        <f>[5]Vieillesse!$R$103</f>
        <v>7896.6597101714906</v>
      </c>
      <c r="F14" s="532">
        <f>[5]Vieillesse!$W$103</f>
        <v>8087.1974085853371</v>
      </c>
      <c r="G14" s="532">
        <f>[5]Vieillesse!$AB$103</f>
        <v>8342.5805286315881</v>
      </c>
      <c r="H14" s="532">
        <f>[5]Vieillesse!$AG$103</f>
        <v>8617.0247544553113</v>
      </c>
      <c r="I14" s="532">
        <f>[5]Vieillesse!$AL$103</f>
        <v>8905.0599620090816</v>
      </c>
      <c r="K14" s="433" t="s">
        <v>217</v>
      </c>
      <c r="L14" s="190">
        <f>[6]Maladie!$H$252</f>
        <v>2672.4198642800002</v>
      </c>
      <c r="M14" s="403">
        <f>[5]Maladie!$H$256</f>
        <v>2589.8622132199998</v>
      </c>
      <c r="N14" s="403">
        <f>[5]Maladie!$I$256</f>
        <v>2677.45939438</v>
      </c>
      <c r="O14" s="579">
        <f>[5]Maladie!$R$256</f>
        <v>2608.4130858157359</v>
      </c>
      <c r="P14" s="579">
        <f>[5]Maladie!$W$256</f>
        <v>2639.5268795098223</v>
      </c>
      <c r="Q14" s="579">
        <f>[5]Maladie!$AB$256</f>
        <v>2741.4975939817814</v>
      </c>
      <c r="R14" s="579">
        <f>[5]Maladie!$AG$256</f>
        <v>2846.380491416573</v>
      </c>
      <c r="S14" s="579">
        <f>[5]Maladie!$AL$256</f>
        <v>2975.693833246467</v>
      </c>
    </row>
    <row r="15" spans="1:19" s="133" customFormat="1" x14ac:dyDescent="0.2">
      <c r="A15" s="175"/>
      <c r="B15" s="203" t="s">
        <v>227</v>
      </c>
      <c r="C15" s="534">
        <f>[5]SASPA!$H$102</f>
        <v>694.20683297999994</v>
      </c>
      <c r="D15" s="534">
        <f>[5]SASPA!$I$102</f>
        <v>753.27455807000001</v>
      </c>
      <c r="E15" s="534">
        <f>[5]SASPA!$R$102</f>
        <v>772.16320899903542</v>
      </c>
      <c r="F15" s="534">
        <f>[5]SASPA!$W$102</f>
        <v>785.43857801640786</v>
      </c>
      <c r="G15" s="534">
        <f>[5]SASPA!$AB$102</f>
        <v>789.36109361305989</v>
      </c>
      <c r="H15" s="534">
        <f>[5]SASPA!$AG$102</f>
        <v>811.58053880793329</v>
      </c>
      <c r="I15" s="534">
        <f>[5]SASPA!$AL$102</f>
        <v>830.66615148984363</v>
      </c>
      <c r="K15" s="433" t="s">
        <v>219</v>
      </c>
      <c r="L15" s="191">
        <f>[6]Famille!$H$171</f>
        <v>193.54892878000001</v>
      </c>
      <c r="M15" s="403">
        <f>[5]Famille!$H$171</f>
        <v>22.085180659999999</v>
      </c>
      <c r="N15" s="403">
        <f>[5]Famille!$I$171</f>
        <v>76.694160310000001</v>
      </c>
      <c r="O15" s="579">
        <f>[5]Famille!$R$171</f>
        <v>25.72046308115182</v>
      </c>
      <c r="P15" s="579">
        <f>-[5]Famille!$W$53</f>
        <v>-13.816356005352199</v>
      </c>
      <c r="Q15" s="579">
        <f>-[5]Famille!$AB$53</f>
        <v>-46.752866169924275</v>
      </c>
      <c r="R15" s="579">
        <f>-[5]Famille!$AG$53</f>
        <v>-76.382086754160426</v>
      </c>
      <c r="S15" s="579">
        <f>-[5]Famille!$AL$53</f>
        <v>-104.72650440211942</v>
      </c>
    </row>
    <row r="16" spans="1:19" ht="14.25" x14ac:dyDescent="0.2">
      <c r="A16" s="17" t="s">
        <v>274</v>
      </c>
      <c r="B16" s="18"/>
      <c r="C16" s="42">
        <f>SUM(C11:C15)</f>
        <v>15875.352678770001</v>
      </c>
      <c r="D16" s="42">
        <f t="shared" ref="D16:I16" si="5">SUM(D11:D15)</f>
        <v>16613.676011039999</v>
      </c>
      <c r="E16" s="42">
        <f t="shared" si="5"/>
        <v>16984.793778861065</v>
      </c>
      <c r="F16" s="42">
        <f t="shared" si="5"/>
        <v>17457.820637978592</v>
      </c>
      <c r="G16" s="42">
        <f>SUM(G11:G15)</f>
        <v>18067.026958986229</v>
      </c>
      <c r="H16" s="42">
        <f t="shared" si="5"/>
        <v>18723.311329522607</v>
      </c>
      <c r="I16" s="42">
        <f t="shared" si="5"/>
        <v>19417.542876484156</v>
      </c>
      <c r="K16" s="433" t="s">
        <v>218</v>
      </c>
      <c r="L16" s="191">
        <f>-[6]Vieillesse!$H$54</f>
        <v>-248.57770237</v>
      </c>
      <c r="M16" s="403">
        <f>[5]Vieillesse!$H$209</f>
        <v>146.19300853999999</v>
      </c>
      <c r="N16" s="403">
        <f>[5]Vieillesse!$I$209</f>
        <v>420.71999957000003</v>
      </c>
      <c r="O16" s="579">
        <f>[5]Vieillesse!$R$209</f>
        <v>464.73369457572102</v>
      </c>
      <c r="P16" s="579">
        <f>[5]Vieillesse!$W$209</f>
        <v>503.65329925868099</v>
      </c>
      <c r="Q16" s="579">
        <f>[5]Vieillesse!$AB$209</f>
        <v>626.3423205427423</v>
      </c>
      <c r="R16" s="579">
        <f>[5]Vieillesse!$AG$209</f>
        <v>765.64461832161078</v>
      </c>
      <c r="S16" s="579">
        <f>[5]Vieillesse!$AL$209</f>
        <v>910.48226845690851</v>
      </c>
    </row>
    <row r="17" spans="1:19" ht="15" x14ac:dyDescent="0.25">
      <c r="A17" s="628" t="s">
        <v>11</v>
      </c>
      <c r="B17" s="629"/>
      <c r="C17" s="205">
        <f t="shared" ref="C17:H17" si="6">C16-C10</f>
        <v>60.604625080000915</v>
      </c>
      <c r="D17" s="205">
        <f t="shared" si="6"/>
        <v>36.406181829999696</v>
      </c>
      <c r="E17" s="205">
        <f t="shared" si="6"/>
        <v>36.418558009070694</v>
      </c>
      <c r="F17" s="205">
        <f t="shared" si="6"/>
        <v>34.649827828157868</v>
      </c>
      <c r="G17" s="205">
        <f t="shared" si="6"/>
        <v>38.567637592906976</v>
      </c>
      <c r="H17" s="205">
        <f t="shared" si="6"/>
        <v>39.31380982457631</v>
      </c>
      <c r="I17" s="205">
        <f>I16-I10</f>
        <v>40.020680687379354</v>
      </c>
      <c r="J17" s="107"/>
      <c r="K17" s="433" t="s">
        <v>241</v>
      </c>
      <c r="L17" s="190">
        <f>[6]SASPA!$H$208</f>
        <v>0</v>
      </c>
      <c r="M17" s="403">
        <f>[5]SASPA!$H$208</f>
        <v>0</v>
      </c>
      <c r="N17" s="403">
        <f>[5]SASPA!$I$208</f>
        <v>0</v>
      </c>
      <c r="O17" s="579">
        <f>[5]SASPA!$R$208</f>
        <v>5.6843418860808015E-14</v>
      </c>
      <c r="P17" s="579">
        <f>[5]SASPA!$W$208</f>
        <v>0</v>
      </c>
      <c r="Q17" s="579">
        <f>[5]SASPA!$AB$208</f>
        <v>0</v>
      </c>
      <c r="R17" s="579">
        <f>[5]SASPA!$AG$208</f>
        <v>5.6843418860808015E-14</v>
      </c>
      <c r="S17" s="579">
        <f>[5]SASPA!$AL$208</f>
        <v>0</v>
      </c>
    </row>
    <row r="18" spans="1:19" x14ac:dyDescent="0.2">
      <c r="C18" s="192">
        <f>C14-C8</f>
        <v>3.9457990001210419E-2</v>
      </c>
      <c r="D18" s="192">
        <f t="shared" ref="D18:I18" si="7">D14-D8</f>
        <v>0</v>
      </c>
      <c r="E18" s="192">
        <f>E14-E8</f>
        <v>0</v>
      </c>
      <c r="F18" s="192">
        <f t="shared" si="7"/>
        <v>0</v>
      </c>
      <c r="G18" s="192">
        <f t="shared" si="7"/>
        <v>0</v>
      </c>
      <c r="H18" s="192">
        <f t="shared" si="7"/>
        <v>0</v>
      </c>
      <c r="I18" s="192">
        <f t="shared" si="7"/>
        <v>0</v>
      </c>
      <c r="K18" s="433" t="s">
        <v>220</v>
      </c>
      <c r="L18" s="190">
        <f>SUM(L14:L16)</f>
        <v>2617.3910906900001</v>
      </c>
      <c r="M18" s="84">
        <f t="shared" ref="M18:R18" si="8">SUM(M14:M17)</f>
        <v>2758.1404024199996</v>
      </c>
      <c r="N18" s="84">
        <f t="shared" si="8"/>
        <v>3174.8735542599998</v>
      </c>
      <c r="O18" s="84">
        <f t="shared" si="8"/>
        <v>3098.8672434726091</v>
      </c>
      <c r="P18" s="84">
        <f t="shared" si="8"/>
        <v>3129.3638227631509</v>
      </c>
      <c r="Q18" s="84">
        <f t="shared" si="8"/>
        <v>3321.0870483545996</v>
      </c>
      <c r="R18" s="84">
        <f t="shared" si="8"/>
        <v>3535.6430229840234</v>
      </c>
      <c r="S18" s="84">
        <f>SUM(S14:S17)</f>
        <v>3781.4495973012558</v>
      </c>
    </row>
    <row r="20" spans="1:19" ht="14.25" x14ac:dyDescent="0.2">
      <c r="L20" s="210" t="s">
        <v>23</v>
      </c>
      <c r="M20" s="461" t="s">
        <v>23</v>
      </c>
      <c r="N20" s="622" t="s">
        <v>244</v>
      </c>
      <c r="O20" s="622"/>
      <c r="P20" s="622"/>
      <c r="Q20" s="622"/>
      <c r="R20" s="622"/>
    </row>
    <row r="21" spans="1:19" ht="14.25" x14ac:dyDescent="0.2">
      <c r="A21" s="175"/>
      <c r="I21" s="176"/>
      <c r="L21" s="189" t="str">
        <f>L12</f>
        <v>Réalisations</v>
      </c>
      <c r="M21" s="462">
        <f>N13</f>
        <v>2024</v>
      </c>
      <c r="N21" s="462">
        <f>M21+1</f>
        <v>2025</v>
      </c>
      <c r="O21" s="462">
        <f>N21+1</f>
        <v>2026</v>
      </c>
      <c r="P21" s="462">
        <f>O21+1</f>
        <v>2027</v>
      </c>
      <c r="Q21" s="462">
        <f>P21+1</f>
        <v>2028</v>
      </c>
      <c r="R21" s="462">
        <f>Q21+1</f>
        <v>2029</v>
      </c>
    </row>
    <row r="22" spans="1:19" ht="14.25" x14ac:dyDescent="0.2">
      <c r="A22" s="623" t="s">
        <v>37</v>
      </c>
      <c r="B22" s="624"/>
      <c r="C22" s="470" t="s">
        <v>23</v>
      </c>
      <c r="D22" s="631" t="s">
        <v>1</v>
      </c>
      <c r="E22" s="632"/>
      <c r="F22" s="632"/>
      <c r="G22" s="632"/>
      <c r="H22" s="633"/>
      <c r="K22" s="433" t="s">
        <v>217</v>
      </c>
      <c r="L22" s="190">
        <f>[6]Maladie!$H$252</f>
        <v>2672.4198642800002</v>
      </c>
      <c r="M22" s="467"/>
      <c r="N22" s="468">
        <f>O14/N14-1</f>
        <v>-2.5787994659860258E-2</v>
      </c>
      <c r="O22" s="468">
        <f>P14/O14-1</f>
        <v>1.1928246282492561E-2</v>
      </c>
      <c r="P22" s="468">
        <f>Q14/P14-1</f>
        <v>3.8632193997924169E-2</v>
      </c>
      <c r="Q22" s="468">
        <f>R14/Q14-1</f>
        <v>3.825751941750144E-2</v>
      </c>
      <c r="R22" s="468">
        <f>S14/R14-1</f>
        <v>4.5430799648833231E-2</v>
      </c>
    </row>
    <row r="23" spans="1:19" ht="14.25" x14ac:dyDescent="0.2">
      <c r="A23" s="457"/>
      <c r="B23" s="471" t="s">
        <v>0</v>
      </c>
      <c r="C23" s="472" t="s">
        <v>167</v>
      </c>
      <c r="D23" s="472" t="s">
        <v>207</v>
      </c>
      <c r="E23" s="472" t="s">
        <v>222</v>
      </c>
      <c r="F23" s="472" t="s">
        <v>247</v>
      </c>
      <c r="G23" s="472" t="s">
        <v>263</v>
      </c>
      <c r="H23" s="472" t="s">
        <v>277</v>
      </c>
      <c r="K23" s="433" t="s">
        <v>241</v>
      </c>
      <c r="L23" s="190">
        <f>[6]SASPA!$H$208</f>
        <v>0</v>
      </c>
      <c r="M23" s="467"/>
      <c r="N23" s="468" t="e">
        <f>O17/N17-1</f>
        <v>#DIV/0!</v>
      </c>
      <c r="O23" s="468">
        <f>P17/O17-1</f>
        <v>-1</v>
      </c>
      <c r="P23" s="468" t="e">
        <f>Q17/P17-1</f>
        <v>#DIV/0!</v>
      </c>
      <c r="Q23" s="468" t="e">
        <f>R17/Q17-1</f>
        <v>#DIV/0!</v>
      </c>
      <c r="R23" s="468">
        <f>S17/R17-1</f>
        <v>-1</v>
      </c>
    </row>
    <row r="24" spans="1:19" x14ac:dyDescent="0.2">
      <c r="A24" s="7"/>
      <c r="B24" s="8" t="s">
        <v>3</v>
      </c>
      <c r="C24" s="126">
        <f t="shared" ref="C24:H27" si="9">D5/C5-1</f>
        <v>2.5486434080534304E-2</v>
      </c>
      <c r="D24" s="126">
        <f t="shared" si="9"/>
        <v>2.9237624454345967E-2</v>
      </c>
      <c r="E24" s="126">
        <f t="shared" si="9"/>
        <v>3.5084203840404449E-2</v>
      </c>
      <c r="F24" s="126">
        <f t="shared" si="9"/>
        <v>4.2816492608767742E-2</v>
      </c>
      <c r="G24" s="126">
        <f t="shared" si="9"/>
        <v>4.2093681483397427E-2</v>
      </c>
      <c r="H24" s="126">
        <f t="shared" si="9"/>
        <v>4.4025963768443699E-2</v>
      </c>
      <c r="K24" s="433" t="s">
        <v>218</v>
      </c>
      <c r="L24" s="191">
        <f>-[6]Vieillesse!$H$54</f>
        <v>-248.57770237</v>
      </c>
      <c r="M24" s="467"/>
      <c r="N24" s="468">
        <f>O16/N16-1</f>
        <v>0.10461517173109325</v>
      </c>
      <c r="O24" s="468">
        <f>P16/O16-1</f>
        <v>8.3746035928149443E-2</v>
      </c>
      <c r="P24" s="468">
        <f>Q16/P16-1</f>
        <v>0.24359816855095606</v>
      </c>
      <c r="Q24" s="468">
        <f>R16/Q16-1</f>
        <v>0.22240601219179856</v>
      </c>
      <c r="R24" s="468">
        <f>S16/R16-1</f>
        <v>0.1891708589982648</v>
      </c>
    </row>
    <row r="25" spans="1:19" x14ac:dyDescent="0.2">
      <c r="A25" s="12"/>
      <c r="B25" s="13" t="s">
        <v>33</v>
      </c>
      <c r="C25" s="126">
        <f t="shared" si="9"/>
        <v>2.9768182068708349E-2</v>
      </c>
      <c r="D25" s="126">
        <f t="shared" si="9"/>
        <v>2.6793348623824764E-2</v>
      </c>
      <c r="E25" s="126">
        <f t="shared" si="9"/>
        <v>3.4707370614006416E-2</v>
      </c>
      <c r="F25" s="126">
        <f t="shared" si="9"/>
        <v>2.6373254220519282E-2</v>
      </c>
      <c r="G25" s="126">
        <f t="shared" si="9"/>
        <v>3.0723576843978195E-2</v>
      </c>
      <c r="H25" s="126">
        <f t="shared" si="9"/>
        <v>2.9973354875648006E-2</v>
      </c>
      <c r="K25" s="433" t="s">
        <v>219</v>
      </c>
      <c r="L25" s="191">
        <f>[6]Famille!$H$171</f>
        <v>193.54892878000001</v>
      </c>
      <c r="M25" s="467"/>
      <c r="N25" s="468">
        <f>O15/N15-1</f>
        <v>-0.66463596475678233</v>
      </c>
      <c r="O25" s="468">
        <f>P15/O15-1</f>
        <v>-1.5371736878049038</v>
      </c>
      <c r="P25" s="468">
        <f>Q15/P15-1</f>
        <v>2.3838782202639455</v>
      </c>
      <c r="Q25" s="468">
        <f>R15/Q15-1</f>
        <v>0.63374126575573198</v>
      </c>
      <c r="R25" s="468">
        <f>S15/R15-1</f>
        <v>0.37108723854569359</v>
      </c>
    </row>
    <row r="26" spans="1:19" x14ac:dyDescent="0.2">
      <c r="A26" s="10"/>
      <c r="B26" s="11" t="s">
        <v>5</v>
      </c>
      <c r="C26" s="126">
        <f t="shared" si="9"/>
        <v>8.7614588880584598E-3</v>
      </c>
      <c r="D26" s="126">
        <f t="shared" si="9"/>
        <v>5.7456486662910145E-4</v>
      </c>
      <c r="E26" s="126">
        <f t="shared" si="9"/>
        <v>1.5718927824625473E-2</v>
      </c>
      <c r="F26" s="126">
        <f t="shared" si="9"/>
        <v>3.6531646610695967E-2</v>
      </c>
      <c r="G26" s="126">
        <f t="shared" si="9"/>
        <v>3.6513474555664782E-2</v>
      </c>
      <c r="H26" s="126">
        <f t="shared" si="9"/>
        <v>3.6072359357358641E-2</v>
      </c>
      <c r="K26" s="433" t="s">
        <v>220</v>
      </c>
      <c r="L26" s="190">
        <f>SUM(L22:L25)</f>
        <v>2617.3910906900001</v>
      </c>
      <c r="M26" s="467"/>
      <c r="N26" s="469">
        <f>O18/N18-1</f>
        <v>-2.3939948942346523E-2</v>
      </c>
      <c r="O26" s="469">
        <f>P18/O18-1</f>
        <v>9.8412022505254271E-3</v>
      </c>
      <c r="P26" s="469">
        <f>Q18/P18-1</f>
        <v>6.1265879089176023E-2</v>
      </c>
      <c r="Q26" s="469">
        <f>R18/Q18-1</f>
        <v>6.460414060381936E-2</v>
      </c>
      <c r="R26" s="469">
        <f>S18/R18-1</f>
        <v>6.9522452555115688E-2</v>
      </c>
    </row>
    <row r="27" spans="1:19" x14ac:dyDescent="0.2">
      <c r="A27" s="10"/>
      <c r="B27" s="11" t="s">
        <v>4</v>
      </c>
      <c r="C27" s="126">
        <f t="shared" si="9"/>
        <v>7.1270136860386746E-2</v>
      </c>
      <c r="D27" s="126">
        <f t="shared" si="9"/>
        <v>1.8900203864103515E-2</v>
      </c>
      <c r="E27" s="126">
        <f t="shared" si="9"/>
        <v>2.4128898218625183E-2</v>
      </c>
      <c r="F27" s="126">
        <f t="shared" si="9"/>
        <v>3.1578692486860627E-2</v>
      </c>
      <c r="G27" s="126">
        <f t="shared" si="9"/>
        <v>3.2896802719713847E-2</v>
      </c>
      <c r="H27" s="126">
        <f t="shared" si="9"/>
        <v>3.3426294546136326E-2</v>
      </c>
    </row>
    <row r="28" spans="1:19" x14ac:dyDescent="0.2">
      <c r="A28" s="204"/>
      <c r="B28" s="203" t="s">
        <v>226</v>
      </c>
      <c r="C28" s="126">
        <f t="shared" ref="C28:C36" si="10">D9/C9-1</f>
        <v>8.5086637416750266E-2</v>
      </c>
      <c r="D28" s="126">
        <f>E9/D9-1</f>
        <v>2.5075386824999324E-2</v>
      </c>
      <c r="E28" s="126">
        <f>F9/E9-1</f>
        <v>1.719243919246205E-2</v>
      </c>
      <c r="F28" s="126">
        <f>G9/F9-1</f>
        <v>4.9940449914724905E-3</v>
      </c>
      <c r="G28" s="126">
        <f>H9/G9-1</f>
        <v>2.8148644992332938E-2</v>
      </c>
      <c r="H28" s="126">
        <f>I9/H9-1</f>
        <v>2.3516597268268047E-2</v>
      </c>
    </row>
    <row r="29" spans="1:19" ht="14.25" x14ac:dyDescent="0.2">
      <c r="A29" s="17" t="s">
        <v>20</v>
      </c>
      <c r="B29" s="18"/>
      <c r="C29" s="28">
        <f t="shared" si="10"/>
        <v>4.8215866160579379E-2</v>
      </c>
      <c r="D29" s="28">
        <f t="shared" ref="D29:H32" si="11">E10/D10-1</f>
        <v>2.2386399899704035E-2</v>
      </c>
      <c r="E29" s="28">
        <f t="shared" si="11"/>
        <v>2.8014224556126566E-2</v>
      </c>
      <c r="F29" s="28">
        <f t="shared" si="11"/>
        <v>3.4740433749880895E-2</v>
      </c>
      <c r="G29" s="28">
        <f t="shared" si="11"/>
        <v>3.6361298911816498E-2</v>
      </c>
      <c r="H29" s="28">
        <f t="shared" si="11"/>
        <v>3.7118645266762673E-2</v>
      </c>
    </row>
    <row r="30" spans="1:19" x14ac:dyDescent="0.2">
      <c r="A30" s="7"/>
      <c r="B30" s="8" t="s">
        <v>7</v>
      </c>
      <c r="C30" s="126">
        <f t="shared" si="10"/>
        <v>2.5486434080534526E-2</v>
      </c>
      <c r="D30" s="126">
        <f t="shared" si="11"/>
        <v>2.9237624454345967E-2</v>
      </c>
      <c r="E30" s="126">
        <f t="shared" si="11"/>
        <v>3.5084203840404671E-2</v>
      </c>
      <c r="F30" s="126">
        <f t="shared" si="11"/>
        <v>4.2816492608767964E-2</v>
      </c>
      <c r="G30" s="126">
        <f t="shared" si="11"/>
        <v>4.2093681483397205E-2</v>
      </c>
      <c r="H30" s="126">
        <f t="shared" si="11"/>
        <v>4.4025963768443699E-2</v>
      </c>
    </row>
    <row r="31" spans="1:19" x14ac:dyDescent="0.2">
      <c r="A31" s="10"/>
      <c r="B31" s="11" t="s">
        <v>34</v>
      </c>
      <c r="C31" s="126">
        <f t="shared" si="10"/>
        <v>-1.6120445810914319E-3</v>
      </c>
      <c r="D31" s="126">
        <f t="shared" si="11"/>
        <v>2.5627406686473231E-2</v>
      </c>
      <c r="E31" s="126">
        <f t="shared" si="11"/>
        <v>3.1127532948221015E-2</v>
      </c>
      <c r="F31" s="126">
        <f t="shared" si="11"/>
        <v>2.9812121813617365E-2</v>
      </c>
      <c r="G31" s="126">
        <f t="shared" si="11"/>
        <v>3.0235834114828553E-2</v>
      </c>
      <c r="H31" s="126">
        <f t="shared" si="11"/>
        <v>2.9464608245655555E-2</v>
      </c>
    </row>
    <row r="32" spans="1:19" x14ac:dyDescent="0.2">
      <c r="A32" s="10"/>
      <c r="B32" s="11" t="s">
        <v>9</v>
      </c>
      <c r="C32" s="126">
        <f t="shared" si="10"/>
        <v>8.7614588880584598E-3</v>
      </c>
      <c r="D32" s="126">
        <f t="shared" si="11"/>
        <v>5.7456486662910145E-4</v>
      </c>
      <c r="E32" s="126">
        <f t="shared" si="11"/>
        <v>1.5718927824625695E-2</v>
      </c>
      <c r="F32" s="126">
        <f t="shared" si="11"/>
        <v>3.6531646610695745E-2</v>
      </c>
      <c r="G32" s="126">
        <f t="shared" si="11"/>
        <v>3.6513474555664782E-2</v>
      </c>
      <c r="H32" s="126">
        <f t="shared" si="11"/>
        <v>3.6072359357358641E-2</v>
      </c>
    </row>
    <row r="33" spans="1:9" x14ac:dyDescent="0.2">
      <c r="A33" s="10"/>
      <c r="B33" s="11" t="s">
        <v>8</v>
      </c>
      <c r="C33" s="126">
        <f t="shared" si="10"/>
        <v>7.1264294090092939E-2</v>
      </c>
      <c r="D33" s="126">
        <f t="shared" ref="D33:H34" si="12">E14/D14-1</f>
        <v>1.8900203864103515E-2</v>
      </c>
      <c r="E33" s="126">
        <f t="shared" si="12"/>
        <v>2.4128898218625183E-2</v>
      </c>
      <c r="F33" s="126">
        <f t="shared" si="12"/>
        <v>3.1578692486860405E-2</v>
      </c>
      <c r="G33" s="126">
        <f t="shared" si="12"/>
        <v>3.2896802719714291E-2</v>
      </c>
      <c r="H33" s="126">
        <f t="shared" si="12"/>
        <v>3.3426294546136104E-2</v>
      </c>
    </row>
    <row r="34" spans="1:9" x14ac:dyDescent="0.2">
      <c r="A34" s="204"/>
      <c r="B34" s="203" t="s">
        <v>227</v>
      </c>
      <c r="C34" s="126">
        <f t="shared" si="10"/>
        <v>8.508663741675071E-2</v>
      </c>
      <c r="D34" s="126">
        <f t="shared" si="12"/>
        <v>2.507538682499888E-2</v>
      </c>
      <c r="E34" s="126">
        <f t="shared" si="12"/>
        <v>1.7192439192462272E-2</v>
      </c>
      <c r="F34" s="126">
        <f t="shared" si="12"/>
        <v>4.9940449914724905E-3</v>
      </c>
      <c r="G34" s="126">
        <f t="shared" si="12"/>
        <v>2.8148644992332494E-2</v>
      </c>
      <c r="H34" s="126">
        <f t="shared" si="12"/>
        <v>2.3516597268268269E-2</v>
      </c>
    </row>
    <row r="35" spans="1:9" ht="14.25" x14ac:dyDescent="0.2">
      <c r="A35" s="17" t="s">
        <v>10</v>
      </c>
      <c r="B35" s="18"/>
      <c r="C35" s="28">
        <f t="shared" si="10"/>
        <v>4.6507523153003882E-2</v>
      </c>
      <c r="D35" s="28">
        <f t="shared" ref="D35:H36" si="13">E16/D16-1</f>
        <v>2.2338088667098965E-2</v>
      </c>
      <c r="E35" s="28">
        <f t="shared" si="13"/>
        <v>2.7850020746571946E-2</v>
      </c>
      <c r="F35" s="28">
        <f t="shared" si="13"/>
        <v>3.4895897583134827E-2</v>
      </c>
      <c r="G35" s="28">
        <f t="shared" si="13"/>
        <v>3.6324978759715298E-2</v>
      </c>
      <c r="H35" s="28">
        <f t="shared" si="13"/>
        <v>3.707845982707636E-2</v>
      </c>
    </row>
    <row r="36" spans="1:9" ht="15" x14ac:dyDescent="0.25">
      <c r="A36" s="628" t="s">
        <v>11</v>
      </c>
      <c r="B36" s="628"/>
      <c r="C36" s="206">
        <f t="shared" si="10"/>
        <v>-0.39928377113228819</v>
      </c>
      <c r="D36" s="206">
        <f t="shared" si="13"/>
        <v>3.3994718613428176E-4</v>
      </c>
      <c r="E36" s="206">
        <f t="shared" si="13"/>
        <v>-4.856672744901902E-2</v>
      </c>
      <c r="F36" s="206">
        <f t="shared" si="13"/>
        <v>0.11306866470387877</v>
      </c>
      <c r="G36" s="206">
        <f t="shared" si="13"/>
        <v>1.9347107529514851E-2</v>
      </c>
      <c r="H36" s="206">
        <f t="shared" si="13"/>
        <v>1.798021779006409E-2</v>
      </c>
    </row>
    <row r="38" spans="1:9" x14ac:dyDescent="0.2">
      <c r="A38" s="27"/>
    </row>
    <row r="40" spans="1:9" ht="14.25" x14ac:dyDescent="0.2">
      <c r="A40" s="623" t="s">
        <v>37</v>
      </c>
      <c r="B40" s="624"/>
      <c r="C40" s="473" t="s">
        <v>23</v>
      </c>
      <c r="D40" s="474" t="s">
        <v>23</v>
      </c>
      <c r="E40" s="625" t="s">
        <v>1</v>
      </c>
      <c r="F40" s="626"/>
      <c r="G40" s="626"/>
      <c r="H40" s="626"/>
      <c r="I40" s="627"/>
    </row>
    <row r="41" spans="1:9" ht="14.25" x14ac:dyDescent="0.2">
      <c r="A41" s="457"/>
      <c r="B41" s="458" t="s">
        <v>2</v>
      </c>
      <c r="C41" s="459">
        <f t="shared" ref="C41:I41" si="14">C4</f>
        <v>2023</v>
      </c>
      <c r="D41" s="460">
        <f t="shared" si="14"/>
        <v>2024</v>
      </c>
      <c r="E41" s="460" t="str">
        <f t="shared" si="14"/>
        <v>2025(p)</v>
      </c>
      <c r="F41" s="460" t="str">
        <f t="shared" si="14"/>
        <v>2026(p)</v>
      </c>
      <c r="G41" s="460" t="str">
        <f t="shared" si="14"/>
        <v>2027(p)</v>
      </c>
      <c r="H41" s="460" t="str">
        <f t="shared" si="14"/>
        <v>2028(p)</v>
      </c>
      <c r="I41" s="460" t="str">
        <f t="shared" si="14"/>
        <v>2029(p)</v>
      </c>
    </row>
    <row r="42" spans="1:9" x14ac:dyDescent="0.2">
      <c r="A42" s="7"/>
      <c r="B42" s="8" t="s">
        <v>12</v>
      </c>
      <c r="C42" s="535">
        <f>[5]Maladie!$H$10</f>
        <v>5134.0496223500004</v>
      </c>
      <c r="D42" s="535">
        <f>[5]Maladie!$I$10</f>
        <v>5306.8196092999988</v>
      </c>
      <c r="E42" s="535">
        <f>[5]Maladie!$R$10</f>
        <v>5469.8720079719387</v>
      </c>
      <c r="F42" s="535">
        <f>[5]Maladie!$W$10</f>
        <v>5666.713747875935</v>
      </c>
      <c r="G42" s="535">
        <f>[5]Maladie!$AB$10</f>
        <v>5918.281856591545</v>
      </c>
      <c r="H42" s="535">
        <f>[5]Maladie!$AG$10</f>
        <v>6176.3964518339844</v>
      </c>
      <c r="I42" s="535">
        <f>[5]Maladie!$AL$10</f>
        <v>6458.9132696539127</v>
      </c>
    </row>
    <row r="43" spans="1:9" x14ac:dyDescent="0.2">
      <c r="A43" s="10"/>
      <c r="B43" s="11" t="s">
        <v>35</v>
      </c>
      <c r="C43" s="536">
        <f>[5]AT!$H$10</f>
        <v>617.05188923999992</v>
      </c>
      <c r="D43" s="536">
        <f>[5]AT!$I$10</f>
        <v>625.26974294000001</v>
      </c>
      <c r="E43" s="536">
        <f>[5]AT!$R$10</f>
        <v>646.40184958045279</v>
      </c>
      <c r="F43" s="536">
        <f>[5]AT!$W$10</f>
        <v>667.54673684416684</v>
      </c>
      <c r="G43" s="536">
        <f>[5]AT!$AB$10</f>
        <v>690.18252399309461</v>
      </c>
      <c r="H43" s="536">
        <f>[5]AT!$AG$10</f>
        <v>713.05418934187276</v>
      </c>
      <c r="I43" s="536">
        <f>[5]AT!$AL$10</f>
        <v>736.04405396573191</v>
      </c>
    </row>
    <row r="44" spans="1:9" x14ac:dyDescent="0.2">
      <c r="A44" s="10"/>
      <c r="B44" s="11" t="s">
        <v>14</v>
      </c>
      <c r="C44" s="536">
        <f>[5]Famille!$H$10</f>
        <v>715.24798183999997</v>
      </c>
      <c r="D44" s="536">
        <f>[5]Famille!$I$10</f>
        <v>736.26927056</v>
      </c>
      <c r="E44" s="536">
        <f>[5]Famille!$R$10</f>
        <v>733.91567713151233</v>
      </c>
      <c r="F44" s="536">
        <f>[5]Famille!$W$10</f>
        <v>731.69603493117506</v>
      </c>
      <c r="G44" s="536">
        <f>[5]Famille!$AB$10</f>
        <v>731.69561629582518</v>
      </c>
      <c r="H44" s="536">
        <f>[5]Famille!$AG$10</f>
        <v>736.13832812133319</v>
      </c>
      <c r="I44" s="536">
        <f>[5]Famille!$AL$10</f>
        <v>742.50989710701413</v>
      </c>
    </row>
    <row r="45" spans="1:9" x14ac:dyDescent="0.2">
      <c r="A45" s="12"/>
      <c r="B45" s="13" t="s">
        <v>13</v>
      </c>
      <c r="C45" s="537">
        <f>[5]Vieillesse!$H$10</f>
        <v>6815.5706679599989</v>
      </c>
      <c r="D45" s="537">
        <f>[5]Vieillesse!$I$10</f>
        <v>7349.1206674400009</v>
      </c>
      <c r="E45" s="537">
        <f>[5]Vieillesse!$R$10</f>
        <v>7581.7590663947731</v>
      </c>
      <c r="F45" s="537">
        <f>[5]Vieillesse!$W$10</f>
        <v>7764.7265454003673</v>
      </c>
      <c r="G45" s="537">
        <f>[5]Vieillesse!$AB$10</f>
        <v>8012.7895637878273</v>
      </c>
      <c r="H45" s="537">
        <f>[5]Vieillesse!$AG$10</f>
        <v>8279.8204685064011</v>
      </c>
      <c r="I45" s="537">
        <f>[5]Vieillesse!$AL$10</f>
        <v>8559.9947917070149</v>
      </c>
    </row>
    <row r="46" spans="1:9" x14ac:dyDescent="0.2">
      <c r="A46" s="204"/>
      <c r="B46" s="203" t="s">
        <v>228</v>
      </c>
      <c r="C46" s="538">
        <f>[5]SASPA!$H$10</f>
        <v>675.39227533999997</v>
      </c>
      <c r="D46" s="538">
        <f>[5]SASPA!$I$10</f>
        <v>714.56468964999988</v>
      </c>
      <c r="E46" s="538">
        <f>[5]SASPA!$R$10</f>
        <v>731.89101604201687</v>
      </c>
      <c r="F46" s="538">
        <f>[5]SASPA!$W$10</f>
        <v>739.12476426949559</v>
      </c>
      <c r="G46" s="538">
        <f>[5]SASPA!$AB$10</f>
        <v>748.76287964262849</v>
      </c>
      <c r="H46" s="538">
        <f>[5]SASPA!$AG$10</f>
        <v>764.14992134849319</v>
      </c>
      <c r="I46" s="538">
        <f>[5]SASPA!$AL$10</f>
        <v>782.27592626677369</v>
      </c>
    </row>
    <row r="47" spans="1:9" ht="14.25" x14ac:dyDescent="0.2">
      <c r="A47" s="17" t="s">
        <v>15</v>
      </c>
      <c r="B47" s="18"/>
      <c r="C47" s="29">
        <f>SUM(C42:C46)</f>
        <v>13957.312436729999</v>
      </c>
      <c r="D47" s="29">
        <f t="shared" ref="D47:I47" si="15">SUM(D42:D46)</f>
        <v>14732.043979890001</v>
      </c>
      <c r="E47" s="29">
        <f t="shared" si="15"/>
        <v>15163.839617120693</v>
      </c>
      <c r="F47" s="29">
        <f t="shared" si="15"/>
        <v>15569.80782932114</v>
      </c>
      <c r="G47" s="29">
        <f t="shared" si="15"/>
        <v>16101.712440310921</v>
      </c>
      <c r="H47" s="29">
        <f t="shared" si="15"/>
        <v>16669.559359152085</v>
      </c>
      <c r="I47" s="29">
        <f t="shared" si="15"/>
        <v>17279.737938700448</v>
      </c>
    </row>
    <row r="48" spans="1:9" x14ac:dyDescent="0.2">
      <c r="A48" s="22" t="s">
        <v>21</v>
      </c>
      <c r="B48" s="23"/>
      <c r="C48" s="131">
        <f t="shared" ref="C48:I48" si="16">C47/C10</f>
        <v>0.88255041366108822</v>
      </c>
      <c r="D48" s="131">
        <f t="shared" si="16"/>
        <v>0.88868940010443598</v>
      </c>
      <c r="E48" s="131">
        <f t="shared" si="16"/>
        <v>0.89470757046163674</v>
      </c>
      <c r="F48" s="131">
        <f t="shared" si="16"/>
        <v>0.89362653899085021</v>
      </c>
      <c r="G48" s="131">
        <f t="shared" si="16"/>
        <v>0.89312747990639207</v>
      </c>
      <c r="H48" s="131">
        <f t="shared" si="16"/>
        <v>0.89218377071490307</v>
      </c>
      <c r="I48" s="131">
        <f t="shared" si="16"/>
        <v>0.89174135702699053</v>
      </c>
    </row>
    <row r="49" spans="1:9" x14ac:dyDescent="0.2">
      <c r="A49" s="7"/>
      <c r="B49" s="8" t="s">
        <v>16</v>
      </c>
      <c r="C49" s="539">
        <f>[5]Maladie!$H$158</f>
        <v>1718.7206791599999</v>
      </c>
      <c r="D49" s="535">
        <f>[5]Maladie!$I$158</f>
        <v>1816.51448605</v>
      </c>
      <c r="E49" s="535">
        <f>[5]Maladie!$R$158</f>
        <v>1980.0427978314967</v>
      </c>
      <c r="F49" s="535">
        <f>[5]Maladie!$W$158</f>
        <v>2114.2320305798248</v>
      </c>
      <c r="G49" s="535">
        <f>[5]Maladie!$AB$158</f>
        <v>2238.9139781236968</v>
      </c>
      <c r="H49" s="535">
        <f>[5]Maladie!$AG$158</f>
        <v>2360.2095018033783</v>
      </c>
      <c r="I49" s="535">
        <f>[5]Maladie!$AL$158</f>
        <v>2485.153634779183</v>
      </c>
    </row>
    <row r="50" spans="1:9" x14ac:dyDescent="0.2">
      <c r="A50" s="10"/>
      <c r="B50" s="154" t="s">
        <v>249</v>
      </c>
      <c r="C50" s="536">
        <f>[5]AT!$H$100</f>
        <v>527.6335978699999</v>
      </c>
      <c r="D50" s="536">
        <f>[5]AT!$I$100</f>
        <v>537.76405104999992</v>
      </c>
      <c r="E50" s="536">
        <f>[5]AT!$R$100</f>
        <v>558.22157826637499</v>
      </c>
      <c r="F50" s="536">
        <f>[5]AT!$W$100</f>
        <v>574.97901304413813</v>
      </c>
      <c r="G50" s="536">
        <f>[5]AT!$AB$100</f>
        <v>592.03025311033093</v>
      </c>
      <c r="H50" s="536">
        <f>[5]AT!$AG$100</f>
        <v>608.98937175913932</v>
      </c>
      <c r="I50" s="536">
        <f>[5]AT!$AL$100</f>
        <v>626.34465186726811</v>
      </c>
    </row>
    <row r="51" spans="1:9" x14ac:dyDescent="0.2">
      <c r="A51" s="10"/>
      <c r="B51" s="11" t="s">
        <v>18</v>
      </c>
      <c r="C51" s="536">
        <f>[5]Famille!$H$92</f>
        <v>705.25293506999992</v>
      </c>
      <c r="D51" s="536">
        <f>[5]Famille!$I$92</f>
        <v>742.87408088999996</v>
      </c>
      <c r="E51" s="536">
        <f>[5]Famille!$R$92</f>
        <v>795.97136909478684</v>
      </c>
      <c r="F51" s="536">
        <f>[5]Famille!$W$92</f>
        <v>835.79384953420367</v>
      </c>
      <c r="G51" s="536">
        <f>[5]Famille!$AB$92</f>
        <v>870.71073452464111</v>
      </c>
      <c r="H51" s="536">
        <f>[5]Famille!$AG$92</f>
        <v>904.83763569698567</v>
      </c>
      <c r="I51" s="536">
        <f>[5]Famille!$AL$92</f>
        <v>941.07733864355248</v>
      </c>
    </row>
    <row r="52" spans="1:9" x14ac:dyDescent="0.2">
      <c r="A52" s="10"/>
      <c r="B52" s="11" t="s">
        <v>17</v>
      </c>
      <c r="C52" s="536">
        <f>[5]Vieillesse!$H$108</f>
        <v>3352.37812231</v>
      </c>
      <c r="D52" s="536">
        <f>[5]Vieillesse!$I$108</f>
        <v>3543.3168391900003</v>
      </c>
      <c r="E52" s="536">
        <f>[5]Vieillesse!$R$108</f>
        <v>3686.6225419720586</v>
      </c>
      <c r="F52" s="536">
        <f>[5]Vieillesse!$W$108</f>
        <v>3825.0958706280553</v>
      </c>
      <c r="G52" s="536">
        <f>[5]Vieillesse!$AB$108</f>
        <v>3948.5095868937119</v>
      </c>
      <c r="H52" s="536">
        <f>[5]Vieillesse!$AG$108</f>
        <v>4067.9693628136661</v>
      </c>
      <c r="I52" s="536">
        <f>[5]Vieillesse!$AL$108</f>
        <v>4194.5973265172679</v>
      </c>
    </row>
    <row r="53" spans="1:9" x14ac:dyDescent="0.2">
      <c r="A53" s="204"/>
      <c r="B53" s="203" t="s">
        <v>229</v>
      </c>
      <c r="C53" s="538">
        <f>[5]SASPA!$H$107</f>
        <v>0</v>
      </c>
      <c r="D53" s="538">
        <f>[5]SASPA!$I$107</f>
        <v>0</v>
      </c>
      <c r="E53" s="538">
        <f>[5]SASPA!$R$107</f>
        <v>0</v>
      </c>
      <c r="F53" s="538">
        <f>[5]SASPA!$W$107</f>
        <v>0</v>
      </c>
      <c r="G53" s="538">
        <f>[5]SASPA!$AB$107</f>
        <v>0</v>
      </c>
      <c r="H53" s="538">
        <f>[5]SASPA!$AG$107</f>
        <v>0</v>
      </c>
      <c r="I53" s="538">
        <f>[5]SASPA!$AL$107</f>
        <v>0</v>
      </c>
    </row>
    <row r="54" spans="1:9" ht="14.25" x14ac:dyDescent="0.2">
      <c r="A54" s="17" t="s">
        <v>19</v>
      </c>
      <c r="B54" s="18"/>
      <c r="C54" s="29">
        <f>SUM(C49:C53)</f>
        <v>6303.9853344099993</v>
      </c>
      <c r="D54" s="29">
        <f t="shared" ref="D54:I54" si="17">SUM(D49:D53)</f>
        <v>6640.469457180001</v>
      </c>
      <c r="E54" s="29">
        <f t="shared" si="17"/>
        <v>7020.8582871647177</v>
      </c>
      <c r="F54" s="29">
        <f t="shared" si="17"/>
        <v>7350.1007637862222</v>
      </c>
      <c r="G54" s="29">
        <f t="shared" si="17"/>
        <v>7650.1645526523807</v>
      </c>
      <c r="H54" s="29">
        <f t="shared" si="17"/>
        <v>7942.0058720731695</v>
      </c>
      <c r="I54" s="29">
        <f t="shared" si="17"/>
        <v>8247.1729518072716</v>
      </c>
    </row>
    <row r="55" spans="1:9" x14ac:dyDescent="0.2">
      <c r="A55" s="22" t="s">
        <v>22</v>
      </c>
      <c r="B55" s="23"/>
      <c r="C55" s="30">
        <f t="shared" ref="C55:I55" si="18">C54/C16</f>
        <v>0.39709261658421452</v>
      </c>
      <c r="D55" s="30">
        <f t="shared" si="18"/>
        <v>0.39969898611043847</v>
      </c>
      <c r="E55" s="30">
        <f t="shared" si="18"/>
        <v>0.41336140895056012</v>
      </c>
      <c r="F55" s="30">
        <f t="shared" si="18"/>
        <v>0.42102052233234977</v>
      </c>
      <c r="G55" s="30">
        <f t="shared" si="18"/>
        <v>0.42343239814823658</v>
      </c>
      <c r="H55" s="30">
        <f t="shared" si="18"/>
        <v>0.4241774188495358</v>
      </c>
      <c r="I55" s="30">
        <f t="shared" si="18"/>
        <v>0.42472793824985483</v>
      </c>
    </row>
    <row r="57" spans="1:9" ht="14.25" x14ac:dyDescent="0.2">
      <c r="A57" s="623" t="s">
        <v>37</v>
      </c>
      <c r="B57" s="624"/>
      <c r="C57" s="470" t="s">
        <v>23</v>
      </c>
      <c r="D57" s="630" t="s">
        <v>1</v>
      </c>
      <c r="E57" s="630"/>
      <c r="F57" s="630"/>
      <c r="G57" s="630"/>
      <c r="H57" s="630"/>
    </row>
    <row r="58" spans="1:9" ht="14.25" x14ac:dyDescent="0.2">
      <c r="A58" s="457"/>
      <c r="B58" s="471" t="s">
        <v>0</v>
      </c>
      <c r="C58" s="472" t="str">
        <f t="shared" ref="C58:H58" si="19">C23</f>
        <v>2024/2023</v>
      </c>
      <c r="D58" s="472" t="str">
        <f t="shared" si="19"/>
        <v>2025/2024</v>
      </c>
      <c r="E58" s="472" t="str">
        <f t="shared" si="19"/>
        <v>2026/2025</v>
      </c>
      <c r="F58" s="472" t="str">
        <f t="shared" si="19"/>
        <v>2027/2026</v>
      </c>
      <c r="G58" s="472" t="str">
        <f t="shared" si="19"/>
        <v>2028/2027</v>
      </c>
      <c r="H58" s="472" t="str">
        <f t="shared" si="19"/>
        <v>2029/2028</v>
      </c>
    </row>
    <row r="59" spans="1:9" x14ac:dyDescent="0.2">
      <c r="A59" s="7"/>
      <c r="B59" s="8" t="s">
        <v>12</v>
      </c>
      <c r="C59" s="127">
        <f t="shared" ref="C59:H59" si="20">D42/C42-1</f>
        <v>3.3651795299733944E-2</v>
      </c>
      <c r="D59" s="127">
        <f t="shared" si="20"/>
        <v>3.0725069001063643E-2</v>
      </c>
      <c r="E59" s="127">
        <f t="shared" si="20"/>
        <v>3.5986534898277966E-2</v>
      </c>
      <c r="F59" s="127">
        <f t="shared" si="20"/>
        <v>4.4394003280985528E-2</v>
      </c>
      <c r="G59" s="127">
        <f t="shared" si="20"/>
        <v>4.3613096080404201E-2</v>
      </c>
      <c r="H59" s="127">
        <f t="shared" si="20"/>
        <v>4.5741367158521617E-2</v>
      </c>
    </row>
    <row r="60" spans="1:9" x14ac:dyDescent="0.2">
      <c r="A60" s="10"/>
      <c r="B60" s="13" t="s">
        <v>35</v>
      </c>
      <c r="C60" s="127">
        <f t="shared" ref="C60:H60" si="21">D43/C43-1</f>
        <v>1.3317929728927203E-2</v>
      </c>
      <c r="D60" s="127">
        <f t="shared" si="21"/>
        <v>3.3796784314382933E-2</v>
      </c>
      <c r="E60" s="127">
        <f t="shared" si="21"/>
        <v>3.2711675063179513E-2</v>
      </c>
      <c r="F60" s="127">
        <f t="shared" si="21"/>
        <v>3.3908917382981629E-2</v>
      </c>
      <c r="G60" s="127">
        <f t="shared" si="21"/>
        <v>3.313857501991313E-2</v>
      </c>
      <c r="H60" s="127">
        <f t="shared" si="21"/>
        <v>3.2241398995324744E-2</v>
      </c>
    </row>
    <row r="61" spans="1:9" x14ac:dyDescent="0.2">
      <c r="A61" s="10"/>
      <c r="B61" s="11" t="s">
        <v>14</v>
      </c>
      <c r="C61" s="127">
        <f t="shared" ref="C61:H63" si="22">D44/C44-1</f>
        <v>2.9390210463680067E-2</v>
      </c>
      <c r="D61" s="127">
        <f t="shared" si="22"/>
        <v>-3.1966476431883883E-3</v>
      </c>
      <c r="E61" s="127">
        <f t="shared" si="22"/>
        <v>-3.0243831403257149E-3</v>
      </c>
      <c r="F61" s="127">
        <f t="shared" si="22"/>
        <v>-5.721438000039214E-7</v>
      </c>
      <c r="G61" s="127">
        <f t="shared" si="22"/>
        <v>6.0718032561122293E-3</v>
      </c>
      <c r="H61" s="127">
        <f t="shared" si="22"/>
        <v>8.6553963328352967E-3</v>
      </c>
    </row>
    <row r="62" spans="1:9" x14ac:dyDescent="0.2">
      <c r="A62" s="12"/>
      <c r="B62" s="11" t="s">
        <v>13</v>
      </c>
      <c r="C62" s="127">
        <f>D45/C45-1</f>
        <v>7.8283980237813466E-2</v>
      </c>
      <c r="D62" s="127">
        <f t="shared" si="22"/>
        <v>3.165526999515289E-2</v>
      </c>
      <c r="E62" s="127">
        <f t="shared" si="22"/>
        <v>2.4132589469451071E-2</v>
      </c>
      <c r="F62" s="127">
        <f t="shared" si="22"/>
        <v>3.1947424926948242E-2</v>
      </c>
      <c r="G62" s="127">
        <f t="shared" si="22"/>
        <v>3.3325585626929E-2</v>
      </c>
      <c r="H62" s="127">
        <f t="shared" si="22"/>
        <v>3.3838212346064767E-2</v>
      </c>
    </row>
    <row r="63" spans="1:9" x14ac:dyDescent="0.2">
      <c r="A63" s="204"/>
      <c r="B63" s="119" t="str">
        <f>B46</f>
        <v>Prestations SASPA</v>
      </c>
      <c r="C63" s="127">
        <f>D46/C46-1</f>
        <v>5.7999500053920627E-2</v>
      </c>
      <c r="D63" s="127">
        <f t="shared" si="22"/>
        <v>2.4247386755849254E-2</v>
      </c>
      <c r="E63" s="127">
        <f t="shared" si="22"/>
        <v>9.8836412374589955E-3</v>
      </c>
      <c r="F63" s="127">
        <f t="shared" si="22"/>
        <v>1.3039903192336721E-2</v>
      </c>
      <c r="G63" s="127">
        <f t="shared" si="22"/>
        <v>2.0549952627470836E-2</v>
      </c>
      <c r="H63" s="127">
        <f t="shared" si="22"/>
        <v>2.372048260672921E-2</v>
      </c>
    </row>
    <row r="64" spans="1:9" ht="14.25" x14ac:dyDescent="0.2">
      <c r="A64" s="17" t="s">
        <v>15</v>
      </c>
      <c r="B64" s="21"/>
      <c r="C64" s="124">
        <f t="shared" ref="C64:H64" si="23">D47/C47-1</f>
        <v>5.5507215065360382E-2</v>
      </c>
      <c r="D64" s="124">
        <f t="shared" si="23"/>
        <v>2.9309961185298938E-2</v>
      </c>
      <c r="E64" s="124">
        <f t="shared" si="23"/>
        <v>2.6772125164268301E-2</v>
      </c>
      <c r="F64" s="124">
        <f t="shared" si="23"/>
        <v>3.4162567503761787E-2</v>
      </c>
      <c r="G64" s="124">
        <f t="shared" si="23"/>
        <v>3.5266243944311659E-2</v>
      </c>
      <c r="H64" s="124">
        <f t="shared" si="23"/>
        <v>3.6604361663186813E-2</v>
      </c>
    </row>
    <row r="65" spans="1:8" x14ac:dyDescent="0.2">
      <c r="A65" s="7"/>
      <c r="B65" s="8" t="s">
        <v>16</v>
      </c>
      <c r="C65" s="127">
        <f t="shared" ref="C65:H65" si="24">D49/C49-1</f>
        <v>5.6899185583660694E-2</v>
      </c>
      <c r="D65" s="127">
        <f t="shared" si="24"/>
        <v>9.0023125627304079E-2</v>
      </c>
      <c r="E65" s="127">
        <f t="shared" si="24"/>
        <v>6.7770874899921063E-2</v>
      </c>
      <c r="F65" s="127">
        <f t="shared" si="24"/>
        <v>5.8972688778004212E-2</v>
      </c>
      <c r="G65" s="127">
        <f t="shared" si="24"/>
        <v>5.4176053597794871E-2</v>
      </c>
      <c r="H65" s="127">
        <f t="shared" si="24"/>
        <v>5.293772984149836E-2</v>
      </c>
    </row>
    <row r="66" spans="1:8" x14ac:dyDescent="0.2">
      <c r="A66" s="10"/>
      <c r="B66" s="13" t="s">
        <v>36</v>
      </c>
      <c r="C66" s="127">
        <f t="shared" ref="C66:H67" si="25">D50/C50-1</f>
        <v>1.9199787922709266E-2</v>
      </c>
      <c r="D66" s="127">
        <f t="shared" si="25"/>
        <v>3.8041827408193507E-2</v>
      </c>
      <c r="E66" s="127">
        <f t="shared" si="25"/>
        <v>3.0019324637727829E-2</v>
      </c>
      <c r="F66" s="127">
        <f t="shared" si="25"/>
        <v>2.9655412944409321E-2</v>
      </c>
      <c r="G66" s="127">
        <f t="shared" si="25"/>
        <v>2.8645695992241649E-2</v>
      </c>
      <c r="H66" s="127">
        <f t="shared" si="25"/>
        <v>2.8498494247930717E-2</v>
      </c>
    </row>
    <row r="67" spans="1:8" x14ac:dyDescent="0.2">
      <c r="A67" s="10"/>
      <c r="B67" s="11" t="s">
        <v>18</v>
      </c>
      <c r="C67" s="127">
        <f t="shared" si="25"/>
        <v>5.3344188941611304E-2</v>
      </c>
      <c r="D67" s="127">
        <f t="shared" si="25"/>
        <v>7.1475489010430548E-2</v>
      </c>
      <c r="E67" s="127">
        <f t="shared" si="25"/>
        <v>5.0030041262294045E-2</v>
      </c>
      <c r="F67" s="127">
        <f t="shared" si="25"/>
        <v>4.1776910669894196E-2</v>
      </c>
      <c r="G67" s="127">
        <f t="shared" si="25"/>
        <v>3.919430393950063E-2</v>
      </c>
      <c r="H67" s="127">
        <f t="shared" si="25"/>
        <v>4.0051056141858776E-2</v>
      </c>
    </row>
    <row r="68" spans="1:8" x14ac:dyDescent="0.2">
      <c r="A68" s="10"/>
      <c r="B68" s="11" t="s">
        <v>17</v>
      </c>
      <c r="C68" s="127">
        <f t="shared" ref="C68:H70" si="26">D52/C52-1</f>
        <v>5.695619942431529E-2</v>
      </c>
      <c r="D68" s="127">
        <f t="shared" si="26"/>
        <v>4.0443942578620051E-2</v>
      </c>
      <c r="E68" s="127">
        <f t="shared" si="26"/>
        <v>3.7561026950679866E-2</v>
      </c>
      <c r="F68" s="127">
        <f t="shared" si="26"/>
        <v>3.2264215183028355E-2</v>
      </c>
      <c r="G68" s="127">
        <f t="shared" si="26"/>
        <v>3.0254396827723795E-2</v>
      </c>
      <c r="H68" s="127">
        <f t="shared" si="26"/>
        <v>3.1128052453182065E-2</v>
      </c>
    </row>
    <row r="69" spans="1:8" x14ac:dyDescent="0.2">
      <c r="A69" s="204"/>
      <c r="B69" s="119" t="str">
        <f>B53</f>
        <v>Cotsations SASPA</v>
      </c>
      <c r="C69" s="127" t="e">
        <f t="shared" si="26"/>
        <v>#DIV/0!</v>
      </c>
      <c r="D69" s="127" t="e">
        <f t="shared" si="26"/>
        <v>#DIV/0!</v>
      </c>
      <c r="E69" s="127" t="e">
        <f t="shared" si="26"/>
        <v>#DIV/0!</v>
      </c>
      <c r="F69" s="127" t="e">
        <f t="shared" si="26"/>
        <v>#DIV/0!</v>
      </c>
      <c r="G69" s="127" t="e">
        <f t="shared" si="26"/>
        <v>#DIV/0!</v>
      </c>
      <c r="H69" s="127" t="e">
        <f t="shared" si="26"/>
        <v>#DIV/0!</v>
      </c>
    </row>
    <row r="70" spans="1:8" ht="14.25" x14ac:dyDescent="0.2">
      <c r="A70" s="17" t="s">
        <v>19</v>
      </c>
      <c r="B70" s="21"/>
      <c r="C70" s="124">
        <f t="shared" si="26"/>
        <v>5.3376412685054886E-2</v>
      </c>
      <c r="D70" s="124">
        <f t="shared" si="26"/>
        <v>5.7283424377989167E-2</v>
      </c>
      <c r="E70" s="124">
        <f t="shared" si="26"/>
        <v>4.6894904177657848E-2</v>
      </c>
      <c r="F70" s="124">
        <f t="shared" si="26"/>
        <v>4.0824445610945448E-2</v>
      </c>
      <c r="G70" s="124">
        <f t="shared" si="26"/>
        <v>3.8148371503931244E-2</v>
      </c>
      <c r="H70" s="124">
        <f t="shared" si="26"/>
        <v>3.8424433908714972E-2</v>
      </c>
    </row>
  </sheetData>
  <mergeCells count="14">
    <mergeCell ref="N3:R3"/>
    <mergeCell ref="A3:B3"/>
    <mergeCell ref="E3:I3"/>
    <mergeCell ref="A17:B17"/>
    <mergeCell ref="A57:B57"/>
    <mergeCell ref="D57:H57"/>
    <mergeCell ref="A22:B22"/>
    <mergeCell ref="D22:H22"/>
    <mergeCell ref="A36:B36"/>
    <mergeCell ref="A40:B40"/>
    <mergeCell ref="E40:I40"/>
    <mergeCell ref="N20:R20"/>
    <mergeCell ref="M12:N12"/>
    <mergeCell ref="O12:S12"/>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M90"/>
  <sheetViews>
    <sheetView zoomScale="90" zoomScaleNormal="90" workbookViewId="0">
      <pane xSplit="1" ySplit="1" topLeftCell="B2" activePane="bottomRight" state="frozen"/>
      <selection activeCell="A42" sqref="A42"/>
      <selection pane="topRight" activeCell="A42" sqref="A42"/>
      <selection pane="bottomLeft" activeCell="A42" sqref="A42"/>
      <selection pane="bottomRight"/>
    </sheetView>
  </sheetViews>
  <sheetFormatPr baseColWidth="10" defaultRowHeight="12.75" x14ac:dyDescent="0.2"/>
  <cols>
    <col min="1" max="1" width="30.5703125" customWidth="1"/>
    <col min="2" max="3" width="17.85546875" bestFit="1" customWidth="1"/>
    <col min="4" max="4" width="18.140625" bestFit="1" customWidth="1"/>
    <col min="5" max="5" width="17.85546875" bestFit="1" customWidth="1"/>
    <col min="6" max="8" width="18.140625" bestFit="1" customWidth="1"/>
    <col min="9" max="9" width="26.28515625" bestFit="1" customWidth="1"/>
    <col min="13" max="13" width="10.85546875" bestFit="1" customWidth="1"/>
  </cols>
  <sheetData>
    <row r="1" spans="1:8" x14ac:dyDescent="0.2">
      <c r="A1" s="54"/>
      <c r="B1" s="454" t="s">
        <v>265</v>
      </c>
      <c r="C1" s="454" t="s">
        <v>250</v>
      </c>
      <c r="D1" s="455" t="s">
        <v>251</v>
      </c>
      <c r="E1" s="455" t="s">
        <v>252</v>
      </c>
      <c r="F1" s="455" t="s">
        <v>253</v>
      </c>
      <c r="G1" s="455" t="s">
        <v>266</v>
      </c>
      <c r="H1" s="455" t="s">
        <v>280</v>
      </c>
    </row>
    <row r="2" spans="1:8" x14ac:dyDescent="0.2">
      <c r="A2" s="55" t="s">
        <v>40</v>
      </c>
      <c r="B2" s="450">
        <f>TableauxNote!C5</f>
        <v>6137.2472051500008</v>
      </c>
      <c r="C2" s="450">
        <f>TableauxNote!D5</f>
        <v>6293.6637514799995</v>
      </c>
      <c r="D2" s="87">
        <f>TableauxNote!E5</f>
        <v>6477.6755286877024</v>
      </c>
      <c r="E2" s="87">
        <f>TableauxNote!F5</f>
        <v>6704.9396173481819</v>
      </c>
      <c r="F2" s="87">
        <f>TableauxNote!G5</f>
        <v>6992.0216149166044</v>
      </c>
      <c r="G2" s="87">
        <f>TableauxNote!H5</f>
        <v>7286.3415456999337</v>
      </c>
      <c r="H2" s="87">
        <f>TableauxNote!I5</f>
        <v>7607.1297545954249</v>
      </c>
    </row>
    <row r="3" spans="1:8" x14ac:dyDescent="0.2">
      <c r="A3" s="55" t="s">
        <v>41</v>
      </c>
      <c r="B3" s="450">
        <f>TableauxNote!C6</f>
        <v>766.76793252999994</v>
      </c>
      <c r="C3" s="450">
        <f>TableauxNote!D6</f>
        <v>789.59321995000005</v>
      </c>
      <c r="D3" s="87">
        <f>TableauxNote!E6</f>
        <v>810.7490663631288</v>
      </c>
      <c r="E3" s="87">
        <f>TableauxNote!F6</f>
        <v>838.88803468435356</v>
      </c>
      <c r="F3" s="87">
        <f>TableauxNote!G6</f>
        <v>861.01224208563576</v>
      </c>
      <c r="G3" s="87">
        <f>TableauxNote!H6</f>
        <v>887.46561786895973</v>
      </c>
      <c r="H3" s="87">
        <f>TableauxNote!I6</f>
        <v>914.06593977328225</v>
      </c>
    </row>
    <row r="4" spans="1:8" x14ac:dyDescent="0.2">
      <c r="A4" s="55" t="s">
        <v>42</v>
      </c>
      <c r="B4" s="450">
        <f>TableauxNote!C7</f>
        <v>981.95520630999999</v>
      </c>
      <c r="C4" s="450">
        <f>TableauxNote!D7</f>
        <v>990.55856647999997</v>
      </c>
      <c r="D4" s="87">
        <f>TableauxNote!E7</f>
        <v>991.12770663063793</v>
      </c>
      <c r="E4" s="87">
        <f>TableauxNote!F7</f>
        <v>1006.7071715161514</v>
      </c>
      <c r="F4" s="87">
        <f>TableauxNote!G7</f>
        <v>1043.4838421464328</v>
      </c>
      <c r="G4" s="87">
        <f>TableauxNote!H7</f>
        <v>1081.5850628658939</v>
      </c>
      <c r="H4" s="87">
        <f>TableauxNote!I7</f>
        <v>1120.6003879291436</v>
      </c>
    </row>
    <row r="5" spans="1:8" x14ac:dyDescent="0.2">
      <c r="A5" s="55" t="s">
        <v>43</v>
      </c>
      <c r="B5" s="450">
        <f>TableauxNote!C8</f>
        <v>7234.5708767199994</v>
      </c>
      <c r="C5" s="450">
        <f>TableauxNote!D8</f>
        <v>7750.1797332300011</v>
      </c>
      <c r="D5" s="87">
        <f>TableauxNote!E8</f>
        <v>7896.6597101714915</v>
      </c>
      <c r="E5" s="87">
        <f>TableauxNote!F8</f>
        <v>8087.1974085853371</v>
      </c>
      <c r="F5" s="87">
        <f>TableauxNote!G8</f>
        <v>8342.5805286315899</v>
      </c>
      <c r="G5" s="87">
        <f>TableauxNote!H8</f>
        <v>8617.0247544553094</v>
      </c>
      <c r="H5" s="87">
        <f>TableauxNote!I8</f>
        <v>8905.0599620090816</v>
      </c>
    </row>
    <row r="6" spans="1:8" x14ac:dyDescent="0.2">
      <c r="A6" s="55" t="s">
        <v>231</v>
      </c>
      <c r="B6" s="450">
        <f>TableauxNote!C9</f>
        <v>694.20683297999994</v>
      </c>
      <c r="C6" s="450">
        <f>TableauxNote!D9</f>
        <v>753.27455806999978</v>
      </c>
      <c r="D6" s="87">
        <f>TableauxNote!E9</f>
        <v>772.16320899903542</v>
      </c>
      <c r="E6" s="87">
        <f>TableauxNote!F9</f>
        <v>785.43857801640775</v>
      </c>
      <c r="F6" s="87">
        <f>TableauxNote!G9</f>
        <v>789.36109361305978</v>
      </c>
      <c r="G6" s="87">
        <f>TableauxNote!H9</f>
        <v>811.58053880793341</v>
      </c>
      <c r="H6" s="87">
        <f>TableauxNote!I9</f>
        <v>830.66615148984363</v>
      </c>
    </row>
    <row r="7" spans="1:8" x14ac:dyDescent="0.2">
      <c r="A7" s="56" t="s">
        <v>44</v>
      </c>
      <c r="B7" s="451">
        <f>SUM(B2:B6)</f>
        <v>15814.74805369</v>
      </c>
      <c r="C7" s="451">
        <f t="shared" ref="C7:H7" si="0">SUM(C2:C6)</f>
        <v>16577.269829209999</v>
      </c>
      <c r="D7" s="88">
        <f t="shared" si="0"/>
        <v>16948.375220851995</v>
      </c>
      <c r="E7" s="88">
        <f t="shared" si="0"/>
        <v>17423.170810150434</v>
      </c>
      <c r="F7" s="88">
        <f t="shared" si="0"/>
        <v>18028.459321393322</v>
      </c>
      <c r="G7" s="88">
        <f t="shared" si="0"/>
        <v>18683.99751969803</v>
      </c>
      <c r="H7" s="88">
        <f t="shared" si="0"/>
        <v>19377.522195796777</v>
      </c>
    </row>
    <row r="8" spans="1:8" x14ac:dyDescent="0.2">
      <c r="A8" s="56" t="s">
        <v>45</v>
      </c>
      <c r="B8" s="452">
        <f>TableauxNote!C10</f>
        <v>15814.74805369</v>
      </c>
      <c r="C8" s="452">
        <f>TableauxNote!D10</f>
        <v>16577.269829209999</v>
      </c>
      <c r="D8" s="86">
        <f>TableauxNote!E10</f>
        <v>16948.375220851995</v>
      </c>
      <c r="E8" s="86">
        <f>TableauxNote!F10</f>
        <v>17423.170810150434</v>
      </c>
      <c r="F8" s="86">
        <f>TableauxNote!G10</f>
        <v>18028.459321393322</v>
      </c>
      <c r="G8" s="86">
        <f>TableauxNote!H10</f>
        <v>18683.99751969803</v>
      </c>
      <c r="H8" s="86">
        <f>TableauxNote!I10</f>
        <v>19377.522195796777</v>
      </c>
    </row>
    <row r="9" spans="1:8" x14ac:dyDescent="0.2">
      <c r="A9" s="56"/>
      <c r="B9" s="452"/>
      <c r="C9" s="452"/>
      <c r="D9" s="86"/>
      <c r="E9" s="86"/>
      <c r="F9" s="86"/>
      <c r="G9" s="86"/>
      <c r="H9" s="86"/>
    </row>
    <row r="10" spans="1:8" x14ac:dyDescent="0.2">
      <c r="A10" t="s">
        <v>46</v>
      </c>
      <c r="B10" s="192">
        <f>TableauxNote!C11</f>
        <v>6137.2472051499999</v>
      </c>
      <c r="C10" s="192">
        <f>TableauxNote!D11</f>
        <v>6293.6637514799995</v>
      </c>
      <c r="D10" s="89">
        <f>TableauxNote!E11</f>
        <v>6477.6755286877014</v>
      </c>
      <c r="E10" s="89">
        <f>TableauxNote!F11</f>
        <v>6704.9396173481819</v>
      </c>
      <c r="F10" s="89">
        <f>TableauxNote!G11</f>
        <v>6992.0216149166054</v>
      </c>
      <c r="G10" s="89">
        <f>TableauxNote!H11</f>
        <v>7286.3415456999337</v>
      </c>
      <c r="H10" s="89">
        <f>TableauxNote!I11</f>
        <v>7607.1297545954249</v>
      </c>
    </row>
    <row r="11" spans="1:8" x14ac:dyDescent="0.2">
      <c r="A11" t="s">
        <v>47</v>
      </c>
      <c r="B11" s="192">
        <f>TableauxNote!C12</f>
        <v>827.33309961999987</v>
      </c>
      <c r="C11" s="192">
        <f>TableauxNote!D12</f>
        <v>825.99940177999986</v>
      </c>
      <c r="D11" s="89">
        <f>TableauxNote!E12</f>
        <v>847.1676243721995</v>
      </c>
      <c r="E11" s="89">
        <f>TableauxNote!F12</f>
        <v>873.53786251251131</v>
      </c>
      <c r="F11" s="89">
        <f>TableauxNote!G12</f>
        <v>899.57987967854115</v>
      </c>
      <c r="G11" s="89">
        <f>TableauxNote!H12</f>
        <v>926.77942769353899</v>
      </c>
      <c r="H11" s="89">
        <f>TableauxNote!I12</f>
        <v>954.08662046066195</v>
      </c>
    </row>
    <row r="12" spans="1:8" x14ac:dyDescent="0.2">
      <c r="A12" t="s">
        <v>48</v>
      </c>
      <c r="B12" s="192">
        <f>TableauxNote!C13</f>
        <v>981.95520630999999</v>
      </c>
      <c r="C12" s="192">
        <f>TableauxNote!D13</f>
        <v>990.55856647999997</v>
      </c>
      <c r="D12" s="89">
        <f>TableauxNote!E13</f>
        <v>991.12770663063782</v>
      </c>
      <c r="E12" s="89">
        <f>TableauxNote!F13</f>
        <v>1006.7071715161517</v>
      </c>
      <c r="F12" s="89">
        <f>TableauxNote!G13</f>
        <v>1043.4838421464328</v>
      </c>
      <c r="G12" s="89">
        <f>TableauxNote!H13</f>
        <v>1081.5850628658939</v>
      </c>
      <c r="H12" s="89">
        <f>TableauxNote!I13</f>
        <v>1120.6003879291438</v>
      </c>
    </row>
    <row r="13" spans="1:8" x14ac:dyDescent="0.2">
      <c r="A13" t="s">
        <v>49</v>
      </c>
      <c r="B13" s="192">
        <f>TableauxNote!C14</f>
        <v>7234.6103347100006</v>
      </c>
      <c r="C13" s="192">
        <f>TableauxNote!D14</f>
        <v>7750.1797332300002</v>
      </c>
      <c r="D13" s="89">
        <f>TableauxNote!E14</f>
        <v>7896.6597101714906</v>
      </c>
      <c r="E13" s="89">
        <f>TableauxNote!F14</f>
        <v>8087.1974085853371</v>
      </c>
      <c r="F13" s="89">
        <f>TableauxNote!G14</f>
        <v>8342.5805286315881</v>
      </c>
      <c r="G13" s="89">
        <f>TableauxNote!H14</f>
        <v>8617.0247544553113</v>
      </c>
      <c r="H13" s="89">
        <f>TableauxNote!I14</f>
        <v>8905.0599620090816</v>
      </c>
    </row>
    <row r="14" spans="1:8" x14ac:dyDescent="0.2">
      <c r="A14" s="128" t="s">
        <v>232</v>
      </c>
      <c r="B14" s="192">
        <f>TableauxNote!C15</f>
        <v>694.20683297999994</v>
      </c>
      <c r="C14" s="192">
        <f>TableauxNote!D15</f>
        <v>753.27455807000001</v>
      </c>
      <c r="D14" s="89">
        <f>TableauxNote!E15</f>
        <v>772.16320899903542</v>
      </c>
      <c r="E14" s="89">
        <f>TableauxNote!F15</f>
        <v>785.43857801640786</v>
      </c>
      <c r="F14" s="89">
        <f>TableauxNote!G15</f>
        <v>789.36109361305989</v>
      </c>
      <c r="G14" s="89">
        <f>TableauxNote!H15</f>
        <v>811.58053880793329</v>
      </c>
      <c r="H14" s="89">
        <f>TableauxNote!I15</f>
        <v>830.66615148984363</v>
      </c>
    </row>
    <row r="15" spans="1:8" s="112" customFormat="1" x14ac:dyDescent="0.2">
      <c r="A15" s="123" t="s">
        <v>50</v>
      </c>
      <c r="B15" s="192">
        <f>SUM(B10:B14)</f>
        <v>15875.352678770001</v>
      </c>
      <c r="C15" s="192">
        <f t="shared" ref="C15:H15" si="1">SUM(C10:C14)</f>
        <v>16613.676011039999</v>
      </c>
      <c r="D15" s="192">
        <f t="shared" si="1"/>
        <v>16984.793778861065</v>
      </c>
      <c r="E15" s="192">
        <f t="shared" si="1"/>
        <v>17457.820637978592</v>
      </c>
      <c r="F15" s="192">
        <f t="shared" si="1"/>
        <v>18067.026958986229</v>
      </c>
      <c r="G15" s="192">
        <f t="shared" si="1"/>
        <v>18723.311329522607</v>
      </c>
      <c r="H15" s="192">
        <f t="shared" si="1"/>
        <v>19417.542876484156</v>
      </c>
    </row>
    <row r="16" spans="1:8" x14ac:dyDescent="0.2">
      <c r="A16" s="58" t="s">
        <v>45</v>
      </c>
      <c r="B16" s="453">
        <f>TableauxNote!C16</f>
        <v>15875.352678770001</v>
      </c>
      <c r="C16" s="453">
        <f>TableauxNote!D16</f>
        <v>16613.676011039999</v>
      </c>
      <c r="D16" s="90">
        <f>TableauxNote!E16</f>
        <v>16984.793778861065</v>
      </c>
      <c r="E16" s="90">
        <f>TableauxNote!F16</f>
        <v>17457.820637978592</v>
      </c>
      <c r="F16" s="90">
        <f>TableauxNote!G16</f>
        <v>18067.026958986229</v>
      </c>
      <c r="G16" s="90">
        <f>TableauxNote!H16</f>
        <v>18723.311329522607</v>
      </c>
      <c r="H16" s="90">
        <f>TableauxNote!I16</f>
        <v>19417.542876484156</v>
      </c>
    </row>
    <row r="17" spans="1:13" x14ac:dyDescent="0.2">
      <c r="A17" s="58"/>
      <c r="B17" s="453"/>
      <c r="C17" s="453"/>
      <c r="D17" s="90"/>
      <c r="E17" s="90"/>
      <c r="F17" s="90"/>
      <c r="G17" s="90"/>
      <c r="H17" s="90"/>
    </row>
    <row r="18" spans="1:13" x14ac:dyDescent="0.2">
      <c r="A18" s="59" t="s">
        <v>51</v>
      </c>
      <c r="B18" s="518">
        <f>[5]Maladie!$H$199</f>
        <v>0</v>
      </c>
      <c r="C18" s="518">
        <f>[5]Maladie!$I$199</f>
        <v>0</v>
      </c>
      <c r="D18" s="518">
        <f>[5]Maladie!$R$199</f>
        <v>0</v>
      </c>
      <c r="E18" s="518">
        <f>[5]Maladie!$W$199</f>
        <v>0</v>
      </c>
      <c r="F18" s="518">
        <f>[5]Maladie!$AB$199</f>
        <v>0</v>
      </c>
      <c r="G18" s="518">
        <f>[5]Maladie!$AG$199</f>
        <v>0</v>
      </c>
      <c r="H18" s="518">
        <f>[5]Maladie!$AL$199</f>
        <v>0</v>
      </c>
      <c r="I18" s="448" t="s">
        <v>122</v>
      </c>
      <c r="J18" s="128" t="s">
        <v>278</v>
      </c>
      <c r="M18" s="165"/>
    </row>
    <row r="19" spans="1:13" x14ac:dyDescent="0.2">
      <c r="A19" s="59" t="s">
        <v>52</v>
      </c>
      <c r="B19" s="518">
        <f>[5]AT!$H$140</f>
        <v>18.156489730000001</v>
      </c>
      <c r="C19" s="518">
        <f>[5]AT!$I$140</f>
        <v>15.96992283</v>
      </c>
      <c r="D19" s="518">
        <f>[5]AT!$R$140</f>
        <v>6.8022549999999997</v>
      </c>
      <c r="E19" s="518">
        <f>[5]AT!$W$140</f>
        <v>7.0675429449999996</v>
      </c>
      <c r="F19" s="518">
        <f>[5]AT!$AB$140</f>
        <v>7.2693276357001073</v>
      </c>
      <c r="G19" s="518">
        <f>[5]AT!$AG$140</f>
        <v>7.4846862376324887</v>
      </c>
      <c r="H19" s="518">
        <f>[5]AT!$AL$140</f>
        <v>7.7057564582195788</v>
      </c>
      <c r="I19" s="448" t="s">
        <v>122</v>
      </c>
      <c r="J19" t="s">
        <v>278</v>
      </c>
    </row>
    <row r="20" spans="1:13" x14ac:dyDescent="0.2">
      <c r="A20" s="59" t="s">
        <v>53</v>
      </c>
      <c r="B20" s="518">
        <f>[5]Famille!$H$122</f>
        <v>0</v>
      </c>
      <c r="C20" s="518">
        <f>[5]Famille!$I$122</f>
        <v>0</v>
      </c>
      <c r="D20" s="518">
        <f>[5]Famille!$R$122</f>
        <v>0</v>
      </c>
      <c r="E20" s="518">
        <f>[5]Famille!$W$122</f>
        <v>0</v>
      </c>
      <c r="F20" s="518">
        <f>[5]Famille!$AB$122</f>
        <v>0</v>
      </c>
      <c r="G20" s="518">
        <f>[5]Famille!$AG$122</f>
        <v>0</v>
      </c>
      <c r="H20" s="518">
        <f>[5]Famille!$AL$122</f>
        <v>0</v>
      </c>
      <c r="I20" s="448" t="s">
        <v>122</v>
      </c>
      <c r="J20" s="128" t="s">
        <v>278</v>
      </c>
    </row>
    <row r="21" spans="1:13" x14ac:dyDescent="0.2">
      <c r="A21" s="59" t="s">
        <v>54</v>
      </c>
      <c r="B21" s="540">
        <f>[5]Vieillesse!$H$153</f>
        <v>0</v>
      </c>
      <c r="C21" s="540">
        <f>[5]Vieillesse!$I$153</f>
        <v>0</v>
      </c>
      <c r="D21" s="540">
        <f>[5]Vieillesse!$R$153</f>
        <v>0</v>
      </c>
      <c r="E21" s="540">
        <f>[5]Vieillesse!$W$153</f>
        <v>0</v>
      </c>
      <c r="F21" s="540">
        <f>[5]Vieillesse!$AB$153</f>
        <v>0</v>
      </c>
      <c r="G21" s="540">
        <f>[5]Vieillesse!$AG$153</f>
        <v>0</v>
      </c>
      <c r="H21" s="540">
        <f>[5]Vieillesse!$AL$153</f>
        <v>0</v>
      </c>
      <c r="I21" s="448" t="s">
        <v>122</v>
      </c>
      <c r="J21" s="128" t="s">
        <v>278</v>
      </c>
    </row>
    <row r="22" spans="1:13" x14ac:dyDescent="0.2">
      <c r="A22" s="59" t="s">
        <v>233</v>
      </c>
      <c r="B22" s="540">
        <f>[5]SASPA!$H$152</f>
        <v>0</v>
      </c>
      <c r="C22" s="540">
        <f>[5]SASPA!$I$152</f>
        <v>0</v>
      </c>
      <c r="D22" s="540">
        <f>[5]SASPA!$R$152</f>
        <v>0</v>
      </c>
      <c r="E22" s="540">
        <f>[5]SASPA!$W$152</f>
        <v>0</v>
      </c>
      <c r="F22" s="540">
        <f>[5]SASPA!$AB$152</f>
        <v>0</v>
      </c>
      <c r="G22" s="540">
        <f>[5]SASPA!$AG$152</f>
        <v>0</v>
      </c>
      <c r="H22" s="540">
        <f>[5]SASPA!$AL$152</f>
        <v>0</v>
      </c>
      <c r="I22" s="448" t="s">
        <v>122</v>
      </c>
      <c r="J22" s="128" t="s">
        <v>278</v>
      </c>
    </row>
    <row r="23" spans="1:13" s="58" customFormat="1" x14ac:dyDescent="0.2">
      <c r="A23" s="60" t="s">
        <v>55</v>
      </c>
      <c r="B23" s="254">
        <f t="shared" ref="B23:H23" si="2">SUM(B18:B22)</f>
        <v>18.156489730000001</v>
      </c>
      <c r="C23" s="254">
        <f t="shared" si="2"/>
        <v>15.96992283</v>
      </c>
      <c r="D23" s="254">
        <f t="shared" si="2"/>
        <v>6.8022549999999997</v>
      </c>
      <c r="E23" s="254">
        <f t="shared" si="2"/>
        <v>7.0675429449999996</v>
      </c>
      <c r="F23" s="254">
        <f t="shared" si="2"/>
        <v>7.2693276357001073</v>
      </c>
      <c r="G23" s="254">
        <f t="shared" si="2"/>
        <v>7.4846862376324887</v>
      </c>
      <c r="H23" s="254">
        <f t="shared" si="2"/>
        <v>7.7057564582195788</v>
      </c>
      <c r="I23" s="449"/>
      <c r="J23"/>
      <c r="K23"/>
      <c r="L23"/>
    </row>
    <row r="24" spans="1:13" s="58" customFormat="1" x14ac:dyDescent="0.2">
      <c r="A24" s="60"/>
      <c r="B24" s="255"/>
      <c r="C24" s="255">
        <f>C18+C21</f>
        <v>0</v>
      </c>
      <c r="D24" s="255">
        <f>D18+D21</f>
        <v>0</v>
      </c>
      <c r="E24" s="255">
        <f>D24-C24</f>
        <v>0</v>
      </c>
      <c r="F24" s="255"/>
      <c r="G24" s="255"/>
      <c r="H24" s="255"/>
      <c r="I24" s="449"/>
      <c r="J24"/>
      <c r="K24"/>
      <c r="L24"/>
    </row>
    <row r="25" spans="1:13" x14ac:dyDescent="0.2">
      <c r="A25" s="61" t="s">
        <v>56</v>
      </c>
      <c r="B25" s="519">
        <v>0</v>
      </c>
      <c r="C25" s="519">
        <v>0</v>
      </c>
      <c r="D25" s="519">
        <v>0</v>
      </c>
      <c r="E25" s="519">
        <v>0</v>
      </c>
      <c r="F25" s="519">
        <v>0</v>
      </c>
      <c r="G25" s="519">
        <v>0</v>
      </c>
      <c r="H25" s="519">
        <v>0</v>
      </c>
      <c r="I25" s="448"/>
    </row>
    <row r="26" spans="1:13" x14ac:dyDescent="0.2">
      <c r="A26" s="61" t="s">
        <v>57</v>
      </c>
      <c r="B26" s="519">
        <v>0</v>
      </c>
      <c r="C26" s="519">
        <v>0</v>
      </c>
      <c r="D26" s="519">
        <v>0</v>
      </c>
      <c r="E26" s="519">
        <v>0</v>
      </c>
      <c r="F26" s="519">
        <v>0</v>
      </c>
      <c r="G26" s="519">
        <v>0</v>
      </c>
      <c r="H26" s="519">
        <v>0</v>
      </c>
      <c r="I26" s="448"/>
    </row>
    <row r="27" spans="1:13" x14ac:dyDescent="0.2">
      <c r="A27" s="61" t="s">
        <v>58</v>
      </c>
      <c r="B27" s="519">
        <v>0</v>
      </c>
      <c r="C27" s="519">
        <v>0</v>
      </c>
      <c r="D27" s="519">
        <v>0</v>
      </c>
      <c r="E27" s="519">
        <v>0</v>
      </c>
      <c r="F27" s="519">
        <v>0</v>
      </c>
      <c r="G27" s="519">
        <v>0</v>
      </c>
      <c r="H27" s="519">
        <v>0</v>
      </c>
      <c r="I27" s="448"/>
    </row>
    <row r="28" spans="1:13" x14ac:dyDescent="0.2">
      <c r="A28" s="61" t="s">
        <v>59</v>
      </c>
      <c r="B28" s="519">
        <f>[5]Vieillesse!$H$202</f>
        <v>2596.6026350000002</v>
      </c>
      <c r="C28" s="519">
        <f>[5]Vieillesse!$I$202</f>
        <v>2595.9372039999998</v>
      </c>
      <c r="D28" s="519">
        <f>[5]Vieillesse!$R$202</f>
        <v>2546.7981087956</v>
      </c>
      <c r="E28" s="519">
        <f>[5]Vieillesse!$W$202</f>
        <v>2509.4933539018471</v>
      </c>
      <c r="F28" s="519">
        <f>[5]Vieillesse!$AB$202</f>
        <v>2478.4316967900977</v>
      </c>
      <c r="G28" s="519">
        <f>[5]Vieillesse!$AG$202</f>
        <v>2449.1283110993359</v>
      </c>
      <c r="H28" s="519">
        <f>[5]Vieillesse!$AL$202</f>
        <v>2416.4186627475128</v>
      </c>
      <c r="I28" s="448" t="s">
        <v>122</v>
      </c>
      <c r="J28" s="128" t="s">
        <v>278</v>
      </c>
    </row>
    <row r="29" spans="1:13" x14ac:dyDescent="0.2">
      <c r="A29" s="61" t="s">
        <v>234</v>
      </c>
      <c r="B29" s="519">
        <v>0</v>
      </c>
      <c r="C29" s="519">
        <v>0</v>
      </c>
      <c r="D29" s="519">
        <v>0</v>
      </c>
      <c r="E29" s="519">
        <v>0</v>
      </c>
      <c r="F29" s="519">
        <v>0</v>
      </c>
      <c r="G29" s="519">
        <v>0</v>
      </c>
      <c r="H29" s="519">
        <v>0</v>
      </c>
      <c r="I29" s="448"/>
    </row>
    <row r="30" spans="1:13" x14ac:dyDescent="0.2">
      <c r="A30" s="62" t="s">
        <v>60</v>
      </c>
      <c r="B30" s="256">
        <f t="shared" ref="B30:H30" si="3">SUM(B25:B29)</f>
        <v>2596.6026350000002</v>
      </c>
      <c r="C30" s="256">
        <f t="shared" si="3"/>
        <v>2595.9372039999998</v>
      </c>
      <c r="D30" s="256">
        <f t="shared" si="3"/>
        <v>2546.7981087956</v>
      </c>
      <c r="E30" s="256">
        <f t="shared" si="3"/>
        <v>2509.4933539018471</v>
      </c>
      <c r="F30" s="256">
        <f t="shared" si="3"/>
        <v>2478.4316967900977</v>
      </c>
      <c r="G30" s="256">
        <f t="shared" si="3"/>
        <v>2449.1283110993359</v>
      </c>
      <c r="H30" s="256">
        <f t="shared" si="3"/>
        <v>2416.4186627475128</v>
      </c>
      <c r="I30" s="448"/>
    </row>
    <row r="31" spans="1:13" x14ac:dyDescent="0.2">
      <c r="A31" s="61"/>
      <c r="B31" s="193"/>
      <c r="C31" s="193"/>
      <c r="D31" s="193"/>
      <c r="E31" s="193"/>
      <c r="F31" s="193"/>
      <c r="G31" s="193"/>
      <c r="H31" s="193"/>
      <c r="I31" s="448"/>
    </row>
    <row r="32" spans="1:13" x14ac:dyDescent="0.2">
      <c r="A32" s="63" t="s">
        <v>61</v>
      </c>
      <c r="B32" s="520">
        <f>[5]Maladie!$H$175</f>
        <v>144.67077606999999</v>
      </c>
      <c r="C32" s="520">
        <f>[5]Maladie!$I$175</f>
        <v>150.64253909999999</v>
      </c>
      <c r="D32" s="520">
        <f>[5]Maladie!$R$175</f>
        <v>152.27849344431809</v>
      </c>
      <c r="E32" s="520">
        <f>[5]Maladie!$W$175</f>
        <v>154.89618194841896</v>
      </c>
      <c r="F32" s="520">
        <f>[5]Maladie!$AB$175</f>
        <v>159.13478549226068</v>
      </c>
      <c r="G32" s="520">
        <f>[5]Maladie!$AG$175</f>
        <v>167.34732407427597</v>
      </c>
      <c r="H32" s="520">
        <f>[5]Maladie!$AL$175</f>
        <v>172.32374636611269</v>
      </c>
      <c r="I32" s="448" t="s">
        <v>122</v>
      </c>
      <c r="J32" s="128" t="s">
        <v>278</v>
      </c>
    </row>
    <row r="33" spans="1:10" x14ac:dyDescent="0.2">
      <c r="A33" s="63" t="s">
        <v>62</v>
      </c>
      <c r="B33" s="541">
        <f>[5]AT!$H$109</f>
        <v>22.429495890000002</v>
      </c>
      <c r="C33" s="541">
        <f>[5]AT!$I$109</f>
        <v>18.595659779999995</v>
      </c>
      <c r="D33" s="541">
        <f>[5]AT!$R$109</f>
        <v>20.098544630114692</v>
      </c>
      <c r="E33" s="541">
        <f>[5]AT!$W$109</f>
        <v>20.808547488799213</v>
      </c>
      <c r="F33" s="541">
        <f>[5]AT!$AB$109</f>
        <v>21.595275335875584</v>
      </c>
      <c r="G33" s="541">
        <f>[5]AT!$AG$109</f>
        <v>22.677451769368687</v>
      </c>
      <c r="H33" s="541">
        <f>[5]AT!$AL$109</f>
        <v>23.551514819170734</v>
      </c>
      <c r="I33" s="448" t="s">
        <v>122</v>
      </c>
      <c r="J33" s="128" t="s">
        <v>278</v>
      </c>
    </row>
    <row r="34" spans="1:10" x14ac:dyDescent="0.2">
      <c r="A34" s="63" t="s">
        <v>63</v>
      </c>
      <c r="B34" s="541">
        <f>[5]Famille!$H$103</f>
        <v>75.800326829999989</v>
      </c>
      <c r="C34" s="541">
        <f>[5]Famille!$I$103</f>
        <v>74.299346509999992</v>
      </c>
      <c r="D34" s="541">
        <f>[5]Famille!$R$103</f>
        <v>77.849196793820639</v>
      </c>
      <c r="E34" s="541">
        <f>[5]Famille!$W$103</f>
        <v>79.2421345309873</v>
      </c>
      <c r="F34" s="541">
        <f>[5]Famille!$AB$103</f>
        <v>81.412168734170095</v>
      </c>
      <c r="G34" s="541">
        <f>[5]Famille!$AG$103</f>
        <v>85.541346087701427</v>
      </c>
      <c r="H34" s="541">
        <f>[5]Famille!$AL$103</f>
        <v>88.07219156683486</v>
      </c>
      <c r="I34" s="448" t="s">
        <v>122</v>
      </c>
      <c r="J34" s="128" t="s">
        <v>278</v>
      </c>
    </row>
    <row r="35" spans="1:10" x14ac:dyDescent="0.2">
      <c r="A35" s="63" t="s">
        <v>64</v>
      </c>
      <c r="B35" s="541">
        <f>[5]Vieillesse!$H$134</f>
        <v>240.55728690000001</v>
      </c>
      <c r="C35" s="541">
        <f>[5]Vieillesse!$I$134</f>
        <v>283.4381654</v>
      </c>
      <c r="D35" s="541">
        <f>[5]Vieillesse!$R$134</f>
        <v>280.37170181348608</v>
      </c>
      <c r="E35" s="541">
        <f>[5]Vieillesse!$W$134</f>
        <v>286.55827693280389</v>
      </c>
      <c r="F35" s="541">
        <f>[5]Vieillesse!$AB$134</f>
        <v>294.90278991749227</v>
      </c>
      <c r="G35" s="541">
        <f>[5]Vieillesse!$AG$134</f>
        <v>309.45600860585068</v>
      </c>
      <c r="H35" s="541">
        <f>[5]Vieillesse!$AL$134</f>
        <v>318.21737733399937</v>
      </c>
      <c r="I35" s="448" t="s">
        <v>122</v>
      </c>
      <c r="J35" s="128" t="s">
        <v>278</v>
      </c>
    </row>
    <row r="36" spans="1:10" x14ac:dyDescent="0.2">
      <c r="A36" s="64" t="s">
        <v>65</v>
      </c>
      <c r="B36" s="542">
        <f>SUM(B32:B35)</f>
        <v>483.45788569000001</v>
      </c>
      <c r="C36" s="542">
        <f t="shared" ref="C36:H36" si="4">SUM(C32:C35)</f>
        <v>526.97571078999999</v>
      </c>
      <c r="D36" s="542">
        <f t="shared" si="4"/>
        <v>530.5979366817395</v>
      </c>
      <c r="E36" s="542">
        <f t="shared" si="4"/>
        <v>541.50514090100933</v>
      </c>
      <c r="F36" s="542">
        <f t="shared" si="4"/>
        <v>557.04501947979861</v>
      </c>
      <c r="G36" s="542">
        <f t="shared" si="4"/>
        <v>585.02213053719674</v>
      </c>
      <c r="H36" s="542">
        <f t="shared" si="4"/>
        <v>602.16483008611772</v>
      </c>
      <c r="I36" s="448"/>
    </row>
    <row r="37" spans="1:10" x14ac:dyDescent="0.2">
      <c r="A37" s="63"/>
      <c r="B37" s="216"/>
      <c r="C37" s="216"/>
      <c r="D37" s="216"/>
      <c r="E37" s="216"/>
      <c r="F37" s="216"/>
      <c r="G37" s="216"/>
      <c r="H37" s="216"/>
      <c r="I37" s="448"/>
    </row>
    <row r="38" spans="1:10" x14ac:dyDescent="0.2">
      <c r="A38" s="65" t="s">
        <v>66</v>
      </c>
      <c r="B38" s="543">
        <f>[5]Maladie!$H$194</f>
        <v>1134.8043451599999</v>
      </c>
      <c r="C38" s="543">
        <f>[5]Maladie!$I$194</f>
        <v>1091.62434966</v>
      </c>
      <c r="D38" s="543">
        <f>[5]Maladie!$R$194</f>
        <v>1185.9191944229733</v>
      </c>
      <c r="E38" s="543">
        <f>[5]Maladie!$W$194</f>
        <v>1225.9465337160134</v>
      </c>
      <c r="F38" s="543">
        <f>[5]Maladie!$AB$194</f>
        <v>1262.5672786542589</v>
      </c>
      <c r="G38" s="543">
        <f>[5]Maladie!$AG$194</f>
        <v>1299.6041826820579</v>
      </c>
      <c r="H38" s="543">
        <f>[5]Maladie!$AL$194</f>
        <v>1337.0258633065077</v>
      </c>
      <c r="I38" s="448" t="s">
        <v>122</v>
      </c>
      <c r="J38" s="128" t="s">
        <v>278</v>
      </c>
    </row>
    <row r="39" spans="1:10" x14ac:dyDescent="0.2">
      <c r="A39" s="65" t="s">
        <v>67</v>
      </c>
      <c r="B39" s="543">
        <v>0</v>
      </c>
      <c r="C39" s="543">
        <v>0</v>
      </c>
      <c r="D39" s="543">
        <v>0</v>
      </c>
      <c r="E39" s="543">
        <v>0</v>
      </c>
      <c r="F39" s="543">
        <v>0</v>
      </c>
      <c r="G39" s="543">
        <v>0</v>
      </c>
      <c r="H39" s="543">
        <v>0</v>
      </c>
      <c r="I39" s="448"/>
    </row>
    <row r="40" spans="1:10" x14ac:dyDescent="0.2">
      <c r="A40" s="65" t="s">
        <v>68</v>
      </c>
      <c r="B40" s="543">
        <v>0</v>
      </c>
      <c r="C40" s="543">
        <v>0</v>
      </c>
      <c r="D40" s="543">
        <v>0</v>
      </c>
      <c r="E40" s="543">
        <v>0</v>
      </c>
      <c r="F40" s="543">
        <v>0</v>
      </c>
      <c r="G40" s="543">
        <v>0</v>
      </c>
      <c r="H40" s="543">
        <v>0</v>
      </c>
      <c r="I40" s="448"/>
    </row>
    <row r="41" spans="1:10" x14ac:dyDescent="0.2">
      <c r="A41" s="65" t="s">
        <v>69</v>
      </c>
      <c r="B41" s="543">
        <v>0</v>
      </c>
      <c r="C41" s="543">
        <v>0</v>
      </c>
      <c r="D41" s="543">
        <v>0</v>
      </c>
      <c r="E41" s="543">
        <v>0</v>
      </c>
      <c r="F41" s="543">
        <v>0</v>
      </c>
      <c r="G41" s="543">
        <v>0</v>
      </c>
      <c r="H41" s="543">
        <v>0</v>
      </c>
      <c r="I41" s="448"/>
    </row>
    <row r="42" spans="1:10" x14ac:dyDescent="0.2">
      <c r="A42" s="65" t="s">
        <v>235</v>
      </c>
      <c r="B42" s="543">
        <v>0</v>
      </c>
      <c r="C42" s="543">
        <v>0</v>
      </c>
      <c r="D42" s="543">
        <v>0</v>
      </c>
      <c r="E42" s="543">
        <v>0</v>
      </c>
      <c r="F42" s="543">
        <v>0</v>
      </c>
      <c r="G42" s="543">
        <v>0</v>
      </c>
      <c r="H42" s="543">
        <v>0</v>
      </c>
      <c r="I42" s="448"/>
    </row>
    <row r="43" spans="1:10" x14ac:dyDescent="0.2">
      <c r="A43" s="66" t="s">
        <v>70</v>
      </c>
      <c r="B43" s="257">
        <f t="shared" ref="B43:H43" si="5">SUM(B38:B42)</f>
        <v>1134.8043451599999</v>
      </c>
      <c r="C43" s="257">
        <f t="shared" si="5"/>
        <v>1091.62434966</v>
      </c>
      <c r="D43" s="257">
        <f t="shared" si="5"/>
        <v>1185.9191944229733</v>
      </c>
      <c r="E43" s="257">
        <f t="shared" si="5"/>
        <v>1225.9465337160134</v>
      </c>
      <c r="F43" s="257">
        <f t="shared" si="5"/>
        <v>1262.5672786542589</v>
      </c>
      <c r="G43" s="257">
        <f t="shared" si="5"/>
        <v>1299.6041826820579</v>
      </c>
      <c r="H43" s="257">
        <f t="shared" si="5"/>
        <v>1337.0258633065077</v>
      </c>
      <c r="I43" s="448"/>
    </row>
    <row r="44" spans="1:10" x14ac:dyDescent="0.2">
      <c r="B44" s="192"/>
      <c r="C44" s="192"/>
      <c r="D44" s="192"/>
      <c r="E44" s="192"/>
      <c r="F44" s="192"/>
      <c r="G44" s="192"/>
      <c r="H44" s="192"/>
      <c r="I44" s="448"/>
    </row>
    <row r="45" spans="1:10" x14ac:dyDescent="0.2">
      <c r="A45" s="115" t="s">
        <v>127</v>
      </c>
      <c r="B45" s="521">
        <f>[5]Maladie!$H$272</f>
        <v>390.00126245999996</v>
      </c>
      <c r="C45" s="521">
        <f>[5]Maladie!$I$272</f>
        <v>394.09661204999998</v>
      </c>
      <c r="D45" s="521">
        <f>[5]Maladie!$R$272</f>
        <v>389.35843769999997</v>
      </c>
      <c r="E45" s="521">
        <f>[5]Maladie!$W$272</f>
        <v>411.84632115568638</v>
      </c>
      <c r="F45" s="521">
        <f>[5]Maladie!$AB$272</f>
        <v>433.31805651036007</v>
      </c>
      <c r="G45" s="521">
        <f>[5]Maladie!$AG$272</f>
        <v>457.67712500205431</v>
      </c>
      <c r="H45" s="521">
        <f>[5]Maladie!$AL$272</f>
        <v>482.33299678549349</v>
      </c>
      <c r="I45" s="448" t="s">
        <v>122</v>
      </c>
      <c r="J45" t="s">
        <v>278</v>
      </c>
    </row>
    <row r="46" spans="1:10" x14ac:dyDescent="0.2">
      <c r="A46" s="115" t="s">
        <v>123</v>
      </c>
      <c r="B46" s="521">
        <f>[5]AT!$H$220</f>
        <v>84.503835580000015</v>
      </c>
      <c r="C46" s="521">
        <f>[5]AT!$I$220</f>
        <v>83.63609941</v>
      </c>
      <c r="D46" s="521">
        <f>[5]AT!$R$220</f>
        <v>86.787249629999991</v>
      </c>
      <c r="E46" s="521">
        <f>[5]AT!$W$220</f>
        <v>89.423774177234449</v>
      </c>
      <c r="F46" s="521">
        <f>[5]AT!$AB$220</f>
        <v>92.153740346865675</v>
      </c>
      <c r="G46" s="521">
        <f>[5]AT!$AG$220</f>
        <v>94.85326444975145</v>
      </c>
      <c r="H46" s="521">
        <f>[5]AT!$AL$220</f>
        <v>97.442865513056404</v>
      </c>
      <c r="I46" s="448" t="s">
        <v>122</v>
      </c>
      <c r="J46" t="s">
        <v>278</v>
      </c>
    </row>
    <row r="47" spans="1:10" x14ac:dyDescent="0.2">
      <c r="A47" s="115" t="s">
        <v>124</v>
      </c>
      <c r="B47" s="521">
        <f>[5]Famille!$H$180</f>
        <v>60.295213629999992</v>
      </c>
      <c r="C47" s="521">
        <f>[5]Famille!$I$180</f>
        <v>63.215545240000004</v>
      </c>
      <c r="D47" s="521">
        <f>[5]Famille!$R$180</f>
        <v>61.142694120000002</v>
      </c>
      <c r="E47" s="521">
        <f>[5]Famille!$W$180</f>
        <v>63.827966309755347</v>
      </c>
      <c r="F47" s="521">
        <f>[5]Famille!$AB$180</f>
        <v>65.767925991838467</v>
      </c>
      <c r="G47" s="521">
        <f>[5]Famille!$AG$180</f>
        <v>67.547765254100369</v>
      </c>
      <c r="H47" s="521">
        <f>[5]Famille!$AL$180</f>
        <v>69.454575301647893</v>
      </c>
      <c r="I47" s="448" t="s">
        <v>122</v>
      </c>
      <c r="J47" t="s">
        <v>278</v>
      </c>
    </row>
    <row r="48" spans="1:10" x14ac:dyDescent="0.2">
      <c r="A48" s="115" t="s">
        <v>125</v>
      </c>
      <c r="B48" s="544">
        <f>[5]Vieillesse!$H$229</f>
        <v>158.78605741000001</v>
      </c>
      <c r="C48" s="544">
        <f>[5]Vieillesse!$I$229</f>
        <v>191.36642725999999</v>
      </c>
      <c r="D48" s="544">
        <f>[5]Vieillesse!$R$229</f>
        <v>168.38399546957982</v>
      </c>
      <c r="E48" s="544">
        <f>[5]Vieillesse!$W$229</f>
        <v>174.77215399019127</v>
      </c>
      <c r="F48" s="544">
        <f>[5]Vieillesse!$AB$229</f>
        <v>180.67980313583806</v>
      </c>
      <c r="G48" s="544">
        <f>[5]Vieillesse!$AG$229</f>
        <v>186.34608919107481</v>
      </c>
      <c r="H48" s="544">
        <f>[5]Vieillesse!$AL$229</f>
        <v>192.05585573132956</v>
      </c>
      <c r="I48" s="448" t="s">
        <v>122</v>
      </c>
      <c r="J48" s="128" t="s">
        <v>278</v>
      </c>
    </row>
    <row r="49" spans="1:10" x14ac:dyDescent="0.2">
      <c r="A49" s="115" t="s">
        <v>236</v>
      </c>
      <c r="B49" s="544">
        <f>[5]SASPA!$H$228</f>
        <v>22.62901802</v>
      </c>
      <c r="C49" s="544">
        <f>[5]SASPA!$I$228</f>
        <v>40.224680360000001</v>
      </c>
      <c r="D49" s="544">
        <f>[5]SASPA!$R$228</f>
        <v>38.348937120000002</v>
      </c>
      <c r="E49" s="544">
        <f>[5]SASPA!$W$228</f>
        <v>39.208953051615552</v>
      </c>
      <c r="F49" s="544">
        <f>[5]SASPA!$AB$228</f>
        <v>39.568378815731826</v>
      </c>
      <c r="G49" s="544">
        <f>[5]SASPA!$AG$228</f>
        <v>40.047045676119978</v>
      </c>
      <c r="H49" s="544">
        <f>[5]SASPA!$AL$228</f>
        <v>40.810839326271108</v>
      </c>
      <c r="I49" s="448" t="s">
        <v>122</v>
      </c>
      <c r="J49" s="128" t="s">
        <v>278</v>
      </c>
    </row>
    <row r="50" spans="1:10" x14ac:dyDescent="0.2">
      <c r="A50" s="116" t="s">
        <v>126</v>
      </c>
      <c r="B50" s="545">
        <f>SUM(B45:B49)</f>
        <v>716.21538710000004</v>
      </c>
      <c r="C50" s="545">
        <f t="shared" ref="C50:H50" si="6">SUM(C45:C49)</f>
        <v>772.53936432</v>
      </c>
      <c r="D50" s="545">
        <f t="shared" si="6"/>
        <v>744.02131403957981</v>
      </c>
      <c r="E50" s="545">
        <f t="shared" si="6"/>
        <v>779.07916868448308</v>
      </c>
      <c r="F50" s="545">
        <f t="shared" si="6"/>
        <v>811.48790480063417</v>
      </c>
      <c r="G50" s="545">
        <f t="shared" si="6"/>
        <v>846.47128957310088</v>
      </c>
      <c r="H50" s="545">
        <f t="shared" si="6"/>
        <v>882.0971326577984</v>
      </c>
      <c r="I50" s="448"/>
    </row>
    <row r="51" spans="1:10" x14ac:dyDescent="0.2">
      <c r="B51" s="192"/>
      <c r="C51" s="192"/>
      <c r="D51" s="192"/>
      <c r="E51" s="192"/>
      <c r="F51" s="192"/>
      <c r="G51" s="192"/>
      <c r="H51" s="192"/>
      <c r="I51" s="448"/>
    </row>
    <row r="52" spans="1:10" x14ac:dyDescent="0.2">
      <c r="A52" s="115" t="s">
        <v>136</v>
      </c>
      <c r="B52" s="521">
        <f>'[5]Prev Cot Exo 2024'!$N$19</f>
        <v>403.37206431999982</v>
      </c>
      <c r="C52" s="521">
        <f>'[5]Prev Cot Exo 2024'!$O$19</f>
        <v>411.71022593000009</v>
      </c>
      <c r="D52" s="521">
        <f>'[5]Prev Cot Exo 2024'!$P$19</f>
        <v>413.76877705965006</v>
      </c>
      <c r="E52" s="521">
        <f>'[5]Prev Cot Exo 2024'!$Q$19</f>
        <v>860.78561232132381</v>
      </c>
      <c r="F52" s="521">
        <f>'[5]Prev Cot Exo 2024'!$R$19</f>
        <v>856.48168425971699</v>
      </c>
      <c r="G52" s="521">
        <f>'[5]Prev Cot Exo 2024'!$S$19</f>
        <v>852.19927583841854</v>
      </c>
      <c r="H52" s="521">
        <f>'[5]Prev Cot Exo 2024'!$T$19</f>
        <v>847.93827945922658</v>
      </c>
      <c r="I52" s="448" t="s">
        <v>122</v>
      </c>
      <c r="J52" s="128" t="s">
        <v>278</v>
      </c>
    </row>
    <row r="53" spans="1:10" x14ac:dyDescent="0.2">
      <c r="A53" s="115" t="s">
        <v>137</v>
      </c>
      <c r="B53" s="544">
        <f>'[5]Prev Cot Exo 2024'!$N$40</f>
        <v>2.670698570000003</v>
      </c>
      <c r="C53" s="544">
        <f>'[5]Prev Cot Exo 2024'!$O$40</f>
        <v>2.3582390700000109</v>
      </c>
      <c r="D53" s="544">
        <f>'[5]Prev Cot Exo 2024'!$P$40</f>
        <v>2.3700302653500107</v>
      </c>
      <c r="E53" s="544">
        <f>'[5]Prev Cot Exo 2024'!$Q$40</f>
        <v>4.9305024117014833</v>
      </c>
      <c r="F53" s="544">
        <f>'[5]Prev Cot Exo 2024'!$R$40</f>
        <v>4.9058498996429751</v>
      </c>
      <c r="G53" s="544">
        <f>'[5]Prev Cot Exo 2024'!$S$40</f>
        <v>4.8813206501447608</v>
      </c>
      <c r="H53" s="544">
        <f>'[5]Prev Cot Exo 2024'!$T$40</f>
        <v>4.8569140468940377</v>
      </c>
      <c r="I53" s="448" t="s">
        <v>122</v>
      </c>
      <c r="J53" s="128" t="s">
        <v>278</v>
      </c>
    </row>
    <row r="54" spans="1:10" x14ac:dyDescent="0.2">
      <c r="A54" s="115" t="s">
        <v>138</v>
      </c>
      <c r="B54" s="544">
        <f>'[5]Prev Cot Exo 2024'!$N$28</f>
        <v>199.02363040000003</v>
      </c>
      <c r="C54" s="544">
        <f>'[5]Prev Cot Exo 2024'!$O$28</f>
        <v>203.18721968999995</v>
      </c>
      <c r="D54" s="544">
        <f>'[5]Prev Cot Exo 2024'!$P$28</f>
        <v>204.20315578844992</v>
      </c>
      <c r="E54" s="544">
        <f>'[5]Prev Cot Exo 2024'!$Q$28</f>
        <v>424.81489237156075</v>
      </c>
      <c r="F54" s="544">
        <f>'[5]Prev Cot Exo 2024'!$R$28</f>
        <v>422.69081790970284</v>
      </c>
      <c r="G54" s="544">
        <f>'[5]Prev Cot Exo 2024'!$S$28</f>
        <v>420.57736382015435</v>
      </c>
      <c r="H54" s="544">
        <f>'[5]Prev Cot Exo 2024'!$T$28</f>
        <v>418.47447700105363</v>
      </c>
      <c r="I54" s="448" t="s">
        <v>122</v>
      </c>
      <c r="J54" s="128" t="s">
        <v>278</v>
      </c>
    </row>
    <row r="55" spans="1:10" x14ac:dyDescent="0.2">
      <c r="A55" s="115" t="s">
        <v>139</v>
      </c>
      <c r="B55" s="544">
        <f>'[5]Prev Cot Exo 2024'!$N$10</f>
        <v>601.75679587999991</v>
      </c>
      <c r="C55" s="544">
        <f>'[5]Prev Cot Exo 2024'!$O$10</f>
        <v>614.81689668000024</v>
      </c>
      <c r="D55" s="544">
        <f>'[5]Prev Cot Exo 2024'!$P$10</f>
        <v>617.89098116340017</v>
      </c>
      <c r="E55" s="544">
        <f>'[5]Prev Cot Exo 2024'!$Q$10</f>
        <v>1285.4320965157913</v>
      </c>
      <c r="F55" s="544">
        <f>'[5]Prev Cot Exo 2024'!$R$10</f>
        <v>1279.0049360332121</v>
      </c>
      <c r="G55" s="544">
        <f>'[5]Prev Cot Exo 2024'!$S$10</f>
        <v>1272.6099113530461</v>
      </c>
      <c r="H55" s="544">
        <f>'[5]Prev Cot Exo 2024'!$T$10</f>
        <v>1266.2468617962809</v>
      </c>
      <c r="I55" s="448" t="s">
        <v>122</v>
      </c>
      <c r="J55" s="128" t="s">
        <v>278</v>
      </c>
    </row>
    <row r="56" spans="1:10" x14ac:dyDescent="0.2">
      <c r="A56" s="115" t="s">
        <v>237</v>
      </c>
      <c r="B56" s="544">
        <v>0</v>
      </c>
      <c r="C56" s="544">
        <v>0</v>
      </c>
      <c r="D56" s="544">
        <v>0</v>
      </c>
      <c r="E56" s="544">
        <v>0</v>
      </c>
      <c r="F56" s="544">
        <v>0</v>
      </c>
      <c r="G56" s="544">
        <v>0</v>
      </c>
      <c r="H56" s="544">
        <v>0</v>
      </c>
      <c r="I56" s="448" t="s">
        <v>122</v>
      </c>
      <c r="J56" s="128" t="s">
        <v>278</v>
      </c>
    </row>
    <row r="57" spans="1:10" x14ac:dyDescent="0.2">
      <c r="A57" s="116" t="s">
        <v>140</v>
      </c>
      <c r="B57" s="258">
        <f>SUM(B52:B56)</f>
        <v>1206.8231891699998</v>
      </c>
      <c r="C57" s="258">
        <f t="shared" ref="C57:H57" si="7">SUM(C52:C56)</f>
        <v>1232.0725813700003</v>
      </c>
      <c r="D57" s="258">
        <f t="shared" si="7"/>
        <v>1238.23294427685</v>
      </c>
      <c r="E57" s="258">
        <f t="shared" si="7"/>
        <v>2575.9631036203773</v>
      </c>
      <c r="F57" s="258">
        <f t="shared" si="7"/>
        <v>2563.0832881022748</v>
      </c>
      <c r="G57" s="258">
        <f t="shared" si="7"/>
        <v>2550.2678716617638</v>
      </c>
      <c r="H57" s="258">
        <f t="shared" si="7"/>
        <v>2537.5165323034553</v>
      </c>
      <c r="I57" s="253"/>
    </row>
    <row r="58" spans="1:10" x14ac:dyDescent="0.2">
      <c r="B58" s="89"/>
      <c r="C58" s="89"/>
      <c r="D58" s="89"/>
      <c r="E58" s="89"/>
      <c r="F58" s="89"/>
      <c r="G58" s="89"/>
      <c r="H58" s="89"/>
    </row>
    <row r="59" spans="1:10" x14ac:dyDescent="0.2">
      <c r="B59" s="89"/>
      <c r="C59" s="89"/>
      <c r="D59" s="89"/>
      <c r="E59" s="89"/>
      <c r="F59" s="89"/>
      <c r="G59" s="89"/>
      <c r="H59" s="89"/>
    </row>
    <row r="60" spans="1:10" x14ac:dyDescent="0.2">
      <c r="B60" s="89"/>
      <c r="C60" s="89"/>
      <c r="D60" s="89"/>
      <c r="E60" s="89"/>
      <c r="F60" s="89"/>
      <c r="G60" s="89"/>
      <c r="H60" s="89"/>
    </row>
    <row r="61" spans="1:10" x14ac:dyDescent="0.2">
      <c r="B61" s="89"/>
      <c r="C61" s="89"/>
      <c r="D61" s="89"/>
      <c r="E61" s="89"/>
      <c r="F61" s="89"/>
      <c r="G61" s="89"/>
      <c r="H61" s="89"/>
    </row>
    <row r="62" spans="1:10" x14ac:dyDescent="0.2">
      <c r="B62" s="89"/>
      <c r="C62" s="89"/>
      <c r="D62" s="89"/>
      <c r="E62" s="89"/>
      <c r="F62" s="89"/>
      <c r="G62" s="89"/>
      <c r="H62" s="89"/>
    </row>
    <row r="63" spans="1:10" x14ac:dyDescent="0.2">
      <c r="B63" s="89"/>
      <c r="C63" s="89"/>
      <c r="D63" s="89"/>
      <c r="E63" s="89"/>
      <c r="F63" s="89"/>
      <c r="G63" s="89"/>
      <c r="H63" s="89"/>
    </row>
    <row r="64" spans="1:10" x14ac:dyDescent="0.2">
      <c r="B64" s="89"/>
      <c r="C64" s="89"/>
      <c r="D64" s="89"/>
      <c r="E64" s="89"/>
      <c r="F64" s="89"/>
      <c r="G64" s="89"/>
      <c r="H64" s="89"/>
    </row>
    <row r="65" spans="2:8" x14ac:dyDescent="0.2">
      <c r="B65" s="89"/>
      <c r="C65" s="89"/>
      <c r="D65" s="89"/>
      <c r="E65" s="89"/>
      <c r="F65" s="89"/>
      <c r="G65" s="89"/>
      <c r="H65" s="89"/>
    </row>
    <row r="66" spans="2:8" x14ac:dyDescent="0.2">
      <c r="B66" s="89"/>
      <c r="C66" s="89"/>
      <c r="D66" s="89"/>
      <c r="E66" s="89"/>
      <c r="F66" s="89"/>
      <c r="G66" s="89"/>
      <c r="H66" s="89"/>
    </row>
    <row r="67" spans="2:8" x14ac:dyDescent="0.2">
      <c r="B67" s="89"/>
      <c r="C67" s="89"/>
      <c r="D67" s="89"/>
      <c r="E67" s="89"/>
      <c r="F67" s="89"/>
      <c r="G67" s="89"/>
      <c r="H67" s="89"/>
    </row>
    <row r="68" spans="2:8" x14ac:dyDescent="0.2">
      <c r="B68" s="89"/>
      <c r="C68" s="89"/>
      <c r="D68" s="89"/>
      <c r="E68" s="89"/>
      <c r="F68" s="89"/>
      <c r="G68" s="89"/>
      <c r="H68" s="89"/>
    </row>
    <row r="69" spans="2:8" x14ac:dyDescent="0.2">
      <c r="B69" s="89"/>
      <c r="C69" s="89"/>
      <c r="D69" s="89"/>
      <c r="E69" s="89"/>
      <c r="F69" s="89"/>
      <c r="G69" s="89"/>
      <c r="H69" s="89"/>
    </row>
    <row r="70" spans="2:8" x14ac:dyDescent="0.2">
      <c r="B70" s="89"/>
      <c r="C70" s="89"/>
      <c r="D70" s="89"/>
      <c r="E70" s="89"/>
      <c r="F70" s="89"/>
      <c r="G70" s="89"/>
      <c r="H70" s="89"/>
    </row>
    <row r="71" spans="2:8" x14ac:dyDescent="0.2">
      <c r="B71" s="89"/>
      <c r="C71" s="89"/>
      <c r="D71" s="89"/>
      <c r="E71" s="89"/>
      <c r="F71" s="89"/>
      <c r="G71" s="89"/>
      <c r="H71" s="89"/>
    </row>
    <row r="72" spans="2:8" x14ac:dyDescent="0.2">
      <c r="B72" s="89"/>
      <c r="C72" s="89"/>
      <c r="D72" s="89"/>
      <c r="E72" s="89"/>
      <c r="F72" s="89"/>
      <c r="G72" s="89"/>
      <c r="H72" s="89"/>
    </row>
    <row r="73" spans="2:8" x14ac:dyDescent="0.2">
      <c r="B73" s="89"/>
      <c r="C73" s="89"/>
      <c r="D73" s="89"/>
      <c r="E73" s="89"/>
      <c r="F73" s="89"/>
      <c r="G73" s="89"/>
      <c r="H73" s="89"/>
    </row>
    <row r="74" spans="2:8" x14ac:dyDescent="0.2">
      <c r="B74" s="89"/>
      <c r="C74" s="89"/>
      <c r="D74" s="89"/>
      <c r="E74" s="89"/>
      <c r="F74" s="89"/>
      <c r="G74" s="89"/>
      <c r="H74" s="89"/>
    </row>
    <row r="75" spans="2:8" x14ac:dyDescent="0.2">
      <c r="B75" s="89"/>
      <c r="C75" s="89"/>
      <c r="D75" s="89"/>
      <c r="E75" s="89"/>
      <c r="F75" s="89"/>
      <c r="G75" s="89"/>
      <c r="H75" s="89"/>
    </row>
    <row r="76" spans="2:8" x14ac:dyDescent="0.2">
      <c r="B76" s="89"/>
      <c r="C76" s="89"/>
      <c r="D76" s="89"/>
      <c r="E76" s="89"/>
      <c r="F76" s="89"/>
      <c r="G76" s="89"/>
      <c r="H76" s="89"/>
    </row>
    <row r="77" spans="2:8" x14ac:dyDescent="0.2">
      <c r="B77" s="89"/>
      <c r="C77" s="89"/>
      <c r="D77" s="89"/>
      <c r="E77" s="89"/>
      <c r="F77" s="89"/>
      <c r="G77" s="89"/>
      <c r="H77" s="89"/>
    </row>
    <row r="78" spans="2:8" x14ac:dyDescent="0.2">
      <c r="B78" s="89"/>
      <c r="C78" s="89"/>
      <c r="D78" s="89"/>
      <c r="E78" s="89"/>
      <c r="F78" s="89"/>
      <c r="G78" s="89"/>
      <c r="H78" s="89"/>
    </row>
    <row r="79" spans="2:8" x14ac:dyDescent="0.2">
      <c r="B79" s="89"/>
      <c r="C79" s="89"/>
      <c r="D79" s="89"/>
      <c r="E79" s="89"/>
      <c r="F79" s="89"/>
      <c r="G79" s="89"/>
      <c r="H79" s="89"/>
    </row>
    <row r="80" spans="2:8" x14ac:dyDescent="0.2">
      <c r="B80" s="89"/>
      <c r="C80" s="89"/>
      <c r="D80" s="89"/>
      <c r="E80" s="89"/>
      <c r="F80" s="89"/>
      <c r="G80" s="89"/>
      <c r="H80" s="89"/>
    </row>
    <row r="81" spans="2:8" x14ac:dyDescent="0.2">
      <c r="B81" s="89"/>
      <c r="C81" s="89"/>
      <c r="D81" s="89"/>
      <c r="E81" s="89"/>
      <c r="F81" s="89"/>
      <c r="G81" s="89"/>
      <c r="H81" s="89"/>
    </row>
    <row r="82" spans="2:8" x14ac:dyDescent="0.2">
      <c r="B82" s="89"/>
      <c r="C82" s="89"/>
      <c r="D82" s="89"/>
      <c r="E82" s="89"/>
      <c r="F82" s="89"/>
      <c r="G82" s="89"/>
      <c r="H82" s="89"/>
    </row>
    <row r="83" spans="2:8" x14ac:dyDescent="0.2">
      <c r="B83" s="89"/>
      <c r="C83" s="89"/>
      <c r="D83" s="89"/>
      <c r="E83" s="89"/>
      <c r="F83" s="89"/>
      <c r="G83" s="89"/>
      <c r="H83" s="89"/>
    </row>
    <row r="84" spans="2:8" x14ac:dyDescent="0.2">
      <c r="B84" s="89"/>
      <c r="C84" s="89"/>
      <c r="D84" s="89"/>
      <c r="E84" s="89"/>
      <c r="F84" s="89"/>
      <c r="G84" s="89"/>
      <c r="H84" s="89"/>
    </row>
    <row r="85" spans="2:8" x14ac:dyDescent="0.2">
      <c r="B85" s="89"/>
      <c r="C85" s="89"/>
      <c r="D85" s="89"/>
      <c r="E85" s="89"/>
      <c r="F85" s="89"/>
      <c r="G85" s="89"/>
      <c r="H85" s="89"/>
    </row>
    <row r="86" spans="2:8" x14ac:dyDescent="0.2">
      <c r="B86" s="89"/>
      <c r="C86" s="89"/>
      <c r="D86" s="89"/>
      <c r="E86" s="89"/>
      <c r="F86" s="89"/>
      <c r="G86" s="89"/>
      <c r="H86" s="89"/>
    </row>
    <row r="87" spans="2:8" x14ac:dyDescent="0.2">
      <c r="B87" s="89"/>
      <c r="C87" s="89"/>
      <c r="D87" s="89"/>
      <c r="E87" s="89"/>
      <c r="F87" s="89"/>
      <c r="G87" s="89"/>
      <c r="H87" s="89"/>
    </row>
    <row r="88" spans="2:8" x14ac:dyDescent="0.2">
      <c r="B88" s="89"/>
      <c r="C88" s="89"/>
      <c r="D88" s="89"/>
      <c r="E88" s="89"/>
      <c r="F88" s="89"/>
      <c r="G88" s="89"/>
      <c r="H88" s="89"/>
    </row>
    <row r="89" spans="2:8" x14ac:dyDescent="0.2">
      <c r="B89" s="89"/>
      <c r="C89" s="89"/>
      <c r="D89" s="89"/>
      <c r="E89" s="89"/>
      <c r="F89" s="89"/>
      <c r="G89" s="89"/>
      <c r="H89" s="89"/>
    </row>
    <row r="90" spans="2:8" x14ac:dyDescent="0.2">
      <c r="B90" s="89"/>
      <c r="C90" s="89"/>
      <c r="D90" s="89"/>
      <c r="E90" s="89"/>
      <c r="F90" s="89"/>
      <c r="G90" s="89"/>
      <c r="H90" s="89"/>
    </row>
  </sheetData>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S49"/>
  <sheetViews>
    <sheetView zoomScale="90" zoomScaleNormal="90" workbookViewId="0"/>
  </sheetViews>
  <sheetFormatPr baseColWidth="10" defaultRowHeight="12.75" x14ac:dyDescent="0.2"/>
  <cols>
    <col min="1" max="1" width="34.28515625" customWidth="1"/>
    <col min="2" max="7" width="11.42578125" customWidth="1"/>
    <col min="8" max="8" width="18.28515625" bestFit="1" customWidth="1"/>
    <col min="9" max="9" width="13.42578125" style="67" customWidth="1"/>
    <col min="10" max="10" width="3.85546875" bestFit="1" customWidth="1"/>
  </cols>
  <sheetData>
    <row r="1" spans="1:12" ht="38.25" x14ac:dyDescent="0.2">
      <c r="A1" s="431" t="s">
        <v>95</v>
      </c>
      <c r="B1" s="432">
        <f>TableauxNote!C4</f>
        <v>2023</v>
      </c>
      <c r="C1" s="432">
        <f>TableauxNote!D4</f>
        <v>2024</v>
      </c>
      <c r="D1" s="432" t="str">
        <f>TableauxNote!E4</f>
        <v>2025(p)</v>
      </c>
      <c r="E1" s="432" t="str">
        <f>TableauxNote!F4</f>
        <v>2026(p)</v>
      </c>
      <c r="F1" s="432" t="str">
        <f>TableauxNote!G4</f>
        <v>2027(p)</v>
      </c>
      <c r="G1" s="432" t="str">
        <f>TableauxNote!H4</f>
        <v>2028(p)</v>
      </c>
      <c r="H1" s="432" t="str">
        <f>TableauxNote!I4</f>
        <v>2029(p)</v>
      </c>
      <c r="I1" s="439" t="s">
        <v>157</v>
      </c>
    </row>
    <row r="2" spans="1:12" x14ac:dyDescent="0.2">
      <c r="A2" s="68" t="s">
        <v>71</v>
      </c>
      <c r="B2" s="69">
        <f>'Détail CHG PDT'!B7</f>
        <v>15814.74805369</v>
      </c>
      <c r="C2" s="135">
        <f>'Détail CHG PDT'!C7</f>
        <v>16577.269829209999</v>
      </c>
      <c r="D2" s="135">
        <f>'Détail CHG PDT'!D7</f>
        <v>16948.375220851995</v>
      </c>
      <c r="E2" s="135">
        <f>'Détail CHG PDT'!E7</f>
        <v>17423.170810150434</v>
      </c>
      <c r="F2" s="69">
        <f>'Détail CHG PDT'!F7</f>
        <v>18028.459321393322</v>
      </c>
      <c r="G2" s="69">
        <f>'Détail CHG PDT'!G7</f>
        <v>18683.99751969803</v>
      </c>
      <c r="H2" s="69">
        <f>'Détail CHG PDT'!H7</f>
        <v>19377.522195796777</v>
      </c>
      <c r="I2" s="436"/>
      <c r="K2" s="637" t="s">
        <v>171</v>
      </c>
      <c r="L2" s="637"/>
    </row>
    <row r="3" spans="1:12" x14ac:dyDescent="0.2">
      <c r="A3" s="179" t="s">
        <v>246</v>
      </c>
      <c r="B3" s="136">
        <f>TableauxNote!C47</f>
        <v>13957.312436729999</v>
      </c>
      <c r="C3" s="136">
        <f>TableauxNote!D47</f>
        <v>14732.043979890001</v>
      </c>
      <c r="D3" s="136">
        <f>TableauxNote!E47</f>
        <v>15163.839617120693</v>
      </c>
      <c r="E3" s="136">
        <f>TableauxNote!F47</f>
        <v>15569.80782932114</v>
      </c>
      <c r="F3" s="136">
        <f>TableauxNote!G47</f>
        <v>16101.712440310921</v>
      </c>
      <c r="G3" s="136">
        <f>TableauxNote!H47</f>
        <v>16669.559359152085</v>
      </c>
      <c r="H3" s="136">
        <f>TableauxNote!I47</f>
        <v>17279.737938700448</v>
      </c>
      <c r="I3" s="436">
        <f>D3/D2</f>
        <v>0.89470757046163674</v>
      </c>
      <c r="J3" s="438">
        <f>(D3/D2)*C17*100</f>
        <v>2.6223844162423688</v>
      </c>
      <c r="K3" s="117" t="s">
        <v>281</v>
      </c>
    </row>
    <row r="4" spans="1:12" x14ac:dyDescent="0.2">
      <c r="A4" s="445" t="s">
        <v>73</v>
      </c>
      <c r="B4" s="135">
        <f>'Détail CHG PDT'!B15</f>
        <v>15875.352678770001</v>
      </c>
      <c r="C4" s="164">
        <f>'Détail CHG PDT'!C15</f>
        <v>16613.676011039999</v>
      </c>
      <c r="D4" s="575">
        <f>'Détail CHG PDT'!D15</f>
        <v>16984.793778861065</v>
      </c>
      <c r="E4" s="135">
        <f>'Détail CHG PDT'!E15</f>
        <v>17457.820637978592</v>
      </c>
      <c r="F4" s="135">
        <f>'Détail CHG PDT'!F15</f>
        <v>18067.026958986229</v>
      </c>
      <c r="G4" s="135">
        <f>'Détail CHG PDT'!G15</f>
        <v>18723.311329522607</v>
      </c>
      <c r="H4" s="135">
        <f>'Détail CHG PDT'!H15</f>
        <v>19417.542876484156</v>
      </c>
      <c r="I4" s="436">
        <f t="shared" ref="I4:I10" si="0">D4/$D$4</f>
        <v>1</v>
      </c>
    </row>
    <row r="5" spans="1:12" x14ac:dyDescent="0.2">
      <c r="A5" s="179" t="s">
        <v>74</v>
      </c>
      <c r="B5" s="136">
        <f>TableauxNote!C54</f>
        <v>6303.9853344099993</v>
      </c>
      <c r="C5" s="510">
        <f>TableauxNote!D54</f>
        <v>6640.469457180001</v>
      </c>
      <c r="D5" s="510">
        <f>TableauxNote!E54</f>
        <v>7020.8582871647177</v>
      </c>
      <c r="E5" s="136">
        <f>TableauxNote!F54</f>
        <v>7350.1007637862222</v>
      </c>
      <c r="F5" s="136">
        <f>TableauxNote!G54</f>
        <v>7650.1645526523807</v>
      </c>
      <c r="G5" s="136">
        <f>TableauxNote!H54</f>
        <v>7942.0058720731695</v>
      </c>
      <c r="H5" s="136">
        <f>TableauxNote!I54</f>
        <v>8247.1729518072716</v>
      </c>
      <c r="I5" s="437">
        <f t="shared" si="0"/>
        <v>0.41336140895056012</v>
      </c>
      <c r="J5" s="91"/>
    </row>
    <row r="6" spans="1:12" x14ac:dyDescent="0.2">
      <c r="A6" s="179" t="s">
        <v>75</v>
      </c>
      <c r="B6" s="136">
        <f>'Détail CHG PDT'!B30</f>
        <v>2596.6026350000002</v>
      </c>
      <c r="C6" s="510">
        <f>'Détail CHG PDT'!C30</f>
        <v>2595.9372039999998</v>
      </c>
      <c r="D6" s="510">
        <f>'Détail CHG PDT'!D30</f>
        <v>2546.7981087956</v>
      </c>
      <c r="E6" s="136">
        <f>'Détail CHG PDT'!E30</f>
        <v>2509.4933539018471</v>
      </c>
      <c r="F6" s="136">
        <f>'Détail CHG PDT'!F30</f>
        <v>2478.4316967900977</v>
      </c>
      <c r="G6" s="136">
        <f>'Détail CHG PDT'!G30</f>
        <v>2449.1283110993359</v>
      </c>
      <c r="H6" s="136">
        <f>'Détail CHG PDT'!H30</f>
        <v>2416.4186627475128</v>
      </c>
      <c r="I6" s="576">
        <f t="shared" si="0"/>
        <v>0.14994577749688631</v>
      </c>
      <c r="J6" s="67"/>
    </row>
    <row r="7" spans="1:12" x14ac:dyDescent="0.2">
      <c r="A7" s="179" t="s">
        <v>76</v>
      </c>
      <c r="B7" s="136">
        <f>'Détail CHG PDT'!B43</f>
        <v>1134.8043451599999</v>
      </c>
      <c r="C7" s="510">
        <f>'Détail CHG PDT'!C43</f>
        <v>1091.62434966</v>
      </c>
      <c r="D7" s="510">
        <f>'Détail CHG PDT'!D43</f>
        <v>1185.9191944229733</v>
      </c>
      <c r="E7" s="136">
        <f>'Détail CHG PDT'!E43</f>
        <v>1225.9465337160134</v>
      </c>
      <c r="F7" s="136">
        <f>'Détail CHG PDT'!F43</f>
        <v>1262.5672786542589</v>
      </c>
      <c r="G7" s="136">
        <f>'Détail CHG PDT'!G43</f>
        <v>1299.6041826820579</v>
      </c>
      <c r="H7" s="136">
        <f>'Détail CHG PDT'!H43</f>
        <v>1337.0258633065077</v>
      </c>
      <c r="I7" s="437">
        <f t="shared" si="0"/>
        <v>6.9822407611386167E-2</v>
      </c>
    </row>
    <row r="8" spans="1:12" x14ac:dyDescent="0.2">
      <c r="A8" s="179" t="s">
        <v>77</v>
      </c>
      <c r="B8" s="136">
        <f>'Détail CHG PDT'!B23</f>
        <v>18.156489730000001</v>
      </c>
      <c r="C8" s="510">
        <f>'Détail CHG PDT'!C23</f>
        <v>15.96992283</v>
      </c>
      <c r="D8" s="510">
        <f>'Détail CHG PDT'!D23</f>
        <v>6.8022549999999997</v>
      </c>
      <c r="E8" s="136">
        <f>'Détail CHG PDT'!E23</f>
        <v>7.0675429449999996</v>
      </c>
      <c r="F8" s="136">
        <f>'Détail CHG PDT'!F23</f>
        <v>7.2693276357001073</v>
      </c>
      <c r="G8" s="136">
        <f>'Détail CHG PDT'!G23</f>
        <v>7.4846862376324887</v>
      </c>
      <c r="H8" s="136">
        <f>'Détail CHG PDT'!H23</f>
        <v>7.7057564582195788</v>
      </c>
      <c r="I8" s="437">
        <f t="shared" si="0"/>
        <v>4.0049087958111978E-4</v>
      </c>
    </row>
    <row r="9" spans="1:12" x14ac:dyDescent="0.2">
      <c r="A9" s="179" t="s">
        <v>135</v>
      </c>
      <c r="B9" s="136">
        <f>'Détail CHG PDT'!B36</f>
        <v>483.45788569000001</v>
      </c>
      <c r="C9" s="136">
        <f>'Détail CHG PDT'!C36</f>
        <v>526.97571078999999</v>
      </c>
      <c r="D9" s="136">
        <f>'Détail CHG PDT'!D36</f>
        <v>530.5979366817395</v>
      </c>
      <c r="E9" s="71">
        <f>'Détail CHG PDT'!E36</f>
        <v>541.50514090100933</v>
      </c>
      <c r="F9" s="71">
        <f>'Détail CHG PDT'!F36</f>
        <v>557.04501947979861</v>
      </c>
      <c r="G9" s="71">
        <f>'Détail CHG PDT'!G36</f>
        <v>585.02213053719674</v>
      </c>
      <c r="H9" s="71">
        <f>'Détail CHG PDT'!H36</f>
        <v>602.16483008611772</v>
      </c>
      <c r="I9" s="436">
        <f t="shared" si="0"/>
        <v>3.1239586632020876E-2</v>
      </c>
    </row>
    <row r="10" spans="1:12" x14ac:dyDescent="0.2">
      <c r="A10" s="179" t="s">
        <v>129</v>
      </c>
      <c r="B10" s="136">
        <f>'Détail CHG PDT'!B50</f>
        <v>716.21538710000004</v>
      </c>
      <c r="C10" s="136">
        <f>'Détail CHG PDT'!C50</f>
        <v>772.53936432</v>
      </c>
      <c r="D10" s="136">
        <f>'Détail CHG PDT'!D50</f>
        <v>744.02131403957981</v>
      </c>
      <c r="E10" s="71">
        <f>'Détail CHG PDT'!E50</f>
        <v>779.07916868448308</v>
      </c>
      <c r="F10" s="71">
        <f>'Détail CHG PDT'!F50</f>
        <v>811.48790480063417</v>
      </c>
      <c r="G10" s="71">
        <f>'Détail CHG PDT'!G50</f>
        <v>846.47128957310088</v>
      </c>
      <c r="H10" s="71">
        <f>'Détail CHG PDT'!H50</f>
        <v>882.0971326577984</v>
      </c>
      <c r="I10" s="436">
        <f t="shared" si="0"/>
        <v>4.3805142630908706E-2</v>
      </c>
    </row>
    <row r="11" spans="1:12" x14ac:dyDescent="0.2">
      <c r="A11" s="72" t="s">
        <v>39</v>
      </c>
      <c r="B11" s="69">
        <f t="shared" ref="B11:H11" si="1">B4-B2</f>
        <v>60.604625080000915</v>
      </c>
      <c r="C11" s="69">
        <f t="shared" si="1"/>
        <v>36.406181829999696</v>
      </c>
      <c r="D11" s="69">
        <f t="shared" si="1"/>
        <v>36.418558009070694</v>
      </c>
      <c r="E11" s="69">
        <f t="shared" si="1"/>
        <v>34.649827828157868</v>
      </c>
      <c r="F11" s="69">
        <f t="shared" si="1"/>
        <v>38.567637592906976</v>
      </c>
      <c r="G11" s="69">
        <f t="shared" si="1"/>
        <v>39.31380982457631</v>
      </c>
      <c r="H11" s="69">
        <f t="shared" si="1"/>
        <v>40.020680687379354</v>
      </c>
      <c r="I11" s="436"/>
    </row>
    <row r="12" spans="1:12" x14ac:dyDescent="0.2">
      <c r="A12" s="187" t="s">
        <v>261</v>
      </c>
      <c r="B12" s="184">
        <f>TableauxNote!M18</f>
        <v>2758.1404024199996</v>
      </c>
      <c r="C12" s="184">
        <f>TableauxNote!N18</f>
        <v>3174.8735542599998</v>
      </c>
      <c r="D12" s="184">
        <f>TableauxNote!O18</f>
        <v>3098.8672434726091</v>
      </c>
      <c r="E12" s="184">
        <f>TableauxNote!P18</f>
        <v>3129.3638227631509</v>
      </c>
      <c r="F12" s="184">
        <f>TableauxNote!Q18</f>
        <v>3321.0870483545996</v>
      </c>
      <c r="G12" s="184">
        <f>TableauxNote!R18</f>
        <v>3535.6430229840234</v>
      </c>
      <c r="H12" s="184">
        <f>TableauxNote!S18</f>
        <v>3781.4495973012558</v>
      </c>
      <c r="I12" s="436"/>
    </row>
    <row r="13" spans="1:12" x14ac:dyDescent="0.2">
      <c r="B13" s="89">
        <f>B5+B8+B7</f>
        <v>7456.9461692999994</v>
      </c>
      <c r="C13" s="89">
        <f t="shared" ref="C13:H13" si="2">C5+C8+C7</f>
        <v>7748.0637296700006</v>
      </c>
      <c r="D13" s="89">
        <f t="shared" si="2"/>
        <v>8213.5797365876897</v>
      </c>
      <c r="E13" s="89">
        <f t="shared" si="2"/>
        <v>8583.1148404472351</v>
      </c>
      <c r="F13" s="89">
        <f t="shared" si="2"/>
        <v>8920.0011589423393</v>
      </c>
      <c r="G13" s="89">
        <f t="shared" si="2"/>
        <v>9249.0947409928594</v>
      </c>
      <c r="H13" s="89">
        <f t="shared" si="2"/>
        <v>9591.9045715719985</v>
      </c>
    </row>
    <row r="14" spans="1:12" s="112" customFormat="1" x14ac:dyDescent="0.2">
      <c r="A14" s="108"/>
      <c r="B14" s="595">
        <f>(C13/B13)-1</f>
        <v>3.9039783010439644E-2</v>
      </c>
      <c r="C14" s="595">
        <f t="shared" ref="C14:F14" si="3">(D13/C13)-1</f>
        <v>6.0081592402895234E-2</v>
      </c>
      <c r="D14" s="595">
        <f t="shared" si="3"/>
        <v>4.4990748943902981E-2</v>
      </c>
      <c r="E14" s="595">
        <f t="shared" si="3"/>
        <v>3.9249890600036474E-2</v>
      </c>
      <c r="F14" s="595">
        <f t="shared" si="3"/>
        <v>3.6893894539531846E-2</v>
      </c>
      <c r="G14" s="595">
        <f>(H13/G13)-1</f>
        <v>3.7064149538848845E-2</v>
      </c>
      <c r="H14" s="595"/>
      <c r="I14" s="111"/>
    </row>
    <row r="15" spans="1:12" ht="38.25" x14ac:dyDescent="0.2">
      <c r="A15" s="431" t="s">
        <v>146</v>
      </c>
      <c r="B15" s="432" t="str">
        <f>TableauxNote!C23</f>
        <v>2024/2023</v>
      </c>
      <c r="C15" s="432" t="str">
        <f>TableauxNote!D23</f>
        <v>2025/2024</v>
      </c>
      <c r="D15" s="432" t="str">
        <f>TableauxNote!E23</f>
        <v>2026/2025</v>
      </c>
      <c r="E15" s="432" t="str">
        <f>TableauxNote!F23</f>
        <v>2027/2026</v>
      </c>
      <c r="F15" s="432" t="str">
        <f>TableauxNote!G23</f>
        <v>2028/2027</v>
      </c>
      <c r="G15" s="432" t="str">
        <f>TableauxNote!H23</f>
        <v>2029/2028</v>
      </c>
      <c r="H15" s="446" t="s">
        <v>104</v>
      </c>
    </row>
    <row r="16" spans="1:12" x14ac:dyDescent="0.2">
      <c r="A16" s="440" t="s">
        <v>71</v>
      </c>
      <c r="B16" s="441">
        <f t="shared" ref="B16:G25" si="4">C2/B2-1</f>
        <v>4.8215866160579379E-2</v>
      </c>
      <c r="C16" s="441">
        <f t="shared" si="4"/>
        <v>2.2386399899704035E-2</v>
      </c>
      <c r="D16" s="441">
        <f t="shared" si="4"/>
        <v>2.8014224556126566E-2</v>
      </c>
      <c r="E16" s="441">
        <f t="shared" si="4"/>
        <v>3.4740433749880895E-2</v>
      </c>
      <c r="F16" s="441">
        <f t="shared" si="4"/>
        <v>3.6361298911816498E-2</v>
      </c>
      <c r="G16" s="441">
        <f t="shared" si="4"/>
        <v>3.7118645266762673E-2</v>
      </c>
      <c r="H16" s="442">
        <f t="shared" ref="H16:H26" si="5">(H2/D2)^(1/4)-1</f>
        <v>3.4052391060724441E-2</v>
      </c>
    </row>
    <row r="17" spans="1:12" x14ac:dyDescent="0.2">
      <c r="A17" s="435" t="s">
        <v>72</v>
      </c>
      <c r="B17" s="443">
        <f t="shared" si="4"/>
        <v>5.5507215065360382E-2</v>
      </c>
      <c r="C17" s="443">
        <f t="shared" si="4"/>
        <v>2.9309961185298938E-2</v>
      </c>
      <c r="D17" s="443">
        <f t="shared" si="4"/>
        <v>2.6772125164268301E-2</v>
      </c>
      <c r="E17" s="443">
        <f t="shared" si="4"/>
        <v>3.4162567503761787E-2</v>
      </c>
      <c r="F17" s="443">
        <f t="shared" si="4"/>
        <v>3.5266243944311659E-2</v>
      </c>
      <c r="G17" s="443">
        <f t="shared" si="4"/>
        <v>3.6604361663186813E-2</v>
      </c>
      <c r="H17" s="442">
        <f t="shared" si="5"/>
        <v>3.3194278070309613E-2</v>
      </c>
    </row>
    <row r="18" spans="1:12" x14ac:dyDescent="0.2">
      <c r="A18" s="434" t="s">
        <v>73</v>
      </c>
      <c r="B18" s="513">
        <f t="shared" si="4"/>
        <v>4.6507523153003882E-2</v>
      </c>
      <c r="C18" s="577">
        <f t="shared" si="4"/>
        <v>2.2338088667098965E-2</v>
      </c>
      <c r="D18" s="442">
        <f t="shared" si="4"/>
        <v>2.7850020746571946E-2</v>
      </c>
      <c r="E18" s="442">
        <f t="shared" si="4"/>
        <v>3.4895897583134827E-2</v>
      </c>
      <c r="F18" s="442">
        <f t="shared" si="4"/>
        <v>3.6324978759715298E-2</v>
      </c>
      <c r="G18" s="442">
        <f t="shared" si="4"/>
        <v>3.707845982707636E-2</v>
      </c>
      <c r="H18" s="578">
        <f t="shared" si="5"/>
        <v>3.4030856294749778E-2</v>
      </c>
      <c r="J18" s="67"/>
    </row>
    <row r="19" spans="1:12" x14ac:dyDescent="0.2">
      <c r="A19" s="435" t="s">
        <v>74</v>
      </c>
      <c r="B19" s="443">
        <f t="shared" si="4"/>
        <v>5.3376412685054886E-2</v>
      </c>
      <c r="C19" s="511">
        <f t="shared" si="4"/>
        <v>5.7283424377989167E-2</v>
      </c>
      <c r="D19" s="443">
        <f t="shared" si="4"/>
        <v>4.6894904177657848E-2</v>
      </c>
      <c r="E19" s="443">
        <f t="shared" si="4"/>
        <v>4.0824445610945448E-2</v>
      </c>
      <c r="F19" s="443">
        <f t="shared" si="4"/>
        <v>3.8148371503931244E-2</v>
      </c>
      <c r="G19" s="443">
        <f t="shared" si="4"/>
        <v>3.8424433908714972E-2</v>
      </c>
      <c r="H19" s="577">
        <f t="shared" si="5"/>
        <v>4.106710421291071E-2</v>
      </c>
    </row>
    <row r="20" spans="1:12" x14ac:dyDescent="0.2">
      <c r="A20" s="435" t="s">
        <v>75</v>
      </c>
      <c r="B20" s="443">
        <f t="shared" si="4"/>
        <v>-2.5626986240823157E-4</v>
      </c>
      <c r="C20" s="511">
        <f t="shared" si="4"/>
        <v>-1.8929231080275333E-2</v>
      </c>
      <c r="D20" s="443">
        <f t="shared" si="4"/>
        <v>-1.4647707945485533E-2</v>
      </c>
      <c r="E20" s="443">
        <f t="shared" si="4"/>
        <v>-1.2377660639528498E-2</v>
      </c>
      <c r="F20" s="443">
        <f t="shared" si="4"/>
        <v>-1.1823358186030974E-2</v>
      </c>
      <c r="G20" s="443">
        <f t="shared" si="4"/>
        <v>-1.3355628695966848E-2</v>
      </c>
      <c r="H20" s="513">
        <f t="shared" si="5"/>
        <v>-1.3051671987167612E-2</v>
      </c>
    </row>
    <row r="21" spans="1:12" x14ac:dyDescent="0.2">
      <c r="A21" s="435" t="s">
        <v>76</v>
      </c>
      <c r="B21" s="443">
        <f t="shared" si="4"/>
        <v>-3.8050608181194323E-2</v>
      </c>
      <c r="C21" s="511">
        <f t="shared" si="4"/>
        <v>8.6380305452459449E-2</v>
      </c>
      <c r="D21" s="443">
        <f t="shared" si="4"/>
        <v>3.3752164128278528E-2</v>
      </c>
      <c r="E21" s="443">
        <f t="shared" si="4"/>
        <v>2.9871404609500329E-2</v>
      </c>
      <c r="F21" s="443">
        <f t="shared" si="4"/>
        <v>2.9334598364750608E-2</v>
      </c>
      <c r="G21" s="443">
        <f t="shared" si="4"/>
        <v>2.8794675427421978E-2</v>
      </c>
      <c r="H21" s="577">
        <f t="shared" si="5"/>
        <v>3.0436366382494473E-2</v>
      </c>
    </row>
    <row r="22" spans="1:12" x14ac:dyDescent="0.2">
      <c r="A22" s="435" t="s">
        <v>77</v>
      </c>
      <c r="B22" s="443">
        <f t="shared" si="4"/>
        <v>-0.12042894482996525</v>
      </c>
      <c r="C22" s="511">
        <f t="shared" si="4"/>
        <v>-0.57405836756945683</v>
      </c>
      <c r="D22" s="443">
        <f t="shared" si="4"/>
        <v>3.8999999999999924E-2</v>
      </c>
      <c r="E22" s="443">
        <f t="shared" si="4"/>
        <v>2.8550897004858244E-2</v>
      </c>
      <c r="F22" s="443">
        <f t="shared" si="4"/>
        <v>2.9625656281434098E-2</v>
      </c>
      <c r="G22" s="443">
        <f t="shared" si="4"/>
        <v>2.9536337739258123E-2</v>
      </c>
      <c r="H22" s="513">
        <f t="shared" si="5"/>
        <v>3.16695029281997E-2</v>
      </c>
    </row>
    <row r="23" spans="1:12" x14ac:dyDescent="0.2">
      <c r="A23" s="435" t="str">
        <f>A9</f>
        <v>Dont cotisations prises en charge par l'Etat</v>
      </c>
      <c r="B23" s="443">
        <f t="shared" si="4"/>
        <v>9.0013683483289419E-2</v>
      </c>
      <c r="C23" s="443">
        <f t="shared" si="4"/>
        <v>6.8736107140674463E-3</v>
      </c>
      <c r="D23" s="443">
        <f t="shared" si="4"/>
        <v>2.0556439189118425E-2</v>
      </c>
      <c r="E23" s="443">
        <f t="shared" si="4"/>
        <v>2.869756426122283E-2</v>
      </c>
      <c r="F23" s="443">
        <f t="shared" si="4"/>
        <v>5.0224147203622449E-2</v>
      </c>
      <c r="G23" s="443">
        <f t="shared" si="4"/>
        <v>2.9302651394024437E-2</v>
      </c>
      <c r="H23" s="442">
        <f t="shared" si="5"/>
        <v>3.2137262722684357E-2</v>
      </c>
    </row>
    <row r="24" spans="1:12" x14ac:dyDescent="0.2">
      <c r="A24" s="435" t="str">
        <f>A10</f>
        <v>Dont reprises sur provisions</v>
      </c>
      <c r="B24" s="443">
        <f t="shared" si="4"/>
        <v>7.8641115835362374E-2</v>
      </c>
      <c r="C24" s="443">
        <f t="shared" si="4"/>
        <v>-3.691468887869831E-2</v>
      </c>
      <c r="D24" s="443">
        <f t="shared" si="4"/>
        <v>4.7119422499552588E-2</v>
      </c>
      <c r="E24" s="443">
        <f t="shared" si="4"/>
        <v>4.1598771240251464E-2</v>
      </c>
      <c r="F24" s="443">
        <f t="shared" si="4"/>
        <v>4.3110173997062073E-2</v>
      </c>
      <c r="G24" s="443">
        <f t="shared" si="4"/>
        <v>4.2087479544243855E-2</v>
      </c>
      <c r="H24" s="442">
        <f t="shared" si="5"/>
        <v>4.3476705480945732E-2</v>
      </c>
    </row>
    <row r="25" spans="1:12" x14ac:dyDescent="0.2">
      <c r="A25" s="444" t="str">
        <f>A11</f>
        <v>RESULTAT NET SA</v>
      </c>
      <c r="B25" s="442">
        <f t="shared" si="4"/>
        <v>-0.39928377113228819</v>
      </c>
      <c r="C25" s="442">
        <f t="shared" si="4"/>
        <v>3.3994718613428176E-4</v>
      </c>
      <c r="D25" s="442">
        <f t="shared" si="4"/>
        <v>-4.856672744901902E-2</v>
      </c>
      <c r="E25" s="442">
        <f t="shared" si="4"/>
        <v>0.11306866470387877</v>
      </c>
      <c r="F25" s="442">
        <f t="shared" si="4"/>
        <v>1.9347107529514851E-2</v>
      </c>
      <c r="G25" s="442">
        <f t="shared" si="4"/>
        <v>1.798021779006409E-2</v>
      </c>
      <c r="H25" s="442">
        <f t="shared" si="5"/>
        <v>2.3859657896295738E-2</v>
      </c>
      <c r="K25" s="637" t="s">
        <v>159</v>
      </c>
      <c r="L25" s="637"/>
    </row>
    <row r="26" spans="1:12" x14ac:dyDescent="0.2">
      <c r="A26" s="187" t="str">
        <f>A12</f>
        <v>Contribution du RG</v>
      </c>
      <c r="B26" s="186">
        <f t="shared" ref="B26:G26" si="6">C12/B12-1</f>
        <v>0.15109207329487551</v>
      </c>
      <c r="C26" s="186">
        <f t="shared" si="6"/>
        <v>-2.3939948942346523E-2</v>
      </c>
      <c r="D26" s="186">
        <f t="shared" si="6"/>
        <v>9.8412022505254271E-3</v>
      </c>
      <c r="E26" s="186">
        <f t="shared" si="6"/>
        <v>6.1265879089176023E-2</v>
      </c>
      <c r="F26" s="186">
        <f t="shared" si="6"/>
        <v>6.460414060381936E-2</v>
      </c>
      <c r="G26" s="186">
        <f t="shared" si="6"/>
        <v>6.9522452555115688E-2</v>
      </c>
      <c r="H26" s="185">
        <f t="shared" si="5"/>
        <v>5.102691133218884E-2</v>
      </c>
      <c r="K26" s="117" t="s">
        <v>282</v>
      </c>
    </row>
    <row r="28" spans="1:12" x14ac:dyDescent="0.2">
      <c r="A28" s="433" t="s">
        <v>94</v>
      </c>
      <c r="B28" s="432">
        <f t="shared" ref="B28:G28" si="7">C1</f>
        <v>2024</v>
      </c>
      <c r="C28" s="432" t="str">
        <f t="shared" si="7"/>
        <v>2025(p)</v>
      </c>
      <c r="D28" s="432" t="str">
        <f t="shared" si="7"/>
        <v>2026(p)</v>
      </c>
      <c r="E28" s="432" t="str">
        <f t="shared" si="7"/>
        <v>2027(p)</v>
      </c>
      <c r="F28" s="432" t="str">
        <f t="shared" si="7"/>
        <v>2028(p)</v>
      </c>
      <c r="G28" s="432" t="str">
        <f t="shared" si="7"/>
        <v>2029(p)</v>
      </c>
      <c r="H28" s="432" t="s">
        <v>161</v>
      </c>
    </row>
    <row r="29" spans="1:12" x14ac:dyDescent="0.2">
      <c r="A29" s="414" t="str">
        <f>A16</f>
        <v>Charges</v>
      </c>
      <c r="B29" s="406">
        <f t="shared" ref="B29:G29" si="8">(B2/B$2)*B16*100</f>
        <v>4.8215866160579379</v>
      </c>
      <c r="C29" s="406">
        <f t="shared" si="8"/>
        <v>2.2386399899704035</v>
      </c>
      <c r="D29" s="406">
        <f t="shared" si="8"/>
        <v>2.8014224556126566</v>
      </c>
      <c r="E29" s="406">
        <f t="shared" si="8"/>
        <v>3.4740433749880895</v>
      </c>
      <c r="F29" s="406">
        <f t="shared" si="8"/>
        <v>3.6361298911816498</v>
      </c>
      <c r="G29" s="406">
        <f t="shared" si="8"/>
        <v>3.7118645266762673</v>
      </c>
      <c r="H29" s="406">
        <f t="shared" ref="H29:H38" si="9">AVERAGE(C29:G29)</f>
        <v>3.1724200476858133</v>
      </c>
    </row>
    <row r="30" spans="1:12" x14ac:dyDescent="0.2">
      <c r="A30" s="179" t="s">
        <v>213</v>
      </c>
      <c r="B30" s="406">
        <f t="shared" ref="B30:G30" si="10">(B3/B$4)*B17*100</f>
        <v>4.8800902810558933</v>
      </c>
      <c r="C30" s="406">
        <f t="shared" si="10"/>
        <v>2.5990373048310267</v>
      </c>
      <c r="D30" s="406">
        <f t="shared" si="10"/>
        <v>2.3901862894897521</v>
      </c>
      <c r="E30" s="406">
        <f t="shared" si="10"/>
        <v>3.0467984636790866</v>
      </c>
      <c r="F30" s="406">
        <f t="shared" si="10"/>
        <v>3.1430014475000574</v>
      </c>
      <c r="G30" s="406">
        <f t="shared" si="10"/>
        <v>3.2589244968983881</v>
      </c>
      <c r="H30" s="406">
        <f t="shared" si="9"/>
        <v>2.8875896004796622</v>
      </c>
    </row>
    <row r="31" spans="1:12" x14ac:dyDescent="0.2">
      <c r="A31" s="445" t="s">
        <v>73</v>
      </c>
      <c r="B31" s="447">
        <f t="shared" ref="B31:G37" si="11">(B4/B$4)*B18*100</f>
        <v>4.6507523153003882</v>
      </c>
      <c r="C31" s="406">
        <f t="shared" si="11"/>
        <v>2.2338088667098965</v>
      </c>
      <c r="D31" s="447">
        <f t="shared" si="11"/>
        <v>2.7850020746571946</v>
      </c>
      <c r="E31" s="447">
        <f t="shared" si="11"/>
        <v>3.4895897583134827</v>
      </c>
      <c r="F31" s="447">
        <f t="shared" si="11"/>
        <v>3.6324978759715298</v>
      </c>
      <c r="G31" s="447">
        <f t="shared" si="11"/>
        <v>3.707845982707636</v>
      </c>
      <c r="H31" s="406">
        <f t="shared" si="9"/>
        <v>3.1697489116719479</v>
      </c>
    </row>
    <row r="32" spans="1:12" x14ac:dyDescent="0.2">
      <c r="A32" s="179" t="s">
        <v>74</v>
      </c>
      <c r="B32" s="406">
        <f t="shared" si="11"/>
        <v>2.1195379376987304</v>
      </c>
      <c r="C32" s="512">
        <f t="shared" si="11"/>
        <v>2.2896126644816244</v>
      </c>
      <c r="D32" s="406">
        <f t="shared" si="11"/>
        <v>1.9384543663478155</v>
      </c>
      <c r="E32" s="406">
        <f t="shared" si="11"/>
        <v>1.7187929415048857</v>
      </c>
      <c r="F32" s="406">
        <f t="shared" si="11"/>
        <v>1.6153256431359457</v>
      </c>
      <c r="G32" s="406">
        <f t="shared" si="11"/>
        <v>1.6298777196153296</v>
      </c>
      <c r="H32" s="406">
        <f t="shared" si="9"/>
        <v>1.8384126670171199</v>
      </c>
    </row>
    <row r="33" spans="1:19" x14ac:dyDescent="0.2">
      <c r="A33" s="179" t="s">
        <v>75</v>
      </c>
      <c r="B33" s="406">
        <f t="shared" si="11"/>
        <v>-4.1915982180992916E-3</v>
      </c>
      <c r="C33" s="512">
        <f t="shared" si="11"/>
        <v>-0.29577496980046014</v>
      </c>
      <c r="D33" s="406">
        <f t="shared" si="11"/>
        <v>-0.21963619564331474</v>
      </c>
      <c r="E33" s="406">
        <f t="shared" si="11"/>
        <v>-0.1779240247443957</v>
      </c>
      <c r="F33" s="406">
        <f t="shared" si="11"/>
        <v>-0.1621926272500902</v>
      </c>
      <c r="G33" s="406">
        <f t="shared" si="11"/>
        <v>-0.17470012529379395</v>
      </c>
      <c r="H33" s="406">
        <f t="shared" si="9"/>
        <v>-0.20604558854641092</v>
      </c>
    </row>
    <row r="34" spans="1:19" x14ac:dyDescent="0.2">
      <c r="A34" s="179" t="s">
        <v>76</v>
      </c>
      <c r="B34" s="406">
        <f t="shared" si="11"/>
        <v>-0.27199392904035619</v>
      </c>
      <c r="C34" s="512">
        <f t="shared" si="11"/>
        <v>0.56757363451841158</v>
      </c>
      <c r="D34" s="406">
        <f t="shared" si="11"/>
        <v>0.23566573615310696</v>
      </c>
      <c r="E34" s="406">
        <f t="shared" si="11"/>
        <v>0.20976699038011032</v>
      </c>
      <c r="F34" s="406">
        <f t="shared" si="11"/>
        <v>0.20499722567457246</v>
      </c>
      <c r="G34" s="406">
        <f t="shared" si="11"/>
        <v>0.19986678619953294</v>
      </c>
      <c r="H34" s="406">
        <f t="shared" si="9"/>
        <v>0.28357407458514683</v>
      </c>
      <c r="S34" s="177"/>
    </row>
    <row r="35" spans="1:19" x14ac:dyDescent="0.2">
      <c r="A35" s="179" t="s">
        <v>77</v>
      </c>
      <c r="B35" s="406">
        <f t="shared" si="11"/>
        <v>-1.3773343775373769E-2</v>
      </c>
      <c r="C35" s="512">
        <f t="shared" si="11"/>
        <v>-5.518145306257307E-2</v>
      </c>
      <c r="D35" s="406">
        <f t="shared" si="11"/>
        <v>1.561914430366364E-3</v>
      </c>
      <c r="E35" s="406">
        <f t="shared" si="11"/>
        <v>1.1558412409229093E-3</v>
      </c>
      <c r="F35" s="406">
        <f t="shared" si="11"/>
        <v>1.1919980106370833E-3</v>
      </c>
      <c r="G35" s="406">
        <f t="shared" si="11"/>
        <v>1.1807218108824079E-3</v>
      </c>
      <c r="H35" s="406">
        <f t="shared" si="9"/>
        <v>-1.0018195513952862E-2</v>
      </c>
    </row>
    <row r="36" spans="1:19" x14ac:dyDescent="0.2">
      <c r="A36" s="179" t="str">
        <f>A23</f>
        <v>Dont cotisations prises en charge par l'Etat</v>
      </c>
      <c r="B36" s="406">
        <f t="shared" si="11"/>
        <v>0.27412194223688691</v>
      </c>
      <c r="C36" s="406">
        <f t="shared" si="11"/>
        <v>2.1802675635015617E-2</v>
      </c>
      <c r="D36" s="406">
        <f t="shared" si="11"/>
        <v>6.4217466289433409E-2</v>
      </c>
      <c r="E36" s="406">
        <f t="shared" si="11"/>
        <v>8.9013851734637647E-2</v>
      </c>
      <c r="F36" s="406">
        <f t="shared" si="11"/>
        <v>0.15485177013854406</v>
      </c>
      <c r="G36" s="406">
        <f t="shared" si="11"/>
        <v>9.1558054273714981E-2</v>
      </c>
      <c r="H36" s="406">
        <f t="shared" si="9"/>
        <v>8.4288763614269152E-2</v>
      </c>
    </row>
    <row r="37" spans="1:19" x14ac:dyDescent="0.2">
      <c r="A37" s="179" t="str">
        <f>A24</f>
        <v>Dont reprises sur provisions</v>
      </c>
      <c r="B37" s="406">
        <f t="shared" si="11"/>
        <v>0.35478882491424374</v>
      </c>
      <c r="C37" s="406">
        <f t="shared" si="11"/>
        <v>-0.17165406537041869</v>
      </c>
      <c r="D37" s="406">
        <f t="shared" si="11"/>
        <v>0.206407302327895</v>
      </c>
      <c r="E37" s="406">
        <f t="shared" si="11"/>
        <v>0.18564021700192951</v>
      </c>
      <c r="F37" s="406">
        <f t="shared" si="11"/>
        <v>0.19363110960027957</v>
      </c>
      <c r="G37" s="406">
        <f t="shared" si="11"/>
        <v>0.19027533355450518</v>
      </c>
      <c r="H37" s="406">
        <f t="shared" si="9"/>
        <v>0.12085997942283813</v>
      </c>
    </row>
    <row r="38" spans="1:19" x14ac:dyDescent="0.2">
      <c r="A38" s="187" t="str">
        <f>A12</f>
        <v>Contribution du RG</v>
      </c>
      <c r="B38" s="259">
        <f t="shared" ref="B38:G38" si="12">(B12/B$4)*B26*100</f>
        <v>2.6250324025701448</v>
      </c>
      <c r="C38" s="259">
        <f t="shared" si="12"/>
        <v>-0.45749243416618612</v>
      </c>
      <c r="D38" s="259">
        <f t="shared" si="12"/>
        <v>0.17955224942735309</v>
      </c>
      <c r="E38" s="259">
        <f t="shared" si="12"/>
        <v>1.0982082447013166</v>
      </c>
      <c r="F38" s="259">
        <f t="shared" si="12"/>
        <v>1.1875555126833279</v>
      </c>
      <c r="G38" s="259">
        <f t="shared" si="12"/>
        <v>1.3128370830946388</v>
      </c>
      <c r="H38" s="259">
        <f t="shared" si="9"/>
        <v>0.66413213114809011</v>
      </c>
    </row>
    <row r="49" spans="11:12" x14ac:dyDescent="0.2">
      <c r="K49" s="638" t="s">
        <v>162</v>
      </c>
      <c r="L49" s="638"/>
    </row>
  </sheetData>
  <mergeCells count="3">
    <mergeCell ref="K25:L25"/>
    <mergeCell ref="K49:L49"/>
    <mergeCell ref="K2:L2"/>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ignoredErrors>
    <ignoredError sqref="C22" evalError="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J34"/>
  <sheetViews>
    <sheetView topLeftCell="J10" zoomScaleNormal="100" workbookViewId="0">
      <selection activeCell="H42" sqref="H42"/>
    </sheetView>
  </sheetViews>
  <sheetFormatPr baseColWidth="10" defaultRowHeight="12.75" x14ac:dyDescent="0.2"/>
  <cols>
    <col min="1" max="1" width="34.28515625" customWidth="1"/>
    <col min="8" max="8" width="21.7109375" bestFit="1" customWidth="1"/>
  </cols>
  <sheetData>
    <row r="1" spans="1:10" ht="38.25" x14ac:dyDescent="0.2">
      <c r="A1" s="431" t="s">
        <v>273</v>
      </c>
      <c r="B1" s="432">
        <f>TableauxNote!C4</f>
        <v>2023</v>
      </c>
      <c r="C1" s="432">
        <f>TableauxNote!D4</f>
        <v>2024</v>
      </c>
      <c r="D1" s="432" t="str">
        <f>TableauxNote!E4</f>
        <v>2025(p)</v>
      </c>
      <c r="E1" s="432" t="str">
        <f>TableauxNote!F4</f>
        <v>2026(p)</v>
      </c>
      <c r="F1" s="432" t="str">
        <f>TableauxNote!G4</f>
        <v>2027(p)</v>
      </c>
      <c r="G1" s="432" t="str">
        <f>TableauxNote!H4</f>
        <v>2028(p)</v>
      </c>
      <c r="H1" s="432" t="str">
        <f>TableauxNote!I4</f>
        <v>2029(p)</v>
      </c>
      <c r="J1" s="117" t="s">
        <v>267</v>
      </c>
    </row>
    <row r="2" spans="1:10" x14ac:dyDescent="0.2">
      <c r="A2" s="68" t="s">
        <v>71</v>
      </c>
      <c r="B2" s="69">
        <f>'Détail CHG PDT'!B5</f>
        <v>7234.5708767199994</v>
      </c>
      <c r="C2" s="69">
        <f>'Détail CHG PDT'!C5</f>
        <v>7750.1797332300011</v>
      </c>
      <c r="D2" s="69">
        <f>'Détail CHG PDT'!D5</f>
        <v>7896.6597101714915</v>
      </c>
      <c r="E2" s="69">
        <f>'Détail CHG PDT'!E5</f>
        <v>8087.1974085853371</v>
      </c>
      <c r="F2" s="69">
        <f>'Détail CHG PDT'!F5</f>
        <v>8342.5805286315899</v>
      </c>
      <c r="G2" s="69">
        <f>'Détail CHG PDT'!G5</f>
        <v>8617.0247544553094</v>
      </c>
      <c r="H2" s="69">
        <f>'Détail CHG PDT'!H5</f>
        <v>8905.0599620090816</v>
      </c>
    </row>
    <row r="3" spans="1:10" x14ac:dyDescent="0.2">
      <c r="A3" s="70" t="s">
        <v>72</v>
      </c>
      <c r="B3" s="71">
        <f>TableauxNote!C45</f>
        <v>6815.5706679599989</v>
      </c>
      <c r="C3" s="71">
        <f>TableauxNote!D45</f>
        <v>7349.1206674400009</v>
      </c>
      <c r="D3" s="71">
        <f>TableauxNote!E45</f>
        <v>7581.7590663947731</v>
      </c>
      <c r="E3" s="71">
        <f>TableauxNote!F45</f>
        <v>7764.7265454003673</v>
      </c>
      <c r="F3" s="71">
        <f>TableauxNote!G45</f>
        <v>8012.7895637878273</v>
      </c>
      <c r="G3" s="71">
        <f>TableauxNote!H45</f>
        <v>8279.8204685064011</v>
      </c>
      <c r="H3" s="71">
        <f>TableauxNote!I45</f>
        <v>8559.9947917070149</v>
      </c>
    </row>
    <row r="4" spans="1:10" x14ac:dyDescent="0.2">
      <c r="A4" s="68" t="s">
        <v>73</v>
      </c>
      <c r="B4" s="69">
        <f>'Détail CHG PDT'!B13</f>
        <v>7234.6103347100006</v>
      </c>
      <c r="C4" s="69">
        <f>'Détail CHG PDT'!C13</f>
        <v>7750.1797332300002</v>
      </c>
      <c r="D4" s="69">
        <f>'Détail CHG PDT'!D13</f>
        <v>7896.6597101714906</v>
      </c>
      <c r="E4" s="69">
        <f>'Détail CHG PDT'!E13</f>
        <v>8087.1974085853371</v>
      </c>
      <c r="F4" s="69">
        <f>'Détail CHG PDT'!F13</f>
        <v>8342.5805286315881</v>
      </c>
      <c r="G4" s="69">
        <f>'Détail CHG PDT'!G13</f>
        <v>8617.0247544553113</v>
      </c>
      <c r="H4" s="69">
        <f>'Détail CHG PDT'!H13</f>
        <v>8905.0599620090816</v>
      </c>
    </row>
    <row r="5" spans="1:10" x14ac:dyDescent="0.2">
      <c r="A5" s="70" t="s">
        <v>74</v>
      </c>
      <c r="B5" s="71">
        <f>TableauxNote!C52</f>
        <v>3352.37812231</v>
      </c>
      <c r="C5" s="71">
        <f>TableauxNote!D52</f>
        <v>3543.3168391900003</v>
      </c>
      <c r="D5" s="71">
        <f>TableauxNote!E52</f>
        <v>3686.6225419720586</v>
      </c>
      <c r="E5" s="71">
        <f>TableauxNote!F52</f>
        <v>3825.0958706280553</v>
      </c>
      <c r="F5" s="71">
        <f>TableauxNote!G52</f>
        <v>3948.5095868937119</v>
      </c>
      <c r="G5" s="71">
        <f>TableauxNote!H52</f>
        <v>4067.9693628136661</v>
      </c>
      <c r="H5" s="71">
        <f>TableauxNote!I52</f>
        <v>4194.5973265172679</v>
      </c>
    </row>
    <row r="6" spans="1:10" x14ac:dyDescent="0.2">
      <c r="A6" s="70" t="s">
        <v>75</v>
      </c>
      <c r="B6" s="71">
        <f>'Détail CHG PDT'!B28</f>
        <v>2596.6026350000002</v>
      </c>
      <c r="C6" s="71">
        <f>'Détail CHG PDT'!C28</f>
        <v>2595.9372039999998</v>
      </c>
      <c r="D6" s="71">
        <f>'Détail CHG PDT'!D28</f>
        <v>2546.7981087956</v>
      </c>
      <c r="E6" s="71">
        <f>'Détail CHG PDT'!E28</f>
        <v>2509.4933539018471</v>
      </c>
      <c r="F6" s="71">
        <f>'Détail CHG PDT'!F28</f>
        <v>2478.4316967900977</v>
      </c>
      <c r="G6" s="71">
        <f>'Détail CHG PDT'!G28</f>
        <v>2449.1283110993359</v>
      </c>
      <c r="H6" s="71">
        <f>'Détail CHG PDT'!H30</f>
        <v>2416.4186627475128</v>
      </c>
      <c r="I6" s="67"/>
    </row>
    <row r="7" spans="1:10" x14ac:dyDescent="0.2">
      <c r="A7" s="70" t="s">
        <v>76</v>
      </c>
      <c r="B7" s="71">
        <f>'Détail CHG PDT'!B41</f>
        <v>0</v>
      </c>
      <c r="C7" s="71">
        <f>'Détail CHG PDT'!C41</f>
        <v>0</v>
      </c>
      <c r="D7" s="71">
        <f>'Détail CHG PDT'!D41</f>
        <v>0</v>
      </c>
      <c r="E7" s="71">
        <f>'Détail CHG PDT'!E41</f>
        <v>0</v>
      </c>
      <c r="F7" s="71">
        <f>'Détail CHG PDT'!F41</f>
        <v>0</v>
      </c>
      <c r="G7" s="71">
        <f>'Détail CHG PDT'!G41</f>
        <v>0</v>
      </c>
      <c r="H7" s="71">
        <f>'Détail CHG PDT'!H43</f>
        <v>1337.0258633065077</v>
      </c>
    </row>
    <row r="8" spans="1:10" x14ac:dyDescent="0.2">
      <c r="A8" s="70" t="s">
        <v>77</v>
      </c>
      <c r="B8" s="71">
        <f>'Détail CHG PDT'!B21</f>
        <v>0</v>
      </c>
      <c r="C8" s="71">
        <f>'Détail CHG PDT'!C21</f>
        <v>0</v>
      </c>
      <c r="D8" s="71">
        <f>'Détail CHG PDT'!D21</f>
        <v>0</v>
      </c>
      <c r="E8" s="71">
        <f>'Détail CHG PDT'!E21</f>
        <v>0</v>
      </c>
      <c r="F8" s="71">
        <f>'Détail CHG PDT'!F21</f>
        <v>0</v>
      </c>
      <c r="G8" s="71">
        <f>'Détail CHG PDT'!G21</f>
        <v>0</v>
      </c>
      <c r="H8" s="71">
        <f>'Détail CHG PDT'!H23</f>
        <v>7.7057564582195788</v>
      </c>
    </row>
    <row r="9" spans="1:10" x14ac:dyDescent="0.2">
      <c r="A9" s="70" t="s">
        <v>135</v>
      </c>
      <c r="B9" s="71">
        <f>'Détail CHG PDT'!B35</f>
        <v>240.55728690000001</v>
      </c>
      <c r="C9" s="71">
        <f>'Détail CHG PDT'!C35</f>
        <v>283.4381654</v>
      </c>
      <c r="D9" s="71">
        <f>'Détail CHG PDT'!D35</f>
        <v>280.37170181348608</v>
      </c>
      <c r="E9" s="71">
        <f>'Détail CHG PDT'!E35</f>
        <v>286.55827693280389</v>
      </c>
      <c r="F9" s="71">
        <f>'Détail CHG PDT'!F35</f>
        <v>294.90278991749227</v>
      </c>
      <c r="G9" s="71">
        <f>'Détail CHG PDT'!G35</f>
        <v>309.45600860585068</v>
      </c>
      <c r="H9" s="71">
        <f>'Détail CHG PDT'!H35</f>
        <v>318.21737733399937</v>
      </c>
    </row>
    <row r="10" spans="1:10" x14ac:dyDescent="0.2">
      <c r="A10" s="70" t="s">
        <v>129</v>
      </c>
      <c r="B10" s="71">
        <f>'Détail CHG PDT'!B48</f>
        <v>158.78605741000001</v>
      </c>
      <c r="C10" s="71">
        <f>'Détail CHG PDT'!C48</f>
        <v>191.36642725999999</v>
      </c>
      <c r="D10" s="71">
        <f>'Détail CHG PDT'!D48</f>
        <v>168.38399546957982</v>
      </c>
      <c r="E10" s="71">
        <f>'Détail CHG PDT'!E48</f>
        <v>174.77215399019127</v>
      </c>
      <c r="F10" s="71">
        <f>'Détail CHG PDT'!F48</f>
        <v>180.67980313583806</v>
      </c>
      <c r="G10" s="71">
        <f>'Détail CHG PDT'!G48</f>
        <v>186.34608919107481</v>
      </c>
      <c r="H10" s="71">
        <f>'Détail CHG PDT'!H48</f>
        <v>192.05585573132956</v>
      </c>
    </row>
    <row r="11" spans="1:10" x14ac:dyDescent="0.2">
      <c r="A11" s="72" t="s">
        <v>39</v>
      </c>
      <c r="B11" s="69">
        <f t="shared" ref="B11:H11" si="0">B4-B2</f>
        <v>3.9457990001210419E-2</v>
      </c>
      <c r="C11" s="69">
        <f t="shared" si="0"/>
        <v>0</v>
      </c>
      <c r="D11" s="69">
        <f t="shared" si="0"/>
        <v>0</v>
      </c>
      <c r="E11" s="69">
        <f t="shared" si="0"/>
        <v>0</v>
      </c>
      <c r="F11" s="69">
        <f t="shared" si="0"/>
        <v>0</v>
      </c>
      <c r="G11" s="69">
        <f t="shared" si="0"/>
        <v>0</v>
      </c>
      <c r="H11" s="69">
        <f t="shared" si="0"/>
        <v>0</v>
      </c>
    </row>
    <row r="12" spans="1:10" x14ac:dyDescent="0.2">
      <c r="B12" s="91" t="b">
        <f>B11=TableauxNote!L8</f>
        <v>1</v>
      </c>
      <c r="C12" s="91" t="b">
        <f>C11=TableauxNote!M8</f>
        <v>1</v>
      </c>
      <c r="D12" s="91" t="b">
        <f>D11=TableauxNote!N8</f>
        <v>1</v>
      </c>
      <c r="E12" s="91" t="b">
        <f>E11=TableauxNote!O8</f>
        <v>1</v>
      </c>
      <c r="F12" s="91" t="b">
        <f>F11=TableauxNote!P8</f>
        <v>1</v>
      </c>
      <c r="G12" s="91" t="b">
        <f>G11=TableauxNote!Q8</f>
        <v>1</v>
      </c>
      <c r="H12" s="91" t="b">
        <f>H11=TableauxNote!R8</f>
        <v>1</v>
      </c>
    </row>
    <row r="13" spans="1:10" s="112" customFormat="1" x14ac:dyDescent="0.2">
      <c r="A13" s="108"/>
      <c r="B13" s="109"/>
      <c r="C13" s="110"/>
      <c r="D13" s="110"/>
      <c r="E13" s="110"/>
      <c r="F13" s="110"/>
      <c r="G13" s="110"/>
      <c r="H13" s="110"/>
    </row>
    <row r="14" spans="1:10" ht="38.25" x14ac:dyDescent="0.2">
      <c r="A14" s="431" t="s">
        <v>146</v>
      </c>
      <c r="B14" s="432" t="str">
        <f>TableauxNote!C23</f>
        <v>2024/2023</v>
      </c>
      <c r="C14" s="432" t="str">
        <f>TableauxNote!D23</f>
        <v>2025/2024</v>
      </c>
      <c r="D14" s="432" t="str">
        <f>TableauxNote!E23</f>
        <v>2026/2025</v>
      </c>
      <c r="E14" s="432" t="str">
        <f>TableauxNote!F23</f>
        <v>2027/2026</v>
      </c>
      <c r="F14" s="432" t="str">
        <f>TableauxNote!G23</f>
        <v>2028/2027</v>
      </c>
      <c r="G14" s="432" t="str">
        <f>TableauxNote!H23</f>
        <v>2029/2028</v>
      </c>
      <c r="H14" s="432" t="s">
        <v>104</v>
      </c>
    </row>
    <row r="15" spans="1:10" x14ac:dyDescent="0.2">
      <c r="A15" s="68" t="s">
        <v>71</v>
      </c>
      <c r="B15" s="98">
        <f>C2/B2-1</f>
        <v>7.1270136860386746E-2</v>
      </c>
      <c r="C15" s="98">
        <f t="shared" ref="B15:G24" si="1">D2/C2-1</f>
        <v>1.8900203864103515E-2</v>
      </c>
      <c r="D15" s="98">
        <f>E2/D2-1</f>
        <v>2.4128898218625183E-2</v>
      </c>
      <c r="E15" s="98">
        <f t="shared" si="1"/>
        <v>3.1578692486860627E-2</v>
      </c>
      <c r="F15" s="98">
        <f t="shared" si="1"/>
        <v>3.2896802719713847E-2</v>
      </c>
      <c r="G15" s="98">
        <f t="shared" si="1"/>
        <v>3.3426294546136326E-2</v>
      </c>
      <c r="H15" s="98">
        <f t="shared" ref="H15:H24" si="2">((H2/D2)^(1/5))-1</f>
        <v>2.4327152376693251E-2</v>
      </c>
    </row>
    <row r="16" spans="1:10" x14ac:dyDescent="0.2">
      <c r="A16" s="70" t="s">
        <v>72</v>
      </c>
      <c r="B16" s="99">
        <f t="shared" si="1"/>
        <v>7.8283980237813466E-2</v>
      </c>
      <c r="C16" s="99">
        <f t="shared" si="1"/>
        <v>3.165526999515289E-2</v>
      </c>
      <c r="D16" s="99">
        <f t="shared" si="1"/>
        <v>2.4132589469451071E-2</v>
      </c>
      <c r="E16" s="99">
        <f t="shared" si="1"/>
        <v>3.1947424926948242E-2</v>
      </c>
      <c r="F16" s="99">
        <f t="shared" si="1"/>
        <v>3.3325585626929E-2</v>
      </c>
      <c r="G16" s="99">
        <f t="shared" si="1"/>
        <v>3.3838212346064767E-2</v>
      </c>
      <c r="H16" s="99">
        <f t="shared" si="2"/>
        <v>2.4567803384401898E-2</v>
      </c>
    </row>
    <row r="17" spans="1:10" x14ac:dyDescent="0.2">
      <c r="A17" s="68" t="s">
        <v>73</v>
      </c>
      <c r="B17" s="98">
        <f t="shared" si="1"/>
        <v>7.1264294090092939E-2</v>
      </c>
      <c r="C17" s="98">
        <f t="shared" si="1"/>
        <v>1.8900203864103515E-2</v>
      </c>
      <c r="D17" s="98">
        <f t="shared" si="1"/>
        <v>2.4128898218625183E-2</v>
      </c>
      <c r="E17" s="98">
        <f t="shared" si="1"/>
        <v>3.1578692486860405E-2</v>
      </c>
      <c r="F17" s="98">
        <f t="shared" si="1"/>
        <v>3.2896802719714291E-2</v>
      </c>
      <c r="G17" s="98">
        <f t="shared" si="1"/>
        <v>3.3426294546136104E-2</v>
      </c>
      <c r="H17" s="98">
        <f t="shared" si="2"/>
        <v>2.4327152376693251E-2</v>
      </c>
    </row>
    <row r="18" spans="1:10" x14ac:dyDescent="0.2">
      <c r="A18" s="70" t="s">
        <v>74</v>
      </c>
      <c r="B18" s="99">
        <f t="shared" si="1"/>
        <v>5.695619942431529E-2</v>
      </c>
      <c r="C18" s="99">
        <f t="shared" si="1"/>
        <v>4.0443942578620051E-2</v>
      </c>
      <c r="D18" s="99">
        <f t="shared" si="1"/>
        <v>3.7561026950679866E-2</v>
      </c>
      <c r="E18" s="99">
        <f t="shared" si="1"/>
        <v>3.2264215183028355E-2</v>
      </c>
      <c r="F18" s="99">
        <f t="shared" si="1"/>
        <v>3.0254396827723795E-2</v>
      </c>
      <c r="G18" s="99">
        <f t="shared" si="1"/>
        <v>3.1128052453182065E-2</v>
      </c>
      <c r="H18" s="99">
        <f t="shared" si="2"/>
        <v>2.61534752280701E-2</v>
      </c>
    </row>
    <row r="19" spans="1:10" x14ac:dyDescent="0.2">
      <c r="A19" s="70" t="s">
        <v>75</v>
      </c>
      <c r="B19" s="99">
        <f t="shared" si="1"/>
        <v>-2.5626986240823157E-4</v>
      </c>
      <c r="C19" s="99">
        <f t="shared" si="1"/>
        <v>-1.8929231080275333E-2</v>
      </c>
      <c r="D19" s="99">
        <f t="shared" si="1"/>
        <v>-1.4647707945485533E-2</v>
      </c>
      <c r="E19" s="99">
        <f t="shared" si="1"/>
        <v>-1.2377660639528498E-2</v>
      </c>
      <c r="F19" s="99">
        <f t="shared" si="1"/>
        <v>-1.1823358186030974E-2</v>
      </c>
      <c r="G19" s="99">
        <f t="shared" si="1"/>
        <v>-1.3355628695966848E-2</v>
      </c>
      <c r="H19" s="99">
        <f t="shared" si="2"/>
        <v>-1.0455036941748652E-2</v>
      </c>
    </row>
    <row r="20" spans="1:10" x14ac:dyDescent="0.2">
      <c r="A20" s="70" t="s">
        <v>76</v>
      </c>
      <c r="B20" s="99" t="e">
        <f>C7/B7-1</f>
        <v>#DIV/0!</v>
      </c>
      <c r="C20" s="99" t="e">
        <f t="shared" si="1"/>
        <v>#DIV/0!</v>
      </c>
      <c r="D20" s="99" t="e">
        <f t="shared" si="1"/>
        <v>#DIV/0!</v>
      </c>
      <c r="E20" s="99" t="e">
        <f t="shared" si="1"/>
        <v>#DIV/0!</v>
      </c>
      <c r="F20" s="99" t="e">
        <f t="shared" si="1"/>
        <v>#DIV/0!</v>
      </c>
      <c r="G20" s="99" t="e">
        <f t="shared" si="1"/>
        <v>#DIV/0!</v>
      </c>
      <c r="H20" s="99" t="e">
        <f t="shared" si="2"/>
        <v>#DIV/0!</v>
      </c>
    </row>
    <row r="21" spans="1:10" x14ac:dyDescent="0.2">
      <c r="A21" s="70" t="s">
        <v>77</v>
      </c>
      <c r="B21" s="99" t="e">
        <f t="shared" si="1"/>
        <v>#DIV/0!</v>
      </c>
      <c r="C21" s="99" t="e">
        <f t="shared" si="1"/>
        <v>#DIV/0!</v>
      </c>
      <c r="D21" s="99" t="e">
        <f t="shared" si="1"/>
        <v>#DIV/0!</v>
      </c>
      <c r="E21" s="99" t="e">
        <f t="shared" si="1"/>
        <v>#DIV/0!</v>
      </c>
      <c r="F21" s="99" t="e">
        <f t="shared" si="1"/>
        <v>#DIV/0!</v>
      </c>
      <c r="G21" s="99" t="e">
        <f t="shared" si="1"/>
        <v>#DIV/0!</v>
      </c>
      <c r="H21" s="99" t="e">
        <f t="shared" si="2"/>
        <v>#DIV/0!</v>
      </c>
    </row>
    <row r="22" spans="1:10" x14ac:dyDescent="0.2">
      <c r="A22" s="70" t="str">
        <f>A9</f>
        <v>Dont cotisations prises en charge par l'Etat</v>
      </c>
      <c r="B22" s="99">
        <f t="shared" si="1"/>
        <v>0.17825641057311081</v>
      </c>
      <c r="C22" s="99">
        <f t="shared" si="1"/>
        <v>-1.0818809747044411E-2</v>
      </c>
      <c r="D22" s="99">
        <f t="shared" si="1"/>
        <v>2.2065618888433169E-2</v>
      </c>
      <c r="E22" s="99">
        <f t="shared" si="1"/>
        <v>2.9119776521566276E-2</v>
      </c>
      <c r="F22" s="99">
        <f t="shared" si="1"/>
        <v>4.9349206538297219E-2</v>
      </c>
      <c r="G22" s="99">
        <f t="shared" si="1"/>
        <v>2.8312162260542451E-2</v>
      </c>
      <c r="H22" s="99">
        <f t="shared" si="2"/>
        <v>2.5647068030194564E-2</v>
      </c>
    </row>
    <row r="23" spans="1:10" x14ac:dyDescent="0.2">
      <c r="A23" s="70" t="str">
        <f>A10</f>
        <v>Dont reprises sur provisions</v>
      </c>
      <c r="B23" s="99">
        <f t="shared" si="1"/>
        <v>0.20518407208684897</v>
      </c>
      <c r="C23" s="99">
        <f t="shared" si="1"/>
        <v>-0.12009646686456188</v>
      </c>
      <c r="D23" s="99">
        <f t="shared" si="1"/>
        <v>3.7938038605132895E-2</v>
      </c>
      <c r="E23" s="99">
        <f t="shared" si="1"/>
        <v>3.3802004557192511E-2</v>
      </c>
      <c r="F23" s="99">
        <f t="shared" si="1"/>
        <v>3.1360926660833011E-2</v>
      </c>
      <c r="G23" s="99">
        <f t="shared" si="1"/>
        <v>3.0640656667605626E-2</v>
      </c>
      <c r="H23" s="99">
        <f t="shared" si="2"/>
        <v>2.6656943129730992E-2</v>
      </c>
    </row>
    <row r="24" spans="1:10" x14ac:dyDescent="0.2">
      <c r="A24" s="72" t="str">
        <f>A11</f>
        <v>RESULTAT NET SA</v>
      </c>
      <c r="B24" s="98">
        <f t="shared" si="1"/>
        <v>-1</v>
      </c>
      <c r="C24" s="98" t="e">
        <f t="shared" si="1"/>
        <v>#DIV/0!</v>
      </c>
      <c r="D24" s="98" t="e">
        <f t="shared" si="1"/>
        <v>#DIV/0!</v>
      </c>
      <c r="E24" s="98" t="e">
        <f t="shared" si="1"/>
        <v>#DIV/0!</v>
      </c>
      <c r="F24" s="98" t="e">
        <f t="shared" si="1"/>
        <v>#DIV/0!</v>
      </c>
      <c r="G24" s="98" t="e">
        <f t="shared" si="1"/>
        <v>#DIV/0!</v>
      </c>
      <c r="H24" s="98" t="e">
        <f t="shared" si="2"/>
        <v>#DIV/0!</v>
      </c>
    </row>
    <row r="25" spans="1:10" x14ac:dyDescent="0.2">
      <c r="I25" s="177"/>
      <c r="J25" s="117" t="s">
        <v>268</v>
      </c>
    </row>
    <row r="27" spans="1:10" x14ac:dyDescent="0.2">
      <c r="A27" s="433" t="s">
        <v>94</v>
      </c>
      <c r="B27" s="432">
        <f t="shared" ref="B27:G27" si="3">C1</f>
        <v>2024</v>
      </c>
      <c r="C27" s="432" t="str">
        <f t="shared" si="3"/>
        <v>2025(p)</v>
      </c>
      <c r="D27" s="432" t="str">
        <f t="shared" si="3"/>
        <v>2026(p)</v>
      </c>
      <c r="E27" s="432" t="str">
        <f t="shared" si="3"/>
        <v>2027(p)</v>
      </c>
      <c r="F27" s="432" t="str">
        <f t="shared" si="3"/>
        <v>2028(p)</v>
      </c>
      <c r="G27" s="432" t="str">
        <f t="shared" si="3"/>
        <v>2029(p)</v>
      </c>
    </row>
    <row r="28" spans="1:10" x14ac:dyDescent="0.2">
      <c r="A28" s="68" t="s">
        <v>73</v>
      </c>
      <c r="B28" s="85">
        <f>(B4/B$4)*B17*100</f>
        <v>7.1264294090092939</v>
      </c>
      <c r="C28" s="85">
        <f t="shared" ref="B28:G34" si="4">(C4/C$4)*C17*100</f>
        <v>1.8900203864103515</v>
      </c>
      <c r="D28" s="85">
        <f t="shared" si="4"/>
        <v>2.4128898218625183</v>
      </c>
      <c r="E28" s="85">
        <f t="shared" si="4"/>
        <v>3.1578692486860405</v>
      </c>
      <c r="F28" s="85">
        <f t="shared" si="4"/>
        <v>3.2896802719714291</v>
      </c>
      <c r="G28" s="85">
        <f t="shared" si="4"/>
        <v>3.3426294546136104</v>
      </c>
      <c r="H28" s="122"/>
    </row>
    <row r="29" spans="1:10" x14ac:dyDescent="0.2">
      <c r="A29" s="70" t="s">
        <v>74</v>
      </c>
      <c r="B29" s="84">
        <f>(B5/B$4)*B18*100</f>
        <v>2.6392398214444226</v>
      </c>
      <c r="C29" s="84">
        <f t="shared" si="4"/>
        <v>1.8490629600190336</v>
      </c>
      <c r="D29" s="84">
        <f t="shared" si="4"/>
        <v>1.7535683914254574</v>
      </c>
      <c r="E29" s="84">
        <f t="shared" si="4"/>
        <v>1.5260381320065373</v>
      </c>
      <c r="F29" s="84">
        <f t="shared" si="4"/>
        <v>1.4319283525040039</v>
      </c>
      <c r="G29" s="84">
        <f>(G5/G$4)*G18*100</f>
        <v>1.4695091091403703</v>
      </c>
      <c r="H29" s="122"/>
    </row>
    <row r="30" spans="1:10" x14ac:dyDescent="0.2">
      <c r="A30" s="70" t="s">
        <v>75</v>
      </c>
      <c r="B30" s="84">
        <f t="shared" si="4"/>
        <v>-9.197883081659787E-3</v>
      </c>
      <c r="C30" s="84">
        <f t="shared" si="4"/>
        <v>-0.63403813712485879</v>
      </c>
      <c r="D30" s="84">
        <f t="shared" si="4"/>
        <v>-0.47241183314131568</v>
      </c>
      <c r="E30" s="84">
        <f t="shared" si="4"/>
        <v>-0.38408431923244907</v>
      </c>
      <c r="F30" s="84">
        <f t="shared" si="4"/>
        <v>-0.3512508580551682</v>
      </c>
      <c r="G30" s="84">
        <f t="shared" si="4"/>
        <v>-0.37959329680364495</v>
      </c>
      <c r="H30" s="122"/>
    </row>
    <row r="31" spans="1:10" x14ac:dyDescent="0.2">
      <c r="A31" s="70" t="s">
        <v>76</v>
      </c>
      <c r="B31" s="84" t="e">
        <f t="shared" si="4"/>
        <v>#DIV/0!</v>
      </c>
      <c r="C31" s="84" t="e">
        <f t="shared" si="4"/>
        <v>#DIV/0!</v>
      </c>
      <c r="D31" s="84" t="e">
        <f t="shared" si="4"/>
        <v>#DIV/0!</v>
      </c>
      <c r="E31" s="84" t="e">
        <f t="shared" si="4"/>
        <v>#DIV/0!</v>
      </c>
      <c r="F31" s="84" t="e">
        <f t="shared" si="4"/>
        <v>#DIV/0!</v>
      </c>
      <c r="G31" s="84" t="e">
        <f t="shared" si="4"/>
        <v>#DIV/0!</v>
      </c>
      <c r="H31" s="122"/>
    </row>
    <row r="32" spans="1:10" x14ac:dyDescent="0.2">
      <c r="A32" s="70" t="s">
        <v>77</v>
      </c>
      <c r="B32" s="84" t="e">
        <f t="shared" si="4"/>
        <v>#DIV/0!</v>
      </c>
      <c r="C32" s="84" t="e">
        <f t="shared" si="4"/>
        <v>#DIV/0!</v>
      </c>
      <c r="D32" s="84" t="e">
        <f t="shared" si="4"/>
        <v>#DIV/0!</v>
      </c>
      <c r="E32" s="84" t="e">
        <f t="shared" si="4"/>
        <v>#DIV/0!</v>
      </c>
      <c r="F32" s="84" t="e">
        <f t="shared" si="4"/>
        <v>#DIV/0!</v>
      </c>
      <c r="G32" s="84" t="e">
        <f t="shared" si="4"/>
        <v>#DIV/0!</v>
      </c>
      <c r="H32" s="122"/>
    </row>
    <row r="33" spans="1:8" x14ac:dyDescent="0.2">
      <c r="A33" s="70" t="str">
        <f>A22</f>
        <v>Dont cotisations prises en charge par l'Etat</v>
      </c>
      <c r="B33" s="84">
        <f t="shared" si="4"/>
        <v>0.59271856418123015</v>
      </c>
      <c r="C33" s="84">
        <f t="shared" si="4"/>
        <v>-3.9566354485509624E-2</v>
      </c>
      <c r="D33" s="84">
        <f t="shared" si="4"/>
        <v>7.8344203072965621E-2</v>
      </c>
      <c r="E33" s="84">
        <f t="shared" si="4"/>
        <v>0.10318176449890845</v>
      </c>
      <c r="F33" s="84">
        <f t="shared" si="4"/>
        <v>0.17444504896790641</v>
      </c>
      <c r="G33" s="84">
        <f>(G9/G$4)*G22*100</f>
        <v>0.10167510222851249</v>
      </c>
      <c r="H33" s="122"/>
    </row>
    <row r="34" spans="1:8" x14ac:dyDescent="0.2">
      <c r="A34" s="70" t="str">
        <f>A23</f>
        <v>Dont reprises sur provisions</v>
      </c>
      <c r="B34" s="84">
        <f t="shared" si="4"/>
        <v>0.45034035480372514</v>
      </c>
      <c r="C34" s="84">
        <f t="shared" si="4"/>
        <v>-0.29654062978539358</v>
      </c>
      <c r="D34" s="84">
        <f t="shared" si="4"/>
        <v>8.0896971062119002E-2</v>
      </c>
      <c r="E34" s="84">
        <f t="shared" si="4"/>
        <v>7.3049399528386169E-2</v>
      </c>
      <c r="F34" s="84">
        <f t="shared" si="4"/>
        <v>6.792006425098529E-2</v>
      </c>
      <c r="G34" s="84">
        <f t="shared" si="4"/>
        <v>6.6261461501576691E-2</v>
      </c>
      <c r="H34" s="122"/>
    </row>
  </sheetData>
  <pageMargins left="0.78740157499999996" right="0.78740157499999996" top="0.984251969" bottom="0.984251969" header="0.4921259845" footer="0.4921259845"/>
  <pageSetup paperSize="9" orientation="portrait"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Q82"/>
  <sheetViews>
    <sheetView zoomScaleNormal="100" workbookViewId="0">
      <pane xSplit="1" ySplit="2" topLeftCell="B3" activePane="bottomRight" state="frozen"/>
      <selection pane="topRight" activeCell="B1" sqref="B1"/>
      <selection pane="bottomLeft" activeCell="A3" sqref="A3"/>
      <selection pane="bottomRight" sqref="A1:A2"/>
    </sheetView>
  </sheetViews>
  <sheetFormatPr baseColWidth="10" defaultColWidth="7.28515625" defaultRowHeight="12.75" x14ac:dyDescent="0.2"/>
  <cols>
    <col min="1" max="1" width="25.28515625" customWidth="1"/>
    <col min="2" max="3" width="11.5703125" bestFit="1" customWidth="1"/>
    <col min="4" max="4" width="10.42578125" bestFit="1" customWidth="1"/>
    <col min="5" max="5" width="16.5703125" style="104" customWidth="1"/>
    <col min="6" max="6" width="8.140625" style="104" customWidth="1"/>
    <col min="7" max="7" width="8.7109375" style="104" customWidth="1"/>
    <col min="8" max="8" width="26.42578125" style="104" bestFit="1" customWidth="1"/>
    <col min="9" max="9" width="8.42578125" style="104" bestFit="1" customWidth="1"/>
    <col min="10" max="10" width="6.28515625" bestFit="1" customWidth="1"/>
    <col min="11" max="11" width="7.85546875" bestFit="1" customWidth="1"/>
    <col min="12" max="12" width="6.85546875" customWidth="1"/>
    <col min="13" max="13" width="6.85546875" style="9" bestFit="1" customWidth="1"/>
    <col min="14" max="15" width="5.85546875" style="9" bestFit="1" customWidth="1"/>
    <col min="16" max="16" width="12.42578125" bestFit="1" customWidth="1"/>
    <col min="17" max="17" width="11" bestFit="1" customWidth="1"/>
    <col min="22" max="22" width="7.85546875" customWidth="1"/>
  </cols>
  <sheetData>
    <row r="1" spans="1:17" x14ac:dyDescent="0.2">
      <c r="A1" s="639" t="s">
        <v>27</v>
      </c>
      <c r="B1" s="641"/>
      <c r="C1" s="642"/>
      <c r="D1" s="386"/>
      <c r="E1" s="641" t="s">
        <v>1</v>
      </c>
      <c r="F1" s="641"/>
      <c r="G1" s="641"/>
      <c r="H1" s="641"/>
      <c r="I1" s="643"/>
      <c r="J1" s="644" t="s">
        <v>0</v>
      </c>
      <c r="K1" s="644"/>
      <c r="L1" s="644"/>
      <c r="M1" s="644"/>
      <c r="N1" s="644"/>
      <c r="O1" s="644"/>
      <c r="P1" s="397" t="s">
        <v>259</v>
      </c>
    </row>
    <row r="2" spans="1:17" x14ac:dyDescent="0.2">
      <c r="A2" s="640"/>
      <c r="B2" s="387">
        <v>2022</v>
      </c>
      <c r="C2" s="387">
        <f t="shared" ref="C2:I2" si="0">B2+1</f>
        <v>2023</v>
      </c>
      <c r="D2" s="387">
        <f t="shared" si="0"/>
        <v>2024</v>
      </c>
      <c r="E2" s="387">
        <f t="shared" si="0"/>
        <v>2025</v>
      </c>
      <c r="F2" s="387">
        <f t="shared" si="0"/>
        <v>2026</v>
      </c>
      <c r="G2" s="387">
        <f t="shared" si="0"/>
        <v>2027</v>
      </c>
      <c r="H2" s="387">
        <f t="shared" si="0"/>
        <v>2028</v>
      </c>
      <c r="I2" s="387">
        <f t="shared" si="0"/>
        <v>2029</v>
      </c>
      <c r="J2" s="388">
        <f t="shared" ref="J2:O2" si="1">D2</f>
        <v>2024</v>
      </c>
      <c r="K2" s="388">
        <f t="shared" si="1"/>
        <v>2025</v>
      </c>
      <c r="L2" s="388">
        <f t="shared" si="1"/>
        <v>2026</v>
      </c>
      <c r="M2" s="388">
        <f t="shared" si="1"/>
        <v>2027</v>
      </c>
      <c r="N2" s="388">
        <f t="shared" si="1"/>
        <v>2028</v>
      </c>
      <c r="O2" s="388">
        <f t="shared" si="1"/>
        <v>2029</v>
      </c>
      <c r="P2" s="389"/>
    </row>
    <row r="3" spans="1:17" x14ac:dyDescent="0.2">
      <c r="A3" s="57" t="s">
        <v>154</v>
      </c>
      <c r="B3" s="74"/>
      <c r="C3" s="260">
        <f>'RESULTAT NET'!B3</f>
        <v>13957.312436729999</v>
      </c>
      <c r="D3" s="260">
        <f>'RESULTAT NET'!C3</f>
        <v>14732.043979890001</v>
      </c>
      <c r="E3" s="260">
        <f>'RESULTAT NET'!D3</f>
        <v>15163.839617120693</v>
      </c>
      <c r="F3" s="260">
        <f>'RESULTAT NET'!E3</f>
        <v>15569.80782932114</v>
      </c>
      <c r="G3" s="260">
        <f>'RESULTAT NET'!F3</f>
        <v>16101.712440310921</v>
      </c>
      <c r="H3" s="260">
        <f>'RESULTAT NET'!G3</f>
        <v>16669.559359152085</v>
      </c>
      <c r="I3" s="260">
        <f>'RESULTAT NET'!H3</f>
        <v>17279.737938700448</v>
      </c>
      <c r="J3" s="130">
        <f t="shared" ref="J3:O4" si="2">D3/C3-1</f>
        <v>5.5507215065360382E-2</v>
      </c>
      <c r="K3" s="130">
        <f t="shared" si="2"/>
        <v>2.9309961185298938E-2</v>
      </c>
      <c r="L3" s="130">
        <f t="shared" si="2"/>
        <v>2.6772125164268301E-2</v>
      </c>
      <c r="M3" s="130">
        <f t="shared" si="2"/>
        <v>3.4162567503761787E-2</v>
      </c>
      <c r="N3" s="130">
        <f t="shared" si="2"/>
        <v>3.5266243944311659E-2</v>
      </c>
      <c r="O3" s="130">
        <f t="shared" si="2"/>
        <v>3.6604361663186813E-2</v>
      </c>
      <c r="P3" s="394">
        <f>D4/D49</f>
        <v>0.88868940010443598</v>
      </c>
    </row>
    <row r="4" spans="1:17" x14ac:dyDescent="0.2">
      <c r="A4" s="390" t="s">
        <v>80</v>
      </c>
      <c r="B4" s="391">
        <f>SUM(B6:B9)</f>
        <v>12892.267044390002</v>
      </c>
      <c r="C4" s="391">
        <f t="shared" ref="C4:I4" si="3">SUM(C6:C10)</f>
        <v>13957.312436729999</v>
      </c>
      <c r="D4" s="391">
        <f t="shared" si="3"/>
        <v>14732.043979890001</v>
      </c>
      <c r="E4" s="392">
        <f t="shared" si="3"/>
        <v>15163.839617120693</v>
      </c>
      <c r="F4" s="392">
        <f t="shared" si="3"/>
        <v>15569.80782932114</v>
      </c>
      <c r="G4" s="392">
        <f t="shared" si="3"/>
        <v>16101.712440310921</v>
      </c>
      <c r="H4" s="392">
        <f t="shared" si="3"/>
        <v>16669.559359152085</v>
      </c>
      <c r="I4" s="392">
        <f t="shared" si="3"/>
        <v>17279.737938700448</v>
      </c>
      <c r="J4" s="393">
        <f>D4/C4-1</f>
        <v>5.5507215065360382E-2</v>
      </c>
      <c r="K4" s="393">
        <f t="shared" si="2"/>
        <v>2.9309961185298938E-2</v>
      </c>
      <c r="L4" s="393">
        <f t="shared" si="2"/>
        <v>2.6772125164268301E-2</v>
      </c>
      <c r="M4" s="393">
        <f t="shared" si="2"/>
        <v>3.4162567503761787E-2</v>
      </c>
      <c r="N4" s="393">
        <f t="shared" si="2"/>
        <v>3.5266243944311659E-2</v>
      </c>
      <c r="O4" s="393">
        <f t="shared" si="2"/>
        <v>3.6604361663186813E-2</v>
      </c>
      <c r="P4" s="398">
        <f>((I4/E4)^(1/4)-1)</f>
        <v>3.3194278070309613E-2</v>
      </c>
    </row>
    <row r="5" spans="1:17" x14ac:dyDescent="0.2">
      <c r="A5" s="75" t="s">
        <v>81</v>
      </c>
      <c r="B5" s="76"/>
      <c r="C5" s="76"/>
      <c r="D5" s="76"/>
      <c r="E5" s="100"/>
      <c r="F5" s="100"/>
      <c r="G5" s="100"/>
      <c r="H5" s="100"/>
      <c r="I5" s="100"/>
      <c r="J5" s="77"/>
      <c r="K5" s="77"/>
      <c r="L5" s="77"/>
      <c r="M5" s="77"/>
      <c r="N5" s="77"/>
      <c r="O5" s="77"/>
      <c r="P5" s="399"/>
    </row>
    <row r="6" spans="1:17" x14ac:dyDescent="0.2">
      <c r="A6" s="57" t="s">
        <v>82</v>
      </c>
      <c r="B6" s="137">
        <f>[5]Maladie!$G$10</f>
        <v>5028.3106068300012</v>
      </c>
      <c r="C6" s="137">
        <f>[5]Maladie!$H$10</f>
        <v>5134.0496223500004</v>
      </c>
      <c r="D6" s="137">
        <f>[5]Maladie!$I$10</f>
        <v>5306.8196092999988</v>
      </c>
      <c r="E6" s="137">
        <f>[5]Maladie!$R$10</f>
        <v>5469.8720079719387</v>
      </c>
      <c r="F6" s="137">
        <f>[5]Maladie!$W$10</f>
        <v>5666.713747875935</v>
      </c>
      <c r="G6" s="137">
        <f>[5]Maladie!$AB$10</f>
        <v>5918.281856591545</v>
      </c>
      <c r="H6" s="137">
        <f>[5]Maladie!$AG$10</f>
        <v>6176.3964518339844</v>
      </c>
      <c r="I6" s="137">
        <f>[5]Maladie!$AL$10</f>
        <v>6458.9132696539127</v>
      </c>
      <c r="J6" s="78">
        <f t="shared" ref="J6:K10" si="4">D6/C6-1</f>
        <v>3.3651795299733944E-2</v>
      </c>
      <c r="K6" s="78">
        <f t="shared" si="4"/>
        <v>3.0725069001063643E-2</v>
      </c>
      <c r="L6" s="78">
        <f t="shared" ref="L6:O10" si="5">F6/E6-1</f>
        <v>3.5986534898277966E-2</v>
      </c>
      <c r="M6" s="78">
        <f t="shared" si="5"/>
        <v>4.4394003280985528E-2</v>
      </c>
      <c r="N6" s="78">
        <f t="shared" si="5"/>
        <v>4.3613096080404201E-2</v>
      </c>
      <c r="O6" s="78">
        <f t="shared" si="5"/>
        <v>4.5741367158521617E-2</v>
      </c>
      <c r="P6" s="398">
        <f>((I6/E6)^(1/4)-1)</f>
        <v>4.2426809456523218E-2</v>
      </c>
    </row>
    <row r="7" spans="1:17" x14ac:dyDescent="0.2">
      <c r="A7" s="57" t="s">
        <v>83</v>
      </c>
      <c r="B7" s="137">
        <f>[5]AT!$G$10</f>
        <v>593.00804479999999</v>
      </c>
      <c r="C7" s="137">
        <f>[5]AT!$H$10</f>
        <v>617.05188923999992</v>
      </c>
      <c r="D7" s="137">
        <f>[5]AT!$I$10</f>
        <v>625.26974294000001</v>
      </c>
      <c r="E7" s="137">
        <f>[5]AT!$R$10</f>
        <v>646.40184958045279</v>
      </c>
      <c r="F7" s="137">
        <f>[5]AT!$W$10</f>
        <v>667.54673684416684</v>
      </c>
      <c r="G7" s="137">
        <f>[5]AT!$AB$10</f>
        <v>690.18252399309461</v>
      </c>
      <c r="H7" s="137">
        <f>[5]AT!$AG$10</f>
        <v>713.05418934187276</v>
      </c>
      <c r="I7" s="137">
        <f>[5]AT!$AL$10</f>
        <v>736.04405396573191</v>
      </c>
      <c r="J7" s="78">
        <f t="shared" si="4"/>
        <v>1.3317929728927203E-2</v>
      </c>
      <c r="K7" s="78">
        <f t="shared" si="4"/>
        <v>3.3796784314382933E-2</v>
      </c>
      <c r="L7" s="78">
        <f t="shared" si="5"/>
        <v>3.2711675063179513E-2</v>
      </c>
      <c r="M7" s="78">
        <f t="shared" si="5"/>
        <v>3.3908917382981629E-2</v>
      </c>
      <c r="N7" s="78">
        <f t="shared" si="5"/>
        <v>3.313857501991313E-2</v>
      </c>
      <c r="O7" s="78">
        <f t="shared" si="5"/>
        <v>3.2241398995324744E-2</v>
      </c>
      <c r="P7" s="398">
        <f>((I7/E7)^(1/4)-1)</f>
        <v>3.2999959651172084E-2</v>
      </c>
    </row>
    <row r="8" spans="1:17" x14ac:dyDescent="0.2">
      <c r="A8" s="57" t="s">
        <v>84</v>
      </c>
      <c r="B8" s="137">
        <f>[5]Famille!$G$10</f>
        <v>771.56760064000002</v>
      </c>
      <c r="C8" s="137">
        <f>[5]Famille!$H$10</f>
        <v>715.24798183999997</v>
      </c>
      <c r="D8" s="137">
        <f>[5]Famille!$I$10</f>
        <v>736.26927056</v>
      </c>
      <c r="E8" s="546">
        <f>[5]Famille!$R$10</f>
        <v>733.91567713151233</v>
      </c>
      <c r="F8" s="137">
        <f>[5]Famille!$W$10</f>
        <v>731.69603493117506</v>
      </c>
      <c r="G8" s="137">
        <f>[5]Famille!$AB$10</f>
        <v>731.69561629582518</v>
      </c>
      <c r="H8" s="137">
        <f>[5]Famille!$AG$10</f>
        <v>736.13832812133319</v>
      </c>
      <c r="I8" s="137">
        <f>[5]Famille!$AL$10</f>
        <v>742.50989710701413</v>
      </c>
      <c r="J8" s="78">
        <f t="shared" si="4"/>
        <v>2.9390210463680067E-2</v>
      </c>
      <c r="K8" s="78">
        <f t="shared" si="4"/>
        <v>-3.1966476431883883E-3</v>
      </c>
      <c r="L8" s="78">
        <f t="shared" si="5"/>
        <v>-3.0243831403257149E-3</v>
      </c>
      <c r="M8" s="78">
        <f t="shared" si="5"/>
        <v>-5.721438000039214E-7</v>
      </c>
      <c r="N8" s="78">
        <f t="shared" si="5"/>
        <v>6.0718032561122293E-3</v>
      </c>
      <c r="O8" s="78">
        <f t="shared" si="5"/>
        <v>8.6553963328352967E-3</v>
      </c>
      <c r="P8" s="398">
        <f>((I8/E8)^(1/4)-1)</f>
        <v>2.9147544860095298E-3</v>
      </c>
    </row>
    <row r="9" spans="1:17" x14ac:dyDescent="0.2">
      <c r="A9" s="57" t="s">
        <v>85</v>
      </c>
      <c r="B9" s="547">
        <f>[5]Vieillesse!$G$10</f>
        <v>6499.3807921200005</v>
      </c>
      <c r="C9" s="547">
        <f>[5]Vieillesse!$H$10</f>
        <v>6815.5706679599989</v>
      </c>
      <c r="D9" s="547">
        <f>[5]Vieillesse!$I$10</f>
        <v>7349.1206674400009</v>
      </c>
      <c r="E9" s="547">
        <f>[5]Vieillesse!$R$10</f>
        <v>7581.7590663947731</v>
      </c>
      <c r="F9" s="547">
        <f>[5]Vieillesse!$W$10</f>
        <v>7764.7265454003673</v>
      </c>
      <c r="G9" s="547">
        <f>[5]Vieillesse!$AB$10</f>
        <v>8012.7895637878273</v>
      </c>
      <c r="H9" s="547">
        <f>[5]Vieillesse!$AG$10</f>
        <v>8279.8204685064011</v>
      </c>
      <c r="I9" s="547">
        <f>[5]Vieillesse!$AL$10</f>
        <v>8559.9947917070149</v>
      </c>
      <c r="J9" s="78">
        <f t="shared" si="4"/>
        <v>7.8283980237813466E-2</v>
      </c>
      <c r="K9" s="78">
        <f t="shared" si="4"/>
        <v>3.165526999515289E-2</v>
      </c>
      <c r="L9" s="78">
        <f t="shared" si="5"/>
        <v>2.4132589469451071E-2</v>
      </c>
      <c r="M9" s="78">
        <f t="shared" si="5"/>
        <v>3.1947424926948242E-2</v>
      </c>
      <c r="N9" s="78">
        <f t="shared" si="5"/>
        <v>3.3325585626929E-2</v>
      </c>
      <c r="O9" s="78">
        <f t="shared" si="5"/>
        <v>3.3838212346064767E-2</v>
      </c>
      <c r="P9" s="398">
        <f>((I9/E9)^(1/4)-1)</f>
        <v>3.0803490033423309E-2</v>
      </c>
    </row>
    <row r="10" spans="1:17" x14ac:dyDescent="0.2">
      <c r="A10" s="57" t="s">
        <v>269</v>
      </c>
      <c r="B10" s="547">
        <f>[5]SASPA!$G$10</f>
        <v>655.85460454999998</v>
      </c>
      <c r="C10" s="547">
        <f>[5]SASPA!$H$10</f>
        <v>675.39227533999997</v>
      </c>
      <c r="D10" s="547">
        <f>[5]SASPA!$I$10</f>
        <v>714.56468964999988</v>
      </c>
      <c r="E10" s="547">
        <f>[5]SASPA!$R$10</f>
        <v>731.89101604201687</v>
      </c>
      <c r="F10" s="547">
        <f>[5]SASPA!$W$10</f>
        <v>739.12476426949559</v>
      </c>
      <c r="G10" s="547">
        <f>[5]SASPA!$AB$10</f>
        <v>748.76287964262849</v>
      </c>
      <c r="H10" s="547">
        <f>[5]SASPA!$AG$10</f>
        <v>764.14992134849319</v>
      </c>
      <c r="I10" s="547">
        <f>[5]SASPA!$AL$10</f>
        <v>782.27592626677369</v>
      </c>
      <c r="J10" s="78">
        <f t="shared" si="4"/>
        <v>5.7999500053920627E-2</v>
      </c>
      <c r="K10" s="78">
        <f>E10/D10-1</f>
        <v>2.4247386755849254E-2</v>
      </c>
      <c r="L10" s="78">
        <f t="shared" si="5"/>
        <v>9.8836412374589955E-3</v>
      </c>
      <c r="M10" s="78">
        <f t="shared" si="5"/>
        <v>1.3039903192336721E-2</v>
      </c>
      <c r="N10" s="78">
        <f t="shared" si="5"/>
        <v>2.0549952627470836E-2</v>
      </c>
      <c r="O10" s="78">
        <f t="shared" si="5"/>
        <v>2.372048260672921E-2</v>
      </c>
      <c r="P10" s="394">
        <f>D11/$D$49</f>
        <v>2.0069908674814351E-2</v>
      </c>
      <c r="Q10" s="215"/>
    </row>
    <row r="11" spans="1:17" x14ac:dyDescent="0.2">
      <c r="A11" s="390" t="s">
        <v>272</v>
      </c>
      <c r="B11" s="395">
        <f t="shared" ref="B11:I11" si="6">SUM(B12:B16)</f>
        <v>431.83460754999999</v>
      </c>
      <c r="C11" s="395">
        <f t="shared" si="6"/>
        <v>334.55363017000002</v>
      </c>
      <c r="D11" s="395">
        <f t="shared" si="6"/>
        <v>332.70429154999999</v>
      </c>
      <c r="E11" s="396">
        <f t="shared" si="6"/>
        <v>235.93209647396532</v>
      </c>
      <c r="F11" s="396">
        <f t="shared" si="6"/>
        <v>264.14966666981536</v>
      </c>
      <c r="G11" s="396">
        <f t="shared" si="6"/>
        <v>294.20122949438115</v>
      </c>
      <c r="H11" s="396">
        <f t="shared" si="6"/>
        <v>337.58276711415971</v>
      </c>
      <c r="I11" s="396">
        <f t="shared" si="6"/>
        <v>373.89199751236094</v>
      </c>
      <c r="J11" s="393">
        <f t="shared" ref="J11:J22" si="7">D11/C11-1</f>
        <v>-5.5277792653461999E-3</v>
      </c>
      <c r="K11" s="393">
        <f t="shared" ref="K11:O15" si="8">E11/D11-1</f>
        <v>-0.29086548485801966</v>
      </c>
      <c r="L11" s="393">
        <f t="shared" si="8"/>
        <v>0.11960038764358538</v>
      </c>
      <c r="M11" s="393">
        <f t="shared" si="8"/>
        <v>0.11376718056634894</v>
      </c>
      <c r="N11" s="393">
        <f t="shared" si="8"/>
        <v>0.14745532401184991</v>
      </c>
      <c r="O11" s="393">
        <f t="shared" si="8"/>
        <v>0.10755652816224059</v>
      </c>
      <c r="P11" s="398">
        <f>((I11/E11)^(1/4)-1)</f>
        <v>0.12199206574460475</v>
      </c>
    </row>
    <row r="12" spans="1:17" x14ac:dyDescent="0.2">
      <c r="A12" s="57" t="s">
        <v>82</v>
      </c>
      <c r="B12" s="547">
        <f>[5]Maladie!$G$71</f>
        <v>315.41880156000002</v>
      </c>
      <c r="C12" s="547">
        <f>[5]Maladie!$H$71</f>
        <v>227.24444053000002</v>
      </c>
      <c r="D12" s="547">
        <f>[5]Maladie!$I$71</f>
        <v>222.51970777999998</v>
      </c>
      <c r="E12" s="547">
        <f>[5]Maladie!$R$71</f>
        <v>220.67781376448315</v>
      </c>
      <c r="F12" s="547">
        <f>[5]Maladie!$W$71</f>
        <v>225.78769517592571</v>
      </c>
      <c r="G12" s="547">
        <f>[5]Maladie!$AB$71</f>
        <v>232.93899224252971</v>
      </c>
      <c r="H12" s="547">
        <f>[5]Maladie!$AG$71</f>
        <v>240.37848374191489</v>
      </c>
      <c r="I12" s="547">
        <f>[5]Maladie!$AL$71</f>
        <v>248.0768884303709</v>
      </c>
      <c r="J12" s="78">
        <f t="shared" si="7"/>
        <v>-2.0791411833797069E-2</v>
      </c>
      <c r="K12" s="78">
        <f t="shared" si="8"/>
        <v>-8.2774421820555055E-3</v>
      </c>
      <c r="L12" s="78">
        <f t="shared" si="8"/>
        <v>2.3155392580135103E-2</v>
      </c>
      <c r="M12" s="78">
        <f t="shared" si="8"/>
        <v>3.1672660731276725E-2</v>
      </c>
      <c r="N12" s="78">
        <f t="shared" si="8"/>
        <v>3.1937510451832685E-2</v>
      </c>
      <c r="O12" s="78">
        <f t="shared" si="8"/>
        <v>3.2026180416053762E-2</v>
      </c>
      <c r="P12" s="399"/>
    </row>
    <row r="13" spans="1:17" x14ac:dyDescent="0.2">
      <c r="A13" s="57" t="s">
        <v>83</v>
      </c>
      <c r="B13" s="547">
        <f>[5]AT!$G$37</f>
        <v>7.8779610400000006</v>
      </c>
      <c r="C13" s="547">
        <f>[5]AT!$H$37</f>
        <v>9.2331422300000003</v>
      </c>
      <c r="D13" s="547">
        <f>[5]AT!$I$37</f>
        <v>16.636238989999999</v>
      </c>
      <c r="E13" s="547">
        <f>[5]AT!$R$37</f>
        <v>13.920740957073319</v>
      </c>
      <c r="F13" s="547">
        <f>[5]AT!$W$37</f>
        <v>17.533542634146642</v>
      </c>
      <c r="G13" s="547">
        <f>[5]AT!$AB$37</f>
        <v>13.696444311219958</v>
      </c>
      <c r="H13" s="547">
        <f>[5]AT!$AG$37</f>
        <v>13.948445988293278</v>
      </c>
      <c r="I13" s="547">
        <f>[5]AT!$AL$37</f>
        <v>14.164047665366597</v>
      </c>
      <c r="J13" s="78">
        <f t="shared" si="7"/>
        <v>0.80179602735308442</v>
      </c>
      <c r="K13" s="78">
        <f t="shared" si="8"/>
        <v>-0.1632278806861911</v>
      </c>
      <c r="L13" s="78">
        <f t="shared" si="8"/>
        <v>0.25952653585135566</v>
      </c>
      <c r="M13" s="78">
        <f t="shared" si="8"/>
        <v>-0.21884329955396009</v>
      </c>
      <c r="N13" s="78">
        <f t="shared" si="8"/>
        <v>1.839905827725552E-2</v>
      </c>
      <c r="O13" s="78">
        <f t="shared" si="8"/>
        <v>1.545703924682873E-2</v>
      </c>
      <c r="P13" s="399"/>
    </row>
    <row r="14" spans="1:17" x14ac:dyDescent="0.2">
      <c r="A14" s="57" t="s">
        <v>84</v>
      </c>
      <c r="B14" s="547">
        <f>[5]Famille!$G$52</f>
        <v>0.61799999999999999</v>
      </c>
      <c r="C14" s="547">
        <f>[5]Famille!$H$52</f>
        <v>0.64</v>
      </c>
      <c r="D14" s="547">
        <f>[5]Famille!$I$52</f>
        <v>0.64</v>
      </c>
      <c r="E14" s="547">
        <f>[5]Famille!$R$52</f>
        <v>0.64</v>
      </c>
      <c r="F14" s="547">
        <f>[5]Famille!$W$52</f>
        <v>14.4563560053522</v>
      </c>
      <c r="G14" s="547">
        <f>[5]Famille!$AB$52</f>
        <v>47.392866169924275</v>
      </c>
      <c r="H14" s="547">
        <f>[5]Famille!$AG$52</f>
        <v>77.022086754160426</v>
      </c>
      <c r="I14" s="547">
        <f>[5]Famille!$AL$52</f>
        <v>105.36650440211942</v>
      </c>
      <c r="J14" s="78">
        <f t="shared" si="7"/>
        <v>0</v>
      </c>
      <c r="K14" s="78">
        <f t="shared" si="8"/>
        <v>0</v>
      </c>
      <c r="L14" s="78">
        <f t="shared" si="8"/>
        <v>21.588056258362812</v>
      </c>
      <c r="M14" s="78">
        <f t="shared" si="8"/>
        <v>2.2783411083939784</v>
      </c>
      <c r="N14" s="78">
        <f t="shared" si="8"/>
        <v>0.62518313363877076</v>
      </c>
      <c r="O14" s="78">
        <f t="shared" si="8"/>
        <v>0.36800376154996783</v>
      </c>
      <c r="P14" s="399"/>
    </row>
    <row r="15" spans="1:17" x14ac:dyDescent="0.2">
      <c r="A15" s="57" t="s">
        <v>85</v>
      </c>
      <c r="B15" s="547">
        <f>[5]Vieillesse!$G$54</f>
        <v>107.91984495</v>
      </c>
      <c r="C15" s="547">
        <f>[5]Vieillesse!$H$54</f>
        <v>97.43604741</v>
      </c>
      <c r="D15" s="547">
        <f>[5]Vieillesse!$I$54</f>
        <v>92.908344780000007</v>
      </c>
      <c r="E15" s="547">
        <f>[5]Vieillesse!$R$54</f>
        <v>0</v>
      </c>
      <c r="F15" s="547">
        <f>[5]Vieillesse!$W$54</f>
        <v>0</v>
      </c>
      <c r="G15" s="547">
        <f>[5]Vieillesse!$AB$54</f>
        <v>0</v>
      </c>
      <c r="H15" s="547">
        <f>[5]Vieillesse!$AG$54</f>
        <v>0</v>
      </c>
      <c r="I15" s="547">
        <f>[5]Vieillesse!$AL$54</f>
        <v>0</v>
      </c>
      <c r="J15" s="78">
        <f t="shared" si="7"/>
        <v>-4.6468455467491676E-2</v>
      </c>
      <c r="K15" s="78">
        <f>E15/D15-1</f>
        <v>-1</v>
      </c>
      <c r="L15" s="78" t="e">
        <f t="shared" si="8"/>
        <v>#DIV/0!</v>
      </c>
      <c r="M15" s="78" t="e">
        <f t="shared" si="8"/>
        <v>#DIV/0!</v>
      </c>
      <c r="N15" s="78" t="e">
        <f t="shared" si="8"/>
        <v>#DIV/0!</v>
      </c>
      <c r="O15" s="78" t="e">
        <f t="shared" si="8"/>
        <v>#DIV/0!</v>
      </c>
      <c r="P15" s="399"/>
    </row>
    <row r="16" spans="1:17" x14ac:dyDescent="0.2">
      <c r="A16" s="57" t="s">
        <v>254</v>
      </c>
      <c r="B16" s="547">
        <f>[5]SASPA!$G$53</f>
        <v>0</v>
      </c>
      <c r="C16" s="547">
        <f>[5]SASPA!$H$53</f>
        <v>0</v>
      </c>
      <c r="D16" s="547">
        <f>[5]SASPA!$I$53</f>
        <v>0</v>
      </c>
      <c r="E16" s="547">
        <f>[5]SASPA!$R$53</f>
        <v>0.69354175240886207</v>
      </c>
      <c r="F16" s="547">
        <f>[5]SASPA!$W$53</f>
        <v>6.3720728543908294</v>
      </c>
      <c r="G16" s="547">
        <f>[5]SASPA!$AB$53</f>
        <v>0.17292677070717133</v>
      </c>
      <c r="H16" s="547">
        <f>[5]SASPA!$AG$53</f>
        <v>6.2337506297911318</v>
      </c>
      <c r="I16" s="547">
        <f>[5]SASPA!$AL$53</f>
        <v>6.2845570145040526</v>
      </c>
      <c r="J16" s="78" t="e">
        <f t="shared" si="7"/>
        <v>#DIV/0!</v>
      </c>
      <c r="K16" s="220" t="e">
        <f>E16/D16-1</f>
        <v>#DIV/0!</v>
      </c>
      <c r="L16" s="78">
        <f>F16/E16-1</f>
        <v>8.1877278220941427</v>
      </c>
      <c r="M16" s="78">
        <f>G16/F16-1</f>
        <v>-0.97286177125422979</v>
      </c>
      <c r="N16" s="78">
        <f>H16/G16-1</f>
        <v>35.048499629633206</v>
      </c>
      <c r="O16" s="78">
        <f>I16/H16-1</f>
        <v>8.1502112821318917E-3</v>
      </c>
      <c r="P16" s="399"/>
    </row>
    <row r="17" spans="1:16" x14ac:dyDescent="0.2">
      <c r="A17" s="390" t="s">
        <v>86</v>
      </c>
      <c r="B17" s="395">
        <f>SUM(B18:B21)</f>
        <v>35.39294658</v>
      </c>
      <c r="C17" s="395">
        <f>SUM(C18:C21)</f>
        <v>43.368408159999994</v>
      </c>
      <c r="D17" s="395">
        <f t="shared" ref="D17:I17" si="9">SUM(D18:D22)</f>
        <v>36.326193309999987</v>
      </c>
      <c r="E17" s="396">
        <f t="shared" si="9"/>
        <v>38.271146550355887</v>
      </c>
      <c r="F17" s="396">
        <f t="shared" si="9"/>
        <v>39.875348015585857</v>
      </c>
      <c r="G17" s="396">
        <f t="shared" si="9"/>
        <v>41.424568020131915</v>
      </c>
      <c r="H17" s="396">
        <f t="shared" si="9"/>
        <v>42.933406830526131</v>
      </c>
      <c r="I17" s="396">
        <f t="shared" si="9"/>
        <v>44.536937129114243</v>
      </c>
      <c r="J17" s="393">
        <f t="shared" si="7"/>
        <v>-0.16238121593070731</v>
      </c>
      <c r="K17" s="393">
        <f t="shared" ref="K17:O22" si="10">E17/D17-1</f>
        <v>5.3541344774501454E-2</v>
      </c>
      <c r="L17" s="393">
        <f t="shared" si="10"/>
        <v>4.1916733879901358E-2</v>
      </c>
      <c r="M17" s="393">
        <f t="shared" si="10"/>
        <v>3.8851573256251548E-2</v>
      </c>
      <c r="N17" s="393">
        <f t="shared" si="10"/>
        <v>3.6423766921623413E-2</v>
      </c>
      <c r="O17" s="393">
        <f t="shared" si="10"/>
        <v>3.7349244259087921E-2</v>
      </c>
      <c r="P17" s="399"/>
    </row>
    <row r="18" spans="1:16" x14ac:dyDescent="0.2">
      <c r="A18" s="57" t="s">
        <v>82</v>
      </c>
      <c r="B18" s="547">
        <f>[5]Maladie!$G$91</f>
        <v>11.770554090000001</v>
      </c>
      <c r="C18" s="547">
        <f>[5]Maladie!$H$91</f>
        <v>14.642937279999998</v>
      </c>
      <c r="D18" s="547">
        <f>[5]Maladie!$I$91</f>
        <v>10.67649915</v>
      </c>
      <c r="E18" s="547">
        <f>[5]Maladie!$R$91</f>
        <v>11.462422273768373</v>
      </c>
      <c r="F18" s="547">
        <f>[5]Maladie!$W$91</f>
        <v>12.021154360720878</v>
      </c>
      <c r="G18" s="547">
        <f>[5]Maladie!$AB$91</f>
        <v>12.613474544055171</v>
      </c>
      <c r="H18" s="547">
        <f>[5]Maladie!$AG$91</f>
        <v>13.178217436544406</v>
      </c>
      <c r="I18" s="547">
        <f>[5]Maladie!$AL$91</f>
        <v>13.785704890289292</v>
      </c>
      <c r="J18" s="78">
        <f t="shared" si="7"/>
        <v>-0.2708772191094162</v>
      </c>
      <c r="K18" s="78">
        <f t="shared" si="10"/>
        <v>7.3612437253682828E-2</v>
      </c>
      <c r="L18" s="78">
        <f t="shared" si="10"/>
        <v>4.8744678359229354E-2</v>
      </c>
      <c r="M18" s="78">
        <f t="shared" si="10"/>
        <v>4.9273153439381767E-2</v>
      </c>
      <c r="N18" s="78">
        <f t="shared" si="10"/>
        <v>4.4772983884555639E-2</v>
      </c>
      <c r="O18" s="78">
        <f t="shared" si="10"/>
        <v>4.6097847198989683E-2</v>
      </c>
      <c r="P18" s="399"/>
    </row>
    <row r="19" spans="1:16" x14ac:dyDescent="0.2">
      <c r="A19" s="57" t="s">
        <v>83</v>
      </c>
      <c r="B19" s="547">
        <f>[5]AT!$G$44</f>
        <v>4.1528955300000003</v>
      </c>
      <c r="C19" s="547">
        <f>[5]AT!$H$44</f>
        <v>6.1640813000000003</v>
      </c>
      <c r="D19" s="547">
        <f>[5]AT!$I$44</f>
        <v>4.3827734000000005</v>
      </c>
      <c r="E19" s="547">
        <f>[5]AT!$R$44</f>
        <v>4.4556300533774369</v>
      </c>
      <c r="F19" s="547">
        <f>[5]AT!$W$44</f>
        <v>4.6057755311040136</v>
      </c>
      <c r="G19" s="547">
        <f>[5]AT!$AB$44</f>
        <v>4.7446504695469631</v>
      </c>
      <c r="H19" s="547">
        <f>[5]AT!$AG$44</f>
        <v>4.8831395063746665</v>
      </c>
      <c r="I19" s="547">
        <f>[5]AT!$AL$44</f>
        <v>5.0245109746525793</v>
      </c>
      <c r="J19" s="78">
        <f t="shared" si="7"/>
        <v>-0.28898189580984268</v>
      </c>
      <c r="K19" s="78">
        <f t="shared" si="10"/>
        <v>1.6623413242728091E-2</v>
      </c>
      <c r="L19" s="78">
        <f t="shared" si="10"/>
        <v>3.369792283647155E-2</v>
      </c>
      <c r="M19" s="78">
        <f t="shared" si="10"/>
        <v>3.015234622379892E-2</v>
      </c>
      <c r="N19" s="78">
        <f t="shared" si="10"/>
        <v>2.9188459237741604E-2</v>
      </c>
      <c r="O19" s="78">
        <f t="shared" si="10"/>
        <v>2.8950937832793899E-2</v>
      </c>
      <c r="P19" s="399"/>
    </row>
    <row r="20" spans="1:16" x14ac:dyDescent="0.2">
      <c r="A20" s="57" t="s">
        <v>84</v>
      </c>
      <c r="B20" s="547">
        <f>[5]Famille!$G$56</f>
        <v>6.51325033</v>
      </c>
      <c r="C20" s="547">
        <f>[5]Famille!$H$56</f>
        <v>7.5952208299999997</v>
      </c>
      <c r="D20" s="547">
        <f>[5]Famille!$I$56</f>
        <v>7.0850898199999985</v>
      </c>
      <c r="E20" s="547">
        <f>[5]Famille!$R$56</f>
        <v>7.6105600388850743</v>
      </c>
      <c r="F20" s="547">
        <f>[5]Famille!$W$56</f>
        <v>7.9913166716596606</v>
      </c>
      <c r="G20" s="547">
        <f>[5]Famille!$AB$56</f>
        <v>8.3251691943864223</v>
      </c>
      <c r="H20" s="547">
        <f>[5]Famille!$AG$56</f>
        <v>8.6514684061389708</v>
      </c>
      <c r="I20" s="547">
        <f>[5]Famille!$AL$56</f>
        <v>8.9979688529827602</v>
      </c>
      <c r="J20" s="78">
        <f t="shared" si="7"/>
        <v>-6.7164737065321223E-2</v>
      </c>
      <c r="K20" s="78">
        <f t="shared" si="10"/>
        <v>7.4165639707454822E-2</v>
      </c>
      <c r="L20" s="78">
        <f t="shared" si="10"/>
        <v>5.0030041262294045E-2</v>
      </c>
      <c r="M20" s="78">
        <f t="shared" si="10"/>
        <v>4.1776910669894196E-2</v>
      </c>
      <c r="N20" s="78">
        <f t="shared" si="10"/>
        <v>3.919430393950063E-2</v>
      </c>
      <c r="O20" s="78">
        <f t="shared" si="10"/>
        <v>4.0051056141858776E-2</v>
      </c>
      <c r="P20" s="399"/>
    </row>
    <row r="21" spans="1:16" x14ac:dyDescent="0.2">
      <c r="A21" s="57" t="s">
        <v>85</v>
      </c>
      <c r="B21" s="547">
        <f>[5]Vieillesse!$G$60</f>
        <v>12.956246630000001</v>
      </c>
      <c r="C21" s="547">
        <f>[5]Vieillesse!$H$60</f>
        <v>14.96616875</v>
      </c>
      <c r="D21" s="547">
        <f>[5]Vieillesse!$I$60</f>
        <v>13.820899639999997</v>
      </c>
      <c r="E21" s="547">
        <f>[5]Vieillesse!$R$60</f>
        <v>14.37283603133098</v>
      </c>
      <c r="F21" s="547">
        <f>[5]Vieillesse!$W$60</f>
        <v>14.883739375311869</v>
      </c>
      <c r="G21" s="547">
        <f>[5]Vieillesse!$AB$60</f>
        <v>15.363032288539198</v>
      </c>
      <c r="H21" s="547">
        <f>[5]Vieillesse!$AG$60</f>
        <v>15.834553978090188</v>
      </c>
      <c r="I21" s="547">
        <f>[5]Vieillesse!$AL$60</f>
        <v>16.333554228752604</v>
      </c>
      <c r="J21" s="78">
        <f t="shared" si="7"/>
        <v>-7.6523867205493201E-2</v>
      </c>
      <c r="K21" s="78">
        <f t="shared" si="10"/>
        <v>3.9934910585240457E-2</v>
      </c>
      <c r="L21" s="78">
        <f t="shared" si="10"/>
        <v>3.5546453244661214E-2</v>
      </c>
      <c r="M21" s="78">
        <f t="shared" si="10"/>
        <v>3.220245269964539E-2</v>
      </c>
      <c r="N21" s="78">
        <f t="shared" si="10"/>
        <v>3.0691967620398941E-2</v>
      </c>
      <c r="O21" s="78">
        <f t="shared" si="10"/>
        <v>3.1513375833185364E-2</v>
      </c>
      <c r="P21" s="399"/>
    </row>
    <row r="22" spans="1:16" x14ac:dyDescent="0.2">
      <c r="A22" s="57" t="s">
        <v>254</v>
      </c>
      <c r="B22" s="547">
        <f>[5]SASPA!$G$59</f>
        <v>-6.1848300000000023E-3</v>
      </c>
      <c r="C22" s="547">
        <f>[5]SASPA!$H$59</f>
        <v>0.14516596000000001</v>
      </c>
      <c r="D22" s="547">
        <f>[5]SASPA!$I$59</f>
        <v>0.36093129999999995</v>
      </c>
      <c r="E22" s="547">
        <f>[5]SASPA!$R$59</f>
        <v>0.36969815299402897</v>
      </c>
      <c r="F22" s="547">
        <f>[5]SASPA!$W$59</f>
        <v>0.37336207678943428</v>
      </c>
      <c r="G22" s="547">
        <f>[5]SASPA!$AB$59</f>
        <v>0.37824152360416169</v>
      </c>
      <c r="H22" s="547">
        <f>[5]SASPA!$AG$59</f>
        <v>0.38602750337789582</v>
      </c>
      <c r="I22" s="547">
        <f>[5]SASPA!$AL$59</f>
        <v>0.39519818243700749</v>
      </c>
      <c r="J22" s="78">
        <f t="shared" si="7"/>
        <v>1.486335639567292</v>
      </c>
      <c r="K22" s="78">
        <f t="shared" si="10"/>
        <v>2.4289533753456771E-2</v>
      </c>
      <c r="L22" s="78">
        <f t="shared" si="10"/>
        <v>9.9105818239360044E-3</v>
      </c>
      <c r="M22" s="78">
        <f t="shared" si="10"/>
        <v>1.306894062912356E-2</v>
      </c>
      <c r="N22" s="78">
        <f t="shared" si="10"/>
        <v>2.0584677482111458E-2</v>
      </c>
      <c r="O22" s="78">
        <f t="shared" si="10"/>
        <v>2.3756543196701063E-2</v>
      </c>
      <c r="P22" s="394">
        <f>D23/D49</f>
        <v>2.2261234127331955E-2</v>
      </c>
    </row>
    <row r="23" spans="1:16" x14ac:dyDescent="0.2">
      <c r="A23" s="390" t="s">
        <v>87</v>
      </c>
      <c r="B23" s="395">
        <f t="shared" ref="B23:I23" si="11">B17+B11</f>
        <v>467.22755412999999</v>
      </c>
      <c r="C23" s="395">
        <f t="shared" si="11"/>
        <v>377.92203833000002</v>
      </c>
      <c r="D23" s="395">
        <f t="shared" si="11"/>
        <v>369.03048486</v>
      </c>
      <c r="E23" s="396">
        <f t="shared" si="11"/>
        <v>274.20324302432118</v>
      </c>
      <c r="F23" s="396">
        <f>F17+F11</f>
        <v>304.02501468540123</v>
      </c>
      <c r="G23" s="396">
        <f t="shared" si="11"/>
        <v>335.62579751451307</v>
      </c>
      <c r="H23" s="396">
        <f t="shared" si="11"/>
        <v>380.51617394468582</v>
      </c>
      <c r="I23" s="396">
        <f t="shared" si="11"/>
        <v>418.42893464147517</v>
      </c>
      <c r="J23" s="393">
        <f t="shared" ref="J23:O23" si="12">D23/C23-1</f>
        <v>-2.352748071875066E-2</v>
      </c>
      <c r="K23" s="393">
        <f>E23/D23-1</f>
        <v>-0.2569631662588896</v>
      </c>
      <c r="L23" s="393">
        <f t="shared" si="12"/>
        <v>0.10875791012593861</v>
      </c>
      <c r="M23" s="393">
        <f t="shared" si="12"/>
        <v>0.10394139068395947</v>
      </c>
      <c r="N23" s="393">
        <f t="shared" si="12"/>
        <v>0.13375126930828851</v>
      </c>
      <c r="O23" s="393">
        <f t="shared" si="12"/>
        <v>9.96350833231614E-2</v>
      </c>
      <c r="P23" s="398">
        <f>((I23/E23)^(1/4)-1)</f>
        <v>0.11144321876216279</v>
      </c>
    </row>
    <row r="24" spans="1:16" x14ac:dyDescent="0.2">
      <c r="A24" s="57"/>
      <c r="B24" s="80"/>
      <c r="C24" s="80"/>
      <c r="D24" s="80"/>
      <c r="E24" s="102"/>
      <c r="F24" s="102"/>
      <c r="G24" s="102"/>
      <c r="H24" s="102"/>
      <c r="I24" s="102"/>
      <c r="J24" s="78"/>
      <c r="K24" s="78"/>
      <c r="L24" s="78"/>
      <c r="M24" s="78"/>
      <c r="N24" s="78"/>
      <c r="O24" s="78"/>
      <c r="P24" s="394">
        <f>D25/D49</f>
        <v>1.2290975661202101E-4</v>
      </c>
    </row>
    <row r="25" spans="1:16" x14ac:dyDescent="0.2">
      <c r="A25" s="390" t="s">
        <v>88</v>
      </c>
      <c r="B25" s="395">
        <f t="shared" ref="B25:I25" si="13">SUM(B26:B29)</f>
        <v>3.1788032599999996</v>
      </c>
      <c r="C25" s="395">
        <f t="shared" si="13"/>
        <v>4.1798458799999993</v>
      </c>
      <c r="D25" s="395">
        <f t="shared" si="13"/>
        <v>2.0375082</v>
      </c>
      <c r="E25" s="396">
        <f t="shared" si="13"/>
        <v>2.0106044246343791</v>
      </c>
      <c r="F25" s="396">
        <f t="shared" si="13"/>
        <v>2.0160014512255335</v>
      </c>
      <c r="G25" s="396">
        <f t="shared" si="13"/>
        <v>2.022136904938495</v>
      </c>
      <c r="H25" s="396">
        <f t="shared" si="13"/>
        <v>2.0290767133031689</v>
      </c>
      <c r="I25" s="396">
        <f t="shared" si="13"/>
        <v>2.0368929009113899</v>
      </c>
      <c r="J25" s="393">
        <f>D25/C25-1</f>
        <v>-0.51253987383860178</v>
      </c>
      <c r="K25" s="393">
        <f t="shared" ref="K25:O26" si="14">E25/D25-1</f>
        <v>-1.3204253786866182E-2</v>
      </c>
      <c r="L25" s="393">
        <f t="shared" si="14"/>
        <v>2.6842806695484001E-3</v>
      </c>
      <c r="M25" s="393">
        <f t="shared" si="14"/>
        <v>3.0433776271499013E-3</v>
      </c>
      <c r="N25" s="393">
        <f t="shared" si="14"/>
        <v>3.4319181593123194E-3</v>
      </c>
      <c r="O25" s="393">
        <f t="shared" si="14"/>
        <v>3.8520907351486944E-3</v>
      </c>
      <c r="P25" s="398">
        <f>((I25/E25)^(1/4)-1)</f>
        <v>3.2528223193417638E-3</v>
      </c>
    </row>
    <row r="26" spans="1:16" x14ac:dyDescent="0.2">
      <c r="A26" s="57" t="s">
        <v>82</v>
      </c>
      <c r="B26" s="547">
        <f>[5]Maladie!$G$132</f>
        <v>0.44203855999999997</v>
      </c>
      <c r="C26" s="547">
        <f>[5]Maladie!$H$132</f>
        <v>2.0393311499999998</v>
      </c>
      <c r="D26" s="547">
        <f>[5]Maladie!$I$132</f>
        <v>0.98681452000000003</v>
      </c>
      <c r="E26" s="547">
        <f>[5]Maladie!$R$132</f>
        <v>0.96747743175135614</v>
      </c>
      <c r="F26" s="547">
        <f>[5]Maladie!$W$132</f>
        <v>0.97135654457574916</v>
      </c>
      <c r="G26" s="547">
        <f>[5]Maladie!$AB$132</f>
        <v>0.9757664018862533</v>
      </c>
      <c r="H26" s="547">
        <f>[5]Maladie!$AG$132</f>
        <v>0.98075438909430779</v>
      </c>
      <c r="I26" s="547">
        <f>[5]Maladie!$AL$132</f>
        <v>0.98637227387455062</v>
      </c>
      <c r="J26" s="78">
        <f>D26/C26-1</f>
        <v>-0.5161087398679709</v>
      </c>
      <c r="K26" s="78">
        <f t="shared" si="14"/>
        <v>-1.9595463845266337E-2</v>
      </c>
      <c r="L26" s="78">
        <f t="shared" si="14"/>
        <v>4.0095124672530069E-3</v>
      </c>
      <c r="M26" s="78">
        <f t="shared" si="14"/>
        <v>4.5398956079820696E-3</v>
      </c>
      <c r="N26" s="78">
        <f t="shared" si="14"/>
        <v>5.1118661171487556E-3</v>
      </c>
      <c r="O26" s="78">
        <f t="shared" si="14"/>
        <v>5.7281260657224831E-3</v>
      </c>
      <c r="P26" s="399"/>
    </row>
    <row r="27" spans="1:16" x14ac:dyDescent="0.2">
      <c r="A27" s="57" t="s">
        <v>83</v>
      </c>
      <c r="B27" s="547">
        <f>[5]AT!$G$75</f>
        <v>2.3008533399999997</v>
      </c>
      <c r="C27" s="547">
        <f>[5]AT!$H$75</f>
        <v>0.17364387000000001</v>
      </c>
      <c r="D27" s="547">
        <f>[5]AT!$I$75</f>
        <v>9.6461110000000003E-2</v>
      </c>
      <c r="E27" s="547">
        <f>[5]AT!$R$75</f>
        <v>9.6461110000000003E-2</v>
      </c>
      <c r="F27" s="547">
        <f>[5]AT!$W$75</f>
        <v>9.6461110000000003E-2</v>
      </c>
      <c r="G27" s="547">
        <f>[5]AT!$AB$75</f>
        <v>9.6461110000000003E-2</v>
      </c>
      <c r="H27" s="547">
        <f>[5]AT!$AG$75</f>
        <v>9.6461110000000003E-2</v>
      </c>
      <c r="I27" s="547">
        <f>[5]AT!$AL$75</f>
        <v>9.6461110000000003E-2</v>
      </c>
      <c r="J27" s="78">
        <f>D27/C27-1</f>
        <v>-0.44448882646994681</v>
      </c>
      <c r="K27" s="78">
        <f>E27/C27-1</f>
        <v>-0.44448882646994681</v>
      </c>
      <c r="L27" s="78">
        <f>F27/E27-1</f>
        <v>0</v>
      </c>
      <c r="M27" s="78">
        <f t="shared" ref="M27:O29" si="15">G27/F27-1</f>
        <v>0</v>
      </c>
      <c r="N27" s="78">
        <f t="shared" si="15"/>
        <v>0</v>
      </c>
      <c r="O27" s="78">
        <f t="shared" si="15"/>
        <v>0</v>
      </c>
      <c r="P27" s="399"/>
    </row>
    <row r="28" spans="1:16" x14ac:dyDescent="0.2">
      <c r="A28" s="57" t="s">
        <v>84</v>
      </c>
      <c r="B28" s="547">
        <f>[5]Famille!$G$68</f>
        <v>0.26726557000000001</v>
      </c>
      <c r="C28" s="547">
        <f>[5]Famille!$H$68</f>
        <v>1.2344350799999999</v>
      </c>
      <c r="D28" s="547">
        <f>[5]Famille!$I$68</f>
        <v>0.56808773000000001</v>
      </c>
      <c r="E28" s="547">
        <f>[5]Famille!$R$68</f>
        <v>0.56808773000000001</v>
      </c>
      <c r="F28" s="547">
        <f>[5]Famille!$W$68</f>
        <v>0.56808773000000001</v>
      </c>
      <c r="G28" s="547">
        <f>[5]Famille!$AB$68</f>
        <v>0.56808773000000001</v>
      </c>
      <c r="H28" s="547">
        <f>[5]Famille!$AG$68</f>
        <v>0.56808773000000001</v>
      </c>
      <c r="I28" s="547">
        <f>[5]Famille!$AL$68</f>
        <v>0.56808773000000001</v>
      </c>
      <c r="J28" s="78">
        <f>D28/C28-1</f>
        <v>-0.5397994279294136</v>
      </c>
      <c r="K28" s="78">
        <f>E28/D28-1</f>
        <v>0</v>
      </c>
      <c r="L28" s="78">
        <f>F28/E28-1</f>
        <v>0</v>
      </c>
      <c r="M28" s="78">
        <f t="shared" si="15"/>
        <v>0</v>
      </c>
      <c r="N28" s="78">
        <f t="shared" si="15"/>
        <v>0</v>
      </c>
      <c r="O28" s="78">
        <f t="shared" si="15"/>
        <v>0</v>
      </c>
      <c r="P28" s="399"/>
    </row>
    <row r="29" spans="1:16" x14ac:dyDescent="0.2">
      <c r="A29" s="57" t="s">
        <v>85</v>
      </c>
      <c r="B29" s="547">
        <f>[5]Vieillesse!$G$84</f>
        <v>0.16864579000000002</v>
      </c>
      <c r="C29" s="547">
        <f>[5]Vieillesse!$H$84</f>
        <v>0.73243577999999998</v>
      </c>
      <c r="D29" s="547">
        <f>[5]Vieillesse!$I$84</f>
        <v>0.38614483999999999</v>
      </c>
      <c r="E29" s="547">
        <f>[5]Vieillesse!$R$84</f>
        <v>0.3785781528830231</v>
      </c>
      <c r="F29" s="547">
        <f>[5]Vieillesse!$W$84</f>
        <v>0.38009606664978435</v>
      </c>
      <c r="G29" s="547">
        <f>[5]Vieillesse!$AB$84</f>
        <v>0.38182166305224169</v>
      </c>
      <c r="H29" s="547">
        <f>[5]Vieillesse!$AG$84</f>
        <v>0.38377348420886115</v>
      </c>
      <c r="I29" s="547">
        <f>[5]Vieillesse!$AL$84</f>
        <v>0.38597178703683921</v>
      </c>
      <c r="J29" s="78">
        <f>D29/C29-1</f>
        <v>-0.47279358744598743</v>
      </c>
      <c r="K29" s="78">
        <f>E29/D29-1</f>
        <v>-1.9595463497523058E-2</v>
      </c>
      <c r="L29" s="78">
        <f>F29/E29-1</f>
        <v>4.0095123165500013E-3</v>
      </c>
      <c r="M29" s="78">
        <f t="shared" si="15"/>
        <v>4.5398954471351782E-3</v>
      </c>
      <c r="N29" s="78">
        <f t="shared" si="15"/>
        <v>5.1118659455222648E-3</v>
      </c>
      <c r="O29" s="78">
        <f t="shared" si="15"/>
        <v>5.7281258826669124E-3</v>
      </c>
      <c r="P29" s="399"/>
    </row>
    <row r="30" spans="1:16" x14ac:dyDescent="0.2">
      <c r="A30" s="75"/>
      <c r="B30" s="81"/>
      <c r="C30" s="81"/>
      <c r="D30" s="81"/>
      <c r="E30" s="103"/>
      <c r="F30" s="103"/>
      <c r="G30" s="103"/>
      <c r="H30" s="103"/>
      <c r="I30" s="103"/>
      <c r="J30" s="77"/>
      <c r="K30" s="77"/>
      <c r="L30" s="77"/>
      <c r="M30" s="77"/>
      <c r="N30" s="77"/>
      <c r="O30" s="77"/>
      <c r="P30" s="394">
        <f>D31/D49</f>
        <v>0</v>
      </c>
    </row>
    <row r="31" spans="1:16" x14ac:dyDescent="0.2">
      <c r="A31" s="390" t="s">
        <v>89</v>
      </c>
      <c r="B31" s="395">
        <f t="shared" ref="B31:I31" si="16">SUM(B32:B35)</f>
        <v>0</v>
      </c>
      <c r="C31" s="395">
        <f t="shared" si="16"/>
        <v>0</v>
      </c>
      <c r="D31" s="395">
        <f t="shared" si="16"/>
        <v>0</v>
      </c>
      <c r="E31" s="396">
        <f t="shared" si="16"/>
        <v>0</v>
      </c>
      <c r="F31" s="396">
        <f t="shared" si="16"/>
        <v>0</v>
      </c>
      <c r="G31" s="396">
        <f t="shared" si="16"/>
        <v>0</v>
      </c>
      <c r="H31" s="396">
        <f t="shared" si="16"/>
        <v>0</v>
      </c>
      <c r="I31" s="396">
        <f t="shared" si="16"/>
        <v>0</v>
      </c>
      <c r="J31" s="393" t="e">
        <f>D31/C31-1</f>
        <v>#DIV/0!</v>
      </c>
      <c r="K31" s="393" t="e">
        <f t="shared" ref="K31:O35" si="17">E31/D31-1</f>
        <v>#DIV/0!</v>
      </c>
      <c r="L31" s="393" t="e">
        <f t="shared" si="17"/>
        <v>#DIV/0!</v>
      </c>
      <c r="M31" s="393" t="e">
        <f t="shared" si="17"/>
        <v>#DIV/0!</v>
      </c>
      <c r="N31" s="393" t="e">
        <f t="shared" si="17"/>
        <v>#DIV/0!</v>
      </c>
      <c r="O31" s="393" t="e">
        <f t="shared" si="17"/>
        <v>#DIV/0!</v>
      </c>
      <c r="P31" s="398" t="e">
        <f>((I31/E31)^(1/4)-1)</f>
        <v>#DIV/0!</v>
      </c>
    </row>
    <row r="32" spans="1:16" x14ac:dyDescent="0.2">
      <c r="A32" s="57" t="s">
        <v>82</v>
      </c>
      <c r="B32" s="547">
        <f>[5]Maladie!$G$145</f>
        <v>0</v>
      </c>
      <c r="C32" s="547">
        <f>[5]Maladie!$H$145</f>
        <v>0</v>
      </c>
      <c r="D32" s="547">
        <f>[5]Maladie!$I$145</f>
        <v>0</v>
      </c>
      <c r="E32" s="547">
        <f>[5]Maladie!$R$145</f>
        <v>0</v>
      </c>
      <c r="F32" s="547">
        <f>[5]Maladie!$W$145</f>
        <v>0</v>
      </c>
      <c r="G32" s="547">
        <f>[5]AT!$AB$87</f>
        <v>0</v>
      </c>
      <c r="H32" s="547">
        <f>[5]AT!$AG$87</f>
        <v>0</v>
      </c>
      <c r="I32" s="547">
        <f>[5]AT!$AL$87</f>
        <v>0</v>
      </c>
      <c r="J32" s="78" t="e">
        <f>D32/C32-1</f>
        <v>#DIV/0!</v>
      </c>
      <c r="K32" s="78" t="e">
        <f t="shared" si="17"/>
        <v>#DIV/0!</v>
      </c>
      <c r="L32" s="78" t="e">
        <f t="shared" si="17"/>
        <v>#DIV/0!</v>
      </c>
      <c r="M32" s="78" t="e">
        <f t="shared" si="17"/>
        <v>#DIV/0!</v>
      </c>
      <c r="N32" s="78" t="e">
        <f t="shared" si="17"/>
        <v>#DIV/0!</v>
      </c>
      <c r="O32" s="78" t="e">
        <f t="shared" si="17"/>
        <v>#DIV/0!</v>
      </c>
      <c r="P32" s="399"/>
    </row>
    <row r="33" spans="1:16" x14ac:dyDescent="0.2">
      <c r="A33" s="57" t="s">
        <v>83</v>
      </c>
      <c r="B33" s="547">
        <f>[5]AT!$G$87</f>
        <v>0</v>
      </c>
      <c r="C33" s="547">
        <f>[5]AT!$H$87</f>
        <v>0</v>
      </c>
      <c r="D33" s="547">
        <f>[5]AT!$I$87</f>
        <v>0</v>
      </c>
      <c r="E33" s="547">
        <f>[5]AT!$R$87</f>
        <v>0</v>
      </c>
      <c r="F33" s="547">
        <f>[5]AT!$W$87</f>
        <v>0</v>
      </c>
      <c r="G33" s="547">
        <f>[5]AT!$AB$87</f>
        <v>0</v>
      </c>
      <c r="H33" s="547">
        <f>[5]AT!$AG$87</f>
        <v>0</v>
      </c>
      <c r="I33" s="547">
        <f>[5]AT!$AL$87</f>
        <v>0</v>
      </c>
      <c r="J33" s="78" t="e">
        <f>D33/C33-1</f>
        <v>#DIV/0!</v>
      </c>
      <c r="K33" s="78" t="e">
        <f t="shared" si="17"/>
        <v>#DIV/0!</v>
      </c>
      <c r="L33" s="78" t="e">
        <f t="shared" si="17"/>
        <v>#DIV/0!</v>
      </c>
      <c r="M33" s="78" t="e">
        <f t="shared" si="17"/>
        <v>#DIV/0!</v>
      </c>
      <c r="N33" s="78" t="e">
        <f t="shared" si="17"/>
        <v>#DIV/0!</v>
      </c>
      <c r="O33" s="78" t="e">
        <f t="shared" si="17"/>
        <v>#DIV/0!</v>
      </c>
      <c r="P33" s="399"/>
    </row>
    <row r="34" spans="1:16" x14ac:dyDescent="0.2">
      <c r="A34" s="57" t="s">
        <v>84</v>
      </c>
      <c r="B34" s="547">
        <f>[5]Famille!$G$79</f>
        <v>0</v>
      </c>
      <c r="C34" s="547">
        <f>[5]Famille!$H$79</f>
        <v>0</v>
      </c>
      <c r="D34" s="547">
        <f>[5]Famille!$I$79</f>
        <v>0</v>
      </c>
      <c r="E34" s="547">
        <f>[5]Famille!$R$79</f>
        <v>0</v>
      </c>
      <c r="F34" s="547">
        <f>[5]Famille!$W$79</f>
        <v>0</v>
      </c>
      <c r="G34" s="547">
        <f>[5]Famille!$AB$79</f>
        <v>0</v>
      </c>
      <c r="H34" s="547">
        <f>[5]Famille!$AG$79</f>
        <v>0</v>
      </c>
      <c r="I34" s="547">
        <f>[5]Famille!$AL$79</f>
        <v>0</v>
      </c>
      <c r="J34" s="78" t="e">
        <f>D34/C34-1</f>
        <v>#DIV/0!</v>
      </c>
      <c r="K34" s="78" t="e">
        <f t="shared" si="17"/>
        <v>#DIV/0!</v>
      </c>
      <c r="L34" s="78" t="e">
        <f t="shared" si="17"/>
        <v>#DIV/0!</v>
      </c>
      <c r="M34" s="78" t="e">
        <f t="shared" si="17"/>
        <v>#DIV/0!</v>
      </c>
      <c r="N34" s="78" t="e">
        <f t="shared" si="17"/>
        <v>#DIV/0!</v>
      </c>
      <c r="O34" s="78" t="e">
        <f t="shared" si="17"/>
        <v>#DIV/0!</v>
      </c>
      <c r="P34" s="399"/>
    </row>
    <row r="35" spans="1:16" x14ac:dyDescent="0.2">
      <c r="A35" s="57" t="s">
        <v>85</v>
      </c>
      <c r="B35" s="547">
        <f>[5]Vieillesse!$G$95</f>
        <v>0</v>
      </c>
      <c r="C35" s="547">
        <f>[5]Vieillesse!$H$95</f>
        <v>0</v>
      </c>
      <c r="D35" s="547">
        <f>[5]Vieillesse!$I$95</f>
        <v>0</v>
      </c>
      <c r="E35" s="547">
        <f>[5]Vieillesse!$R$95</f>
        <v>0</v>
      </c>
      <c r="F35" s="547">
        <f>[5]Vieillesse!$W$95</f>
        <v>0</v>
      </c>
      <c r="G35" s="547">
        <f>[5]Vieillesse!$AB$95</f>
        <v>0</v>
      </c>
      <c r="H35" s="547">
        <f>[5]Vieillesse!$AG$95</f>
        <v>0</v>
      </c>
      <c r="I35" s="547">
        <f>[5]Vieillesse!$AL$95</f>
        <v>0</v>
      </c>
      <c r="J35" s="78" t="e">
        <f>D35/C35-1</f>
        <v>#DIV/0!</v>
      </c>
      <c r="K35" s="78" t="e">
        <f t="shared" si="17"/>
        <v>#DIV/0!</v>
      </c>
      <c r="L35" s="78" t="e">
        <f t="shared" si="17"/>
        <v>#DIV/0!</v>
      </c>
      <c r="M35" s="78" t="e">
        <f t="shared" si="17"/>
        <v>#DIV/0!</v>
      </c>
      <c r="N35" s="78" t="e">
        <f t="shared" si="17"/>
        <v>#DIV/0!</v>
      </c>
      <c r="O35" s="78" t="e">
        <f t="shared" si="17"/>
        <v>#DIV/0!</v>
      </c>
      <c r="P35" s="399"/>
    </row>
    <row r="36" spans="1:16" x14ac:dyDescent="0.2">
      <c r="A36" s="75"/>
      <c r="B36" s="81"/>
      <c r="C36" s="81"/>
      <c r="D36" s="81"/>
      <c r="E36" s="103"/>
      <c r="F36" s="103"/>
      <c r="G36" s="103"/>
      <c r="H36" s="103"/>
      <c r="I36" s="103"/>
      <c r="J36" s="77"/>
      <c r="K36" s="77"/>
      <c r="L36" s="77"/>
      <c r="M36" s="77"/>
      <c r="N36" s="77"/>
      <c r="O36" s="77"/>
      <c r="P36" s="394">
        <f>D37/D49</f>
        <v>4.4884581780102378E-2</v>
      </c>
    </row>
    <row r="37" spans="1:16" x14ac:dyDescent="0.2">
      <c r="A37" s="390" t="s">
        <v>90</v>
      </c>
      <c r="B37" s="395">
        <f>SUM(B38:B41)</f>
        <v>712.58601716999999</v>
      </c>
      <c r="C37" s="395">
        <f t="shared" ref="C37:I37" si="18">SUM(C38:C42)</f>
        <v>747.84569314999999</v>
      </c>
      <c r="D37" s="395">
        <f t="shared" si="18"/>
        <v>744.06382334</v>
      </c>
      <c r="E37" s="396">
        <f t="shared" si="18"/>
        <v>779.15734138153164</v>
      </c>
      <c r="F37" s="396">
        <f t="shared" si="18"/>
        <v>811.56291547019123</v>
      </c>
      <c r="G37" s="396">
        <f t="shared" si="18"/>
        <v>846.49213443213785</v>
      </c>
      <c r="H37" s="396">
        <f t="shared" si="18"/>
        <v>882.16801256389601</v>
      </c>
      <c r="I37" s="396">
        <f t="shared" si="18"/>
        <v>920.18646968642724</v>
      </c>
      <c r="J37" s="393">
        <f t="shared" ref="J37:J47" si="19">D37/C37-1</f>
        <v>-5.0570189072967064E-3</v>
      </c>
      <c r="K37" s="393">
        <f t="shared" ref="K37:O42" si="20">E37/D37-1</f>
        <v>4.7164661068994862E-2</v>
      </c>
      <c r="L37" s="393">
        <f t="shared" si="20"/>
        <v>4.1590539378350666E-2</v>
      </c>
      <c r="M37" s="393">
        <f t="shared" si="20"/>
        <v>4.3039446845239082E-2</v>
      </c>
      <c r="N37" s="393">
        <f t="shared" si="20"/>
        <v>4.2145551837514672E-2</v>
      </c>
      <c r="O37" s="393">
        <f t="shared" si="20"/>
        <v>4.3096617176172636E-2</v>
      </c>
      <c r="P37" s="398">
        <f>((I37/E37)^(1/4)-1)</f>
        <v>4.24678474609268E-2</v>
      </c>
    </row>
    <row r="38" spans="1:16" x14ac:dyDescent="0.2">
      <c r="A38" s="57" t="s">
        <v>82</v>
      </c>
      <c r="B38" s="547">
        <f>[5]Maladie!$G$103</f>
        <v>409.12918354000004</v>
      </c>
      <c r="C38" s="547">
        <f>[5]Maladie!$H$103</f>
        <v>391.09024434000003</v>
      </c>
      <c r="D38" s="547">
        <f>[5]Maladie!$I$103</f>
        <v>389.39132769999998</v>
      </c>
      <c r="E38" s="547">
        <f>[5]Maladie!$R$103</f>
        <v>411.86961780179661</v>
      </c>
      <c r="F38" s="547">
        <f>[5]Maladie!$W$103</f>
        <v>433.33544990022727</v>
      </c>
      <c r="G38" s="547">
        <f>[5]Maladie!$AB$103</f>
        <v>457.69161385821945</v>
      </c>
      <c r="H38" s="547">
        <f>[5]Maladie!$AG$103</f>
        <v>482.34383158162905</v>
      </c>
      <c r="I38" s="547">
        <f>[5]Maladie!$AL$103</f>
        <v>508.6163712133872</v>
      </c>
      <c r="J38" s="78">
        <f t="shared" si="19"/>
        <v>-4.3440527207911916E-3</v>
      </c>
      <c r="K38" s="78">
        <f t="shared" si="20"/>
        <v>5.7726735298826881E-2</v>
      </c>
      <c r="L38" s="78">
        <f t="shared" si="20"/>
        <v>5.2118027576291581E-2</v>
      </c>
      <c r="M38" s="78">
        <f t="shared" si="20"/>
        <v>5.6206257677741345E-2</v>
      </c>
      <c r="N38" s="78">
        <f t="shared" si="20"/>
        <v>5.3862069954915492E-2</v>
      </c>
      <c r="O38" s="78">
        <f t="shared" si="20"/>
        <v>5.4468488890195177E-2</v>
      </c>
      <c r="P38" s="399"/>
    </row>
    <row r="39" spans="1:16" x14ac:dyDescent="0.2">
      <c r="A39" s="57" t="s">
        <v>83</v>
      </c>
      <c r="B39" s="547">
        <f>[5]AT!$G$56</f>
        <v>84.290724920000002</v>
      </c>
      <c r="C39" s="547">
        <f>[5]AT!$H$56</f>
        <v>83.46501302999998</v>
      </c>
      <c r="D39" s="547">
        <f>[5]AT!$I$56</f>
        <v>86.787249630000005</v>
      </c>
      <c r="E39" s="547">
        <f>[5]AT!$R$56</f>
        <v>89.458254863121638</v>
      </c>
      <c r="F39" s="547">
        <f>[5]AT!$W$56</f>
        <v>92.169970783948642</v>
      </c>
      <c r="G39" s="547">
        <f>[5]AT!$AB$56</f>
        <v>94.818608747249073</v>
      </c>
      <c r="H39" s="547">
        <f>[5]AT!$AG$56</f>
        <v>97.452016192402752</v>
      </c>
      <c r="I39" s="547">
        <f>[5]AT!$AL$56</f>
        <v>100.12656023167602</v>
      </c>
      <c r="J39" s="78">
        <f t="shared" si="19"/>
        <v>3.9803942746716059E-2</v>
      </c>
      <c r="K39" s="78">
        <f>E39/D39-1</f>
        <v>3.0776470558854241E-2</v>
      </c>
      <c r="L39" s="78">
        <f>F39/E39-1</f>
        <v>3.0312640515692379E-2</v>
      </c>
      <c r="M39" s="78">
        <f>G39/F39-1</f>
        <v>2.8736452238972587E-2</v>
      </c>
      <c r="N39" s="78">
        <f>H39/G39-1</f>
        <v>2.7773107831326138E-2</v>
      </c>
      <c r="O39" s="78">
        <f>I39/H39-1</f>
        <v>2.7444727608229469E-2</v>
      </c>
      <c r="P39" s="399"/>
    </row>
    <row r="40" spans="1:16" x14ac:dyDescent="0.2">
      <c r="A40" s="57" t="s">
        <v>84</v>
      </c>
      <c r="B40" s="547">
        <f>[5]Famille!$G$61</f>
        <v>60.295213629999992</v>
      </c>
      <c r="C40" s="547">
        <f>[5]Famille!$H$61</f>
        <v>63.215545240000004</v>
      </c>
      <c r="D40" s="547">
        <f>[5]Famille!$I$61</f>
        <v>61.142694120000002</v>
      </c>
      <c r="E40" s="547">
        <f>[5]Famille!$R$61</f>
        <v>63.827966309755347</v>
      </c>
      <c r="F40" s="547">
        <f>[5]Famille!$W$61</f>
        <v>65.767925991838467</v>
      </c>
      <c r="G40" s="547">
        <f>[5]Famille!$AB$61</f>
        <v>67.547765254100369</v>
      </c>
      <c r="H40" s="547">
        <f>[5]Famille!$AG$61</f>
        <v>69.454575301647893</v>
      </c>
      <c r="I40" s="547">
        <f>[5]Famille!$AL$61</f>
        <v>71.537124801906117</v>
      </c>
      <c r="J40" s="78">
        <f t="shared" si="19"/>
        <v>-3.279021183998887E-2</v>
      </c>
      <c r="K40" s="78">
        <f t="shared" si="20"/>
        <v>4.3918120200676425E-2</v>
      </c>
      <c r="L40" s="78">
        <f t="shared" si="20"/>
        <v>3.039356874803989E-2</v>
      </c>
      <c r="M40" s="78">
        <f t="shared" si="20"/>
        <v>2.7062420403568321E-2</v>
      </c>
      <c r="N40" s="78">
        <f t="shared" si="20"/>
        <v>2.8229061914550435E-2</v>
      </c>
      <c r="O40" s="78">
        <f t="shared" si="20"/>
        <v>2.9984338558165735E-2</v>
      </c>
      <c r="P40" s="399"/>
    </row>
    <row r="41" spans="1:16" x14ac:dyDescent="0.2">
      <c r="A41" s="57" t="s">
        <v>85</v>
      </c>
      <c r="B41" s="547">
        <f>[5]Vieillesse!$G$72</f>
        <v>158.87089508</v>
      </c>
      <c r="C41" s="547">
        <f>[5]Vieillesse!$H$72</f>
        <v>191.40549885999997</v>
      </c>
      <c r="D41" s="547">
        <f>[5]Vieillesse!$I$72</f>
        <v>168.39361477</v>
      </c>
      <c r="E41" s="547">
        <f>[5]Vieillesse!$R$72</f>
        <v>174.79254935524244</v>
      </c>
      <c r="F41" s="547">
        <f>[5]Vieillesse!$W$72</f>
        <v>180.72118997844493</v>
      </c>
      <c r="G41" s="547">
        <f>[5]Vieillesse!$AB$72</f>
        <v>186.38710089644911</v>
      </c>
      <c r="H41" s="547">
        <f>[5]Vieillesse!$AG$72</f>
        <v>192.1067501619452</v>
      </c>
      <c r="I41" s="547">
        <f>[5]Vieillesse!$AL$72</f>
        <v>198.19594341332888</v>
      </c>
      <c r="J41" s="78">
        <f t="shared" si="19"/>
        <v>-0.12022582541806481</v>
      </c>
      <c r="K41" s="78">
        <f t="shared" si="20"/>
        <v>3.7999864745361212E-2</v>
      </c>
      <c r="L41" s="78">
        <f t="shared" si="20"/>
        <v>3.3918154092216657E-2</v>
      </c>
      <c r="M41" s="78">
        <f t="shared" si="20"/>
        <v>3.1351668936442811E-2</v>
      </c>
      <c r="N41" s="78">
        <f t="shared" si="20"/>
        <v>3.0686937228954214E-2</v>
      </c>
      <c r="O41" s="78">
        <f t="shared" si="20"/>
        <v>3.1696924997432374E-2</v>
      </c>
      <c r="P41" s="399"/>
    </row>
    <row r="42" spans="1:16" x14ac:dyDescent="0.2">
      <c r="A42" s="57" t="s">
        <v>225</v>
      </c>
      <c r="B42" s="548">
        <f>[5]SASPA!$G$71</f>
        <v>41.91202131</v>
      </c>
      <c r="C42" s="548">
        <f>[5]SASPA!$H$71</f>
        <v>18.66939168</v>
      </c>
      <c r="D42" s="548">
        <f>[5]SASPA!$I$71</f>
        <v>38.348937120000002</v>
      </c>
      <c r="E42" s="548">
        <f>[5]SASPA!$R$71</f>
        <v>39.208953051615552</v>
      </c>
      <c r="F42" s="548">
        <f>[5]SASPA!$W$71</f>
        <v>39.568378815731826</v>
      </c>
      <c r="G42" s="548">
        <f>[5]SASPA!$AB$71</f>
        <v>40.047045676119978</v>
      </c>
      <c r="H42" s="548">
        <f>[5]SASPA!$AG$71</f>
        <v>40.810839326271108</v>
      </c>
      <c r="I42" s="548">
        <f>[5]SASPA!$AL$71</f>
        <v>41.710470026128952</v>
      </c>
      <c r="J42" s="78">
        <f t="shared" si="19"/>
        <v>1.0541074812352966</v>
      </c>
      <c r="K42" s="78">
        <f t="shared" si="20"/>
        <v>2.2426069565485429E-2</v>
      </c>
      <c r="L42" s="78">
        <f t="shared" si="20"/>
        <v>9.1669309211883654E-3</v>
      </c>
      <c r="M42" s="78">
        <f t="shared" si="20"/>
        <v>1.2097206777595959E-2</v>
      </c>
      <c r="N42" s="78">
        <f t="shared" si="20"/>
        <v>1.9072409393898981E-2</v>
      </c>
      <c r="O42" s="78">
        <f t="shared" si="20"/>
        <v>2.2043915653524149E-2</v>
      </c>
      <c r="P42" s="394">
        <f>D43/D49</f>
        <v>4.4041874231517716E-2</v>
      </c>
    </row>
    <row r="43" spans="1:16" x14ac:dyDescent="0.2">
      <c r="A43" s="390" t="s">
        <v>91</v>
      </c>
      <c r="B43" s="395">
        <f t="shared" ref="B43:I43" si="21">SUM(B44:B47)</f>
        <v>689.57197067999994</v>
      </c>
      <c r="C43" s="395">
        <f t="shared" si="21"/>
        <v>727.34287363999999</v>
      </c>
      <c r="D43" s="395">
        <f t="shared" si="21"/>
        <v>730.09403292000002</v>
      </c>
      <c r="E43" s="396">
        <f t="shared" si="21"/>
        <v>729.16441490081513</v>
      </c>
      <c r="F43" s="396">
        <f>SUM(F44:F47)</f>
        <v>735.7590492224748</v>
      </c>
      <c r="G43" s="396">
        <f t="shared" si="21"/>
        <v>742.60681223081326</v>
      </c>
      <c r="H43" s="396">
        <f>SUM(H44:H47)</f>
        <v>749.72489732406029</v>
      </c>
      <c r="I43" s="396">
        <f t="shared" si="21"/>
        <v>757.13195986751271</v>
      </c>
      <c r="J43" s="393">
        <f t="shared" si="19"/>
        <v>3.7824791851355233E-3</v>
      </c>
      <c r="K43" s="393">
        <f t="shared" ref="K43:O47" si="22">E43/D43-1</f>
        <v>-1.2732853266406163E-3</v>
      </c>
      <c r="L43" s="393">
        <f t="shared" si="22"/>
        <v>9.0440978562520424E-3</v>
      </c>
      <c r="M43" s="393">
        <f t="shared" si="22"/>
        <v>9.3070727646162865E-3</v>
      </c>
      <c r="N43" s="393">
        <f t="shared" si="22"/>
        <v>9.5852677029235611E-3</v>
      </c>
      <c r="O43" s="393">
        <f t="shared" si="22"/>
        <v>9.8797073031586802E-3</v>
      </c>
      <c r="P43" s="393">
        <f>((I43/E43)^(1/4)-1)</f>
        <v>9.4539883534754399E-3</v>
      </c>
    </row>
    <row r="44" spans="1:16" x14ac:dyDescent="0.2">
      <c r="A44" s="57" t="s">
        <v>82</v>
      </c>
      <c r="B44" s="547">
        <f>[5]Maladie!$G$138</f>
        <v>341.52975994999997</v>
      </c>
      <c r="C44" s="547">
        <f>[5]Maladie!$H$138</f>
        <v>368.18062950000001</v>
      </c>
      <c r="D44" s="547">
        <f>[5]Maladie!$I$138</f>
        <v>363.26979303000002</v>
      </c>
      <c r="E44" s="547">
        <f>[5]Maladie!$R$138</f>
        <v>362.82618944396432</v>
      </c>
      <c r="F44" s="547">
        <f>[5]Maladie!$W$138</f>
        <v>366.11021349079806</v>
      </c>
      <c r="G44" s="547">
        <f>[5]Maladie!$AB$138</f>
        <v>369.51991127836982</v>
      </c>
      <c r="H44" s="547">
        <f>[5]Maladie!$AG$138</f>
        <v>373.0638067167659</v>
      </c>
      <c r="I44" s="547">
        <f>[5]Maladie!$AL$138</f>
        <v>376.7511481335896</v>
      </c>
      <c r="J44" s="78">
        <f t="shared" si="19"/>
        <v>-1.3338117425322094E-2</v>
      </c>
      <c r="K44" s="78">
        <f t="shared" si="22"/>
        <v>-1.2211408560443004E-3</v>
      </c>
      <c r="L44" s="78">
        <f t="shared" si="22"/>
        <v>9.0512320840636651E-3</v>
      </c>
      <c r="M44" s="78">
        <f t="shared" si="22"/>
        <v>9.3133096590256592E-3</v>
      </c>
      <c r="N44" s="78">
        <f t="shared" si="22"/>
        <v>9.5905398605877767E-3</v>
      </c>
      <c r="O44" s="78">
        <f t="shared" si="22"/>
        <v>9.8839430425454733E-3</v>
      </c>
      <c r="P44" s="399"/>
    </row>
    <row r="45" spans="1:16" x14ac:dyDescent="0.2">
      <c r="A45" s="57" t="s">
        <v>83</v>
      </c>
      <c r="B45" s="547">
        <f>[5]AT!$G$81</f>
        <v>49.339755529999998</v>
      </c>
      <c r="C45" s="547">
        <f>[5]AT!$H$81</f>
        <v>50.680162860000003</v>
      </c>
      <c r="D45" s="547">
        <f>[5]AT!$I$81</f>
        <v>56.420753879999992</v>
      </c>
      <c r="E45" s="547">
        <f>[5]AT!$R$81</f>
        <v>56.416129799103558</v>
      </c>
      <c r="F45" s="547">
        <f>[5]AT!$W$81</f>
        <v>56.935547780987463</v>
      </c>
      <c r="G45" s="547">
        <f>[5]AT!$AB$81</f>
        <v>57.473553454525202</v>
      </c>
      <c r="H45" s="547">
        <f>[5]AT!$AG$81</f>
        <v>58.031365730016304</v>
      </c>
      <c r="I45" s="547">
        <f>[5]AT!$AL$81</f>
        <v>58.610305825855178</v>
      </c>
      <c r="J45" s="78">
        <f t="shared" si="19"/>
        <v>0.11327096631196554</v>
      </c>
      <c r="K45" s="78">
        <f t="shared" si="22"/>
        <v>-8.1957091645157298E-5</v>
      </c>
      <c r="L45" s="78">
        <f t="shared" si="22"/>
        <v>9.2069056089727486E-3</v>
      </c>
      <c r="M45" s="78">
        <f t="shared" si="22"/>
        <v>9.4493808263209633E-3</v>
      </c>
      <c r="N45" s="78">
        <f t="shared" si="22"/>
        <v>9.7055470205520411E-3</v>
      </c>
      <c r="O45" s="78">
        <f t="shared" si="22"/>
        <v>9.976330705920633E-3</v>
      </c>
      <c r="P45" s="399"/>
    </row>
    <row r="46" spans="1:16" x14ac:dyDescent="0.2">
      <c r="A46" s="57" t="s">
        <v>84</v>
      </c>
      <c r="B46" s="547">
        <f>[5]Famille!$G$72</f>
        <v>184.25225839999999</v>
      </c>
      <c r="C46" s="547">
        <f>[5]Famille!$H$72</f>
        <v>194.02202332000002</v>
      </c>
      <c r="D46" s="547">
        <f>[5]Famille!$I$72</f>
        <v>184.85342424999999</v>
      </c>
      <c r="E46" s="547">
        <f>[5]Famille!$R$72</f>
        <v>184.56541542048518</v>
      </c>
      <c r="F46" s="547">
        <f>[5]Famille!$W$72</f>
        <v>186.22745018612619</v>
      </c>
      <c r="G46" s="547">
        <f>[5]Famille!$AB$72</f>
        <v>187.95433750219661</v>
      </c>
      <c r="H46" s="547">
        <f>[5]Famille!$AG$72</f>
        <v>189.75051655261331</v>
      </c>
      <c r="I46" s="547">
        <f>[5]Famille!$AL$72</f>
        <v>191.62080503512124</v>
      </c>
      <c r="J46" s="78">
        <f t="shared" si="19"/>
        <v>-4.7255455401979174E-2</v>
      </c>
      <c r="K46" s="78">
        <f t="shared" si="22"/>
        <v>-1.5580389202057843E-3</v>
      </c>
      <c r="L46" s="78">
        <f t="shared" si="22"/>
        <v>9.0051256994951867E-3</v>
      </c>
      <c r="M46" s="78">
        <f t="shared" si="22"/>
        <v>9.2730009155173043E-3</v>
      </c>
      <c r="N46" s="78">
        <f t="shared" si="22"/>
        <v>9.5564650131880757E-3</v>
      </c>
      <c r="O46" s="78">
        <f t="shared" si="22"/>
        <v>9.8565659608591538E-3</v>
      </c>
      <c r="P46" s="399"/>
    </row>
    <row r="47" spans="1:16" x14ac:dyDescent="0.2">
      <c r="A47" s="57" t="s">
        <v>85</v>
      </c>
      <c r="B47" s="547">
        <f>[5]Vieillesse!$G$88</f>
        <v>114.4501968</v>
      </c>
      <c r="C47" s="547">
        <f>[5]Vieillesse!$H$88</f>
        <v>114.46005796</v>
      </c>
      <c r="D47" s="547">
        <f>[5]Vieillesse!$I$88</f>
        <v>125.55006176000001</v>
      </c>
      <c r="E47" s="547">
        <f>[5]Vieillesse!$R$88</f>
        <v>125.35668023726214</v>
      </c>
      <c r="F47" s="547">
        <f>[5]Vieillesse!$W$88</f>
        <v>126.48583776456316</v>
      </c>
      <c r="G47" s="547">
        <f>[5]Vieillesse!$AB$88</f>
        <v>127.65900999572172</v>
      </c>
      <c r="H47" s="547">
        <f>[5]Vieillesse!$AG$88</f>
        <v>128.87920832466483</v>
      </c>
      <c r="I47" s="547">
        <f>[5]Vieillesse!$AL$88</f>
        <v>130.14970087294665</v>
      </c>
      <c r="J47" s="78">
        <f t="shared" si="19"/>
        <v>9.6889727278275384E-2</v>
      </c>
      <c r="K47" s="78">
        <f t="shared" si="22"/>
        <v>-1.5402742143411086E-3</v>
      </c>
      <c r="L47" s="78">
        <f t="shared" si="22"/>
        <v>9.0075576759360843E-3</v>
      </c>
      <c r="M47" s="78">
        <f t="shared" si="22"/>
        <v>9.2751271754412112E-3</v>
      </c>
      <c r="N47" s="78">
        <f t="shared" si="22"/>
        <v>9.5582625071588545E-3</v>
      </c>
      <c r="O47" s="78">
        <f t="shared" si="22"/>
        <v>9.8580101848644297E-3</v>
      </c>
      <c r="P47" s="399"/>
    </row>
    <row r="48" spans="1:16" x14ac:dyDescent="0.2">
      <c r="A48" s="57"/>
      <c r="B48" s="79"/>
      <c r="C48" s="79"/>
      <c r="D48" s="79"/>
      <c r="E48" s="101"/>
      <c r="F48" s="101"/>
      <c r="G48" s="101"/>
      <c r="H48" s="101"/>
      <c r="I48" s="101"/>
      <c r="J48" s="78"/>
      <c r="K48" s="78"/>
      <c r="L48" s="78"/>
      <c r="M48" s="78"/>
      <c r="N48" s="78"/>
      <c r="O48" s="78"/>
      <c r="P48" s="399"/>
    </row>
    <row r="49" spans="1:16" x14ac:dyDescent="0.2">
      <c r="A49" s="400" t="s">
        <v>92</v>
      </c>
      <c r="B49" s="391">
        <f t="shared" ref="B49:I49" si="23">B4+B23+B25+B31+B37+B43</f>
        <v>14764.831389630002</v>
      </c>
      <c r="C49" s="391">
        <f t="shared" si="23"/>
        <v>15814.60288773</v>
      </c>
      <c r="D49" s="391">
        <f t="shared" si="23"/>
        <v>16577.269829209999</v>
      </c>
      <c r="E49" s="391">
        <f t="shared" si="23"/>
        <v>16948.375220851995</v>
      </c>
      <c r="F49" s="391">
        <f t="shared" si="23"/>
        <v>17423.170810150434</v>
      </c>
      <c r="G49" s="391">
        <f t="shared" si="23"/>
        <v>18028.459321393326</v>
      </c>
      <c r="H49" s="391">
        <f t="shared" si="23"/>
        <v>18683.99751969803</v>
      </c>
      <c r="I49" s="391">
        <f t="shared" si="23"/>
        <v>19377.522195796773</v>
      </c>
      <c r="J49" s="393">
        <f t="shared" ref="J49:O49" si="24">D49/C49-1</f>
        <v>4.8225487980588344E-2</v>
      </c>
      <c r="K49" s="393">
        <f t="shared" si="24"/>
        <v>2.2386399899704035E-2</v>
      </c>
      <c r="L49" s="393">
        <f t="shared" si="24"/>
        <v>2.8014224556126566E-2</v>
      </c>
      <c r="M49" s="393">
        <f t="shared" si="24"/>
        <v>3.4740433749881117E-2</v>
      </c>
      <c r="N49" s="393">
        <f t="shared" si="24"/>
        <v>3.6361298911816275E-2</v>
      </c>
      <c r="O49" s="393">
        <f t="shared" si="24"/>
        <v>3.7118645266762673E-2</v>
      </c>
      <c r="P49" s="393">
        <f>((I49/E49)^(1/4)-1)</f>
        <v>3.4052391060724219E-2</v>
      </c>
    </row>
    <row r="50" spans="1:16" x14ac:dyDescent="0.2">
      <c r="B50" s="401" t="s">
        <v>97</v>
      </c>
      <c r="C50" s="402">
        <f>'Détail CHG PDT'!B7</f>
        <v>15814.74805369</v>
      </c>
      <c r="D50" s="402">
        <f>'Détail CHG PDT'!C7</f>
        <v>16577.269829209999</v>
      </c>
      <c r="E50" s="402">
        <f>'Détail CHG PDT'!D7</f>
        <v>16948.375220851995</v>
      </c>
      <c r="F50" s="402">
        <f>'Détail CHG PDT'!E7</f>
        <v>17423.170810150434</v>
      </c>
      <c r="G50" s="402">
        <f>'Détail CHG PDT'!F7</f>
        <v>18028.459321393322</v>
      </c>
      <c r="H50" s="402">
        <f>'Détail CHG PDT'!G7</f>
        <v>18683.99751969803</v>
      </c>
      <c r="I50" s="402">
        <f>'Détail CHG PDT'!H7</f>
        <v>19377.522195796777</v>
      </c>
    </row>
    <row r="52" spans="1:16" x14ac:dyDescent="0.2">
      <c r="A52" s="82" t="s">
        <v>105</v>
      </c>
      <c r="B52" s="387">
        <f t="shared" ref="B52:G52" si="25">D2</f>
        <v>2024</v>
      </c>
      <c r="C52" s="387">
        <f t="shared" si="25"/>
        <v>2025</v>
      </c>
      <c r="D52" s="387">
        <f t="shared" si="25"/>
        <v>2026</v>
      </c>
      <c r="E52" s="387">
        <f t="shared" si="25"/>
        <v>2027</v>
      </c>
      <c r="F52" s="387">
        <f t="shared" si="25"/>
        <v>2028</v>
      </c>
      <c r="G52" s="387">
        <f t="shared" si="25"/>
        <v>2029</v>
      </c>
      <c r="H52" s="387" t="s">
        <v>271</v>
      </c>
      <c r="J52" s="104"/>
    </row>
    <row r="53" spans="1:16" x14ac:dyDescent="0.2">
      <c r="A53" s="83" t="s">
        <v>80</v>
      </c>
      <c r="B53" s="406">
        <f t="shared" ref="B53:G53" si="26">(D4/D$49)*J4*100</f>
        <v>4.9328673657903028</v>
      </c>
      <c r="C53" s="406">
        <f t="shared" si="26"/>
        <v>2.6223844162423688</v>
      </c>
      <c r="D53" s="406">
        <f t="shared" si="26"/>
        <v>2.3924281551974929</v>
      </c>
      <c r="E53" s="406">
        <f t="shared" si="26"/>
        <v>3.0511527821766764</v>
      </c>
      <c r="F53" s="406">
        <f t="shared" si="26"/>
        <v>3.1463970501187593</v>
      </c>
      <c r="G53" s="406">
        <f t="shared" si="26"/>
        <v>3.2641623142636966</v>
      </c>
      <c r="H53" s="403">
        <f t="shared" ref="H53:H60" si="27">(G53/C53)^(1/4)-1</f>
        <v>5.6255170173915348E-2</v>
      </c>
      <c r="J53" s="104"/>
      <c r="M53"/>
      <c r="P53" s="9"/>
    </row>
    <row r="54" spans="1:16" x14ac:dyDescent="0.2">
      <c r="A54" s="83" t="s">
        <v>87</v>
      </c>
      <c r="B54" s="406">
        <f t="shared" ref="B54:G54" si="28">(D23/D$49)*J23*100</f>
        <v>-5.2375075670639676E-2</v>
      </c>
      <c r="C54" s="406">
        <f t="shared" si="28"/>
        <v>-0.41573385417675057</v>
      </c>
      <c r="D54" s="406">
        <f t="shared" si="28"/>
        <v>0.18977673802020509</v>
      </c>
      <c r="E54" s="406">
        <f t="shared" si="28"/>
        <v>0.19350190452311686</v>
      </c>
      <c r="F54" s="406">
        <f t="shared" si="28"/>
        <v>0.27239631777824053</v>
      </c>
      <c r="G54" s="406">
        <f t="shared" si="28"/>
        <v>0.2151472275277185</v>
      </c>
      <c r="H54" s="403" t="e">
        <f t="shared" si="27"/>
        <v>#NUM!</v>
      </c>
      <c r="J54" s="104"/>
      <c r="M54"/>
      <c r="P54" s="9"/>
    </row>
    <row r="55" spans="1:16" x14ac:dyDescent="0.2">
      <c r="A55" s="83" t="s">
        <v>88</v>
      </c>
      <c r="B55" s="403">
        <f t="shared" ref="B55:G55" si="29">(D25/D$49)*J25*100</f>
        <v>-6.2996151147458497E-3</v>
      </c>
      <c r="C55" s="403">
        <f t="shared" si="29"/>
        <v>-1.5664351739867727E-4</v>
      </c>
      <c r="D55" s="403">
        <f t="shared" si="29"/>
        <v>3.1059293307011425E-5</v>
      </c>
      <c r="E55" s="403">
        <f t="shared" si="29"/>
        <v>3.4135619166421053E-5</v>
      </c>
      <c r="F55" s="403">
        <f t="shared" si="29"/>
        <v>3.7270531703300333E-5</v>
      </c>
      <c r="G55" s="403">
        <f t="shared" si="29"/>
        <v>4.0491741889439668E-5</v>
      </c>
      <c r="H55" s="403" t="e">
        <f t="shared" si="27"/>
        <v>#NUM!</v>
      </c>
      <c r="J55" s="104"/>
      <c r="M55"/>
      <c r="P55" s="9"/>
    </row>
    <row r="56" spans="1:16" x14ac:dyDescent="0.2">
      <c r="A56" s="83" t="s">
        <v>89</v>
      </c>
      <c r="B56" s="403" t="e">
        <f>(D31/D$49)*J31*100</f>
        <v>#DIV/0!</v>
      </c>
      <c r="C56" s="403" t="e">
        <f>(E31/E$49)*K31*100</f>
        <v>#DIV/0!</v>
      </c>
      <c r="D56" s="403" t="e">
        <f>(F31/F$49)*L31*100</f>
        <v>#DIV/0!</v>
      </c>
      <c r="E56" s="403" t="e">
        <f>(G31/G$49)*M31*100</f>
        <v>#DIV/0!</v>
      </c>
      <c r="F56" s="403" t="e">
        <f>(H31/H$49)*N31*100</f>
        <v>#DIV/0!</v>
      </c>
      <c r="G56" s="403" t="e">
        <f>(H31/H$49)*O31*100</f>
        <v>#DIV/0!</v>
      </c>
      <c r="H56" s="403" t="e">
        <f t="shared" si="27"/>
        <v>#DIV/0!</v>
      </c>
      <c r="J56" s="104"/>
      <c r="M56"/>
      <c r="P56" s="9"/>
    </row>
    <row r="57" spans="1:16" x14ac:dyDescent="0.2">
      <c r="A57" s="83" t="s">
        <v>90</v>
      </c>
      <c r="B57" s="403">
        <f>(D37/D$49)*J37*100</f>
        <v>-2.2698217870808297E-2</v>
      </c>
      <c r="C57" s="403">
        <f t="shared" ref="C57:F57" si="30">(E37/E$49)*K37*100</f>
        <v>0.21682722648520467</v>
      </c>
      <c r="D57" s="403">
        <f t="shared" si="30"/>
        <v>0.19372673184267905</v>
      </c>
      <c r="E57" s="403">
        <f t="shared" si="30"/>
        <v>0.20208356452052773</v>
      </c>
      <c r="F57" s="403">
        <f t="shared" si="30"/>
        <v>0.19899091542755604</v>
      </c>
      <c r="G57" s="403">
        <f>(I37/I$49)*O37*100</f>
        <v>0.204654256690114</v>
      </c>
      <c r="H57" s="403">
        <f t="shared" si="27"/>
        <v>-1.4340886303517375E-2</v>
      </c>
      <c r="J57" s="104"/>
      <c r="M57"/>
      <c r="P57" s="9"/>
    </row>
    <row r="58" spans="1:16" x14ac:dyDescent="0.2">
      <c r="A58" s="83" t="s">
        <v>91</v>
      </c>
      <c r="B58" s="403">
        <f t="shared" ref="B58:G58" si="31">(D43/D$49)*J43*100</f>
        <v>1.6658747255507231E-2</v>
      </c>
      <c r="C58" s="403">
        <f t="shared" si="31"/>
        <v>-5.4780138986976357E-3</v>
      </c>
      <c r="D58" s="403">
        <f t="shared" si="31"/>
        <v>3.8192111598391497E-2</v>
      </c>
      <c r="E58" s="403">
        <f t="shared" si="31"/>
        <v>3.8336585027709223E-2</v>
      </c>
      <c r="F58" s="403">
        <f t="shared" si="31"/>
        <v>3.8462399905703597E-2</v>
      </c>
      <c r="G58" s="403">
        <f t="shared" si="31"/>
        <v>3.8602676223384577E-2</v>
      </c>
      <c r="H58" s="403" t="e">
        <f t="shared" si="27"/>
        <v>#NUM!</v>
      </c>
      <c r="J58" s="104"/>
      <c r="M58"/>
      <c r="P58" s="9"/>
    </row>
    <row r="59" spans="1:16" x14ac:dyDescent="0.2">
      <c r="A59" s="83" t="s">
        <v>93</v>
      </c>
      <c r="B59" s="85">
        <f t="shared" ref="B59:G59" si="32">(D49/D$49)*J49*100</f>
        <v>4.8225487980588344</v>
      </c>
      <c r="C59" s="85">
        <f t="shared" si="32"/>
        <v>2.2386399899704035</v>
      </c>
      <c r="D59" s="85">
        <f t="shared" si="32"/>
        <v>2.8014224556126566</v>
      </c>
      <c r="E59" s="85">
        <f t="shared" si="32"/>
        <v>3.4740433749881117</v>
      </c>
      <c r="F59" s="85">
        <f t="shared" si="32"/>
        <v>3.6361298911816275</v>
      </c>
      <c r="G59" s="85">
        <f t="shared" si="32"/>
        <v>3.7118645266762673</v>
      </c>
      <c r="H59" s="403">
        <f t="shared" si="27"/>
        <v>0.13475463394554454</v>
      </c>
      <c r="J59" s="104"/>
      <c r="M59"/>
      <c r="P59" s="9"/>
    </row>
    <row r="60" spans="1:16" x14ac:dyDescent="0.2">
      <c r="A60" s="405" t="s">
        <v>153</v>
      </c>
      <c r="B60" s="404">
        <f t="shared" ref="B60:G60" si="33">(D3/D$49)*J3*100</f>
        <v>4.9328673657903028</v>
      </c>
      <c r="C60" s="404">
        <f t="shared" si="33"/>
        <v>2.6223844162423688</v>
      </c>
      <c r="D60" s="404">
        <f t="shared" si="33"/>
        <v>2.3924281551974929</v>
      </c>
      <c r="E60" s="404">
        <f t="shared" si="33"/>
        <v>3.0511527821766764</v>
      </c>
      <c r="F60" s="404">
        <f t="shared" si="33"/>
        <v>3.1463970501187593</v>
      </c>
      <c r="G60" s="404">
        <f t="shared" si="33"/>
        <v>3.2641623142636966</v>
      </c>
      <c r="H60" s="403">
        <f t="shared" si="27"/>
        <v>5.6255170173915348E-2</v>
      </c>
    </row>
    <row r="63" spans="1:16" x14ac:dyDescent="0.2">
      <c r="A63" s="426" t="s">
        <v>117</v>
      </c>
      <c r="B63" s="549">
        <f t="shared" ref="B63:G63" si="34">B52</f>
        <v>2024</v>
      </c>
      <c r="C63" s="549">
        <f t="shared" si="34"/>
        <v>2025</v>
      </c>
      <c r="D63" s="549">
        <f t="shared" si="34"/>
        <v>2026</v>
      </c>
      <c r="E63" s="549">
        <f t="shared" si="34"/>
        <v>2027</v>
      </c>
      <c r="F63" s="549">
        <f t="shared" si="34"/>
        <v>2028</v>
      </c>
      <c r="G63" s="549">
        <f t="shared" si="34"/>
        <v>2029</v>
      </c>
    </row>
    <row r="64" spans="1:16" x14ac:dyDescent="0.2">
      <c r="A64" s="427" t="s">
        <v>118</v>
      </c>
      <c r="B64" s="428">
        <f t="shared" ref="B64:G68" si="35">D6+D12+D18+D26+D32+D38+D44</f>
        <v>6293.6637514799995</v>
      </c>
      <c r="C64" s="428">
        <f t="shared" si="35"/>
        <v>6477.6755286877024</v>
      </c>
      <c r="D64" s="428">
        <f t="shared" si="35"/>
        <v>6704.9396173481819</v>
      </c>
      <c r="E64" s="428">
        <f t="shared" si="35"/>
        <v>6992.0216149166044</v>
      </c>
      <c r="F64" s="428">
        <f t="shared" si="35"/>
        <v>7286.3415456999337</v>
      </c>
      <c r="G64" s="428">
        <f t="shared" si="35"/>
        <v>7607.1297545954249</v>
      </c>
    </row>
    <row r="65" spans="1:9" x14ac:dyDescent="0.2">
      <c r="A65" s="427" t="s">
        <v>102</v>
      </c>
      <c r="B65" s="428">
        <f t="shared" si="35"/>
        <v>789.59321995000005</v>
      </c>
      <c r="C65" s="428">
        <f t="shared" si="35"/>
        <v>810.7490663631288</v>
      </c>
      <c r="D65" s="428">
        <f t="shared" si="35"/>
        <v>838.88803468435356</v>
      </c>
      <c r="E65" s="428">
        <f t="shared" si="35"/>
        <v>861.01224208563576</v>
      </c>
      <c r="F65" s="428">
        <f t="shared" si="35"/>
        <v>887.46561786895973</v>
      </c>
      <c r="G65" s="428">
        <f t="shared" si="35"/>
        <v>914.06593977328225</v>
      </c>
    </row>
    <row r="66" spans="1:9" x14ac:dyDescent="0.2">
      <c r="A66" s="427" t="s">
        <v>119</v>
      </c>
      <c r="B66" s="428">
        <f t="shared" si="35"/>
        <v>990.55856647999997</v>
      </c>
      <c r="C66" s="428">
        <f t="shared" si="35"/>
        <v>991.12770663063793</v>
      </c>
      <c r="D66" s="428">
        <f t="shared" si="35"/>
        <v>1006.7071715161514</v>
      </c>
      <c r="E66" s="428">
        <f t="shared" si="35"/>
        <v>1043.4838421464328</v>
      </c>
      <c r="F66" s="428">
        <f t="shared" si="35"/>
        <v>1081.5850628658939</v>
      </c>
      <c r="G66" s="428">
        <f t="shared" si="35"/>
        <v>1120.6003879291436</v>
      </c>
    </row>
    <row r="67" spans="1:9" x14ac:dyDescent="0.2">
      <c r="A67" s="427" t="s">
        <v>148</v>
      </c>
      <c r="B67" s="428">
        <f t="shared" si="35"/>
        <v>7750.1797332300011</v>
      </c>
      <c r="C67" s="428">
        <f t="shared" si="35"/>
        <v>7896.6597101714915</v>
      </c>
      <c r="D67" s="428">
        <f t="shared" si="35"/>
        <v>8087.1974085853371</v>
      </c>
      <c r="E67" s="428">
        <f t="shared" si="35"/>
        <v>8342.5805286315899</v>
      </c>
      <c r="F67" s="428">
        <f t="shared" si="35"/>
        <v>8617.0247544553094</v>
      </c>
      <c r="G67" s="428">
        <f t="shared" si="35"/>
        <v>8905.0599620090816</v>
      </c>
    </row>
    <row r="68" spans="1:9" x14ac:dyDescent="0.2">
      <c r="A68" s="427" t="s">
        <v>238</v>
      </c>
      <c r="B68" s="428">
        <f t="shared" si="35"/>
        <v>753.27455806999978</v>
      </c>
      <c r="C68" s="428">
        <f t="shared" si="35"/>
        <v>772.16320899903542</v>
      </c>
      <c r="D68" s="428">
        <f t="shared" si="35"/>
        <v>785.43857801640775</v>
      </c>
      <c r="E68" s="428">
        <f t="shared" si="35"/>
        <v>789.36109361305978</v>
      </c>
      <c r="F68" s="428">
        <f t="shared" si="35"/>
        <v>811.58053880793341</v>
      </c>
      <c r="G68" s="428">
        <f t="shared" si="35"/>
        <v>830.66615148984363</v>
      </c>
    </row>
    <row r="69" spans="1:9" x14ac:dyDescent="0.2">
      <c r="A69" s="429" t="s">
        <v>120</v>
      </c>
      <c r="B69" s="430">
        <f t="shared" ref="B69:G69" si="36">SUM(B64:B68)</f>
        <v>16577.269829209999</v>
      </c>
      <c r="C69" s="430">
        <f t="shared" si="36"/>
        <v>16948.375220851995</v>
      </c>
      <c r="D69" s="430">
        <f t="shared" si="36"/>
        <v>17423.170810150434</v>
      </c>
      <c r="E69" s="430">
        <f t="shared" si="36"/>
        <v>18028.459321393322</v>
      </c>
      <c r="F69" s="430">
        <f t="shared" si="36"/>
        <v>18683.99751969803</v>
      </c>
      <c r="G69" s="430">
        <f t="shared" si="36"/>
        <v>19377.522195796777</v>
      </c>
    </row>
    <row r="70" spans="1:9" x14ac:dyDescent="0.2">
      <c r="E70"/>
      <c r="F70"/>
      <c r="G70"/>
    </row>
    <row r="71" spans="1:9" x14ac:dyDescent="0.2">
      <c r="A71" s="209" t="s">
        <v>25</v>
      </c>
    </row>
    <row r="72" spans="1:9" ht="12.75" customHeight="1" x14ac:dyDescent="0.2">
      <c r="A72" s="413"/>
      <c r="B72" s="407">
        <v>2024</v>
      </c>
      <c r="C72" s="407">
        <v>2025</v>
      </c>
      <c r="D72" s="645" t="s">
        <v>0</v>
      </c>
      <c r="E72" s="645" t="s">
        <v>104</v>
      </c>
      <c r="F72" s="645" t="s">
        <v>216</v>
      </c>
      <c r="G72" s="645" t="s">
        <v>215</v>
      </c>
    </row>
    <row r="73" spans="1:9" x14ac:dyDescent="0.2">
      <c r="A73" s="413"/>
      <c r="B73" s="407" t="s">
        <v>214</v>
      </c>
      <c r="C73" s="407" t="s">
        <v>214</v>
      </c>
      <c r="D73" s="646"/>
      <c r="E73" s="646"/>
      <c r="F73" s="646"/>
      <c r="G73" s="646"/>
    </row>
    <row r="74" spans="1:9" x14ac:dyDescent="0.2">
      <c r="A74" s="414" t="s">
        <v>151</v>
      </c>
      <c r="B74" s="416">
        <f>TableauxNote!D47</f>
        <v>14732.043979890001</v>
      </c>
      <c r="C74" s="416">
        <f>TableauxNote!E47</f>
        <v>15163.839617120693</v>
      </c>
      <c r="D74" s="417">
        <f t="shared" ref="D74:D82" si="37">C74/B74-1</f>
        <v>2.9309961185298938E-2</v>
      </c>
      <c r="E74" s="417">
        <f>'RESULTAT NET'!H17</f>
        <v>3.3194278070309613E-2</v>
      </c>
      <c r="F74" s="418">
        <f>(B74/B82)*D74*100</f>
        <v>2.6047451822847614</v>
      </c>
      <c r="G74" s="417">
        <f>C74/C82</f>
        <v>0.89470757046163674</v>
      </c>
      <c r="H74" s="178"/>
      <c r="I74" s="178"/>
    </row>
    <row r="75" spans="1:9" x14ac:dyDescent="0.2">
      <c r="A75" s="414" t="s">
        <v>152</v>
      </c>
      <c r="B75" s="418">
        <f>D23</f>
        <v>369.03048486</v>
      </c>
      <c r="C75" s="418">
        <f>E23</f>
        <v>274.20324302432118</v>
      </c>
      <c r="D75" s="417">
        <f t="shared" si="37"/>
        <v>-0.2569631662588896</v>
      </c>
      <c r="E75" s="419">
        <f>P23</f>
        <v>0.11144321876216279</v>
      </c>
      <c r="F75" s="418">
        <f>(B75/B82)*D75*100</f>
        <v>-0.5720317206189669</v>
      </c>
      <c r="G75" s="417">
        <f>C75/C82</f>
        <v>1.6178733327013101E-2</v>
      </c>
      <c r="H75" s="178"/>
      <c r="I75" s="178"/>
    </row>
    <row r="76" spans="1:9" x14ac:dyDescent="0.2">
      <c r="A76" s="413" t="s">
        <v>90</v>
      </c>
      <c r="B76" s="418">
        <f>D37</f>
        <v>744.06382334</v>
      </c>
      <c r="C76" s="418">
        <f>E37</f>
        <v>779.15734138153164</v>
      </c>
      <c r="D76" s="417">
        <f t="shared" si="37"/>
        <v>4.7164661068994862E-2</v>
      </c>
      <c r="E76" s="419">
        <f>P37</f>
        <v>4.24678474609268E-2</v>
      </c>
      <c r="F76" s="418">
        <f>(B76/B82)*D76*100</f>
        <v>0.21169660868821111</v>
      </c>
      <c r="G76" s="417">
        <f>C76/C82</f>
        <v>4.5972391525939051E-2</v>
      </c>
      <c r="H76" s="178"/>
      <c r="I76" s="178"/>
    </row>
    <row r="77" spans="1:9" x14ac:dyDescent="0.2">
      <c r="A77" s="413" t="s">
        <v>91</v>
      </c>
      <c r="B77" s="418">
        <f>D43</f>
        <v>730.09403292000002</v>
      </c>
      <c r="C77" s="418">
        <f>E43</f>
        <v>729.16441490081513</v>
      </c>
      <c r="D77" s="417">
        <f t="shared" si="37"/>
        <v>-1.2732853266406163E-3</v>
      </c>
      <c r="E77" s="419">
        <f>P43</f>
        <v>9.4539883534754399E-3</v>
      </c>
      <c r="F77" s="418">
        <f>(B77/B82)*D77*100</f>
        <v>-5.6077872216742982E-3</v>
      </c>
      <c r="G77" s="417">
        <f>C77/C82</f>
        <v>4.3022673583701793E-2</v>
      </c>
      <c r="H77" s="178"/>
      <c r="I77" s="178"/>
    </row>
    <row r="78" spans="1:9" x14ac:dyDescent="0.2">
      <c r="A78" s="414" t="s">
        <v>150</v>
      </c>
      <c r="B78" s="420">
        <f>SUM(B74:B77)</f>
        <v>16575.23232101</v>
      </c>
      <c r="C78" s="420">
        <f>SUM(C74:C77)</f>
        <v>16946.36461642736</v>
      </c>
      <c r="D78" s="417">
        <f t="shared" si="37"/>
        <v>2.2390774876013708E-2</v>
      </c>
      <c r="E78" s="419">
        <f>P49</f>
        <v>3.4052391060724219E-2</v>
      </c>
      <c r="F78" s="418">
        <f>(B78/B82)*D78*100</f>
        <v>2.2388022831323342</v>
      </c>
      <c r="G78" s="417"/>
    </row>
    <row r="79" spans="1:9" x14ac:dyDescent="0.2">
      <c r="A79" s="415" t="s">
        <v>89</v>
      </c>
      <c r="B79" s="421">
        <f>D31</f>
        <v>0</v>
      </c>
      <c r="C79" s="421">
        <f>E31</f>
        <v>0</v>
      </c>
      <c r="D79" s="422" t="e">
        <f t="shared" si="37"/>
        <v>#DIV/0!</v>
      </c>
      <c r="E79" s="422" t="e">
        <f>P31</f>
        <v>#DIV/0!</v>
      </c>
      <c r="F79" s="423" t="e">
        <f>(B79/B82)*D79*100</f>
        <v>#DIV/0!</v>
      </c>
      <c r="G79" s="424">
        <f>C79/C82</f>
        <v>0</v>
      </c>
      <c r="H79" s="178"/>
      <c r="I79" s="178"/>
    </row>
    <row r="80" spans="1:9" x14ac:dyDescent="0.2">
      <c r="A80" s="415" t="s">
        <v>88</v>
      </c>
      <c r="B80" s="420">
        <f>D25</f>
        <v>2.0375082</v>
      </c>
      <c r="C80" s="420">
        <f>E25</f>
        <v>2.0106044246343791</v>
      </c>
      <c r="D80" s="422">
        <f t="shared" si="37"/>
        <v>-1.3204253786866182E-2</v>
      </c>
      <c r="E80" s="422">
        <f>P25</f>
        <v>3.2528223193417638E-3</v>
      </c>
      <c r="F80" s="421">
        <f>(B80/B82)*D80*100</f>
        <v>-1.6229316191870792E-4</v>
      </c>
      <c r="G80" s="424">
        <f>C80/C82</f>
        <v>1.1863110170942427E-4</v>
      </c>
      <c r="H80" s="178"/>
      <c r="I80" s="178"/>
    </row>
    <row r="81" spans="1:7" x14ac:dyDescent="0.2">
      <c r="A81" s="414" t="s">
        <v>170</v>
      </c>
      <c r="B81" s="425">
        <f>D4</f>
        <v>14732.043979890001</v>
      </c>
      <c r="C81" s="425">
        <f>E4</f>
        <v>15163.839617120693</v>
      </c>
      <c r="D81" s="422">
        <f t="shared" si="37"/>
        <v>2.9309961185298938E-2</v>
      </c>
      <c r="E81" s="419">
        <f>P4</f>
        <v>3.3194278070309613E-2</v>
      </c>
      <c r="F81" s="418">
        <f>(B81/B82)*D81*100</f>
        <v>2.6047451822847614</v>
      </c>
      <c r="G81" s="419">
        <f>C81/C82</f>
        <v>0.89470757046163674</v>
      </c>
    </row>
    <row r="82" spans="1:7" x14ac:dyDescent="0.2">
      <c r="A82" s="408" t="s">
        <v>150</v>
      </c>
      <c r="B82" s="409">
        <f>B81+B75+B76+B77+B79+B80</f>
        <v>16577.269829209999</v>
      </c>
      <c r="C82" s="409">
        <f>C81+C75+C76+C77+C79+C80</f>
        <v>16948.375220851995</v>
      </c>
      <c r="D82" s="410">
        <f t="shared" si="37"/>
        <v>2.2386399899704035E-2</v>
      </c>
      <c r="E82" s="411">
        <f>P49</f>
        <v>3.4052391060724219E-2</v>
      </c>
      <c r="F82" s="412">
        <f>(B82/B82)*D82*100</f>
        <v>2.2386399899704035</v>
      </c>
      <c r="G82" s="411">
        <f>G75+G76+G77+G79+G81</f>
        <v>0.99988136889829071</v>
      </c>
    </row>
  </sheetData>
  <protectedRanges>
    <protectedRange sqref="G24:I24 G48:I48 G22:I22 G6:I6 G42:I42 G10:I10" name="Plage1"/>
    <protectedRange sqref="B24:F24 B6:F6 B22:F22 B42:F42 B48:F48 B10:F10 B7:I9 B18:I20 B26:I29 B32:I35 B38:I41 B44:I47 B21:H21 B12:I16" name="Plage1_1"/>
    <protectedRange sqref="B17:F17 B25:F25 B31:F31 B43:F43 B37:I37" name="Plage1_1_1"/>
  </protectedRanges>
  <mergeCells count="8">
    <mergeCell ref="A1:A2"/>
    <mergeCell ref="B1:C1"/>
    <mergeCell ref="E1:I1"/>
    <mergeCell ref="J1:O1"/>
    <mergeCell ref="G72:G73"/>
    <mergeCell ref="F72:F73"/>
    <mergeCell ref="E72:E73"/>
    <mergeCell ref="D72:D73"/>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L53"/>
  <sheetViews>
    <sheetView zoomScale="90" zoomScaleNormal="90" workbookViewId="0">
      <selection sqref="A1:B1"/>
    </sheetView>
  </sheetViews>
  <sheetFormatPr baseColWidth="10" defaultColWidth="11.42578125" defaultRowHeight="14.25" x14ac:dyDescent="0.2"/>
  <cols>
    <col min="1" max="1" width="9.140625" style="4" customWidth="1"/>
    <col min="2" max="2" width="17.140625" style="4" customWidth="1"/>
    <col min="3" max="9" width="12.7109375" style="4" customWidth="1"/>
    <col min="10" max="16384" width="11.42578125" style="4"/>
  </cols>
  <sheetData>
    <row r="1" spans="1:12" x14ac:dyDescent="0.2">
      <c r="A1" s="650" t="s">
        <v>32</v>
      </c>
      <c r="B1" s="650"/>
      <c r="C1" s="649" t="s">
        <v>23</v>
      </c>
      <c r="D1" s="649"/>
      <c r="E1" s="649" t="s">
        <v>1</v>
      </c>
      <c r="F1" s="649"/>
      <c r="G1" s="649"/>
      <c r="H1" s="649"/>
      <c r="I1" s="649"/>
    </row>
    <row r="2" spans="1:12" ht="15" x14ac:dyDescent="0.25">
      <c r="A2" s="31"/>
      <c r="B2" s="32" t="s">
        <v>2</v>
      </c>
      <c r="C2" s="35">
        <f>TableauxNote!C4</f>
        <v>2023</v>
      </c>
      <c r="D2" s="35">
        <f>TableauxNote!D4</f>
        <v>2024</v>
      </c>
      <c r="E2" s="35" t="str">
        <f>TableauxNote!E4</f>
        <v>2025(p)</v>
      </c>
      <c r="F2" s="35" t="str">
        <f>TableauxNote!F4</f>
        <v>2026(p)</v>
      </c>
      <c r="G2" s="35" t="str">
        <f>TableauxNote!G4</f>
        <v>2027(p)</v>
      </c>
      <c r="H2" s="35" t="str">
        <f>TableauxNote!H4</f>
        <v>2028(p)</v>
      </c>
      <c r="I2" s="35" t="str">
        <f>TableauxNote!I4</f>
        <v>2029(p)</v>
      </c>
      <c r="K2" s="647" t="s">
        <v>156</v>
      </c>
      <c r="L2" s="647"/>
    </row>
    <row r="3" spans="1:12" s="9" customFormat="1" x14ac:dyDescent="0.2">
      <c r="A3" s="33"/>
      <c r="B3" s="33" t="s">
        <v>3</v>
      </c>
      <c r="C3" s="45">
        <f>TableauxNote!C5</f>
        <v>6137.2472051500008</v>
      </c>
      <c r="D3" s="45">
        <f>TableauxNote!D5</f>
        <v>6293.6637514799995</v>
      </c>
      <c r="E3" s="45">
        <f>TableauxNote!E5</f>
        <v>6477.6755286877024</v>
      </c>
      <c r="F3" s="45">
        <f>TableauxNote!F5</f>
        <v>6704.9396173481819</v>
      </c>
      <c r="G3" s="45">
        <f>TableauxNote!G5</f>
        <v>6992.0216149166044</v>
      </c>
      <c r="H3" s="45">
        <f>TableauxNote!H5</f>
        <v>7286.3415456999337</v>
      </c>
      <c r="I3" s="45">
        <f>TableauxNote!I5</f>
        <v>7607.1297545954249</v>
      </c>
      <c r="K3" s="117" t="s">
        <v>130</v>
      </c>
    </row>
    <row r="4" spans="1:12" s="9" customFormat="1" x14ac:dyDescent="0.2">
      <c r="A4" s="33"/>
      <c r="B4" s="33" t="s">
        <v>33</v>
      </c>
      <c r="C4" s="45">
        <f>TableauxNote!C6</f>
        <v>766.76793252999994</v>
      </c>
      <c r="D4" s="45">
        <f>TableauxNote!D6</f>
        <v>789.59321995000005</v>
      </c>
      <c r="E4" s="45">
        <f>TableauxNote!E6</f>
        <v>810.7490663631288</v>
      </c>
      <c r="F4" s="45">
        <f>TableauxNote!F6</f>
        <v>838.88803468435356</v>
      </c>
      <c r="G4" s="45">
        <f>TableauxNote!G6</f>
        <v>861.01224208563576</v>
      </c>
      <c r="H4" s="45">
        <f>TableauxNote!H6</f>
        <v>887.46561786895973</v>
      </c>
      <c r="I4" s="45">
        <f>TableauxNote!I6</f>
        <v>914.06593977328225</v>
      </c>
    </row>
    <row r="5" spans="1:12" s="9" customFormat="1" x14ac:dyDescent="0.2">
      <c r="A5" s="33"/>
      <c r="B5" s="33" t="s">
        <v>5</v>
      </c>
      <c r="C5" s="45">
        <f>TableauxNote!C7</f>
        <v>981.95520630999999</v>
      </c>
      <c r="D5" s="45">
        <f>TableauxNote!D7</f>
        <v>990.55856647999997</v>
      </c>
      <c r="E5" s="45">
        <f>TableauxNote!E7</f>
        <v>991.12770663063793</v>
      </c>
      <c r="F5" s="45">
        <f>TableauxNote!F7</f>
        <v>1006.7071715161514</v>
      </c>
      <c r="G5" s="45">
        <f>TableauxNote!G7</f>
        <v>1043.4838421464328</v>
      </c>
      <c r="H5" s="45">
        <f>TableauxNote!H7</f>
        <v>1081.5850628658939</v>
      </c>
      <c r="I5" s="45">
        <f>TableauxNote!I7</f>
        <v>1120.6003879291436</v>
      </c>
    </row>
    <row r="6" spans="1:12" s="9" customFormat="1" x14ac:dyDescent="0.2">
      <c r="A6" s="33"/>
      <c r="B6" s="33" t="s">
        <v>4</v>
      </c>
      <c r="C6" s="45">
        <f>TableauxNote!C8</f>
        <v>7234.5708767199994</v>
      </c>
      <c r="D6" s="45">
        <f>TableauxNote!D8</f>
        <v>7750.1797332300011</v>
      </c>
      <c r="E6" s="45">
        <f>TableauxNote!E8</f>
        <v>7896.6597101714915</v>
      </c>
      <c r="F6" s="45">
        <f>TableauxNote!F8</f>
        <v>8087.1974085853371</v>
      </c>
      <c r="G6" s="45">
        <f>TableauxNote!G8</f>
        <v>8342.5805286315899</v>
      </c>
      <c r="H6" s="45">
        <f>TableauxNote!H8</f>
        <v>8617.0247544553094</v>
      </c>
      <c r="I6" s="45">
        <f>TableauxNote!I8</f>
        <v>8905.0599620090816</v>
      </c>
      <c r="J6" s="214">
        <f>((I6/D6)^(1/5))-1</f>
        <v>2.8170205779195046E-2</v>
      </c>
    </row>
    <row r="7" spans="1:12" s="9" customFormat="1" x14ac:dyDescent="0.2">
      <c r="A7" s="33"/>
      <c r="B7" s="207" t="s">
        <v>226</v>
      </c>
      <c r="C7" s="45">
        <f>TableauxNote!C9</f>
        <v>694.20683297999994</v>
      </c>
      <c r="D7" s="45">
        <f>TableauxNote!D9</f>
        <v>753.27455806999978</v>
      </c>
      <c r="E7" s="45">
        <f>TableauxNote!E9</f>
        <v>772.16320899903542</v>
      </c>
      <c r="F7" s="45">
        <f>TableauxNote!F9</f>
        <v>785.43857801640775</v>
      </c>
      <c r="G7" s="45">
        <f>TableauxNote!G9</f>
        <v>789.36109361305978</v>
      </c>
      <c r="H7" s="45">
        <f>TableauxNote!H9</f>
        <v>811.58053880793341</v>
      </c>
      <c r="I7" s="45">
        <f>TableauxNote!I9</f>
        <v>830.66615148984363</v>
      </c>
    </row>
    <row r="8" spans="1:12" x14ac:dyDescent="0.2">
      <c r="A8" s="34" t="s">
        <v>20</v>
      </c>
      <c r="B8" s="34"/>
      <c r="C8" s="46">
        <f>SUM(C3:C7)</f>
        <v>15814.74805369</v>
      </c>
      <c r="D8" s="46">
        <f t="shared" ref="D8:I8" si="0">SUM(D3:D7)</f>
        <v>16577.269829209999</v>
      </c>
      <c r="E8" s="46">
        <f t="shared" si="0"/>
        <v>16948.375220851995</v>
      </c>
      <c r="F8" s="46">
        <f t="shared" si="0"/>
        <v>17423.170810150434</v>
      </c>
      <c r="G8" s="46">
        <f t="shared" si="0"/>
        <v>18028.459321393322</v>
      </c>
      <c r="H8" s="46">
        <f t="shared" si="0"/>
        <v>18683.99751969803</v>
      </c>
      <c r="I8" s="46">
        <f t="shared" si="0"/>
        <v>19377.522195796777</v>
      </c>
    </row>
    <row r="9" spans="1:12" s="9" customFormat="1" x14ac:dyDescent="0.2">
      <c r="A9" s="33"/>
      <c r="B9" s="33" t="s">
        <v>7</v>
      </c>
      <c r="C9" s="45">
        <f>TableauxNote!C11</f>
        <v>6137.2472051499999</v>
      </c>
      <c r="D9" s="45">
        <f>TableauxNote!D11</f>
        <v>6293.6637514799995</v>
      </c>
      <c r="E9" s="45">
        <f>TableauxNote!E11</f>
        <v>6477.6755286877014</v>
      </c>
      <c r="F9" s="45">
        <f>TableauxNote!F11</f>
        <v>6704.9396173481819</v>
      </c>
      <c r="G9" s="45">
        <f>TableauxNote!G11</f>
        <v>6992.0216149166054</v>
      </c>
      <c r="H9" s="45">
        <f>TableauxNote!H11</f>
        <v>7286.3415456999337</v>
      </c>
      <c r="I9" s="45">
        <f>TableauxNote!I11</f>
        <v>7607.1297545954249</v>
      </c>
    </row>
    <row r="10" spans="1:12" s="9" customFormat="1" x14ac:dyDescent="0.2">
      <c r="A10" s="33"/>
      <c r="B10" s="33" t="s">
        <v>34</v>
      </c>
      <c r="C10" s="45">
        <f>TableauxNote!C12</f>
        <v>827.33309961999987</v>
      </c>
      <c r="D10" s="45">
        <f>TableauxNote!D12</f>
        <v>825.99940177999986</v>
      </c>
      <c r="E10" s="45">
        <f>TableauxNote!E12</f>
        <v>847.1676243721995</v>
      </c>
      <c r="F10" s="45">
        <f>TableauxNote!F12</f>
        <v>873.53786251251131</v>
      </c>
      <c r="G10" s="45">
        <f>TableauxNote!G12</f>
        <v>899.57987967854115</v>
      </c>
      <c r="H10" s="45">
        <f>TableauxNote!H12</f>
        <v>926.77942769353899</v>
      </c>
      <c r="I10" s="45">
        <f>TableauxNote!I12</f>
        <v>954.08662046066195</v>
      </c>
    </row>
    <row r="11" spans="1:12" s="9" customFormat="1" x14ac:dyDescent="0.2">
      <c r="A11" s="33"/>
      <c r="B11" s="33" t="s">
        <v>9</v>
      </c>
      <c r="C11" s="45">
        <f>TableauxNote!C13</f>
        <v>981.95520630999999</v>
      </c>
      <c r="D11" s="45">
        <f>TableauxNote!D13</f>
        <v>990.55856647999997</v>
      </c>
      <c r="E11" s="45">
        <f>TableauxNote!E13</f>
        <v>991.12770663063782</v>
      </c>
      <c r="F11" s="45">
        <f>TableauxNote!F13</f>
        <v>1006.7071715161517</v>
      </c>
      <c r="G11" s="45">
        <f>TableauxNote!G13</f>
        <v>1043.4838421464328</v>
      </c>
      <c r="H11" s="45">
        <f>TableauxNote!H13</f>
        <v>1081.5850628658939</v>
      </c>
      <c r="I11" s="45">
        <f>TableauxNote!I13</f>
        <v>1120.6003879291438</v>
      </c>
    </row>
    <row r="12" spans="1:12" s="9" customFormat="1" x14ac:dyDescent="0.2">
      <c r="A12" s="33"/>
      <c r="B12" s="33" t="s">
        <v>8</v>
      </c>
      <c r="C12" s="45">
        <f>TableauxNote!C14</f>
        <v>7234.6103347100006</v>
      </c>
      <c r="D12" s="45">
        <f>TableauxNote!D14</f>
        <v>7750.1797332300002</v>
      </c>
      <c r="E12" s="45">
        <f>TableauxNote!E14</f>
        <v>7896.6597101714906</v>
      </c>
      <c r="F12" s="45">
        <f>TableauxNote!F14</f>
        <v>8087.1974085853371</v>
      </c>
      <c r="G12" s="45">
        <f>TableauxNote!G14</f>
        <v>8342.5805286315881</v>
      </c>
      <c r="H12" s="45">
        <f>TableauxNote!H14</f>
        <v>8617.0247544553113</v>
      </c>
      <c r="I12" s="45">
        <f>TableauxNote!I14</f>
        <v>8905.0599620090816</v>
      </c>
    </row>
    <row r="13" spans="1:12" s="9" customFormat="1" x14ac:dyDescent="0.2">
      <c r="A13" s="33"/>
      <c r="B13" s="207" t="s">
        <v>239</v>
      </c>
      <c r="C13" s="45">
        <f>TableauxNote!C15</f>
        <v>694.20683297999994</v>
      </c>
      <c r="D13" s="45">
        <f>TableauxNote!D15</f>
        <v>753.27455807000001</v>
      </c>
      <c r="E13" s="45">
        <f>TableauxNote!E15</f>
        <v>772.16320899903542</v>
      </c>
      <c r="F13" s="45">
        <f>TableauxNote!F15</f>
        <v>785.43857801640786</v>
      </c>
      <c r="G13" s="45">
        <f>TableauxNote!G15</f>
        <v>789.36109361305989</v>
      </c>
      <c r="H13" s="45">
        <f>TableauxNote!H15</f>
        <v>811.58053880793329</v>
      </c>
      <c r="I13" s="45">
        <f>TableauxNote!I15</f>
        <v>830.66615148984363</v>
      </c>
    </row>
    <row r="14" spans="1:12" x14ac:dyDescent="0.2">
      <c r="A14" s="34" t="s">
        <v>10</v>
      </c>
      <c r="B14" s="34"/>
      <c r="C14" s="46">
        <f>SUM(C9:C13)</f>
        <v>15875.352678770001</v>
      </c>
      <c r="D14" s="46">
        <f t="shared" ref="D14:I14" si="1">SUM(D9:D13)</f>
        <v>16613.676011039999</v>
      </c>
      <c r="E14" s="46">
        <f t="shared" si="1"/>
        <v>16984.793778861065</v>
      </c>
      <c r="F14" s="46">
        <f t="shared" si="1"/>
        <v>17457.820637978592</v>
      </c>
      <c r="G14" s="46">
        <f t="shared" si="1"/>
        <v>18067.026958986229</v>
      </c>
      <c r="H14" s="46">
        <f t="shared" si="1"/>
        <v>18723.311329522607</v>
      </c>
      <c r="I14" s="46">
        <f t="shared" si="1"/>
        <v>19417.542876484156</v>
      </c>
    </row>
    <row r="15" spans="1:12" s="15" customFormat="1" ht="15" x14ac:dyDescent="0.25">
      <c r="A15" s="628" t="s">
        <v>11</v>
      </c>
      <c r="B15" s="628"/>
      <c r="C15" s="43">
        <f t="shared" ref="C15:I15" si="2">C14-C8</f>
        <v>60.604625080000915</v>
      </c>
      <c r="D15" s="43">
        <f t="shared" si="2"/>
        <v>36.406181829999696</v>
      </c>
      <c r="E15" s="43">
        <f t="shared" si="2"/>
        <v>36.418558009070694</v>
      </c>
      <c r="F15" s="43">
        <f t="shared" si="2"/>
        <v>34.649827828157868</v>
      </c>
      <c r="G15" s="43">
        <f t="shared" si="2"/>
        <v>38.567637592906976</v>
      </c>
      <c r="H15" s="43">
        <f t="shared" si="2"/>
        <v>39.31380982457631</v>
      </c>
      <c r="I15" s="43">
        <f t="shared" si="2"/>
        <v>40.020680687379354</v>
      </c>
    </row>
    <row r="16" spans="1:12" x14ac:dyDescent="0.2">
      <c r="C16" s="377" t="b">
        <f>C15='RESULTAT NET'!B11</f>
        <v>1</v>
      </c>
      <c r="D16" s="377" t="b">
        <f>D15='RESULTAT NET'!C11</f>
        <v>1</v>
      </c>
      <c r="E16" s="377" t="b">
        <f>E15='RESULTAT NET'!D11</f>
        <v>1</v>
      </c>
      <c r="F16" s="377" t="b">
        <f>F15='RESULTAT NET'!E11</f>
        <v>1</v>
      </c>
      <c r="G16" s="377" t="b">
        <f>G15='RESULTAT NET'!F11</f>
        <v>1</v>
      </c>
      <c r="H16" s="377" t="b">
        <f>H15='RESULTAT NET'!G11</f>
        <v>1</v>
      </c>
      <c r="I16" s="377" t="b">
        <f>I15='RESULTAT NET'!H11</f>
        <v>1</v>
      </c>
    </row>
    <row r="17" spans="1:12" x14ac:dyDescent="0.2">
      <c r="C17" s="377"/>
      <c r="D17" s="377"/>
      <c r="E17" s="377"/>
      <c r="F17" s="377"/>
      <c r="G17" s="377"/>
      <c r="H17" s="377"/>
      <c r="I17" s="377"/>
    </row>
    <row r="18" spans="1:12" x14ac:dyDescent="0.2">
      <c r="A18" s="650" t="s">
        <v>32</v>
      </c>
      <c r="B18" s="650"/>
      <c r="C18" s="36" t="s">
        <v>23</v>
      </c>
      <c r="D18" s="648" t="s">
        <v>1</v>
      </c>
      <c r="E18" s="648"/>
      <c r="F18" s="648"/>
      <c r="G18" s="648"/>
      <c r="H18" s="648"/>
    </row>
    <row r="19" spans="1:12" x14ac:dyDescent="0.2">
      <c r="A19" s="31"/>
      <c r="B19" s="32" t="s">
        <v>0</v>
      </c>
      <c r="C19" s="36" t="str">
        <f>TableauxNote!C23</f>
        <v>2024/2023</v>
      </c>
      <c r="D19" s="125" t="str">
        <f>TableauxNote!D23</f>
        <v>2025/2024</v>
      </c>
      <c r="E19" s="125" t="str">
        <f>TableauxNote!E23</f>
        <v>2026/2025</v>
      </c>
      <c r="F19" s="125" t="str">
        <f>TableauxNote!F23</f>
        <v>2027/2026</v>
      </c>
      <c r="G19" s="125" t="str">
        <f>TableauxNote!G23</f>
        <v>2028/2027</v>
      </c>
      <c r="H19" s="125" t="str">
        <f>TableauxNote!H23</f>
        <v>2029/2028</v>
      </c>
    </row>
    <row r="20" spans="1:12" s="9" customFormat="1" x14ac:dyDescent="0.2">
      <c r="A20" s="37"/>
      <c r="B20" s="33" t="s">
        <v>3</v>
      </c>
      <c r="C20" s="38">
        <f>TableauxNote!C24</f>
        <v>2.5486434080534304E-2</v>
      </c>
      <c r="D20" s="38">
        <f>TableauxNote!D24</f>
        <v>2.9237624454345967E-2</v>
      </c>
      <c r="E20" s="38">
        <f>TableauxNote!E24</f>
        <v>3.5084203840404449E-2</v>
      </c>
      <c r="F20" s="38">
        <f>TableauxNote!F24</f>
        <v>4.2816492608767742E-2</v>
      </c>
      <c r="G20" s="38">
        <f>TableauxNote!G24</f>
        <v>4.2093681483397427E-2</v>
      </c>
      <c r="H20" s="38">
        <f>TableauxNote!H24</f>
        <v>4.4025963768443699E-2</v>
      </c>
    </row>
    <row r="21" spans="1:12" s="9" customFormat="1" x14ac:dyDescent="0.2">
      <c r="A21" s="37"/>
      <c r="B21" s="33" t="s">
        <v>33</v>
      </c>
      <c r="C21" s="38">
        <f>TableauxNote!C25</f>
        <v>2.9768182068708349E-2</v>
      </c>
      <c r="D21" s="38">
        <f>TableauxNote!D25</f>
        <v>2.6793348623824764E-2</v>
      </c>
      <c r="E21" s="38">
        <f>TableauxNote!E25</f>
        <v>3.4707370614006416E-2</v>
      </c>
      <c r="F21" s="38">
        <f>TableauxNote!F25</f>
        <v>2.6373254220519282E-2</v>
      </c>
      <c r="G21" s="38">
        <f>TableauxNote!G25</f>
        <v>3.0723576843978195E-2</v>
      </c>
      <c r="H21" s="38">
        <f>TableauxNote!H25</f>
        <v>2.9973354875648006E-2</v>
      </c>
    </row>
    <row r="22" spans="1:12" s="9" customFormat="1" x14ac:dyDescent="0.2">
      <c r="A22" s="37"/>
      <c r="B22" s="33" t="s">
        <v>5</v>
      </c>
      <c r="C22" s="38">
        <f>TableauxNote!C26</f>
        <v>8.7614588880584598E-3</v>
      </c>
      <c r="D22" s="38">
        <f>TableauxNote!D26</f>
        <v>5.7456486662910145E-4</v>
      </c>
      <c r="E22" s="38">
        <f>TableauxNote!E26</f>
        <v>1.5718927824625473E-2</v>
      </c>
      <c r="F22" s="38">
        <f>TableauxNote!F26</f>
        <v>3.6531646610695967E-2</v>
      </c>
      <c r="G22" s="38">
        <f>TableauxNote!G26</f>
        <v>3.6513474555664782E-2</v>
      </c>
      <c r="H22" s="38">
        <f>TableauxNote!H26</f>
        <v>3.6072359357358641E-2</v>
      </c>
    </row>
    <row r="23" spans="1:12" s="9" customFormat="1" x14ac:dyDescent="0.2">
      <c r="A23" s="37"/>
      <c r="B23" s="33" t="s">
        <v>4</v>
      </c>
      <c r="C23" s="38">
        <f>TableauxNote!C27</f>
        <v>7.1270136860386746E-2</v>
      </c>
      <c r="D23" s="38">
        <f>TableauxNote!D27</f>
        <v>1.8900203864103515E-2</v>
      </c>
      <c r="E23" s="38">
        <f>TableauxNote!E27</f>
        <v>2.4128898218625183E-2</v>
      </c>
      <c r="F23" s="38">
        <f>TableauxNote!F27</f>
        <v>3.1578692486860627E-2</v>
      </c>
      <c r="G23" s="38">
        <f>TableauxNote!G27</f>
        <v>3.2896802719713847E-2</v>
      </c>
      <c r="H23" s="38">
        <f>TableauxNote!H27</f>
        <v>3.3426294546136326E-2</v>
      </c>
    </row>
    <row r="24" spans="1:12" s="9" customFormat="1" x14ac:dyDescent="0.2">
      <c r="A24" s="37"/>
      <c r="B24" s="207" t="s">
        <v>226</v>
      </c>
      <c r="C24" s="38">
        <f>TableauxNote!C28</f>
        <v>8.5086637416750266E-2</v>
      </c>
      <c r="D24" s="38">
        <f>TableauxNote!D28</f>
        <v>2.5075386824999324E-2</v>
      </c>
      <c r="E24" s="38">
        <f>TableauxNote!E28</f>
        <v>1.719243919246205E-2</v>
      </c>
      <c r="F24" s="38">
        <f>TableauxNote!F28</f>
        <v>4.9940449914724905E-3</v>
      </c>
      <c r="G24" s="38">
        <f>TableauxNote!G28</f>
        <v>2.8148644992332938E-2</v>
      </c>
      <c r="H24" s="38">
        <f>TableauxNote!H28</f>
        <v>2.3516597268268047E-2</v>
      </c>
    </row>
    <row r="25" spans="1:12" s="9" customFormat="1" ht="15" x14ac:dyDescent="0.25">
      <c r="A25" s="34" t="s">
        <v>20</v>
      </c>
      <c r="B25" s="34"/>
      <c r="C25" s="39">
        <f>TableauxNote!C29</f>
        <v>4.8215866160579379E-2</v>
      </c>
      <c r="D25" s="211">
        <f>TableauxNote!D29</f>
        <v>2.2386399899704035E-2</v>
      </c>
      <c r="E25" s="39">
        <f>TableauxNote!E29</f>
        <v>2.8014224556126566E-2</v>
      </c>
      <c r="F25" s="39">
        <f>TableauxNote!F29</f>
        <v>3.4740433749880895E-2</v>
      </c>
      <c r="G25" s="39">
        <f>TableauxNote!G29</f>
        <v>3.6361298911816498E-2</v>
      </c>
      <c r="H25" s="39">
        <f>TableauxNote!H29</f>
        <v>3.7118645266762673E-2</v>
      </c>
      <c r="I25" s="53"/>
      <c r="K25" s="647" t="s">
        <v>163</v>
      </c>
      <c r="L25" s="647"/>
    </row>
    <row r="26" spans="1:12" s="9" customFormat="1" x14ac:dyDescent="0.2">
      <c r="A26" s="37"/>
      <c r="B26" s="33" t="s">
        <v>7</v>
      </c>
      <c r="C26" s="38">
        <f>TableauxNote!C30</f>
        <v>2.5486434080534526E-2</v>
      </c>
      <c r="D26" s="38">
        <f>TableauxNote!D30</f>
        <v>2.9237624454345967E-2</v>
      </c>
      <c r="E26" s="38">
        <f>TableauxNote!E30</f>
        <v>3.5084203840404671E-2</v>
      </c>
      <c r="F26" s="38">
        <f>TableauxNote!F30</f>
        <v>4.2816492608767964E-2</v>
      </c>
      <c r="G26" s="38">
        <f>TableauxNote!G30</f>
        <v>4.2093681483397205E-2</v>
      </c>
      <c r="H26" s="38">
        <f>TableauxNote!H30</f>
        <v>4.4025963768443699E-2</v>
      </c>
      <c r="I26" s="4"/>
      <c r="K26" s="117" t="s">
        <v>131</v>
      </c>
    </row>
    <row r="27" spans="1:12" s="9" customFormat="1" x14ac:dyDescent="0.2">
      <c r="A27" s="37"/>
      <c r="B27" s="33" t="s">
        <v>34</v>
      </c>
      <c r="C27" s="38">
        <f>TableauxNote!C31</f>
        <v>-1.6120445810914319E-3</v>
      </c>
      <c r="D27" s="38">
        <f>TableauxNote!D31</f>
        <v>2.5627406686473231E-2</v>
      </c>
      <c r="E27" s="38">
        <f>TableauxNote!E31</f>
        <v>3.1127532948221015E-2</v>
      </c>
      <c r="F27" s="38">
        <f>TableauxNote!F31</f>
        <v>2.9812121813617365E-2</v>
      </c>
      <c r="G27" s="38">
        <f>TableauxNote!G31</f>
        <v>3.0235834114828553E-2</v>
      </c>
      <c r="H27" s="38">
        <f>TableauxNote!H31</f>
        <v>2.9464608245655555E-2</v>
      </c>
      <c r="I27" s="4"/>
    </row>
    <row r="28" spans="1:12" s="9" customFormat="1" x14ac:dyDescent="0.2">
      <c r="A28" s="37"/>
      <c r="B28" s="33" t="s">
        <v>9</v>
      </c>
      <c r="C28" s="38">
        <f>TableauxNote!C32</f>
        <v>8.7614588880584598E-3</v>
      </c>
      <c r="D28" s="38">
        <f>TableauxNote!D32</f>
        <v>5.7456486662910145E-4</v>
      </c>
      <c r="E28" s="38">
        <f>TableauxNote!E32</f>
        <v>1.5718927824625695E-2</v>
      </c>
      <c r="F28" s="38">
        <f>TableauxNote!F32</f>
        <v>3.6531646610695745E-2</v>
      </c>
      <c r="G28" s="38">
        <f>TableauxNote!G32</f>
        <v>3.6513474555664782E-2</v>
      </c>
      <c r="H28" s="38">
        <f>TableauxNote!H32</f>
        <v>3.6072359357358641E-2</v>
      </c>
      <c r="I28" s="4"/>
    </row>
    <row r="29" spans="1:12" s="9" customFormat="1" x14ac:dyDescent="0.2">
      <c r="A29" s="37"/>
      <c r="B29" s="33" t="s">
        <v>8</v>
      </c>
      <c r="C29" s="38">
        <f>TableauxNote!C33</f>
        <v>7.1264294090092939E-2</v>
      </c>
      <c r="D29" s="38">
        <f>TableauxNote!D33</f>
        <v>1.8900203864103515E-2</v>
      </c>
      <c r="E29" s="38">
        <f>TableauxNote!E33</f>
        <v>2.4128898218625183E-2</v>
      </c>
      <c r="F29" s="38">
        <f>TableauxNote!F33</f>
        <v>3.1578692486860405E-2</v>
      </c>
      <c r="G29" s="38">
        <f>TableauxNote!G33</f>
        <v>3.2896802719714291E-2</v>
      </c>
      <c r="H29" s="38">
        <f>TableauxNote!H33</f>
        <v>3.3426294546136104E-2</v>
      </c>
      <c r="I29" s="4"/>
    </row>
    <row r="30" spans="1:12" s="9" customFormat="1" x14ac:dyDescent="0.2">
      <c r="A30" s="37"/>
      <c r="B30" s="207" t="s">
        <v>227</v>
      </c>
      <c r="C30" s="38">
        <f>TableauxNote!C34</f>
        <v>8.508663741675071E-2</v>
      </c>
      <c r="D30" s="38">
        <f>TableauxNote!D34</f>
        <v>2.507538682499888E-2</v>
      </c>
      <c r="E30" s="38">
        <f>TableauxNote!E34</f>
        <v>1.7192439192462272E-2</v>
      </c>
      <c r="F30" s="38">
        <f>TableauxNote!F34</f>
        <v>4.9940449914724905E-3</v>
      </c>
      <c r="G30" s="38">
        <f>TableauxNote!G34</f>
        <v>2.8148644992332494E-2</v>
      </c>
      <c r="H30" s="38">
        <f>TableauxNote!H34</f>
        <v>2.3516597268268269E-2</v>
      </c>
      <c r="I30" s="4"/>
    </row>
    <row r="31" spans="1:12" ht="15" x14ac:dyDescent="0.25">
      <c r="A31" s="34" t="s">
        <v>10</v>
      </c>
      <c r="B31" s="34"/>
      <c r="C31" s="39">
        <f>TableauxNote!C35</f>
        <v>4.6507523153003882E-2</v>
      </c>
      <c r="D31" s="211">
        <f>TableauxNote!D35</f>
        <v>2.2338088667098965E-2</v>
      </c>
      <c r="E31" s="39">
        <f>TableauxNote!E35</f>
        <v>2.7850020746571946E-2</v>
      </c>
      <c r="F31" s="39">
        <f>TableauxNote!F35</f>
        <v>3.4895897583134827E-2</v>
      </c>
      <c r="G31" s="39">
        <f>TableauxNote!G35</f>
        <v>3.6324978759715298E-2</v>
      </c>
      <c r="H31" s="39">
        <f>TableauxNote!H35</f>
        <v>3.707845982707636E-2</v>
      </c>
    </row>
    <row r="32" spans="1:12" s="15" customFormat="1" ht="15" x14ac:dyDescent="0.25">
      <c r="A32" s="628" t="s">
        <v>11</v>
      </c>
      <c r="B32" s="628"/>
      <c r="C32" s="40">
        <f>TableauxNote!C36</f>
        <v>-0.39928377113228819</v>
      </c>
      <c r="D32" s="40">
        <f>TableauxNote!D36</f>
        <v>3.3994718613428176E-4</v>
      </c>
      <c r="E32" s="40">
        <f>TableauxNote!E36</f>
        <v>-4.856672744901902E-2</v>
      </c>
      <c r="F32" s="40">
        <f>TableauxNote!F36</f>
        <v>0.11306866470387877</v>
      </c>
      <c r="G32" s="40">
        <f>TableauxNote!G36</f>
        <v>1.9347107529514851E-2</v>
      </c>
      <c r="H32" s="40">
        <f>TableauxNote!H36</f>
        <v>1.798021779006409E-2</v>
      </c>
      <c r="I32" s="26"/>
    </row>
    <row r="33" spans="1:9" x14ac:dyDescent="0.2">
      <c r="C33" s="377" t="b">
        <f>C32='RESULTAT NET'!B25</f>
        <v>1</v>
      </c>
      <c r="D33" s="377" t="b">
        <f>D32='RESULTAT NET'!C25</f>
        <v>1</v>
      </c>
      <c r="E33" s="377" t="b">
        <f>E32='RESULTAT NET'!D25</f>
        <v>1</v>
      </c>
      <c r="F33" s="377" t="b">
        <f>F32='RESULTAT NET'!E25</f>
        <v>1</v>
      </c>
      <c r="G33" s="377" t="b">
        <f>G32='RESULTAT NET'!F25</f>
        <v>1</v>
      </c>
      <c r="H33" s="377" t="b">
        <f>H32='RESULTAT NET'!G25</f>
        <v>1</v>
      </c>
    </row>
    <row r="34" spans="1:9" x14ac:dyDescent="0.2">
      <c r="C34" s="196"/>
      <c r="D34" s="196"/>
      <c r="E34" s="196"/>
      <c r="F34" s="196"/>
      <c r="G34" s="196"/>
      <c r="H34" s="196"/>
      <c r="I34" s="196"/>
    </row>
    <row r="35" spans="1:9" x14ac:dyDescent="0.2">
      <c r="A35" s="5" t="s">
        <v>6</v>
      </c>
      <c r="B35" s="5"/>
      <c r="C35" s="195">
        <f t="shared" ref="C35:I35" si="3">-C8</f>
        <v>-15814.74805369</v>
      </c>
      <c r="D35" s="195">
        <f t="shared" si="3"/>
        <v>-16577.269829209999</v>
      </c>
      <c r="E35" s="195">
        <f t="shared" si="3"/>
        <v>-16948.375220851995</v>
      </c>
      <c r="F35" s="195">
        <f t="shared" si="3"/>
        <v>-17423.170810150434</v>
      </c>
      <c r="G35" s="195">
        <f t="shared" si="3"/>
        <v>-18028.459321393322</v>
      </c>
      <c r="H35" s="195">
        <f t="shared" si="3"/>
        <v>-18683.99751969803</v>
      </c>
      <c r="I35" s="195">
        <f t="shared" si="3"/>
        <v>-19377.522195796777</v>
      </c>
    </row>
    <row r="36" spans="1:9" x14ac:dyDescent="0.2">
      <c r="A36" s="5" t="s">
        <v>10</v>
      </c>
      <c r="B36" s="5"/>
      <c r="C36" s="198">
        <f t="shared" ref="C36:I36" si="4">C14</f>
        <v>15875.352678770001</v>
      </c>
      <c r="D36" s="198">
        <f t="shared" si="4"/>
        <v>16613.676011039999</v>
      </c>
      <c r="E36" s="198">
        <f t="shared" si="4"/>
        <v>16984.793778861065</v>
      </c>
      <c r="F36" s="198">
        <f t="shared" si="4"/>
        <v>17457.820637978592</v>
      </c>
      <c r="G36" s="198">
        <f t="shared" si="4"/>
        <v>18067.026958986229</v>
      </c>
      <c r="H36" s="198">
        <f t="shared" si="4"/>
        <v>18723.311329522607</v>
      </c>
      <c r="I36" s="198">
        <f t="shared" si="4"/>
        <v>19417.542876484156</v>
      </c>
    </row>
    <row r="37" spans="1:9" x14ac:dyDescent="0.2">
      <c r="B37" s="197"/>
      <c r="C37" s="198"/>
      <c r="D37" s="198"/>
      <c r="E37" s="198"/>
      <c r="F37" s="198"/>
      <c r="G37" s="198"/>
      <c r="H37" s="198"/>
      <c r="I37" s="198"/>
    </row>
    <row r="38" spans="1:9" x14ac:dyDescent="0.2">
      <c r="A38" s="5" t="s">
        <v>6</v>
      </c>
      <c r="B38" s="196"/>
      <c r="C38" s="195">
        <f>-C35</f>
        <v>15814.74805369</v>
      </c>
      <c r="D38" s="195">
        <f t="shared" ref="D38:I38" si="5">-D35</f>
        <v>16577.269829209999</v>
      </c>
      <c r="E38" s="195">
        <f t="shared" si="5"/>
        <v>16948.375220851995</v>
      </c>
      <c r="F38" s="195">
        <f t="shared" si="5"/>
        <v>17423.170810150434</v>
      </c>
      <c r="G38" s="195">
        <f t="shared" si="5"/>
        <v>18028.459321393322</v>
      </c>
      <c r="H38" s="195">
        <f t="shared" si="5"/>
        <v>18683.99751969803</v>
      </c>
      <c r="I38" s="195">
        <f t="shared" si="5"/>
        <v>19377.522195796777</v>
      </c>
    </row>
    <row r="41" spans="1:9" x14ac:dyDescent="0.2">
      <c r="A41" s="31"/>
      <c r="B41" s="32" t="s">
        <v>2</v>
      </c>
      <c r="C41" s="35">
        <f t="shared" ref="C41:H41" si="6">D2</f>
        <v>2024</v>
      </c>
      <c r="D41" s="35" t="str">
        <f t="shared" si="6"/>
        <v>2025(p)</v>
      </c>
      <c r="E41" s="35" t="str">
        <f t="shared" si="6"/>
        <v>2026(p)</v>
      </c>
      <c r="F41" s="35" t="str">
        <f t="shared" si="6"/>
        <v>2027(p)</v>
      </c>
      <c r="G41" s="35" t="str">
        <f t="shared" si="6"/>
        <v>2028(p)</v>
      </c>
      <c r="H41" s="35" t="str">
        <f t="shared" si="6"/>
        <v>2029(p)</v>
      </c>
    </row>
    <row r="42" spans="1:9" x14ac:dyDescent="0.2">
      <c r="A42" s="33"/>
      <c r="B42" s="33" t="s">
        <v>3</v>
      </c>
      <c r="C42" s="45">
        <f t="shared" ref="C42:D47" si="7">(C3/$D$8)*C20*100</f>
        <v>0.94356035669024896</v>
      </c>
      <c r="D42" s="45">
        <f t="shared" si="7"/>
        <v>1.1100246247030632</v>
      </c>
      <c r="E42" s="45">
        <f t="shared" ref="E42:E47" si="8">(E3/$E$8)*E20*100</f>
        <v>1.3409196203118665</v>
      </c>
      <c r="F42" s="45">
        <f t="shared" ref="F42:F47" si="9">(F3/$F$8)*F20*100</f>
        <v>1.6477023654108556</v>
      </c>
      <c r="G42" s="45">
        <f t="shared" ref="G42:G47" si="10">(G3/$G$8)*G20*100</f>
        <v>1.632529577466874</v>
      </c>
      <c r="H42" s="45">
        <f t="shared" ref="H42:H47" si="11">(H3/$H$8)*H20*100</f>
        <v>1.716914212589105</v>
      </c>
    </row>
    <row r="43" spans="1:9" x14ac:dyDescent="0.2">
      <c r="A43" s="33"/>
      <c r="B43" s="33" t="s">
        <v>78</v>
      </c>
      <c r="C43" s="45">
        <f t="shared" si="7"/>
        <v>0.13769026899580769</v>
      </c>
      <c r="D43" s="45">
        <f t="shared" si="7"/>
        <v>0.12761960582828308</v>
      </c>
      <c r="E43" s="45">
        <f t="shared" si="8"/>
        <v>0.1660275274446647</v>
      </c>
      <c r="F43" s="45">
        <f t="shared" si="9"/>
        <v>0.12698152157466697</v>
      </c>
      <c r="G43" s="45">
        <f t="shared" si="10"/>
        <v>0.14673120598793102</v>
      </c>
      <c r="H43" s="45">
        <f t="shared" si="11"/>
        <v>0.14236954311452119</v>
      </c>
    </row>
    <row r="44" spans="1:9" x14ac:dyDescent="0.2">
      <c r="A44" s="33"/>
      <c r="B44" s="33" t="s">
        <v>5</v>
      </c>
      <c r="C44" s="45">
        <f t="shared" si="7"/>
        <v>5.1898534913393676E-2</v>
      </c>
      <c r="D44" s="45">
        <f t="shared" si="7"/>
        <v>3.4332562388231201E-3</v>
      </c>
      <c r="E44" s="45">
        <f t="shared" si="8"/>
        <v>9.1923058597061111E-2</v>
      </c>
      <c r="F44" s="45">
        <f t="shared" si="9"/>
        <v>0.21107909134918137</v>
      </c>
      <c r="G44" s="45">
        <f t="shared" si="10"/>
        <v>0.21133930548490409</v>
      </c>
      <c r="H44" s="45">
        <f t="shared" si="11"/>
        <v>0.20881679641691808</v>
      </c>
    </row>
    <row r="45" spans="1:9" x14ac:dyDescent="0.2">
      <c r="A45" s="33"/>
      <c r="B45" s="33" t="s">
        <v>4</v>
      </c>
      <c r="C45" s="45">
        <f t="shared" si="7"/>
        <v>3.1103363932791468</v>
      </c>
      <c r="D45" s="45">
        <f t="shared" si="7"/>
        <v>0.88361942859484133</v>
      </c>
      <c r="E45" s="45">
        <f t="shared" si="8"/>
        <v>1.1242239797678248</v>
      </c>
      <c r="F45" s="45">
        <f t="shared" si="9"/>
        <v>1.4657671834191672</v>
      </c>
      <c r="G45" s="45">
        <f t="shared" si="10"/>
        <v>1.522283301812998</v>
      </c>
      <c r="H45" s="45">
        <f t="shared" si="11"/>
        <v>1.5416144604499309</v>
      </c>
    </row>
    <row r="46" spans="1:9" x14ac:dyDescent="0.2">
      <c r="A46" s="33"/>
      <c r="B46" s="33" t="str">
        <f>B24</f>
        <v>Charges SASPA</v>
      </c>
      <c r="C46" s="45">
        <f t="shared" si="7"/>
        <v>0.35631757037530637</v>
      </c>
      <c r="D46" s="45">
        <f t="shared" si="7"/>
        <v>0.11394307460540268</v>
      </c>
      <c r="E46" s="45">
        <f t="shared" si="8"/>
        <v>7.8328269491221056E-2</v>
      </c>
      <c r="F46" s="45">
        <f t="shared" si="9"/>
        <v>2.2513213234223287E-2</v>
      </c>
      <c r="G46" s="45">
        <f t="shared" si="10"/>
        <v>0.12324650042894783</v>
      </c>
      <c r="H46" s="45">
        <f t="shared" si="11"/>
        <v>0.10214951410579408</v>
      </c>
    </row>
    <row r="47" spans="1:9" ht="15" x14ac:dyDescent="0.2">
      <c r="A47" s="73" t="s">
        <v>20</v>
      </c>
      <c r="B47" s="73"/>
      <c r="C47" s="43">
        <f t="shared" si="7"/>
        <v>4.5998031242538975</v>
      </c>
      <c r="D47" s="43">
        <f t="shared" si="7"/>
        <v>2.2386399899704035</v>
      </c>
      <c r="E47" s="43">
        <f t="shared" si="8"/>
        <v>2.8014224556126566</v>
      </c>
      <c r="F47" s="43">
        <f t="shared" si="9"/>
        <v>3.4740433749880895</v>
      </c>
      <c r="G47" s="43">
        <f t="shared" si="10"/>
        <v>3.6361298911816498</v>
      </c>
      <c r="H47" s="43">
        <f t="shared" si="11"/>
        <v>3.7118645266762673</v>
      </c>
    </row>
    <row r="48" spans="1:9" x14ac:dyDescent="0.2">
      <c r="A48" s="33"/>
      <c r="B48" s="33" t="s">
        <v>7</v>
      </c>
      <c r="C48" s="45">
        <f t="shared" ref="C48:D53" si="12">(C9/$D$14)*C26*100</f>
        <v>0.94149269689657766</v>
      </c>
      <c r="D48" s="45">
        <f t="shared" si="12"/>
        <v>1.1075921854105271</v>
      </c>
      <c r="E48" s="45">
        <f t="shared" ref="E48:E53" si="13">(E9/$E$14)*E26*100</f>
        <v>1.3380444391578588</v>
      </c>
      <c r="F48" s="45">
        <f t="shared" ref="F48:F53" si="14">(F9/$F$14)*F26*100</f>
        <v>1.644432048659566</v>
      </c>
      <c r="G48" s="45">
        <f t="shared" ref="G48:G53" si="15">(G9/$G$14)*G26*100</f>
        <v>1.6290446206310576</v>
      </c>
      <c r="H48" s="45">
        <f t="shared" ref="H48:H53" si="16">(H9/$H$14)*H26*100</f>
        <v>1.7133091644407887</v>
      </c>
    </row>
    <row r="49" spans="1:8" x14ac:dyDescent="0.2">
      <c r="A49" s="33"/>
      <c r="B49" s="33" t="s">
        <v>79</v>
      </c>
      <c r="C49" s="45">
        <f t="shared" si="12"/>
        <v>-8.027710659060279E-3</v>
      </c>
      <c r="D49" s="45">
        <f t="shared" si="12"/>
        <v>0.1274144420424059</v>
      </c>
      <c r="E49" s="45">
        <f t="shared" si="13"/>
        <v>0.15525792355001469</v>
      </c>
      <c r="F49" s="45">
        <f t="shared" si="14"/>
        <v>0.14917106611450032</v>
      </c>
      <c r="G49" s="45">
        <f t="shared" si="15"/>
        <v>0.15054800148770028</v>
      </c>
      <c r="H49" s="45">
        <f t="shared" si="16"/>
        <v>0.14584595794262875</v>
      </c>
    </row>
    <row r="50" spans="1:8" x14ac:dyDescent="0.2">
      <c r="A50" s="33"/>
      <c r="B50" s="33" t="s">
        <v>9</v>
      </c>
      <c r="C50" s="45">
        <f t="shared" si="12"/>
        <v>5.1784807674610883E-2</v>
      </c>
      <c r="D50" s="45">
        <f t="shared" si="12"/>
        <v>3.4257328134947029E-3</v>
      </c>
      <c r="E50" s="45">
        <f t="shared" si="13"/>
        <v>9.172595845646167E-2</v>
      </c>
      <c r="F50" s="45">
        <f t="shared" si="14"/>
        <v>0.21066014706483677</v>
      </c>
      <c r="G50" s="45">
        <f t="shared" si="15"/>
        <v>0.21088815999419433</v>
      </c>
      <c r="H50" s="45">
        <f t="shared" si="16"/>
        <v>0.20837833851393125</v>
      </c>
    </row>
    <row r="51" spans="1:8" x14ac:dyDescent="0.2">
      <c r="A51" s="33"/>
      <c r="B51" s="33" t="s">
        <v>8</v>
      </c>
      <c r="C51" s="45">
        <f t="shared" si="12"/>
        <v>3.1032830914566816</v>
      </c>
      <c r="D51" s="45">
        <f t="shared" si="12"/>
        <v>0.88168311964283275</v>
      </c>
      <c r="E51" s="45">
        <f t="shared" si="13"/>
        <v>1.1218134343849706</v>
      </c>
      <c r="F51" s="45">
        <f t="shared" si="14"/>
        <v>1.462857966879771</v>
      </c>
      <c r="G51" s="45">
        <f t="shared" si="15"/>
        <v>1.5190336874281314</v>
      </c>
      <c r="H51" s="45">
        <f t="shared" si="16"/>
        <v>1.5383774936199464</v>
      </c>
    </row>
    <row r="52" spans="1:8" x14ac:dyDescent="0.2">
      <c r="A52" s="33"/>
      <c r="B52" s="33" t="str">
        <f>B30</f>
        <v>Produits SASPA</v>
      </c>
      <c r="C52" s="45">
        <f t="shared" si="12"/>
        <v>0.35553675809464941</v>
      </c>
      <c r="D52" s="45">
        <f t="shared" si="12"/>
        <v>0.11369338680063089</v>
      </c>
      <c r="E52" s="45">
        <f t="shared" si="13"/>
        <v>7.8160319107875853E-2</v>
      </c>
      <c r="F52" s="45">
        <f t="shared" si="14"/>
        <v>2.2468529594804554E-2</v>
      </c>
      <c r="G52" s="45">
        <f t="shared" si="15"/>
        <v>0.12298340643047409</v>
      </c>
      <c r="H52" s="45">
        <f t="shared" si="16"/>
        <v>0.10193502819032046</v>
      </c>
    </row>
    <row r="53" spans="1:8" ht="15" x14ac:dyDescent="0.2">
      <c r="A53" s="73" t="s">
        <v>10</v>
      </c>
      <c r="B53" s="73"/>
      <c r="C53" s="43">
        <f t="shared" si="12"/>
        <v>4.4440696434634495</v>
      </c>
      <c r="D53" s="43">
        <f t="shared" si="12"/>
        <v>2.2338088667098965</v>
      </c>
      <c r="E53" s="43">
        <f t="shared" si="13"/>
        <v>2.7850020746571946</v>
      </c>
      <c r="F53" s="43">
        <f t="shared" si="14"/>
        <v>3.4895897583134827</v>
      </c>
      <c r="G53" s="43">
        <f t="shared" si="15"/>
        <v>3.6324978759715298</v>
      </c>
      <c r="H53" s="43">
        <f t="shared" si="16"/>
        <v>3.707845982707636</v>
      </c>
    </row>
  </sheetData>
  <mergeCells count="9">
    <mergeCell ref="K2:L2"/>
    <mergeCell ref="D18:H18"/>
    <mergeCell ref="E1:I1"/>
    <mergeCell ref="A15:B15"/>
    <mergeCell ref="A32:B32"/>
    <mergeCell ref="C1:D1"/>
    <mergeCell ref="A1:B1"/>
    <mergeCell ref="A18:B18"/>
    <mergeCell ref="K25:L25"/>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SA</vt:lpstr>
      <vt:lpstr>Page de garde &amp; glossaire</vt:lpstr>
      <vt:lpstr>Effectifs</vt:lpstr>
      <vt:lpstr>TableauxNote</vt:lpstr>
      <vt:lpstr>Détail CHG PDT</vt:lpstr>
      <vt:lpstr>RESULTAT NET</vt:lpstr>
      <vt:lpstr>RETRAITE</vt:lpstr>
      <vt:lpstr>TCDC SA (Charges)</vt:lpstr>
      <vt:lpstr>CHARGES_PRODUITS</vt:lpstr>
      <vt:lpstr>Prest._cotisa.</vt:lpstr>
      <vt:lpstr>SOLDES</vt:lpstr>
      <vt:lpstr>Masse Salariale</vt:lpstr>
    </vt:vector>
  </TitlesOfParts>
  <Company>GETIMA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guerin.vanessa@MSAInstitution.onmicrosoft.com</dc:creator>
  <cp:lastModifiedBy>David Foucaud</cp:lastModifiedBy>
  <dcterms:created xsi:type="dcterms:W3CDTF">2008-09-30T09:54:10Z</dcterms:created>
  <dcterms:modified xsi:type="dcterms:W3CDTF">2026-02-13T15:13:42Z</dcterms:modified>
</cp:coreProperties>
</file>