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21-STATISTIQUES\01_STATS_MISSION_SYNTHESES\12 COMITES DE LECTURE\TB retraites SA à fin 2024 - 18 juillet\A diffuser\"/>
    </mc:Choice>
  </mc:AlternateContent>
  <xr:revisionPtr revIDLastSave="0" documentId="13_ncr:1_{1058CD84-EF87-436A-AF47-AF808D03AA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traites SA T4 2024" sheetId="12" r:id="rId1"/>
    <sheet name="retraites SA Nb" sheetId="4" r:id="rId2"/>
    <sheet name="évol trim" sheetId="7" r:id="rId3"/>
    <sheet name="évol an" sheetId="6" r:id="rId4"/>
    <sheet name="pour TdB" sheetId="10" r:id="rId5"/>
    <sheet name="tendance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</externalReferences>
  <definedNames>
    <definedName name="_xlnm._FilterDatabase" localSheetId="3" hidden="1">'évol an'!$AJ$1:$AJ$88</definedName>
    <definedName name="_xlnm._FilterDatabase" localSheetId="2" hidden="1">'évol trim'!$A$6:$AJ$64</definedName>
    <definedName name="_xlnm._FilterDatabase" localSheetId="1" hidden="1">'retraites SA Nb'!$A$1:$CZ$91</definedName>
    <definedName name="_xlnm.Print_Titles" localSheetId="1">'retraites SA Nb'!$A:$A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B7" i="4" l="1"/>
  <c r="GB8" i="4"/>
  <c r="GB9" i="4"/>
  <c r="GB10" i="4"/>
  <c r="GB71" i="4"/>
  <c r="FP71" i="4"/>
  <c r="FY71" i="4"/>
  <c r="FM71" i="4"/>
  <c r="FV71" i="4"/>
  <c r="FJ71" i="4"/>
  <c r="FS71" i="4"/>
  <c r="FG71" i="4"/>
  <c r="GB67" i="4"/>
  <c r="FP67" i="4"/>
  <c r="FY67" i="4"/>
  <c r="FM67" i="4"/>
  <c r="FV67" i="4"/>
  <c r="FJ67" i="4"/>
  <c r="FS67" i="4"/>
  <c r="FG67" i="4"/>
  <c r="GB63" i="4"/>
  <c r="FP63" i="4"/>
  <c r="FY63" i="4"/>
  <c r="FM63" i="4"/>
  <c r="FV63" i="4"/>
  <c r="FJ63" i="4"/>
  <c r="FS63" i="4"/>
  <c r="FG63" i="4"/>
  <c r="GB62" i="4"/>
  <c r="FP62" i="4"/>
  <c r="FY62" i="4"/>
  <c r="FM62" i="4"/>
  <c r="FV62" i="4"/>
  <c r="FJ62" i="4"/>
  <c r="FS62" i="4"/>
  <c r="FG62" i="4"/>
  <c r="GB61" i="4"/>
  <c r="FP61" i="4"/>
  <c r="FY61" i="4"/>
  <c r="FM61" i="4"/>
  <c r="FV61" i="4"/>
  <c r="FJ61" i="4"/>
  <c r="FS61" i="4"/>
  <c r="FG61" i="4"/>
  <c r="GB55" i="4"/>
  <c r="FP55" i="4"/>
  <c r="FY55" i="4"/>
  <c r="FM55" i="4"/>
  <c r="FV55" i="4"/>
  <c r="FJ55" i="4"/>
  <c r="FS55" i="4"/>
  <c r="FG55" i="4"/>
  <c r="GB54" i="4"/>
  <c r="FP54" i="4"/>
  <c r="FY54" i="4"/>
  <c r="FM54" i="4"/>
  <c r="FV54" i="4"/>
  <c r="FJ54" i="4"/>
  <c r="FS54" i="4"/>
  <c r="FG54" i="4"/>
  <c r="GB53" i="4"/>
  <c r="FP53" i="4"/>
  <c r="FY53" i="4"/>
  <c r="FM53" i="4"/>
  <c r="FV53" i="4"/>
  <c r="FJ53" i="4"/>
  <c r="FS53" i="4"/>
  <c r="FG53" i="4"/>
  <c r="GB48" i="4"/>
  <c r="FP48" i="4"/>
  <c r="FY48" i="4"/>
  <c r="FM48" i="4"/>
  <c r="FV48" i="4"/>
  <c r="FJ48" i="4"/>
  <c r="FS48" i="4"/>
  <c r="FG48" i="4"/>
  <c r="GB43" i="4"/>
  <c r="GB44" i="4"/>
  <c r="FP43" i="4"/>
  <c r="FP44" i="4"/>
  <c r="FY43" i="4"/>
  <c r="FY44" i="4"/>
  <c r="FM43" i="4"/>
  <c r="FM44" i="4"/>
  <c r="FV43" i="4"/>
  <c r="FV44" i="4"/>
  <c r="FJ43" i="4"/>
  <c r="FJ44" i="4"/>
  <c r="FS43" i="4"/>
  <c r="FS44" i="4"/>
  <c r="FG43" i="4"/>
  <c r="FG44" i="4"/>
  <c r="GB38" i="4"/>
  <c r="FP38" i="4"/>
  <c r="FY38" i="4"/>
  <c r="FM38" i="4"/>
  <c r="FV38" i="4"/>
  <c r="FJ38" i="4"/>
  <c r="FS38" i="4"/>
  <c r="FG38" i="4"/>
  <c r="GB37" i="4"/>
  <c r="FP37" i="4"/>
  <c r="FY37" i="4"/>
  <c r="FM37" i="4"/>
  <c r="FV37" i="4"/>
  <c r="FJ37" i="4"/>
  <c r="FS37" i="4"/>
  <c r="FG37" i="4"/>
  <c r="GB36" i="4"/>
  <c r="FP36" i="4"/>
  <c r="FY36" i="4"/>
  <c r="FM36" i="4"/>
  <c r="FV36" i="4"/>
  <c r="FJ36" i="4"/>
  <c r="FS36" i="4"/>
  <c r="FG36" i="4"/>
  <c r="GB35" i="4"/>
  <c r="FP35" i="4"/>
  <c r="FY35" i="4"/>
  <c r="FM35" i="4"/>
  <c r="FV35" i="4"/>
  <c r="FJ35" i="4"/>
  <c r="FS35" i="4"/>
  <c r="FG35" i="4"/>
  <c r="GB30" i="4"/>
  <c r="FP30" i="4"/>
  <c r="FY30" i="4"/>
  <c r="FM30" i="4"/>
  <c r="FV30" i="4"/>
  <c r="FJ30" i="4"/>
  <c r="FS30" i="4"/>
  <c r="FG30" i="4"/>
  <c r="GB29" i="4"/>
  <c r="FP29" i="4"/>
  <c r="FY29" i="4"/>
  <c r="FM29" i="4"/>
  <c r="FV29" i="4"/>
  <c r="FJ29" i="4"/>
  <c r="FS29" i="4"/>
  <c r="FG29" i="4"/>
  <c r="GB28" i="4"/>
  <c r="FP28" i="4"/>
  <c r="FY28" i="4"/>
  <c r="FM28" i="4"/>
  <c r="FV28" i="4"/>
  <c r="FJ28" i="4"/>
  <c r="FS28" i="4"/>
  <c r="FG28" i="4"/>
  <c r="GB27" i="4"/>
  <c r="FP27" i="4"/>
  <c r="FY27" i="4"/>
  <c r="FM27" i="4"/>
  <c r="FV27" i="4"/>
  <c r="FJ27" i="4"/>
  <c r="FS27" i="4"/>
  <c r="FG27" i="4"/>
  <c r="GB21" i="4"/>
  <c r="FP21" i="4"/>
  <c r="FY21" i="4"/>
  <c r="FM21" i="4"/>
  <c r="FV21" i="4"/>
  <c r="FJ21" i="4"/>
  <c r="FS21" i="4"/>
  <c r="FG21" i="4"/>
  <c r="GB20" i="4"/>
  <c r="FP20" i="4"/>
  <c r="FY20" i="4"/>
  <c r="FM20" i="4"/>
  <c r="FV20" i="4"/>
  <c r="FJ20" i="4"/>
  <c r="FS20" i="4"/>
  <c r="FG20" i="4"/>
  <c r="GB19" i="4"/>
  <c r="FP19" i="4"/>
  <c r="FY19" i="4"/>
  <c r="FM19" i="4"/>
  <c r="FV19" i="4"/>
  <c r="FJ19" i="4"/>
  <c r="FS19" i="4"/>
  <c r="FG19" i="4"/>
  <c r="GB18" i="4"/>
  <c r="FP18" i="4"/>
  <c r="FY18" i="4"/>
  <c r="FM18" i="4"/>
  <c r="FV18" i="4"/>
  <c r="FJ18" i="4"/>
  <c r="FS18" i="4"/>
  <c r="FG18" i="4"/>
  <c r="GB17" i="4"/>
  <c r="FP17" i="4"/>
  <c r="FY17" i="4"/>
  <c r="FM17" i="4"/>
  <c r="FV17" i="4"/>
  <c r="FJ17" i="4"/>
  <c r="FS17" i="4"/>
  <c r="FG17" i="4"/>
  <c r="GB16" i="4"/>
  <c r="FP16" i="4"/>
  <c r="FY16" i="4"/>
  <c r="FM16" i="4"/>
  <c r="FV16" i="4"/>
  <c r="FJ16" i="4"/>
  <c r="FS16" i="4"/>
  <c r="FG16" i="4"/>
  <c r="GB15" i="4"/>
  <c r="FP15" i="4"/>
  <c r="FY15" i="4"/>
  <c r="FM15" i="4"/>
  <c r="FV15" i="4"/>
  <c r="FJ15" i="4"/>
  <c r="FS15" i="4"/>
  <c r="FG15" i="4"/>
  <c r="FP7" i="4"/>
  <c r="FP8" i="4"/>
  <c r="FP9" i="4"/>
  <c r="FP10" i="4"/>
  <c r="FY7" i="4"/>
  <c r="FY8" i="4"/>
  <c r="FY9" i="4"/>
  <c r="FY10" i="4"/>
  <c r="FM7" i="4"/>
  <c r="FM8" i="4"/>
  <c r="FM9" i="4"/>
  <c r="FM10" i="4"/>
  <c r="FV7" i="4"/>
  <c r="FV8" i="4"/>
  <c r="FV9" i="4"/>
  <c r="FV10" i="4"/>
  <c r="FJ7" i="4"/>
  <c r="FJ8" i="4"/>
  <c r="FJ9" i="4"/>
  <c r="FJ10" i="4"/>
  <c r="FS7" i="4"/>
  <c r="FS8" i="4"/>
  <c r="FS9" i="4"/>
  <c r="FS10" i="4"/>
  <c r="FG7" i="4"/>
  <c r="FG8" i="4"/>
  <c r="FG9" i="4"/>
  <c r="FG10" i="4"/>
  <c r="GB75" i="4"/>
  <c r="FP75" i="4"/>
  <c r="GB74" i="4"/>
  <c r="FP74" i="4"/>
  <c r="GA63" i="4"/>
  <c r="FO63" i="4"/>
  <c r="FZ63" i="4"/>
  <c r="FN63" i="4"/>
  <c r="GA62" i="4"/>
  <c r="FO62" i="4"/>
  <c r="FZ62" i="4"/>
  <c r="FN62" i="4"/>
  <c r="GA61" i="4"/>
  <c r="FO61" i="4"/>
  <c r="FZ61" i="4"/>
  <c r="FN61" i="4"/>
  <c r="GA55" i="4"/>
  <c r="FO55" i="4"/>
  <c r="FZ55" i="4"/>
  <c r="FN55" i="4"/>
  <c r="GA54" i="4"/>
  <c r="FO54" i="4"/>
  <c r="FZ54" i="4"/>
  <c r="FN54" i="4"/>
  <c r="GA53" i="4"/>
  <c r="FO53" i="4"/>
  <c r="FZ53" i="4"/>
  <c r="FN53" i="4"/>
  <c r="GA48" i="4"/>
  <c r="FO48" i="4"/>
  <c r="FZ48" i="4"/>
  <c r="FN48" i="4"/>
  <c r="GA43" i="4"/>
  <c r="FO43" i="4"/>
  <c r="FZ43" i="4"/>
  <c r="FN43" i="4"/>
  <c r="GA38" i="4"/>
  <c r="FO38" i="4"/>
  <c r="FZ38" i="4"/>
  <c r="FN38" i="4"/>
  <c r="GA37" i="4"/>
  <c r="FO37" i="4"/>
  <c r="FZ37" i="4"/>
  <c r="FN37" i="4"/>
  <c r="GA36" i="4"/>
  <c r="FO36" i="4"/>
  <c r="FZ36" i="4"/>
  <c r="FN36" i="4"/>
  <c r="GA35" i="4"/>
  <c r="FO35" i="4"/>
  <c r="FZ35" i="4"/>
  <c r="FN35" i="4"/>
  <c r="GA30" i="4"/>
  <c r="FO30" i="4"/>
  <c r="FZ30" i="4"/>
  <c r="FN30" i="4"/>
  <c r="GA29" i="4"/>
  <c r="FO29" i="4"/>
  <c r="FZ29" i="4"/>
  <c r="FN29" i="4"/>
  <c r="GA28" i="4"/>
  <c r="FO28" i="4"/>
  <c r="FZ28" i="4"/>
  <c r="FN28" i="4"/>
  <c r="GA27" i="4"/>
  <c r="FO27" i="4"/>
  <c r="FZ27" i="4"/>
  <c r="FN27" i="4"/>
  <c r="GA21" i="4"/>
  <c r="FO21" i="4"/>
  <c r="FZ21" i="4"/>
  <c r="FN21" i="4"/>
  <c r="GA20" i="4"/>
  <c r="FO20" i="4"/>
  <c r="FZ20" i="4"/>
  <c r="FN20" i="4"/>
  <c r="GA19" i="4"/>
  <c r="FO19" i="4"/>
  <c r="FZ19" i="4"/>
  <c r="FN19" i="4"/>
  <c r="GA18" i="4"/>
  <c r="FO18" i="4"/>
  <c r="FZ18" i="4"/>
  <c r="FN18" i="4"/>
  <c r="GA17" i="4"/>
  <c r="FO17" i="4"/>
  <c r="FZ17" i="4"/>
  <c r="FN17" i="4"/>
  <c r="GA16" i="4"/>
  <c r="FO16" i="4"/>
  <c r="FZ16" i="4"/>
  <c r="FN16" i="4"/>
  <c r="GA15" i="4"/>
  <c r="FO15" i="4"/>
  <c r="FZ15" i="4"/>
  <c r="FN15" i="4"/>
  <c r="GA7" i="4"/>
  <c r="GA8" i="4"/>
  <c r="GA9" i="4"/>
  <c r="GA10" i="4"/>
  <c r="FO7" i="4"/>
  <c r="FO8" i="4"/>
  <c r="FO9" i="4"/>
  <c r="FO10" i="4"/>
  <c r="FZ7" i="4"/>
  <c r="FZ8" i="4"/>
  <c r="FZ9" i="4"/>
  <c r="FZ10" i="4"/>
  <c r="FN7" i="4"/>
  <c r="FN8" i="4"/>
  <c r="FN9" i="4"/>
  <c r="FN10" i="4"/>
  <c r="FY74" i="4"/>
  <c r="FM74" i="4"/>
  <c r="FV74" i="4"/>
  <c r="FJ74" i="4"/>
  <c r="FS74" i="4"/>
  <c r="FG74" i="4"/>
  <c r="H63" i="10"/>
  <c r="H62" i="10"/>
  <c r="H61" i="10"/>
  <c r="H55" i="10"/>
  <c r="H54" i="10"/>
  <c r="H53" i="10"/>
  <c r="H48" i="10"/>
  <c r="H43" i="10"/>
  <c r="H38" i="10"/>
  <c r="H37" i="10"/>
  <c r="H36" i="10"/>
  <c r="H35" i="10"/>
  <c r="H30" i="10"/>
  <c r="H29" i="10"/>
  <c r="H28" i="10"/>
  <c r="H27" i="10"/>
  <c r="H21" i="10"/>
  <c r="H20" i="10"/>
  <c r="H19" i="10"/>
  <c r="H18" i="10"/>
  <c r="H17" i="10"/>
  <c r="H16" i="10"/>
  <c r="H15" i="10"/>
  <c r="H10" i="10"/>
  <c r="H9" i="10"/>
  <c r="H8" i="10"/>
  <c r="H7" i="10"/>
  <c r="G63" i="10"/>
  <c r="G62" i="10"/>
  <c r="G61" i="10"/>
  <c r="G55" i="10"/>
  <c r="G54" i="10"/>
  <c r="G53" i="10"/>
  <c r="G48" i="10"/>
  <c r="G43" i="10"/>
  <c r="G38" i="10"/>
  <c r="G37" i="10"/>
  <c r="G36" i="10"/>
  <c r="G35" i="10"/>
  <c r="G30" i="10"/>
  <c r="G29" i="10"/>
  <c r="G28" i="10"/>
  <c r="G27" i="10"/>
  <c r="G21" i="10"/>
  <c r="G20" i="10"/>
  <c r="G19" i="10"/>
  <c r="G18" i="10"/>
  <c r="G17" i="10"/>
  <c r="G16" i="10"/>
  <c r="G15" i="10"/>
  <c r="G10" i="10"/>
  <c r="G9" i="10"/>
  <c r="G8" i="10"/>
  <c r="G7" i="10"/>
  <c r="F78" i="10"/>
  <c r="F77" i="10"/>
  <c r="F71" i="10"/>
  <c r="F67" i="10"/>
  <c r="F63" i="10"/>
  <c r="F62" i="10"/>
  <c r="F61" i="10"/>
  <c r="F55" i="10"/>
  <c r="F54" i="10"/>
  <c r="F53" i="10"/>
  <c r="F48" i="10"/>
  <c r="F43" i="10"/>
  <c r="F38" i="10"/>
  <c r="F37" i="10"/>
  <c r="F36" i="10"/>
  <c r="F35" i="10"/>
  <c r="F30" i="10"/>
  <c r="F29" i="10"/>
  <c r="F28" i="10"/>
  <c r="F27" i="10"/>
  <c r="F21" i="10"/>
  <c r="F20" i="10"/>
  <c r="F19" i="10"/>
  <c r="F18" i="10"/>
  <c r="F17" i="10"/>
  <c r="F16" i="10"/>
  <c r="D63" i="10"/>
  <c r="D62" i="10"/>
  <c r="D61" i="10"/>
  <c r="D55" i="10"/>
  <c r="D54" i="10"/>
  <c r="D53" i="10"/>
  <c r="D48" i="10"/>
  <c r="D43" i="10"/>
  <c r="D38" i="10"/>
  <c r="D37" i="10"/>
  <c r="D36" i="10"/>
  <c r="D35" i="10"/>
  <c r="D30" i="10"/>
  <c r="D29" i="10"/>
  <c r="D28" i="10"/>
  <c r="D27" i="10"/>
  <c r="D21" i="10"/>
  <c r="D20" i="10"/>
  <c r="D19" i="10"/>
  <c r="D18" i="10"/>
  <c r="D17" i="10"/>
  <c r="D16" i="10"/>
  <c r="D15" i="10"/>
  <c r="D10" i="10"/>
  <c r="D9" i="10"/>
  <c r="D8" i="10"/>
  <c r="D7" i="10"/>
  <c r="C63" i="10"/>
  <c r="C62" i="10"/>
  <c r="C61" i="10"/>
  <c r="C55" i="10"/>
  <c r="C54" i="10"/>
  <c r="C53" i="10"/>
  <c r="C48" i="10"/>
  <c r="C43" i="10"/>
  <c r="C38" i="10"/>
  <c r="C37" i="10"/>
  <c r="C36" i="10"/>
  <c r="C35" i="10"/>
  <c r="C30" i="10"/>
  <c r="C29" i="10"/>
  <c r="C28" i="10"/>
  <c r="C27" i="10"/>
  <c r="C21" i="10"/>
  <c r="C20" i="10"/>
  <c r="C19" i="10"/>
  <c r="C18" i="10"/>
  <c r="C17" i="10"/>
  <c r="C16" i="10"/>
  <c r="C15" i="10"/>
  <c r="C10" i="10"/>
  <c r="C9" i="10"/>
  <c r="C8" i="10"/>
  <c r="C7" i="10"/>
  <c r="B78" i="10"/>
  <c r="B77" i="10"/>
  <c r="B71" i="10"/>
  <c r="B67" i="10"/>
  <c r="B63" i="10"/>
  <c r="B62" i="10"/>
  <c r="B61" i="10"/>
  <c r="B55" i="10"/>
  <c r="B54" i="10"/>
  <c r="B53" i="10"/>
  <c r="B48" i="10"/>
  <c r="B43" i="10"/>
  <c r="B38" i="10"/>
  <c r="B37" i="10"/>
  <c r="B36" i="10"/>
  <c r="B35" i="10"/>
  <c r="B30" i="10"/>
  <c r="B29" i="10"/>
  <c r="B28" i="10"/>
  <c r="B27" i="10"/>
  <c r="B21" i="10"/>
  <c r="B20" i="10"/>
  <c r="B19" i="10"/>
  <c r="B18" i="10"/>
  <c r="B17" i="10"/>
  <c r="B16" i="10"/>
  <c r="B15" i="10"/>
  <c r="B10" i="10"/>
  <c r="B9" i="10"/>
  <c r="B8" i="10"/>
  <c r="B7" i="10"/>
  <c r="F15" i="10"/>
  <c r="F10" i="10"/>
  <c r="F9" i="10"/>
  <c r="F8" i="10"/>
  <c r="F7" i="10"/>
  <c r="GN89" i="4"/>
  <c r="GN87" i="4"/>
  <c r="GN86" i="4"/>
  <c r="GN80" i="4"/>
  <c r="GB122" i="4"/>
  <c r="BN122" i="6"/>
  <c r="GB121" i="4"/>
  <c r="BN121" i="6"/>
  <c r="GB120" i="4"/>
  <c r="BN120" i="6"/>
  <c r="GB115" i="4"/>
  <c r="BN115" i="6"/>
  <c r="GB114" i="4"/>
  <c r="BN114" i="6"/>
  <c r="GB113" i="4"/>
  <c r="BN113" i="6"/>
  <c r="GB108" i="4"/>
  <c r="BN108" i="6"/>
  <c r="GB107" i="4"/>
  <c r="BN107" i="6"/>
  <c r="GB106" i="4"/>
  <c r="BN106" i="6"/>
  <c r="GB105" i="4"/>
  <c r="BN105" i="6"/>
  <c r="GB100" i="4"/>
  <c r="BN100" i="6"/>
  <c r="GB99" i="4"/>
  <c r="BN99" i="6"/>
  <c r="GB98" i="4"/>
  <c r="BN98" i="6"/>
  <c r="GB97" i="4"/>
  <c r="BN97" i="6"/>
  <c r="BN74" i="6"/>
  <c r="BN71" i="6"/>
  <c r="BN67" i="6"/>
  <c r="BN63" i="6"/>
  <c r="BN62" i="6"/>
  <c r="BN61" i="6"/>
  <c r="BN55" i="6"/>
  <c r="BN54" i="6"/>
  <c r="BN53" i="6"/>
  <c r="BN48" i="6"/>
  <c r="BN43" i="6"/>
  <c r="BN38" i="6"/>
  <c r="BN37" i="6"/>
  <c r="BN36" i="6"/>
  <c r="BN35" i="6"/>
  <c r="BN30" i="6"/>
  <c r="BN29" i="6"/>
  <c r="BN28" i="6"/>
  <c r="BN27" i="6"/>
  <c r="BN21" i="6"/>
  <c r="BN20" i="6"/>
  <c r="BN19" i="6"/>
  <c r="BN18" i="6"/>
  <c r="BN17" i="6"/>
  <c r="BN16" i="6"/>
  <c r="BN15" i="6"/>
  <c r="BN10" i="6"/>
  <c r="BN9" i="6"/>
  <c r="BN8" i="6"/>
  <c r="BN7" i="6"/>
  <c r="BN63" i="7"/>
  <c r="BN62" i="7"/>
  <c r="BN61" i="7"/>
  <c r="BN55" i="7"/>
  <c r="BN54" i="7"/>
  <c r="BN53" i="7"/>
  <c r="BN48" i="7"/>
  <c r="BN43" i="7"/>
  <c r="BN38" i="7"/>
  <c r="BN37" i="7"/>
  <c r="BN36" i="7"/>
  <c r="BN35" i="7"/>
  <c r="BN30" i="7"/>
  <c r="BN29" i="7"/>
  <c r="BN28" i="7"/>
  <c r="BN27" i="7"/>
  <c r="BN21" i="7"/>
  <c r="BN20" i="7"/>
  <c r="BN19" i="7"/>
  <c r="BN18" i="7"/>
  <c r="BN17" i="7"/>
  <c r="BN16" i="7"/>
  <c r="BN15" i="7"/>
  <c r="BN10" i="7"/>
  <c r="BN9" i="7"/>
  <c r="BN8" i="7"/>
  <c r="BN7" i="7"/>
  <c r="BN119" i="6"/>
  <c r="BN112" i="6"/>
  <c r="BN104" i="6"/>
  <c r="BN96" i="6"/>
  <c r="BN14" i="6"/>
  <c r="BN26" i="6"/>
  <c r="BN34" i="6"/>
  <c r="BN42" i="6"/>
  <c r="BN47" i="6"/>
  <c r="BN52" i="6"/>
  <c r="BN60" i="6"/>
  <c r="BN66" i="6"/>
  <c r="BN70" i="6"/>
  <c r="BN73" i="6"/>
  <c r="BN122" i="7"/>
  <c r="BN121" i="7"/>
  <c r="BN120" i="7"/>
  <c r="BN119" i="7"/>
  <c r="BN115" i="7"/>
  <c r="BN114" i="7"/>
  <c r="BN113" i="7"/>
  <c r="BN112" i="7"/>
  <c r="BN108" i="7"/>
  <c r="BN107" i="7"/>
  <c r="BN106" i="7"/>
  <c r="BN105" i="7"/>
  <c r="BN104" i="7"/>
  <c r="BN100" i="7"/>
  <c r="BN99" i="7"/>
  <c r="BN98" i="7"/>
  <c r="BN97" i="7"/>
  <c r="BN96" i="7"/>
  <c r="BN60" i="7"/>
  <c r="BN52" i="7"/>
  <c r="BN47" i="7"/>
  <c r="BN42" i="7"/>
  <c r="BN34" i="7"/>
  <c r="BN26" i="7"/>
  <c r="BN14" i="7"/>
  <c r="GN75" i="4"/>
  <c r="GN74" i="4"/>
  <c r="GN71" i="4"/>
  <c r="GN67" i="4"/>
  <c r="GN63" i="4"/>
  <c r="GM63" i="4"/>
  <c r="GL63" i="4"/>
  <c r="GN62" i="4"/>
  <c r="GM62" i="4"/>
  <c r="GL62" i="4"/>
  <c r="GN61" i="4"/>
  <c r="GM61" i="4"/>
  <c r="GL61" i="4"/>
  <c r="GN55" i="4"/>
  <c r="GM55" i="4"/>
  <c r="GL55" i="4"/>
  <c r="GN54" i="4"/>
  <c r="GM54" i="4"/>
  <c r="GL54" i="4"/>
  <c r="GN53" i="4"/>
  <c r="GM53" i="4"/>
  <c r="GL53" i="4"/>
  <c r="GN48" i="4"/>
  <c r="GM48" i="4"/>
  <c r="GL48" i="4"/>
  <c r="GN43" i="4"/>
  <c r="GM43" i="4"/>
  <c r="GL43" i="4"/>
  <c r="GN38" i="4"/>
  <c r="GM38" i="4"/>
  <c r="GL38" i="4"/>
  <c r="GN37" i="4"/>
  <c r="GM37" i="4"/>
  <c r="GL37" i="4"/>
  <c r="GN36" i="4"/>
  <c r="GM36" i="4"/>
  <c r="GL36" i="4"/>
  <c r="GN35" i="4"/>
  <c r="GM35" i="4"/>
  <c r="GL35" i="4"/>
  <c r="GN30" i="4"/>
  <c r="GM30" i="4"/>
  <c r="GL30" i="4"/>
  <c r="GN29" i="4"/>
  <c r="GM29" i="4"/>
  <c r="GL29" i="4"/>
  <c r="GN28" i="4"/>
  <c r="GM28" i="4"/>
  <c r="GL28" i="4"/>
  <c r="GN27" i="4"/>
  <c r="GM27" i="4"/>
  <c r="GL27" i="4"/>
  <c r="GN21" i="4"/>
  <c r="GM21" i="4"/>
  <c r="GL21" i="4"/>
  <c r="GN20" i="4"/>
  <c r="GM20" i="4"/>
  <c r="GL20" i="4"/>
  <c r="GN19" i="4"/>
  <c r="GM19" i="4"/>
  <c r="GL19" i="4"/>
  <c r="GN18" i="4"/>
  <c r="GM18" i="4"/>
  <c r="GL18" i="4"/>
  <c r="GN17" i="4"/>
  <c r="GM17" i="4"/>
  <c r="GL17" i="4"/>
  <c r="GN16" i="4"/>
  <c r="GM16" i="4"/>
  <c r="GL16" i="4"/>
  <c r="GN15" i="4"/>
  <c r="GM15" i="4"/>
  <c r="GL15" i="4"/>
  <c r="GN9" i="4"/>
  <c r="GM9" i="4"/>
  <c r="GL9" i="4"/>
  <c r="GN8" i="4"/>
  <c r="GM8" i="4"/>
  <c r="GL8" i="4"/>
  <c r="GN7" i="4"/>
  <c r="GM7" i="4"/>
  <c r="GL7" i="4"/>
  <c r="GN122" i="4"/>
  <c r="GM122" i="4"/>
  <c r="GL122" i="4"/>
  <c r="GN121" i="4"/>
  <c r="GM121" i="4"/>
  <c r="GL121" i="4"/>
  <c r="GN120" i="4"/>
  <c r="GM120" i="4"/>
  <c r="GL120" i="4"/>
  <c r="GL118" i="4"/>
  <c r="GN115" i="4"/>
  <c r="GM115" i="4"/>
  <c r="GL115" i="4"/>
  <c r="GN114" i="4"/>
  <c r="GM114" i="4"/>
  <c r="GL114" i="4"/>
  <c r="GN113" i="4"/>
  <c r="GM113" i="4"/>
  <c r="GL113" i="4"/>
  <c r="GL111" i="4"/>
  <c r="GN108" i="4"/>
  <c r="GM108" i="4"/>
  <c r="GL108" i="4"/>
  <c r="GN107" i="4"/>
  <c r="GM107" i="4"/>
  <c r="GL107" i="4"/>
  <c r="GN106" i="4"/>
  <c r="GM106" i="4"/>
  <c r="GL106" i="4"/>
  <c r="GN105" i="4"/>
  <c r="GM105" i="4"/>
  <c r="GL105" i="4"/>
  <c r="GL103" i="4"/>
  <c r="GN10" i="4"/>
  <c r="GN100" i="4"/>
  <c r="GM10" i="4"/>
  <c r="GM100" i="4"/>
  <c r="GL10" i="4"/>
  <c r="GL100" i="4"/>
  <c r="GN99" i="4"/>
  <c r="GM99" i="4"/>
  <c r="GL99" i="4"/>
  <c r="GN98" i="4"/>
  <c r="GM98" i="4"/>
  <c r="GL98" i="4"/>
  <c r="GN97" i="4"/>
  <c r="GM97" i="4"/>
  <c r="GL97" i="4"/>
  <c r="GL95" i="4"/>
  <c r="GN90" i="4"/>
  <c r="GN88" i="4"/>
  <c r="GN83" i="4"/>
  <c r="GN81" i="4"/>
  <c r="GN76" i="4"/>
  <c r="GM76" i="4"/>
  <c r="GL76" i="4"/>
  <c r="GL25" i="4"/>
  <c r="GL66" i="4"/>
  <c r="GL70" i="4"/>
  <c r="GL73" i="4"/>
  <c r="GN64" i="4"/>
  <c r="GM64" i="4"/>
  <c r="GL64" i="4"/>
  <c r="GN60" i="4"/>
  <c r="GM60" i="4"/>
  <c r="GL60" i="4"/>
  <c r="GL59" i="4"/>
  <c r="GN56" i="4"/>
  <c r="GM56" i="4"/>
  <c r="GL56" i="4"/>
  <c r="GN52" i="4"/>
  <c r="GM52" i="4"/>
  <c r="GL52" i="4"/>
  <c r="GL51" i="4"/>
  <c r="GN47" i="4"/>
  <c r="GM47" i="4"/>
  <c r="GL47" i="4"/>
  <c r="GL46" i="4"/>
  <c r="GN44" i="4"/>
  <c r="GM44" i="4"/>
  <c r="GL44" i="4"/>
  <c r="GN42" i="4"/>
  <c r="GM42" i="4"/>
  <c r="GL42" i="4"/>
  <c r="GL41" i="4"/>
  <c r="GN34" i="4"/>
  <c r="GM34" i="4"/>
  <c r="GL34" i="4"/>
  <c r="GL33" i="4"/>
  <c r="GN26" i="4"/>
  <c r="GM26" i="4"/>
  <c r="GL26" i="4"/>
  <c r="GN14" i="4"/>
  <c r="GM14" i="4"/>
  <c r="GL14" i="4"/>
  <c r="GL13" i="4"/>
  <c r="GN11" i="4"/>
  <c r="GK89" i="4"/>
  <c r="GK87" i="4"/>
  <c r="GK86" i="4"/>
  <c r="GK80" i="4"/>
  <c r="FY122" i="4"/>
  <c r="BM122" i="6"/>
  <c r="FY121" i="4"/>
  <c r="BM121" i="6"/>
  <c r="FY120" i="4"/>
  <c r="BM120" i="6"/>
  <c r="FY115" i="4"/>
  <c r="BM115" i="6"/>
  <c r="FY114" i="4"/>
  <c r="BM114" i="6"/>
  <c r="FY113" i="4"/>
  <c r="BM113" i="6"/>
  <c r="FY108" i="4"/>
  <c r="BM108" i="6"/>
  <c r="FY107" i="4"/>
  <c r="BM107" i="6"/>
  <c r="FY106" i="4"/>
  <c r="BM106" i="6"/>
  <c r="FY105" i="4"/>
  <c r="BM105" i="6"/>
  <c r="FY100" i="4"/>
  <c r="BM100" i="6"/>
  <c r="FY99" i="4"/>
  <c r="BM99" i="6"/>
  <c r="FY98" i="4"/>
  <c r="BM98" i="6"/>
  <c r="FY97" i="4"/>
  <c r="BM97" i="6"/>
  <c r="BM74" i="6"/>
  <c r="BM71" i="6"/>
  <c r="BM67" i="6"/>
  <c r="BM63" i="6"/>
  <c r="BM62" i="6"/>
  <c r="BM61" i="6"/>
  <c r="BM55" i="6"/>
  <c r="BM54" i="6"/>
  <c r="BM53" i="6"/>
  <c r="BM48" i="6"/>
  <c r="BM43" i="6"/>
  <c r="BM38" i="6"/>
  <c r="BM37" i="6"/>
  <c r="BM36" i="6"/>
  <c r="BM35" i="6"/>
  <c r="BM30" i="6"/>
  <c r="BM29" i="6"/>
  <c r="BM28" i="6"/>
  <c r="BM27" i="6"/>
  <c r="BM21" i="6"/>
  <c r="BM20" i="6"/>
  <c r="BM19" i="6"/>
  <c r="BM18" i="6"/>
  <c r="BM17" i="6"/>
  <c r="BM16" i="6"/>
  <c r="BM15" i="6"/>
  <c r="BM10" i="6"/>
  <c r="BM9" i="6"/>
  <c r="BM8" i="6"/>
  <c r="BM7" i="6"/>
  <c r="BM108" i="7"/>
  <c r="BM107" i="7"/>
  <c r="BM106" i="7"/>
  <c r="BM105" i="7"/>
  <c r="BL108" i="7"/>
  <c r="BL107" i="7"/>
  <c r="BL106" i="7"/>
  <c r="BL105" i="7"/>
  <c r="BK108" i="7"/>
  <c r="BK107" i="7"/>
  <c r="BK106" i="7"/>
  <c r="BK105" i="7"/>
  <c r="BM122" i="7"/>
  <c r="BM121" i="7"/>
  <c r="BM120" i="7"/>
  <c r="BL122" i="7"/>
  <c r="BL121" i="7"/>
  <c r="BL120" i="7"/>
  <c r="BK122" i="7"/>
  <c r="BK121" i="7"/>
  <c r="BK120" i="7"/>
  <c r="BM115" i="7"/>
  <c r="BM114" i="7"/>
  <c r="BM113" i="7"/>
  <c r="BL115" i="7"/>
  <c r="BL114" i="7"/>
  <c r="BL113" i="7"/>
  <c r="BK115" i="7"/>
  <c r="BK114" i="7"/>
  <c r="BK113" i="7"/>
  <c r="BJ122" i="7"/>
  <c r="BJ121" i="7"/>
  <c r="BJ120" i="7"/>
  <c r="BJ115" i="7"/>
  <c r="BJ114" i="7"/>
  <c r="BJ113" i="7"/>
  <c r="BJ108" i="7"/>
  <c r="BJ107" i="7"/>
  <c r="BJ106" i="7"/>
  <c r="BJ105" i="7"/>
  <c r="FV122" i="4"/>
  <c r="BI122" i="7"/>
  <c r="FV121" i="4"/>
  <c r="BI121" i="7"/>
  <c r="FV120" i="4"/>
  <c r="BI120" i="7"/>
  <c r="FV115" i="4"/>
  <c r="BI115" i="7"/>
  <c r="FV114" i="4"/>
  <c r="BI114" i="7"/>
  <c r="FV113" i="4"/>
  <c r="BI113" i="7"/>
  <c r="FV108" i="4"/>
  <c r="BI108" i="7"/>
  <c r="FV107" i="4"/>
  <c r="BI107" i="7"/>
  <c r="FV106" i="4"/>
  <c r="BI106" i="7"/>
  <c r="FV105" i="4"/>
  <c r="BI105" i="7"/>
  <c r="BM100" i="7"/>
  <c r="BL100" i="7"/>
  <c r="BK100" i="7"/>
  <c r="BJ100" i="7"/>
  <c r="BM99" i="7"/>
  <c r="BL99" i="7"/>
  <c r="BK99" i="7"/>
  <c r="BJ99" i="7"/>
  <c r="BM98" i="7"/>
  <c r="BL98" i="7"/>
  <c r="BK98" i="7"/>
  <c r="BJ98" i="7"/>
  <c r="BM97" i="7"/>
  <c r="BL97" i="7"/>
  <c r="BK97" i="7"/>
  <c r="BJ97" i="7"/>
  <c r="BM63" i="7"/>
  <c r="BM62" i="7"/>
  <c r="BM61" i="7"/>
  <c r="BM55" i="7"/>
  <c r="BM54" i="7"/>
  <c r="BM53" i="7"/>
  <c r="BM48" i="7"/>
  <c r="BM43" i="7"/>
  <c r="BM38" i="7"/>
  <c r="BM37" i="7"/>
  <c r="BM36" i="7"/>
  <c r="BM35" i="7"/>
  <c r="BM30" i="7"/>
  <c r="BM29" i="7"/>
  <c r="BM28" i="7"/>
  <c r="BM27" i="7"/>
  <c r="BM21" i="7"/>
  <c r="BM20" i="7"/>
  <c r="BM19" i="7"/>
  <c r="BM18" i="7"/>
  <c r="BM17" i="7"/>
  <c r="BM16" i="7"/>
  <c r="BM15" i="7"/>
  <c r="BM10" i="7"/>
  <c r="BM9" i="7"/>
  <c r="BM8" i="7"/>
  <c r="BM7" i="7"/>
  <c r="BM119" i="6"/>
  <c r="BM112" i="6"/>
  <c r="BM104" i="6"/>
  <c r="BM96" i="6"/>
  <c r="BM14" i="6"/>
  <c r="BM26" i="6"/>
  <c r="BM34" i="6"/>
  <c r="BM42" i="6"/>
  <c r="BM47" i="6"/>
  <c r="BM52" i="6"/>
  <c r="BM60" i="6"/>
  <c r="BM66" i="6"/>
  <c r="BM70" i="6"/>
  <c r="BM73" i="6"/>
  <c r="BM119" i="7"/>
  <c r="BM112" i="7"/>
  <c r="BM104" i="7"/>
  <c r="BM96" i="7"/>
  <c r="BM60" i="7"/>
  <c r="BM52" i="7"/>
  <c r="BM47" i="7"/>
  <c r="BM42" i="7"/>
  <c r="BM34" i="7"/>
  <c r="BM26" i="7"/>
  <c r="BM14" i="7"/>
  <c r="GK75" i="4"/>
  <c r="GK74" i="4"/>
  <c r="GK71" i="4"/>
  <c r="GK67" i="4"/>
  <c r="GK63" i="4"/>
  <c r="GJ63" i="4"/>
  <c r="GI63" i="4"/>
  <c r="GK62" i="4"/>
  <c r="GJ62" i="4"/>
  <c r="GI62" i="4"/>
  <c r="GK61" i="4"/>
  <c r="GJ61" i="4"/>
  <c r="GI61" i="4"/>
  <c r="GK55" i="4"/>
  <c r="GJ55" i="4"/>
  <c r="GI55" i="4"/>
  <c r="GK54" i="4"/>
  <c r="GJ54" i="4"/>
  <c r="GI54" i="4"/>
  <c r="GK53" i="4"/>
  <c r="GJ53" i="4"/>
  <c r="GI53" i="4"/>
  <c r="GK48" i="4"/>
  <c r="GJ48" i="4"/>
  <c r="GI48" i="4"/>
  <c r="GK43" i="4"/>
  <c r="GJ43" i="4"/>
  <c r="GI43" i="4"/>
  <c r="GK38" i="4"/>
  <c r="GJ38" i="4"/>
  <c r="GI38" i="4"/>
  <c r="GK37" i="4"/>
  <c r="GJ37" i="4"/>
  <c r="GI37" i="4"/>
  <c r="GK36" i="4"/>
  <c r="GJ36" i="4"/>
  <c r="GI36" i="4"/>
  <c r="GK35" i="4"/>
  <c r="GJ35" i="4"/>
  <c r="GI35" i="4"/>
  <c r="GK30" i="4"/>
  <c r="GJ30" i="4"/>
  <c r="GI30" i="4"/>
  <c r="GK29" i="4"/>
  <c r="GJ29" i="4"/>
  <c r="GI29" i="4"/>
  <c r="GK28" i="4"/>
  <c r="GJ28" i="4"/>
  <c r="GI28" i="4"/>
  <c r="GK27" i="4"/>
  <c r="GJ27" i="4"/>
  <c r="GI27" i="4"/>
  <c r="GK21" i="4"/>
  <c r="GJ21" i="4"/>
  <c r="GI21" i="4"/>
  <c r="GK20" i="4"/>
  <c r="GJ20" i="4"/>
  <c r="GI20" i="4"/>
  <c r="GK19" i="4"/>
  <c r="GJ19" i="4"/>
  <c r="GI19" i="4"/>
  <c r="GK18" i="4"/>
  <c r="GJ18" i="4"/>
  <c r="GI18" i="4"/>
  <c r="GK17" i="4"/>
  <c r="GJ17" i="4"/>
  <c r="GI17" i="4"/>
  <c r="GK16" i="4"/>
  <c r="GJ16" i="4"/>
  <c r="GI16" i="4"/>
  <c r="GK15" i="4"/>
  <c r="GJ15" i="4"/>
  <c r="GI15" i="4"/>
  <c r="GK9" i="4"/>
  <c r="GJ9" i="4"/>
  <c r="GI9" i="4"/>
  <c r="GK8" i="4"/>
  <c r="GJ8" i="4"/>
  <c r="GI8" i="4"/>
  <c r="GK7" i="4"/>
  <c r="GJ7" i="4"/>
  <c r="GI7" i="4"/>
  <c r="GK122" i="4"/>
  <c r="GJ122" i="4"/>
  <c r="GI122" i="4"/>
  <c r="GK121" i="4"/>
  <c r="GJ121" i="4"/>
  <c r="GI121" i="4"/>
  <c r="GK120" i="4"/>
  <c r="GJ120" i="4"/>
  <c r="GI120" i="4"/>
  <c r="GI118" i="4"/>
  <c r="GK115" i="4"/>
  <c r="GJ115" i="4"/>
  <c r="GI115" i="4"/>
  <c r="GK114" i="4"/>
  <c r="GJ114" i="4"/>
  <c r="GI114" i="4"/>
  <c r="GK113" i="4"/>
  <c r="GJ113" i="4"/>
  <c r="GI113" i="4"/>
  <c r="GI111" i="4"/>
  <c r="GK108" i="4"/>
  <c r="GJ108" i="4"/>
  <c r="GI108" i="4"/>
  <c r="GK107" i="4"/>
  <c r="GJ107" i="4"/>
  <c r="GI107" i="4"/>
  <c r="GK106" i="4"/>
  <c r="GJ106" i="4"/>
  <c r="GI106" i="4"/>
  <c r="GK105" i="4"/>
  <c r="GJ105" i="4"/>
  <c r="GI105" i="4"/>
  <c r="GI103" i="4"/>
  <c r="GK10" i="4"/>
  <c r="GK100" i="4"/>
  <c r="GJ10" i="4"/>
  <c r="GJ100" i="4"/>
  <c r="GI10" i="4"/>
  <c r="GI100" i="4"/>
  <c r="GK99" i="4"/>
  <c r="GJ99" i="4"/>
  <c r="GI99" i="4"/>
  <c r="GK98" i="4"/>
  <c r="GJ98" i="4"/>
  <c r="GI98" i="4"/>
  <c r="GK97" i="4"/>
  <c r="GJ97" i="4"/>
  <c r="GI97" i="4"/>
  <c r="GI95" i="4"/>
  <c r="GK90" i="4"/>
  <c r="GK88" i="4"/>
  <c r="GK83" i="4"/>
  <c r="GK81" i="4"/>
  <c r="GK76" i="4"/>
  <c r="GJ76" i="4"/>
  <c r="GI76" i="4"/>
  <c r="GI25" i="4"/>
  <c r="GI66" i="4"/>
  <c r="GI70" i="4"/>
  <c r="GI73" i="4"/>
  <c r="GK64" i="4"/>
  <c r="GJ64" i="4"/>
  <c r="GI64" i="4"/>
  <c r="GK60" i="4"/>
  <c r="GJ60" i="4"/>
  <c r="GI60" i="4"/>
  <c r="GI59" i="4"/>
  <c r="GK56" i="4"/>
  <c r="GJ56" i="4"/>
  <c r="GI56" i="4"/>
  <c r="GK52" i="4"/>
  <c r="GJ52" i="4"/>
  <c r="GI52" i="4"/>
  <c r="GI51" i="4"/>
  <c r="GK47" i="4"/>
  <c r="GJ47" i="4"/>
  <c r="GI47" i="4"/>
  <c r="GI46" i="4"/>
  <c r="GK44" i="4"/>
  <c r="GJ44" i="4"/>
  <c r="GI44" i="4"/>
  <c r="GK42" i="4"/>
  <c r="GJ42" i="4"/>
  <c r="GI42" i="4"/>
  <c r="GI41" i="4"/>
  <c r="GK34" i="4"/>
  <c r="GJ34" i="4"/>
  <c r="GI34" i="4"/>
  <c r="GI33" i="4"/>
  <c r="GK26" i="4"/>
  <c r="GJ26" i="4"/>
  <c r="GI26" i="4"/>
  <c r="GK14" i="4"/>
  <c r="GJ14" i="4"/>
  <c r="GI14" i="4"/>
  <c r="GI13" i="4"/>
  <c r="GK11" i="4"/>
  <c r="GH89" i="4"/>
  <c r="GH87" i="4"/>
  <c r="GH86" i="4"/>
  <c r="GH80" i="4"/>
  <c r="GH63" i="4"/>
  <c r="GH122" i="4"/>
  <c r="BL122" i="6"/>
  <c r="GH62" i="4"/>
  <c r="GH121" i="4"/>
  <c r="BL121" i="6"/>
  <c r="GH61" i="4"/>
  <c r="GH53" i="4"/>
  <c r="GH54" i="4"/>
  <c r="GH120" i="4"/>
  <c r="BL120" i="6"/>
  <c r="GH55" i="4"/>
  <c r="GH115" i="4"/>
  <c r="BL115" i="6"/>
  <c r="GH114" i="4"/>
  <c r="BL114" i="6"/>
  <c r="GH113" i="4"/>
  <c r="BL113" i="6"/>
  <c r="GH30" i="4"/>
  <c r="GH108" i="4"/>
  <c r="BL108" i="6"/>
  <c r="GH29" i="4"/>
  <c r="GH107" i="4"/>
  <c r="BL107" i="6"/>
  <c r="GH28" i="4"/>
  <c r="GH8" i="4"/>
  <c r="GH9" i="4"/>
  <c r="GH106" i="4"/>
  <c r="BL106" i="6"/>
  <c r="GH27" i="4"/>
  <c r="GH7" i="4"/>
  <c r="GH105" i="4"/>
  <c r="BL105" i="6"/>
  <c r="GH10" i="4"/>
  <c r="GH100" i="4"/>
  <c r="FV100" i="4"/>
  <c r="BL100" i="6"/>
  <c r="GH99" i="4"/>
  <c r="FV99" i="4"/>
  <c r="BL99" i="6"/>
  <c r="GH98" i="4"/>
  <c r="FV98" i="4"/>
  <c r="BL98" i="6"/>
  <c r="GH97" i="4"/>
  <c r="FV97" i="4"/>
  <c r="BL97" i="6"/>
  <c r="GH74" i="4"/>
  <c r="BL74" i="6"/>
  <c r="GH71" i="4"/>
  <c r="BL71" i="6"/>
  <c r="GH67" i="4"/>
  <c r="BL67" i="6"/>
  <c r="BL63" i="6"/>
  <c r="BL62" i="6"/>
  <c r="BL61" i="6"/>
  <c r="BL55" i="6"/>
  <c r="BL54" i="6"/>
  <c r="BL53" i="6"/>
  <c r="GH48" i="4"/>
  <c r="BL48" i="6"/>
  <c r="GH43" i="4"/>
  <c r="GH44" i="4"/>
  <c r="BL43" i="6"/>
  <c r="GH38" i="4"/>
  <c r="BL38" i="6"/>
  <c r="GH37" i="4"/>
  <c r="BL37" i="6"/>
  <c r="GH36" i="4"/>
  <c r="BL36" i="6"/>
  <c r="GH35" i="4"/>
  <c r="BL35" i="6"/>
  <c r="BL30" i="6"/>
  <c r="BL29" i="6"/>
  <c r="BL28" i="6"/>
  <c r="BL27" i="6"/>
  <c r="GH21" i="4"/>
  <c r="BL21" i="6"/>
  <c r="GH20" i="4"/>
  <c r="BL20" i="6"/>
  <c r="GH19" i="4"/>
  <c r="BL19" i="6"/>
  <c r="GH18" i="4"/>
  <c r="BL18" i="6"/>
  <c r="GH17" i="4"/>
  <c r="BL17" i="6"/>
  <c r="GH16" i="4"/>
  <c r="BL16" i="6"/>
  <c r="GH15" i="4"/>
  <c r="BL15" i="6"/>
  <c r="BL10" i="6"/>
  <c r="BL9" i="6"/>
  <c r="BL8" i="6"/>
  <c r="BL7" i="6"/>
  <c r="BL119" i="6"/>
  <c r="BL112" i="6"/>
  <c r="BL104" i="6"/>
  <c r="BL96" i="6"/>
  <c r="BL14" i="6"/>
  <c r="BL26" i="6"/>
  <c r="BL34" i="6"/>
  <c r="BL42" i="6"/>
  <c r="BL47" i="6"/>
  <c r="BL52" i="6"/>
  <c r="BL60" i="6"/>
  <c r="BL66" i="6"/>
  <c r="BL70" i="6"/>
  <c r="BL73" i="6"/>
  <c r="BL63" i="7"/>
  <c r="BL62" i="7"/>
  <c r="BL61" i="7"/>
  <c r="BL55" i="7"/>
  <c r="BL54" i="7"/>
  <c r="BL53" i="7"/>
  <c r="BL48" i="7"/>
  <c r="BL43" i="7"/>
  <c r="BL38" i="7"/>
  <c r="BL37" i="7"/>
  <c r="BL36" i="7"/>
  <c r="BL35" i="7"/>
  <c r="BL30" i="7"/>
  <c r="BL29" i="7"/>
  <c r="BL28" i="7"/>
  <c r="BL27" i="7"/>
  <c r="BL21" i="7"/>
  <c r="BL20" i="7"/>
  <c r="BL19" i="7"/>
  <c r="BL18" i="7"/>
  <c r="BL17" i="7"/>
  <c r="BL16" i="7"/>
  <c r="BL15" i="7"/>
  <c r="BL10" i="7"/>
  <c r="BL9" i="7"/>
  <c r="BL8" i="7"/>
  <c r="BL7" i="7"/>
  <c r="BI119" i="7"/>
  <c r="BJ119" i="7"/>
  <c r="BK119" i="7"/>
  <c r="BL119" i="7"/>
  <c r="BI112" i="7"/>
  <c r="BJ112" i="7"/>
  <c r="BK112" i="7"/>
  <c r="BL112" i="7"/>
  <c r="BI104" i="7"/>
  <c r="BJ104" i="7"/>
  <c r="BK104" i="7"/>
  <c r="BL104" i="7"/>
  <c r="BI96" i="7"/>
  <c r="BJ96" i="7"/>
  <c r="BK96" i="7"/>
  <c r="BL96" i="7"/>
  <c r="BL60" i="7"/>
  <c r="BL52" i="7"/>
  <c r="BL47" i="7"/>
  <c r="BL42" i="7"/>
  <c r="BL34" i="7"/>
  <c r="BL26" i="7"/>
  <c r="BL14" i="7"/>
  <c r="GH75" i="4"/>
  <c r="GG63" i="4"/>
  <c r="GF63" i="4"/>
  <c r="GG62" i="4"/>
  <c r="GF62" i="4"/>
  <c r="GG61" i="4"/>
  <c r="GF61" i="4"/>
  <c r="GG55" i="4"/>
  <c r="GF55" i="4"/>
  <c r="GG54" i="4"/>
  <c r="GF54" i="4"/>
  <c r="GG53" i="4"/>
  <c r="GF53" i="4"/>
  <c r="GG48" i="4"/>
  <c r="GF48" i="4"/>
  <c r="GG43" i="4"/>
  <c r="GF43" i="4"/>
  <c r="GG38" i="4"/>
  <c r="GF38" i="4"/>
  <c r="GG37" i="4"/>
  <c r="GF37" i="4"/>
  <c r="GG36" i="4"/>
  <c r="GF36" i="4"/>
  <c r="GG35" i="4"/>
  <c r="GF35" i="4"/>
  <c r="GG30" i="4"/>
  <c r="GF30" i="4"/>
  <c r="GG29" i="4"/>
  <c r="GF29" i="4"/>
  <c r="GG28" i="4"/>
  <c r="GF28" i="4"/>
  <c r="GG27" i="4"/>
  <c r="GF27" i="4"/>
  <c r="GG21" i="4"/>
  <c r="GF21" i="4"/>
  <c r="GG20" i="4"/>
  <c r="GF20" i="4"/>
  <c r="GG19" i="4"/>
  <c r="GF19" i="4"/>
  <c r="GG18" i="4"/>
  <c r="GF18" i="4"/>
  <c r="GG17" i="4"/>
  <c r="GF17" i="4"/>
  <c r="GG16" i="4"/>
  <c r="GF16" i="4"/>
  <c r="GG15" i="4"/>
  <c r="GF15" i="4"/>
  <c r="GG9" i="4"/>
  <c r="GF9" i="4"/>
  <c r="GG8" i="4"/>
  <c r="GF8" i="4"/>
  <c r="GG7" i="4"/>
  <c r="GF7" i="4"/>
  <c r="GG122" i="4"/>
  <c r="GF122" i="4"/>
  <c r="GG121" i="4"/>
  <c r="GF121" i="4"/>
  <c r="GG120" i="4"/>
  <c r="GF120" i="4"/>
  <c r="GF118" i="4"/>
  <c r="GG115" i="4"/>
  <c r="GF115" i="4"/>
  <c r="GG114" i="4"/>
  <c r="GF114" i="4"/>
  <c r="GG113" i="4"/>
  <c r="GF113" i="4"/>
  <c r="GF111" i="4"/>
  <c r="GG108" i="4"/>
  <c r="GF108" i="4"/>
  <c r="GG107" i="4"/>
  <c r="GF107" i="4"/>
  <c r="GG106" i="4"/>
  <c r="GF106" i="4"/>
  <c r="GG105" i="4"/>
  <c r="GF105" i="4"/>
  <c r="GF103" i="4"/>
  <c r="GG10" i="4"/>
  <c r="GG100" i="4"/>
  <c r="GF10" i="4"/>
  <c r="GF100" i="4"/>
  <c r="GG99" i="4"/>
  <c r="GF99" i="4"/>
  <c r="GG98" i="4"/>
  <c r="GF98" i="4"/>
  <c r="GG97" i="4"/>
  <c r="GF97" i="4"/>
  <c r="GF95" i="4"/>
  <c r="GH90" i="4"/>
  <c r="GH88" i="4"/>
  <c r="GH83" i="4"/>
  <c r="GH81" i="4"/>
  <c r="GH76" i="4"/>
  <c r="GG76" i="4"/>
  <c r="GF76" i="4"/>
  <c r="GF25" i="4"/>
  <c r="GF66" i="4"/>
  <c r="GF70" i="4"/>
  <c r="GF73" i="4"/>
  <c r="GH64" i="4"/>
  <c r="GG64" i="4"/>
  <c r="GF64" i="4"/>
  <c r="GH60" i="4"/>
  <c r="GG60" i="4"/>
  <c r="GF60" i="4"/>
  <c r="GF59" i="4"/>
  <c r="GH56" i="4"/>
  <c r="GG56" i="4"/>
  <c r="GF56" i="4"/>
  <c r="GH52" i="4"/>
  <c r="GG52" i="4"/>
  <c r="GF52" i="4"/>
  <c r="GF51" i="4"/>
  <c r="GH47" i="4"/>
  <c r="GG47" i="4"/>
  <c r="GF47" i="4"/>
  <c r="GF46" i="4"/>
  <c r="GG44" i="4"/>
  <c r="GF44" i="4"/>
  <c r="GH42" i="4"/>
  <c r="GG42" i="4"/>
  <c r="GF42" i="4"/>
  <c r="GF41" i="4"/>
  <c r="GH34" i="4"/>
  <c r="GG34" i="4"/>
  <c r="GF34" i="4"/>
  <c r="GF33" i="4"/>
  <c r="GH26" i="4"/>
  <c r="GG26" i="4"/>
  <c r="GF26" i="4"/>
  <c r="GH14" i="4"/>
  <c r="GG14" i="4"/>
  <c r="GF14" i="4"/>
  <c r="GF13" i="4"/>
  <c r="GH11" i="4"/>
  <c r="GE80" i="4"/>
  <c r="GE89" i="4"/>
  <c r="GE87" i="4"/>
  <c r="GE86" i="4"/>
  <c r="FS122" i="4"/>
  <c r="BK122" i="6"/>
  <c r="FS121" i="4"/>
  <c r="BK121" i="6"/>
  <c r="FS120" i="4"/>
  <c r="BK120" i="6"/>
  <c r="FS115" i="4"/>
  <c r="BK115" i="6"/>
  <c r="FS114" i="4"/>
  <c r="BK114" i="6"/>
  <c r="FS113" i="4"/>
  <c r="BK113" i="6"/>
  <c r="FS108" i="4"/>
  <c r="BK108" i="6"/>
  <c r="FS107" i="4"/>
  <c r="BK107" i="6"/>
  <c r="FS106" i="4"/>
  <c r="BK106" i="6"/>
  <c r="FS105" i="4"/>
  <c r="BK105" i="6"/>
  <c r="FS100" i="4"/>
  <c r="BK100" i="6"/>
  <c r="FS99" i="4"/>
  <c r="BK99" i="6"/>
  <c r="FS98" i="4"/>
  <c r="BK98" i="6"/>
  <c r="FS97" i="4"/>
  <c r="BK97" i="6"/>
  <c r="BK74" i="6"/>
  <c r="BK71" i="6"/>
  <c r="BK67" i="6"/>
  <c r="BK63" i="6"/>
  <c r="BK62" i="6"/>
  <c r="BK61" i="6"/>
  <c r="BK55" i="6"/>
  <c r="BK54" i="6"/>
  <c r="BK53" i="6"/>
  <c r="BK48" i="6"/>
  <c r="BK43" i="6"/>
  <c r="BK38" i="6"/>
  <c r="BK37" i="6"/>
  <c r="BK36" i="6"/>
  <c r="BK35" i="6"/>
  <c r="BK30" i="6"/>
  <c r="BK29" i="6"/>
  <c r="BK28" i="6"/>
  <c r="BK27" i="6"/>
  <c r="BK21" i="6"/>
  <c r="BK20" i="6"/>
  <c r="BK19" i="6"/>
  <c r="BK18" i="6"/>
  <c r="BK17" i="6"/>
  <c r="BK16" i="6"/>
  <c r="BK15" i="6"/>
  <c r="BK10" i="6"/>
  <c r="BK9" i="6"/>
  <c r="BK8" i="6"/>
  <c r="BK7" i="6"/>
  <c r="BK119" i="6"/>
  <c r="BK112" i="6"/>
  <c r="BK104" i="6"/>
  <c r="BK96" i="6"/>
  <c r="BK14" i="6"/>
  <c r="BK26" i="6"/>
  <c r="BK34" i="6"/>
  <c r="BK42" i="6"/>
  <c r="BK47" i="6"/>
  <c r="BK52" i="6"/>
  <c r="BK60" i="6"/>
  <c r="BK66" i="6"/>
  <c r="BK70" i="6"/>
  <c r="BK73" i="6"/>
  <c r="BK63" i="7"/>
  <c r="BK62" i="7"/>
  <c r="BK61" i="7"/>
  <c r="BK55" i="7"/>
  <c r="BK54" i="7"/>
  <c r="BK53" i="7"/>
  <c r="BK48" i="7"/>
  <c r="BK43" i="7"/>
  <c r="BK38" i="7"/>
  <c r="BK37" i="7"/>
  <c r="BK36" i="7"/>
  <c r="BK35" i="7"/>
  <c r="BK30" i="7"/>
  <c r="BK29" i="7"/>
  <c r="BK28" i="7"/>
  <c r="BK27" i="7"/>
  <c r="BK21" i="7"/>
  <c r="BK20" i="7"/>
  <c r="BK19" i="7"/>
  <c r="BK18" i="7"/>
  <c r="BK17" i="7"/>
  <c r="BK16" i="7"/>
  <c r="BK15" i="7"/>
  <c r="BK10" i="7"/>
  <c r="BK9" i="7"/>
  <c r="BK8" i="7"/>
  <c r="BK7" i="7"/>
  <c r="BK60" i="7"/>
  <c r="BK52" i="7"/>
  <c r="BK47" i="7"/>
  <c r="BK42" i="7"/>
  <c r="BK34" i="7"/>
  <c r="BK26" i="7"/>
  <c r="BK14" i="7"/>
  <c r="GE75" i="4"/>
  <c r="GE74" i="4"/>
  <c r="GE71" i="4"/>
  <c r="GE67" i="4"/>
  <c r="GE63" i="4"/>
  <c r="GD63" i="4"/>
  <c r="GC63" i="4"/>
  <c r="GE62" i="4"/>
  <c r="GD62" i="4"/>
  <c r="GC62" i="4"/>
  <c r="GE61" i="4"/>
  <c r="GD61" i="4"/>
  <c r="GC61" i="4"/>
  <c r="GE55" i="4"/>
  <c r="GD55" i="4"/>
  <c r="GC55" i="4"/>
  <c r="GE54" i="4"/>
  <c r="GD54" i="4"/>
  <c r="GC54" i="4"/>
  <c r="GE53" i="4"/>
  <c r="GD53" i="4"/>
  <c r="GC53" i="4"/>
  <c r="GE48" i="4"/>
  <c r="GD48" i="4"/>
  <c r="GC48" i="4"/>
  <c r="GE43" i="4"/>
  <c r="GD43" i="4"/>
  <c r="GC43" i="4"/>
  <c r="GE38" i="4"/>
  <c r="GD38" i="4"/>
  <c r="GC38" i="4"/>
  <c r="GE37" i="4"/>
  <c r="GD37" i="4"/>
  <c r="GC37" i="4"/>
  <c r="GE36" i="4"/>
  <c r="GD36" i="4"/>
  <c r="GC36" i="4"/>
  <c r="GE35" i="4"/>
  <c r="GD35" i="4"/>
  <c r="GC35" i="4"/>
  <c r="GE30" i="4"/>
  <c r="GD30" i="4"/>
  <c r="GC30" i="4"/>
  <c r="GE29" i="4"/>
  <c r="GD29" i="4"/>
  <c r="GC29" i="4"/>
  <c r="GE28" i="4"/>
  <c r="GD28" i="4"/>
  <c r="GC28" i="4"/>
  <c r="GE27" i="4"/>
  <c r="GD27" i="4"/>
  <c r="GC27" i="4"/>
  <c r="GE21" i="4"/>
  <c r="GD21" i="4"/>
  <c r="GC21" i="4"/>
  <c r="GE20" i="4"/>
  <c r="GD20" i="4"/>
  <c r="GC20" i="4"/>
  <c r="GE19" i="4"/>
  <c r="GD19" i="4"/>
  <c r="GC19" i="4"/>
  <c r="GE18" i="4"/>
  <c r="GD18" i="4"/>
  <c r="GC18" i="4"/>
  <c r="GE17" i="4"/>
  <c r="GD17" i="4"/>
  <c r="GC17" i="4"/>
  <c r="GE16" i="4"/>
  <c r="GD16" i="4"/>
  <c r="GC16" i="4"/>
  <c r="GE15" i="4"/>
  <c r="GD15" i="4"/>
  <c r="GC15" i="4"/>
  <c r="GE9" i="4"/>
  <c r="GD9" i="4"/>
  <c r="GC9" i="4"/>
  <c r="GE8" i="4"/>
  <c r="GD8" i="4"/>
  <c r="GC8" i="4"/>
  <c r="GE7" i="4"/>
  <c r="GD7" i="4"/>
  <c r="GC7" i="4"/>
  <c r="GE122" i="4"/>
  <c r="GD122" i="4"/>
  <c r="GC122" i="4"/>
  <c r="GE121" i="4"/>
  <c r="GD121" i="4"/>
  <c r="GC121" i="4"/>
  <c r="GE120" i="4"/>
  <c r="GD120" i="4"/>
  <c r="GC120" i="4"/>
  <c r="GC118" i="4"/>
  <c r="GE115" i="4"/>
  <c r="GD115" i="4"/>
  <c r="GC115" i="4"/>
  <c r="GE114" i="4"/>
  <c r="GD114" i="4"/>
  <c r="GC114" i="4"/>
  <c r="GE113" i="4"/>
  <c r="GD113" i="4"/>
  <c r="GC113" i="4"/>
  <c r="GC111" i="4"/>
  <c r="GE108" i="4"/>
  <c r="GD108" i="4"/>
  <c r="GC108" i="4"/>
  <c r="GE107" i="4"/>
  <c r="GD107" i="4"/>
  <c r="GC107" i="4"/>
  <c r="GE106" i="4"/>
  <c r="GD106" i="4"/>
  <c r="GC106" i="4"/>
  <c r="GE105" i="4"/>
  <c r="GD105" i="4"/>
  <c r="GC105" i="4"/>
  <c r="GC103" i="4"/>
  <c r="GE10" i="4"/>
  <c r="GE100" i="4"/>
  <c r="GD10" i="4"/>
  <c r="GD100" i="4"/>
  <c r="GC10" i="4"/>
  <c r="GC100" i="4"/>
  <c r="GE99" i="4"/>
  <c r="GD99" i="4"/>
  <c r="GC99" i="4"/>
  <c r="GE98" i="4"/>
  <c r="GD98" i="4"/>
  <c r="GC98" i="4"/>
  <c r="GE97" i="4"/>
  <c r="GD97" i="4"/>
  <c r="GC97" i="4"/>
  <c r="GC95" i="4"/>
  <c r="GE90" i="4"/>
  <c r="GE88" i="4"/>
  <c r="GE83" i="4"/>
  <c r="GE81" i="4"/>
  <c r="GE76" i="4"/>
  <c r="GD76" i="4"/>
  <c r="GC76" i="4"/>
  <c r="GC25" i="4"/>
  <c r="GC66" i="4"/>
  <c r="GC70" i="4"/>
  <c r="GC73" i="4"/>
  <c r="GE64" i="4"/>
  <c r="GD64" i="4"/>
  <c r="GC64" i="4"/>
  <c r="GE60" i="4"/>
  <c r="GD60" i="4"/>
  <c r="GC60" i="4"/>
  <c r="GC59" i="4"/>
  <c r="GE56" i="4"/>
  <c r="GD56" i="4"/>
  <c r="GC56" i="4"/>
  <c r="GE52" i="4"/>
  <c r="GD52" i="4"/>
  <c r="GC52" i="4"/>
  <c r="GC51" i="4"/>
  <c r="GE47" i="4"/>
  <c r="GD47" i="4"/>
  <c r="GC47" i="4"/>
  <c r="GC46" i="4"/>
  <c r="GE44" i="4"/>
  <c r="GD44" i="4"/>
  <c r="GC44" i="4"/>
  <c r="GE42" i="4"/>
  <c r="GD42" i="4"/>
  <c r="GC42" i="4"/>
  <c r="GC41" i="4"/>
  <c r="GE34" i="4"/>
  <c r="GD34" i="4"/>
  <c r="GC34" i="4"/>
  <c r="GC33" i="4"/>
  <c r="GE26" i="4"/>
  <c r="GD26" i="4"/>
  <c r="GC26" i="4"/>
  <c r="GE14" i="4"/>
  <c r="GD14" i="4"/>
  <c r="GC14" i="4"/>
  <c r="GC13" i="4"/>
  <c r="GE11" i="4"/>
  <c r="B32" i="9"/>
  <c r="GB80" i="4"/>
  <c r="FP122" i="4"/>
  <c r="BJ122" i="6"/>
  <c r="FP121" i="4"/>
  <c r="BJ121" i="6"/>
  <c r="FP120" i="4"/>
  <c r="BJ120" i="6"/>
  <c r="FP115" i="4"/>
  <c r="BJ115" i="6"/>
  <c r="FP114" i="4"/>
  <c r="BJ114" i="6"/>
  <c r="FP113" i="4"/>
  <c r="BJ113" i="6"/>
  <c r="FP108" i="4"/>
  <c r="BJ108" i="6"/>
  <c r="FP107" i="4"/>
  <c r="BJ107" i="6"/>
  <c r="FP106" i="4"/>
  <c r="BJ106" i="6"/>
  <c r="FP105" i="4"/>
  <c r="BJ105" i="6"/>
  <c r="FP100" i="4"/>
  <c r="BJ100" i="6"/>
  <c r="FP99" i="4"/>
  <c r="BJ99" i="6"/>
  <c r="FP98" i="4"/>
  <c r="BJ98" i="6"/>
  <c r="FP97" i="4"/>
  <c r="BJ97" i="6"/>
  <c r="BJ74" i="6"/>
  <c r="BJ71" i="6"/>
  <c r="BJ67" i="6"/>
  <c r="BJ63" i="6"/>
  <c r="BJ62" i="6"/>
  <c r="BJ61" i="6"/>
  <c r="BJ55" i="6"/>
  <c r="BJ54" i="6"/>
  <c r="BJ53" i="6"/>
  <c r="BJ48" i="6"/>
  <c r="BJ43" i="6"/>
  <c r="BJ38" i="6"/>
  <c r="BJ37" i="6"/>
  <c r="BJ36" i="6"/>
  <c r="BJ35" i="6"/>
  <c r="BJ30" i="6"/>
  <c r="BJ29" i="6"/>
  <c r="BJ28" i="6"/>
  <c r="BJ27" i="6"/>
  <c r="BJ21" i="6"/>
  <c r="BJ20" i="6"/>
  <c r="BJ19" i="6"/>
  <c r="BJ18" i="6"/>
  <c r="BJ17" i="6"/>
  <c r="BJ16" i="6"/>
  <c r="BJ15" i="6"/>
  <c r="BJ10" i="6"/>
  <c r="BJ9" i="6"/>
  <c r="BJ8" i="6"/>
  <c r="BJ7" i="6"/>
  <c r="BJ63" i="7"/>
  <c r="BJ62" i="7"/>
  <c r="BJ61" i="7"/>
  <c r="BJ55" i="7"/>
  <c r="BJ54" i="7"/>
  <c r="BJ53" i="7"/>
  <c r="BJ48" i="7"/>
  <c r="BJ43" i="7"/>
  <c r="BJ38" i="7"/>
  <c r="BJ37" i="7"/>
  <c r="BJ36" i="7"/>
  <c r="BJ35" i="7"/>
  <c r="BJ30" i="7"/>
  <c r="BJ29" i="7"/>
  <c r="BJ28" i="7"/>
  <c r="BJ27" i="7"/>
  <c r="BJ21" i="7"/>
  <c r="BJ20" i="7"/>
  <c r="BJ19" i="7"/>
  <c r="BJ18" i="7"/>
  <c r="BJ17" i="7"/>
  <c r="BJ16" i="7"/>
  <c r="BJ15" i="7"/>
  <c r="BJ10" i="7"/>
  <c r="BJ9" i="7"/>
  <c r="BJ8" i="7"/>
  <c r="BJ7" i="7"/>
  <c r="GB89" i="4"/>
  <c r="GB87" i="4"/>
  <c r="GB86" i="4"/>
  <c r="BJ119" i="6"/>
  <c r="BJ112" i="6"/>
  <c r="BJ104" i="6"/>
  <c r="BJ96" i="6"/>
  <c r="BJ14" i="6"/>
  <c r="BJ26" i="6"/>
  <c r="BJ34" i="6"/>
  <c r="BJ42" i="6"/>
  <c r="BJ47" i="6"/>
  <c r="BJ52" i="6"/>
  <c r="BJ60" i="6"/>
  <c r="BJ66" i="6"/>
  <c r="BJ70" i="6"/>
  <c r="BJ73" i="6"/>
  <c r="BJ60" i="7"/>
  <c r="BJ52" i="7"/>
  <c r="BJ47" i="7"/>
  <c r="BJ42" i="7"/>
  <c r="BJ34" i="7"/>
  <c r="BJ26" i="7"/>
  <c r="BJ14" i="7"/>
  <c r="GA122" i="4"/>
  <c r="FZ122" i="4"/>
  <c r="GA121" i="4"/>
  <c r="FZ121" i="4"/>
  <c r="GA120" i="4"/>
  <c r="FZ120" i="4"/>
  <c r="FZ118" i="4"/>
  <c r="GA115" i="4"/>
  <c r="FZ115" i="4"/>
  <c r="GA114" i="4"/>
  <c r="FZ114" i="4"/>
  <c r="GA113" i="4"/>
  <c r="FZ113" i="4"/>
  <c r="FZ111" i="4"/>
  <c r="GA108" i="4"/>
  <c r="FZ108" i="4"/>
  <c r="GA107" i="4"/>
  <c r="FZ107" i="4"/>
  <c r="GA106" i="4"/>
  <c r="FZ106" i="4"/>
  <c r="GA105" i="4"/>
  <c r="FZ105" i="4"/>
  <c r="FZ103" i="4"/>
  <c r="GA100" i="4"/>
  <c r="FZ100" i="4"/>
  <c r="GA99" i="4"/>
  <c r="FZ99" i="4"/>
  <c r="GA98" i="4"/>
  <c r="FZ98" i="4"/>
  <c r="GA97" i="4"/>
  <c r="FZ97" i="4"/>
  <c r="FZ95" i="4"/>
  <c r="GB90" i="4"/>
  <c r="GB88" i="4"/>
  <c r="GB83" i="4"/>
  <c r="GB81" i="4"/>
  <c r="GB76" i="4"/>
  <c r="GA76" i="4"/>
  <c r="FZ76" i="4"/>
  <c r="FZ25" i="4"/>
  <c r="FZ66" i="4"/>
  <c r="FZ70" i="4"/>
  <c r="FZ73" i="4"/>
  <c r="GB64" i="4"/>
  <c r="GA64" i="4"/>
  <c r="FZ64" i="4"/>
  <c r="GB60" i="4"/>
  <c r="GA60" i="4"/>
  <c r="FZ60" i="4"/>
  <c r="FZ59" i="4"/>
  <c r="GB56" i="4"/>
  <c r="GA56" i="4"/>
  <c r="FZ56" i="4"/>
  <c r="GB52" i="4"/>
  <c r="GA52" i="4"/>
  <c r="FZ52" i="4"/>
  <c r="FZ51" i="4"/>
  <c r="GB47" i="4"/>
  <c r="GA47" i="4"/>
  <c r="FZ47" i="4"/>
  <c r="FZ46" i="4"/>
  <c r="GA44" i="4"/>
  <c r="FZ44" i="4"/>
  <c r="GB42" i="4"/>
  <c r="GA42" i="4"/>
  <c r="FZ42" i="4"/>
  <c r="FZ41" i="4"/>
  <c r="GB34" i="4"/>
  <c r="GA34" i="4"/>
  <c r="FZ34" i="4"/>
  <c r="FZ33" i="4"/>
  <c r="GB26" i="4"/>
  <c r="GA26" i="4"/>
  <c r="FZ26" i="4"/>
  <c r="GB14" i="4"/>
  <c r="GA14" i="4"/>
  <c r="FZ14" i="4"/>
  <c r="FZ13" i="4"/>
  <c r="GB11" i="4"/>
  <c r="FM122" i="4"/>
  <c r="BI122" i="6"/>
  <c r="FJ122" i="4"/>
  <c r="BH122" i="6"/>
  <c r="FG122" i="4"/>
  <c r="BG122" i="6"/>
  <c r="FD63" i="4"/>
  <c r="FD122" i="4"/>
  <c r="BF122" i="6"/>
  <c r="BE122" i="6"/>
  <c r="BD122" i="6"/>
  <c r="BC122" i="6"/>
  <c r="BB122" i="6"/>
  <c r="FM121" i="4"/>
  <c r="BI121" i="6"/>
  <c r="FJ121" i="4"/>
  <c r="BH121" i="6"/>
  <c r="FG121" i="4"/>
  <c r="BG121" i="6"/>
  <c r="FD62" i="4"/>
  <c r="FD121" i="4"/>
  <c r="BF121" i="6"/>
  <c r="BE121" i="6"/>
  <c r="BD121" i="6"/>
  <c r="BC121" i="6"/>
  <c r="BB121" i="6"/>
  <c r="FM120" i="4"/>
  <c r="BI120" i="6"/>
  <c r="FJ120" i="4"/>
  <c r="BH120" i="6"/>
  <c r="FG120" i="4"/>
  <c r="BG120" i="6"/>
  <c r="FD61" i="4"/>
  <c r="FD53" i="4"/>
  <c r="FD54" i="4"/>
  <c r="FD120" i="4"/>
  <c r="BF120" i="6"/>
  <c r="BE120" i="6"/>
  <c r="BD120" i="6"/>
  <c r="BC120" i="6"/>
  <c r="BB120" i="6"/>
  <c r="BI119" i="6"/>
  <c r="BH119" i="6"/>
  <c r="BG119" i="6"/>
  <c r="BF119" i="6"/>
  <c r="BE119" i="6"/>
  <c r="BD119" i="6"/>
  <c r="BC119" i="6"/>
  <c r="BB119" i="6"/>
  <c r="FD114" i="4"/>
  <c r="BB114" i="6"/>
  <c r="FG114" i="4"/>
  <c r="BC114" i="6"/>
  <c r="FJ114" i="4"/>
  <c r="BD114" i="6"/>
  <c r="FM114" i="4"/>
  <c r="BE114" i="6"/>
  <c r="BF114" i="6"/>
  <c r="BG114" i="6"/>
  <c r="BH114" i="6"/>
  <c r="BI114" i="6"/>
  <c r="FD55" i="4"/>
  <c r="FD115" i="4"/>
  <c r="BB115" i="6"/>
  <c r="FG115" i="4"/>
  <c r="BC115" i="6"/>
  <c r="FJ115" i="4"/>
  <c r="BD115" i="6"/>
  <c r="FM115" i="4"/>
  <c r="BE115" i="6"/>
  <c r="BF115" i="6"/>
  <c r="BG115" i="6"/>
  <c r="BH115" i="6"/>
  <c r="BI115" i="6"/>
  <c r="FM113" i="4"/>
  <c r="BI113" i="6"/>
  <c r="FJ113" i="4"/>
  <c r="BH113" i="6"/>
  <c r="FG113" i="4"/>
  <c r="BG113" i="6"/>
  <c r="FD113" i="4"/>
  <c r="BF113" i="6"/>
  <c r="BE113" i="6"/>
  <c r="BD113" i="6"/>
  <c r="BC113" i="6"/>
  <c r="BB113" i="6"/>
  <c r="BI112" i="6"/>
  <c r="BH112" i="6"/>
  <c r="BG112" i="6"/>
  <c r="BF112" i="6"/>
  <c r="BE112" i="6"/>
  <c r="BD112" i="6"/>
  <c r="BC112" i="6"/>
  <c r="BB112" i="6"/>
  <c r="FD28" i="4"/>
  <c r="FD8" i="4"/>
  <c r="FD29" i="4"/>
  <c r="FD9" i="4"/>
  <c r="FD106" i="4"/>
  <c r="BB106" i="6"/>
  <c r="FG106" i="4"/>
  <c r="BC106" i="6"/>
  <c r="FJ106" i="4"/>
  <c r="BD106" i="6"/>
  <c r="FM106" i="4"/>
  <c r="BE106" i="6"/>
  <c r="BF106" i="6"/>
  <c r="BG106" i="6"/>
  <c r="BH106" i="6"/>
  <c r="BI106" i="6"/>
  <c r="FD107" i="4"/>
  <c r="BB107" i="6"/>
  <c r="FG107" i="4"/>
  <c r="BC107" i="6"/>
  <c r="FJ107" i="4"/>
  <c r="BD107" i="6"/>
  <c r="FM107" i="4"/>
  <c r="BE107" i="6"/>
  <c r="BF107" i="6"/>
  <c r="BG107" i="6"/>
  <c r="BH107" i="6"/>
  <c r="BI107" i="6"/>
  <c r="FD30" i="4"/>
  <c r="FD108" i="4"/>
  <c r="BB108" i="6"/>
  <c r="FG108" i="4"/>
  <c r="BC108" i="6"/>
  <c r="FJ108" i="4"/>
  <c r="BD108" i="6"/>
  <c r="FM108" i="4"/>
  <c r="BE108" i="6"/>
  <c r="BF108" i="6"/>
  <c r="BG108" i="6"/>
  <c r="BH108" i="6"/>
  <c r="BI108" i="6"/>
  <c r="FM105" i="4"/>
  <c r="BI105" i="6"/>
  <c r="FJ105" i="4"/>
  <c r="BH105" i="6"/>
  <c r="FG105" i="4"/>
  <c r="BG105" i="6"/>
  <c r="FD27" i="4"/>
  <c r="FD7" i="4"/>
  <c r="FD105" i="4"/>
  <c r="BF105" i="6"/>
  <c r="BE105" i="6"/>
  <c r="BD105" i="6"/>
  <c r="BC105" i="6"/>
  <c r="BB105" i="6"/>
  <c r="BI104" i="6"/>
  <c r="BH104" i="6"/>
  <c r="BG104" i="6"/>
  <c r="BF104" i="6"/>
  <c r="BE104" i="6"/>
  <c r="BD104" i="6"/>
  <c r="BC104" i="6"/>
  <c r="BB104" i="6"/>
  <c r="FD98" i="4"/>
  <c r="BB98" i="6"/>
  <c r="FG98" i="4"/>
  <c r="BC98" i="6"/>
  <c r="FJ98" i="4"/>
  <c r="BD98" i="6"/>
  <c r="FM98" i="4"/>
  <c r="BE98" i="6"/>
  <c r="BF98" i="6"/>
  <c r="BG98" i="6"/>
  <c r="BH98" i="6"/>
  <c r="BI98" i="6"/>
  <c r="FD99" i="4"/>
  <c r="BB99" i="6"/>
  <c r="FG99" i="4"/>
  <c r="BC99" i="6"/>
  <c r="FJ99" i="4"/>
  <c r="BD99" i="6"/>
  <c r="FM99" i="4"/>
  <c r="BE99" i="6"/>
  <c r="BF99" i="6"/>
  <c r="BG99" i="6"/>
  <c r="BH99" i="6"/>
  <c r="BI99" i="6"/>
  <c r="FD10" i="4"/>
  <c r="FD100" i="4"/>
  <c r="BB100" i="6"/>
  <c r="FG100" i="4"/>
  <c r="BC100" i="6"/>
  <c r="FJ100" i="4"/>
  <c r="BD100" i="6"/>
  <c r="FM100" i="4"/>
  <c r="BE100" i="6"/>
  <c r="BF100" i="6"/>
  <c r="BG100" i="6"/>
  <c r="BH100" i="6"/>
  <c r="BI100" i="6"/>
  <c r="BC96" i="6"/>
  <c r="BD96" i="6"/>
  <c r="BE96" i="6"/>
  <c r="BF96" i="6"/>
  <c r="BG96" i="6"/>
  <c r="BH96" i="6"/>
  <c r="BI96" i="6"/>
  <c r="FM97" i="4"/>
  <c r="BI97" i="6"/>
  <c r="FJ97" i="4"/>
  <c r="BH97" i="6"/>
  <c r="FG97" i="4"/>
  <c r="BG97" i="6"/>
  <c r="FD97" i="4"/>
  <c r="BF97" i="6"/>
  <c r="BE97" i="6"/>
  <c r="BD97" i="6"/>
  <c r="BC97" i="6"/>
  <c r="BB97" i="6"/>
  <c r="BB96" i="6"/>
  <c r="A122" i="6"/>
  <c r="A121" i="6"/>
  <c r="A120" i="6"/>
  <c r="A118" i="6"/>
  <c r="A117" i="6"/>
  <c r="A115" i="6"/>
  <c r="A114" i="6"/>
  <c r="A113" i="6"/>
  <c r="A110" i="6"/>
  <c r="A108" i="6"/>
  <c r="A107" i="6"/>
  <c r="A106" i="6"/>
  <c r="A105" i="6"/>
  <c r="A103" i="6"/>
  <c r="A102" i="6"/>
  <c r="A100" i="6"/>
  <c r="A99" i="6"/>
  <c r="A98" i="6"/>
  <c r="A97" i="6"/>
  <c r="A94" i="6"/>
  <c r="A90" i="6"/>
  <c r="A89" i="6"/>
  <c r="A88" i="6"/>
  <c r="A87" i="6"/>
  <c r="A86" i="6"/>
  <c r="A85" i="6"/>
  <c r="A83" i="6"/>
  <c r="A82" i="6"/>
  <c r="A81" i="6"/>
  <c r="A80" i="6"/>
  <c r="A79" i="6"/>
  <c r="A78" i="6"/>
  <c r="A75" i="6"/>
  <c r="BC121" i="7"/>
  <c r="BD121" i="7"/>
  <c r="BE121" i="7"/>
  <c r="BF121" i="7"/>
  <c r="BG121" i="7"/>
  <c r="BH121" i="7"/>
  <c r="BC122" i="7"/>
  <c r="BD122" i="7"/>
  <c r="BE122" i="7"/>
  <c r="BF122" i="7"/>
  <c r="BG122" i="7"/>
  <c r="BH122" i="7"/>
  <c r="BD119" i="7"/>
  <c r="BE119" i="7"/>
  <c r="BF119" i="7"/>
  <c r="BG119" i="7"/>
  <c r="BH119" i="7"/>
  <c r="BH120" i="7"/>
  <c r="BG120" i="7"/>
  <c r="BF120" i="7"/>
  <c r="BE120" i="7"/>
  <c r="BD120" i="7"/>
  <c r="BC120" i="7"/>
  <c r="BC115" i="7"/>
  <c r="BC114" i="7"/>
  <c r="BC113" i="7"/>
  <c r="BC119" i="7"/>
  <c r="BB119" i="7"/>
  <c r="BD114" i="7"/>
  <c r="BE114" i="7"/>
  <c r="BF114" i="7"/>
  <c r="BG114" i="7"/>
  <c r="BH114" i="7"/>
  <c r="BD115" i="7"/>
  <c r="BE115" i="7"/>
  <c r="BF115" i="7"/>
  <c r="BG115" i="7"/>
  <c r="BH115" i="7"/>
  <c r="BH113" i="7"/>
  <c r="BH112" i="7"/>
  <c r="BG113" i="7"/>
  <c r="BG112" i="7"/>
  <c r="BF113" i="7"/>
  <c r="BF112" i="7"/>
  <c r="BE113" i="7"/>
  <c r="BE112" i="7"/>
  <c r="BD113" i="7"/>
  <c r="BD112" i="7"/>
  <c r="BC112" i="7"/>
  <c r="BB112" i="7"/>
  <c r="BC106" i="7"/>
  <c r="BD106" i="7"/>
  <c r="BE106" i="7"/>
  <c r="BF106" i="7"/>
  <c r="BG106" i="7"/>
  <c r="BH106" i="7"/>
  <c r="BC107" i="7"/>
  <c r="BD107" i="7"/>
  <c r="BE107" i="7"/>
  <c r="BF107" i="7"/>
  <c r="BG107" i="7"/>
  <c r="BH107" i="7"/>
  <c r="BC108" i="7"/>
  <c r="BD108" i="7"/>
  <c r="BE108" i="7"/>
  <c r="BF108" i="7"/>
  <c r="BG108" i="7"/>
  <c r="BH108" i="7"/>
  <c r="BH105" i="7"/>
  <c r="BH104" i="7"/>
  <c r="BG105" i="7"/>
  <c r="BG104" i="7"/>
  <c r="BF105" i="7"/>
  <c r="BF104" i="7"/>
  <c r="BE105" i="7"/>
  <c r="BE104" i="7"/>
  <c r="BD105" i="7"/>
  <c r="BD104" i="7"/>
  <c r="BC105" i="7"/>
  <c r="BC104" i="7"/>
  <c r="BB104" i="7"/>
  <c r="BE98" i="7"/>
  <c r="BF98" i="7"/>
  <c r="BG98" i="7"/>
  <c r="BH98" i="7"/>
  <c r="BI98" i="7"/>
  <c r="BE99" i="7"/>
  <c r="BF99" i="7"/>
  <c r="BG99" i="7"/>
  <c r="BH99" i="7"/>
  <c r="BI99" i="7"/>
  <c r="BE100" i="7"/>
  <c r="BF100" i="7"/>
  <c r="BG100" i="7"/>
  <c r="BH100" i="7"/>
  <c r="BI100" i="7"/>
  <c r="BI97" i="7"/>
  <c r="BH97" i="7"/>
  <c r="BH96" i="7"/>
  <c r="BG97" i="7"/>
  <c r="BG96" i="7"/>
  <c r="BF96" i="7"/>
  <c r="BF97" i="7"/>
  <c r="BE97" i="7"/>
  <c r="BE96" i="7"/>
  <c r="BD100" i="7"/>
  <c r="BD99" i="7"/>
  <c r="BD98" i="7"/>
  <c r="BD97" i="7"/>
  <c r="BD96" i="7"/>
  <c r="BC100" i="7"/>
  <c r="BC99" i="7"/>
  <c r="BC98" i="7"/>
  <c r="BC97" i="7"/>
  <c r="BC96" i="7"/>
  <c r="BB96" i="7"/>
  <c r="A122" i="7"/>
  <c r="A121" i="7"/>
  <c r="A120" i="7"/>
  <c r="A117" i="7"/>
  <c r="A118" i="7"/>
  <c r="A115" i="7"/>
  <c r="A114" i="7"/>
  <c r="A113" i="7"/>
  <c r="A110" i="7"/>
  <c r="A108" i="7"/>
  <c r="A107" i="7"/>
  <c r="A106" i="7"/>
  <c r="A105" i="7"/>
  <c r="A103" i="7"/>
  <c r="A102" i="7"/>
  <c r="A100" i="7"/>
  <c r="A99" i="7"/>
  <c r="A98" i="7"/>
  <c r="A97" i="7"/>
  <c r="A94" i="7"/>
  <c r="A90" i="7"/>
  <c r="A89" i="7"/>
  <c r="A88" i="7"/>
  <c r="A87" i="7"/>
  <c r="A86" i="7"/>
  <c r="A85" i="7"/>
  <c r="A83" i="7"/>
  <c r="A82" i="7"/>
  <c r="A81" i="7"/>
  <c r="A80" i="7"/>
  <c r="A79" i="7"/>
  <c r="A78" i="7"/>
  <c r="A75" i="7"/>
  <c r="A74" i="7"/>
  <c r="A71" i="7"/>
  <c r="A67" i="7"/>
  <c r="FN118" i="4"/>
  <c r="FQ118" i="4"/>
  <c r="FT118" i="4"/>
  <c r="FW118" i="4"/>
  <c r="FN120" i="4"/>
  <c r="FO120" i="4"/>
  <c r="FQ61" i="4"/>
  <c r="FQ53" i="4"/>
  <c r="FQ62" i="4"/>
  <c r="FQ54" i="4"/>
  <c r="FQ120" i="4"/>
  <c r="FR61" i="4"/>
  <c r="FR53" i="4"/>
  <c r="FR62" i="4"/>
  <c r="FR54" i="4"/>
  <c r="FR120" i="4"/>
  <c r="FT61" i="4"/>
  <c r="FT53" i="4"/>
  <c r="FT62" i="4"/>
  <c r="FT54" i="4"/>
  <c r="FT120" i="4"/>
  <c r="FU61" i="4"/>
  <c r="FU53" i="4"/>
  <c r="FU62" i="4"/>
  <c r="FU54" i="4"/>
  <c r="FU120" i="4"/>
  <c r="FW61" i="4"/>
  <c r="FW53" i="4"/>
  <c r="FW62" i="4"/>
  <c r="FW54" i="4"/>
  <c r="FW120" i="4"/>
  <c r="FX61" i="4"/>
  <c r="FX53" i="4"/>
  <c r="FX62" i="4"/>
  <c r="FX54" i="4"/>
  <c r="FX120" i="4"/>
  <c r="FN121" i="4"/>
  <c r="FO121" i="4"/>
  <c r="FQ121" i="4"/>
  <c r="FR121" i="4"/>
  <c r="FT121" i="4"/>
  <c r="FU121" i="4"/>
  <c r="FW121" i="4"/>
  <c r="FX121" i="4"/>
  <c r="FN122" i="4"/>
  <c r="FO122" i="4"/>
  <c r="FQ63" i="4"/>
  <c r="FQ122" i="4"/>
  <c r="FR63" i="4"/>
  <c r="FR122" i="4"/>
  <c r="FT63" i="4"/>
  <c r="FT122" i="4"/>
  <c r="FU63" i="4"/>
  <c r="FU122" i="4"/>
  <c r="FW63" i="4"/>
  <c r="FW122" i="4"/>
  <c r="FX63" i="4"/>
  <c r="FX122" i="4"/>
  <c r="FE118" i="4"/>
  <c r="FH118" i="4"/>
  <c r="FK118" i="4"/>
  <c r="FE61" i="4"/>
  <c r="FE53" i="4"/>
  <c r="FE62" i="4"/>
  <c r="FE54" i="4"/>
  <c r="FE120" i="4"/>
  <c r="FF61" i="4"/>
  <c r="FF53" i="4"/>
  <c r="FF62" i="4"/>
  <c r="FF54" i="4"/>
  <c r="FF120" i="4"/>
  <c r="FH61" i="4"/>
  <c r="FH53" i="4"/>
  <c r="FH62" i="4"/>
  <c r="FH54" i="4"/>
  <c r="FH120" i="4"/>
  <c r="FI61" i="4"/>
  <c r="FI53" i="4"/>
  <c r="FI62" i="4"/>
  <c r="FI54" i="4"/>
  <c r="FI120" i="4"/>
  <c r="FK61" i="4"/>
  <c r="FK53" i="4"/>
  <c r="FK62" i="4"/>
  <c r="FK54" i="4"/>
  <c r="FK120" i="4"/>
  <c r="FL61" i="4"/>
  <c r="FL53" i="4"/>
  <c r="FL62" i="4"/>
  <c r="FL54" i="4"/>
  <c r="FL120" i="4"/>
  <c r="FE121" i="4"/>
  <c r="FF121" i="4"/>
  <c r="FH121" i="4"/>
  <c r="FI121" i="4"/>
  <c r="FK121" i="4"/>
  <c r="FL121" i="4"/>
  <c r="FE63" i="4"/>
  <c r="FE122" i="4"/>
  <c r="FF63" i="4"/>
  <c r="FF122" i="4"/>
  <c r="FH63" i="4"/>
  <c r="FH122" i="4"/>
  <c r="FI63" i="4"/>
  <c r="FI122" i="4"/>
  <c r="FK63" i="4"/>
  <c r="FK122" i="4"/>
  <c r="FL63" i="4"/>
  <c r="FL122" i="4"/>
  <c r="FC63" i="4"/>
  <c r="FC122" i="4"/>
  <c r="FC62" i="4"/>
  <c r="FC121" i="4"/>
  <c r="FC61" i="4"/>
  <c r="FC53" i="4"/>
  <c r="FC54" i="4"/>
  <c r="FC120" i="4"/>
  <c r="FB63" i="4"/>
  <c r="FB122" i="4"/>
  <c r="FB62" i="4"/>
  <c r="FB121" i="4"/>
  <c r="FB61" i="4"/>
  <c r="FB53" i="4"/>
  <c r="FB54" i="4"/>
  <c r="FB120" i="4"/>
  <c r="FB118" i="4"/>
  <c r="FN111" i="4"/>
  <c r="FQ111" i="4"/>
  <c r="FT111" i="4"/>
  <c r="FW111" i="4"/>
  <c r="FN113" i="4"/>
  <c r="FO113" i="4"/>
  <c r="FQ113" i="4"/>
  <c r="FR113" i="4"/>
  <c r="FT113" i="4"/>
  <c r="FU113" i="4"/>
  <c r="FW113" i="4"/>
  <c r="FX113" i="4"/>
  <c r="FN114" i="4"/>
  <c r="FO114" i="4"/>
  <c r="FQ114" i="4"/>
  <c r="FR114" i="4"/>
  <c r="FT114" i="4"/>
  <c r="FU114" i="4"/>
  <c r="FW114" i="4"/>
  <c r="FX114" i="4"/>
  <c r="FN115" i="4"/>
  <c r="FO115" i="4"/>
  <c r="FQ55" i="4"/>
  <c r="FQ115" i="4"/>
  <c r="FR55" i="4"/>
  <c r="FR115" i="4"/>
  <c r="FT55" i="4"/>
  <c r="FT115" i="4"/>
  <c r="FU55" i="4"/>
  <c r="FU115" i="4"/>
  <c r="FW55" i="4"/>
  <c r="FW115" i="4"/>
  <c r="FX55" i="4"/>
  <c r="FX115" i="4"/>
  <c r="FH111" i="4"/>
  <c r="FK111" i="4"/>
  <c r="FH113" i="4"/>
  <c r="FI113" i="4"/>
  <c r="FK113" i="4"/>
  <c r="FL113" i="4"/>
  <c r="FH114" i="4"/>
  <c r="FI114" i="4"/>
  <c r="FK114" i="4"/>
  <c r="FL114" i="4"/>
  <c r="FH55" i="4"/>
  <c r="FH115" i="4"/>
  <c r="FI55" i="4"/>
  <c r="FI115" i="4"/>
  <c r="FK55" i="4"/>
  <c r="FK115" i="4"/>
  <c r="FL55" i="4"/>
  <c r="FL115" i="4"/>
  <c r="FE111" i="4"/>
  <c r="FE113" i="4"/>
  <c r="FF113" i="4"/>
  <c r="FE114" i="4"/>
  <c r="FF114" i="4"/>
  <c r="FE55" i="4"/>
  <c r="FE115" i="4"/>
  <c r="FF55" i="4"/>
  <c r="FF115" i="4"/>
  <c r="FC55" i="4"/>
  <c r="FC115" i="4"/>
  <c r="FC114" i="4"/>
  <c r="FC113" i="4"/>
  <c r="FB55" i="4"/>
  <c r="FB115" i="4"/>
  <c r="FB114" i="4"/>
  <c r="FB113" i="4"/>
  <c r="FB111" i="4"/>
  <c r="FT103" i="4"/>
  <c r="FW103" i="4"/>
  <c r="FT27" i="4"/>
  <c r="FT7" i="4"/>
  <c r="FT29" i="4"/>
  <c r="FT9" i="4"/>
  <c r="FT105" i="4"/>
  <c r="FU27" i="4"/>
  <c r="FU7" i="4"/>
  <c r="FU29" i="4"/>
  <c r="FU9" i="4"/>
  <c r="FU105" i="4"/>
  <c r="FW27" i="4"/>
  <c r="FW7" i="4"/>
  <c r="FW29" i="4"/>
  <c r="FW9" i="4"/>
  <c r="FW105" i="4"/>
  <c r="FX27" i="4"/>
  <c r="FX7" i="4"/>
  <c r="FX29" i="4"/>
  <c r="FX9" i="4"/>
  <c r="FX105" i="4"/>
  <c r="FT28" i="4"/>
  <c r="FT8" i="4"/>
  <c r="FT106" i="4"/>
  <c r="FU28" i="4"/>
  <c r="FU8" i="4"/>
  <c r="FU106" i="4"/>
  <c r="FW28" i="4"/>
  <c r="FW8" i="4"/>
  <c r="FW106" i="4"/>
  <c r="FX28" i="4"/>
  <c r="FX8" i="4"/>
  <c r="FX106" i="4"/>
  <c r="FT107" i="4"/>
  <c r="FU107" i="4"/>
  <c r="FW107" i="4"/>
  <c r="FX107" i="4"/>
  <c r="FT30" i="4"/>
  <c r="FT108" i="4"/>
  <c r="FU30" i="4"/>
  <c r="FU108" i="4"/>
  <c r="FW30" i="4"/>
  <c r="FW108" i="4"/>
  <c r="FX30" i="4"/>
  <c r="FX108" i="4"/>
  <c r="FH103" i="4"/>
  <c r="FK103" i="4"/>
  <c r="FN103" i="4"/>
  <c r="FQ103" i="4"/>
  <c r="FH27" i="4"/>
  <c r="FH7" i="4"/>
  <c r="FH29" i="4"/>
  <c r="FH9" i="4"/>
  <c r="FH105" i="4"/>
  <c r="FI27" i="4"/>
  <c r="FI7" i="4"/>
  <c r="FI29" i="4"/>
  <c r="FI9" i="4"/>
  <c r="FI105" i="4"/>
  <c r="FK27" i="4"/>
  <c r="FK7" i="4"/>
  <c r="FK29" i="4"/>
  <c r="FK9" i="4"/>
  <c r="FK105" i="4"/>
  <c r="FL27" i="4"/>
  <c r="FL7" i="4"/>
  <c r="FL29" i="4"/>
  <c r="FL9" i="4"/>
  <c r="FL105" i="4"/>
  <c r="FN105" i="4"/>
  <c r="FO105" i="4"/>
  <c r="FQ27" i="4"/>
  <c r="FQ7" i="4"/>
  <c r="FQ29" i="4"/>
  <c r="FQ9" i="4"/>
  <c r="FQ105" i="4"/>
  <c r="FR27" i="4"/>
  <c r="FR7" i="4"/>
  <c r="FR29" i="4"/>
  <c r="FR9" i="4"/>
  <c r="FR105" i="4"/>
  <c r="FH28" i="4"/>
  <c r="FH8" i="4"/>
  <c r="FH106" i="4"/>
  <c r="FI28" i="4"/>
  <c r="FI8" i="4"/>
  <c r="FI106" i="4"/>
  <c r="FK28" i="4"/>
  <c r="FK8" i="4"/>
  <c r="FK106" i="4"/>
  <c r="FL28" i="4"/>
  <c r="FL8" i="4"/>
  <c r="FL106" i="4"/>
  <c r="FN106" i="4"/>
  <c r="FO106" i="4"/>
  <c r="FQ28" i="4"/>
  <c r="FQ8" i="4"/>
  <c r="FQ106" i="4"/>
  <c r="FR28" i="4"/>
  <c r="FR8" i="4"/>
  <c r="FR106" i="4"/>
  <c r="FH107" i="4"/>
  <c r="FI107" i="4"/>
  <c r="FK107" i="4"/>
  <c r="FL107" i="4"/>
  <c r="FN107" i="4"/>
  <c r="FO107" i="4"/>
  <c r="FQ107" i="4"/>
  <c r="FR107" i="4"/>
  <c r="FH30" i="4"/>
  <c r="FH108" i="4"/>
  <c r="FI30" i="4"/>
  <c r="FI108" i="4"/>
  <c r="FK30" i="4"/>
  <c r="FK108" i="4"/>
  <c r="FL30" i="4"/>
  <c r="FL108" i="4"/>
  <c r="FN108" i="4"/>
  <c r="FO108" i="4"/>
  <c r="FQ30" i="4"/>
  <c r="FQ108" i="4"/>
  <c r="FR30" i="4"/>
  <c r="FR108" i="4"/>
  <c r="FE103" i="4"/>
  <c r="FE27" i="4"/>
  <c r="FE7" i="4"/>
  <c r="FE29" i="4"/>
  <c r="FE9" i="4"/>
  <c r="FE105" i="4"/>
  <c r="FF27" i="4"/>
  <c r="FF7" i="4"/>
  <c r="FF29" i="4"/>
  <c r="FF9" i="4"/>
  <c r="FF105" i="4"/>
  <c r="FE28" i="4"/>
  <c r="FE8" i="4"/>
  <c r="FE106" i="4"/>
  <c r="FF28" i="4"/>
  <c r="FF8" i="4"/>
  <c r="FF106" i="4"/>
  <c r="FE107" i="4"/>
  <c r="FF107" i="4"/>
  <c r="FE30" i="4"/>
  <c r="FE108" i="4"/>
  <c r="FF30" i="4"/>
  <c r="FF108" i="4"/>
  <c r="FC30" i="4"/>
  <c r="FC108" i="4"/>
  <c r="FC29" i="4"/>
  <c r="FC107" i="4"/>
  <c r="FC28" i="4"/>
  <c r="FC8" i="4"/>
  <c r="FC9" i="4"/>
  <c r="FC106" i="4"/>
  <c r="FC27" i="4"/>
  <c r="FC7" i="4"/>
  <c r="FC105" i="4"/>
  <c r="FB30" i="4"/>
  <c r="FB108" i="4"/>
  <c r="FB29" i="4"/>
  <c r="FB107" i="4"/>
  <c r="FB28" i="4"/>
  <c r="FB8" i="4"/>
  <c r="FB9" i="4"/>
  <c r="FB106" i="4"/>
  <c r="FB27" i="4"/>
  <c r="FB7" i="4"/>
  <c r="FB105" i="4"/>
  <c r="FB103" i="4"/>
  <c r="FW95" i="4"/>
  <c r="FW97" i="4"/>
  <c r="FX97" i="4"/>
  <c r="FW98" i="4"/>
  <c r="FX98" i="4"/>
  <c r="FW99" i="4"/>
  <c r="FX99" i="4"/>
  <c r="FW10" i="4"/>
  <c r="FW100" i="4"/>
  <c r="FX10" i="4"/>
  <c r="FX100" i="4"/>
  <c r="FK95" i="4"/>
  <c r="FN95" i="4"/>
  <c r="FQ95" i="4"/>
  <c r="FT95" i="4"/>
  <c r="FK97" i="4"/>
  <c r="FL97" i="4"/>
  <c r="FN97" i="4"/>
  <c r="FO97" i="4"/>
  <c r="FQ97" i="4"/>
  <c r="FR97" i="4"/>
  <c r="FT97" i="4"/>
  <c r="FU97" i="4"/>
  <c r="FK98" i="4"/>
  <c r="FL98" i="4"/>
  <c r="FN98" i="4"/>
  <c r="FO98" i="4"/>
  <c r="FQ98" i="4"/>
  <c r="FR98" i="4"/>
  <c r="FT98" i="4"/>
  <c r="FU98" i="4"/>
  <c r="FK99" i="4"/>
  <c r="FL99" i="4"/>
  <c r="FN99" i="4"/>
  <c r="FO99" i="4"/>
  <c r="FQ99" i="4"/>
  <c r="FR99" i="4"/>
  <c r="FT99" i="4"/>
  <c r="FU99" i="4"/>
  <c r="FK10" i="4"/>
  <c r="FK100" i="4"/>
  <c r="FL10" i="4"/>
  <c r="FL100" i="4"/>
  <c r="FN100" i="4"/>
  <c r="FO100" i="4"/>
  <c r="FQ10" i="4"/>
  <c r="FQ100" i="4"/>
  <c r="FR10" i="4"/>
  <c r="FR100" i="4"/>
  <c r="FT10" i="4"/>
  <c r="FT100" i="4"/>
  <c r="FU10" i="4"/>
  <c r="FU100" i="4"/>
  <c r="FH95" i="4"/>
  <c r="FH97" i="4"/>
  <c r="FI97" i="4"/>
  <c r="FH98" i="4"/>
  <c r="FI98" i="4"/>
  <c r="FH99" i="4"/>
  <c r="FI99" i="4"/>
  <c r="FH10" i="4"/>
  <c r="FH100" i="4"/>
  <c r="FI10" i="4"/>
  <c r="FI100" i="4"/>
  <c r="FE95" i="4"/>
  <c r="FE97" i="4"/>
  <c r="FF97" i="4"/>
  <c r="FE98" i="4"/>
  <c r="FF98" i="4"/>
  <c r="FE99" i="4"/>
  <c r="FF99" i="4"/>
  <c r="FE10" i="4"/>
  <c r="FE100" i="4"/>
  <c r="FF10" i="4"/>
  <c r="FF100" i="4"/>
  <c r="FC10" i="4"/>
  <c r="FC100" i="4"/>
  <c r="FC99" i="4"/>
  <c r="FC98" i="4"/>
  <c r="FC97" i="4"/>
  <c r="FB10" i="4"/>
  <c r="FB100" i="4"/>
  <c r="FB99" i="4"/>
  <c r="FB98" i="4"/>
  <c r="FB97" i="4"/>
  <c r="FB95" i="4"/>
  <c r="BI74" i="6"/>
  <c r="BI71" i="6"/>
  <c r="BI67" i="6"/>
  <c r="BI63" i="6"/>
  <c r="BI62" i="6"/>
  <c r="BI61" i="6"/>
  <c r="BI55" i="6"/>
  <c r="BI54" i="6"/>
  <c r="BI53" i="6"/>
  <c r="BI48" i="6"/>
  <c r="BI43" i="6"/>
  <c r="BI38" i="6"/>
  <c r="BI37" i="6"/>
  <c r="BI36" i="6"/>
  <c r="BI35" i="6"/>
  <c r="BI30" i="6"/>
  <c r="BI29" i="6"/>
  <c r="BI28" i="6"/>
  <c r="BI27" i="6"/>
  <c r="BI21" i="6"/>
  <c r="BI20" i="6"/>
  <c r="BI19" i="6"/>
  <c r="BI18" i="6"/>
  <c r="BI17" i="6"/>
  <c r="BI16" i="6"/>
  <c r="BI15" i="6"/>
  <c r="BI10" i="6"/>
  <c r="BI9" i="6"/>
  <c r="BI8" i="6"/>
  <c r="BI7" i="6"/>
  <c r="FY80" i="4"/>
  <c r="BI63" i="7"/>
  <c r="BI62" i="7"/>
  <c r="BI61" i="7"/>
  <c r="BI55" i="7"/>
  <c r="BI54" i="7"/>
  <c r="BI53" i="7"/>
  <c r="BI48" i="7"/>
  <c r="BI43" i="7"/>
  <c r="BI38" i="7"/>
  <c r="BI37" i="7"/>
  <c r="BI36" i="7"/>
  <c r="BI35" i="7"/>
  <c r="BI30" i="7"/>
  <c r="BI29" i="7"/>
  <c r="BI28" i="7"/>
  <c r="BI27" i="7"/>
  <c r="BI21" i="7"/>
  <c r="BI20" i="7"/>
  <c r="BI19" i="7"/>
  <c r="BI18" i="7"/>
  <c r="BI17" i="7"/>
  <c r="BI16" i="7"/>
  <c r="BI15" i="7"/>
  <c r="BI10" i="7"/>
  <c r="BI9" i="7"/>
  <c r="BI8" i="7"/>
  <c r="BI7" i="7"/>
  <c r="BI14" i="6"/>
  <c r="BI26" i="6"/>
  <c r="BI34" i="6"/>
  <c r="BI42" i="6"/>
  <c r="BI47" i="6"/>
  <c r="BI52" i="6"/>
  <c r="BI60" i="6"/>
  <c r="BI66" i="6"/>
  <c r="BI70" i="6"/>
  <c r="BI73" i="6"/>
  <c r="BI60" i="7"/>
  <c r="BI52" i="7"/>
  <c r="BI47" i="7"/>
  <c r="BI42" i="7"/>
  <c r="BI34" i="7"/>
  <c r="BI26" i="7"/>
  <c r="BI14" i="7"/>
  <c r="FY89" i="4"/>
  <c r="FY87" i="4"/>
  <c r="FY86" i="4"/>
  <c r="FY75" i="4"/>
  <c r="FX48" i="4"/>
  <c r="FW48" i="4"/>
  <c r="FX43" i="4"/>
  <c r="FW43" i="4"/>
  <c r="FX38" i="4"/>
  <c r="FW38" i="4"/>
  <c r="FX37" i="4"/>
  <c r="FW37" i="4"/>
  <c r="FX36" i="4"/>
  <c r="FW36" i="4"/>
  <c r="FX35" i="4"/>
  <c r="FW35" i="4"/>
  <c r="FX21" i="4"/>
  <c r="FW21" i="4"/>
  <c r="FX20" i="4"/>
  <c r="FW20" i="4"/>
  <c r="FX19" i="4"/>
  <c r="FW19" i="4"/>
  <c r="FX18" i="4"/>
  <c r="FW18" i="4"/>
  <c r="FX17" i="4"/>
  <c r="FW17" i="4"/>
  <c r="FX16" i="4"/>
  <c r="FW16" i="4"/>
  <c r="FX15" i="4"/>
  <c r="FW15" i="4"/>
  <c r="FY90" i="4"/>
  <c r="FY88" i="4"/>
  <c r="FY83" i="4"/>
  <c r="FY81" i="4"/>
  <c r="FY76" i="4"/>
  <c r="FX76" i="4"/>
  <c r="FW76" i="4"/>
  <c r="FW25" i="4"/>
  <c r="FW66" i="4"/>
  <c r="FW70" i="4"/>
  <c r="FW73" i="4"/>
  <c r="FY64" i="4"/>
  <c r="FX64" i="4"/>
  <c r="FW64" i="4"/>
  <c r="FY60" i="4"/>
  <c r="FX60" i="4"/>
  <c r="FW60" i="4"/>
  <c r="FW59" i="4"/>
  <c r="FY56" i="4"/>
  <c r="FX56" i="4"/>
  <c r="FW56" i="4"/>
  <c r="FY52" i="4"/>
  <c r="FX52" i="4"/>
  <c r="FW52" i="4"/>
  <c r="FW51" i="4"/>
  <c r="FY47" i="4"/>
  <c r="FX47" i="4"/>
  <c r="FW47" i="4"/>
  <c r="FW46" i="4"/>
  <c r="FX44" i="4"/>
  <c r="FW44" i="4"/>
  <c r="FY42" i="4"/>
  <c r="FX42" i="4"/>
  <c r="FW42" i="4"/>
  <c r="FW41" i="4"/>
  <c r="FY34" i="4"/>
  <c r="FX34" i="4"/>
  <c r="FW34" i="4"/>
  <c r="FW33" i="4"/>
  <c r="FY26" i="4"/>
  <c r="FX26" i="4"/>
  <c r="FW26" i="4"/>
  <c r="FY14" i="4"/>
  <c r="FX14" i="4"/>
  <c r="FW14" i="4"/>
  <c r="FW13" i="4"/>
  <c r="FY11" i="4"/>
  <c r="FV89" i="4"/>
  <c r="FV87" i="4"/>
  <c r="FV86" i="4"/>
  <c r="FV80" i="4"/>
  <c r="BH74" i="6"/>
  <c r="BH71" i="6"/>
  <c r="BH67" i="6"/>
  <c r="BH63" i="6"/>
  <c r="BH62" i="6"/>
  <c r="BH61" i="6"/>
  <c r="BH55" i="6"/>
  <c r="BH54" i="6"/>
  <c r="BH53" i="6"/>
  <c r="BH48" i="6"/>
  <c r="BH43" i="6"/>
  <c r="BH38" i="6"/>
  <c r="BH37" i="6"/>
  <c r="BH36" i="6"/>
  <c r="BH35" i="6"/>
  <c r="BH30" i="6"/>
  <c r="BH29" i="6"/>
  <c r="BH28" i="6"/>
  <c r="BH27" i="6"/>
  <c r="BH21" i="6"/>
  <c r="BH20" i="6"/>
  <c r="BH19" i="6"/>
  <c r="BH18" i="6"/>
  <c r="BH17" i="6"/>
  <c r="BH16" i="6"/>
  <c r="BH15" i="6"/>
  <c r="BH10" i="6"/>
  <c r="BH9" i="6"/>
  <c r="BH8" i="6"/>
  <c r="BH7" i="6"/>
  <c r="BH14" i="6"/>
  <c r="BH26" i="6"/>
  <c r="BH34" i="6"/>
  <c r="BH42" i="6"/>
  <c r="BH47" i="6"/>
  <c r="BH52" i="6"/>
  <c r="BH60" i="6"/>
  <c r="BH66" i="6"/>
  <c r="BH70" i="6"/>
  <c r="BH73" i="6"/>
  <c r="BH63" i="7"/>
  <c r="BH62" i="7"/>
  <c r="BH61" i="7"/>
  <c r="BH55" i="7"/>
  <c r="BH54" i="7"/>
  <c r="BH53" i="7"/>
  <c r="BH48" i="7"/>
  <c r="BH43" i="7"/>
  <c r="BH38" i="7"/>
  <c r="BH37" i="7"/>
  <c r="BH36" i="7"/>
  <c r="BH35" i="7"/>
  <c r="BH30" i="7"/>
  <c r="BH29" i="7"/>
  <c r="BH28" i="7"/>
  <c r="BH27" i="7"/>
  <c r="BH21" i="7"/>
  <c r="BH20" i="7"/>
  <c r="BH19" i="7"/>
  <c r="BH18" i="7"/>
  <c r="BH17" i="7"/>
  <c r="BH16" i="7"/>
  <c r="BH15" i="7"/>
  <c r="BH10" i="7"/>
  <c r="BH9" i="7"/>
  <c r="BH8" i="7"/>
  <c r="BH7" i="7"/>
  <c r="BH14" i="7"/>
  <c r="BH26" i="7"/>
  <c r="BH34" i="7"/>
  <c r="BH42" i="7"/>
  <c r="BH47" i="7"/>
  <c r="BH52" i="7"/>
  <c r="BH60" i="7"/>
  <c r="FV75" i="4"/>
  <c r="FU48" i="4"/>
  <c r="FT48" i="4"/>
  <c r="FU43" i="4"/>
  <c r="FT43" i="4"/>
  <c r="FU38" i="4"/>
  <c r="FT38" i="4"/>
  <c r="FU37" i="4"/>
  <c r="FT37" i="4"/>
  <c r="FU36" i="4"/>
  <c r="FT36" i="4"/>
  <c r="FU35" i="4"/>
  <c r="FT35" i="4"/>
  <c r="FU21" i="4"/>
  <c r="FT21" i="4"/>
  <c r="FU20" i="4"/>
  <c r="FT20" i="4"/>
  <c r="FU19" i="4"/>
  <c r="FT19" i="4"/>
  <c r="FU18" i="4"/>
  <c r="FT18" i="4"/>
  <c r="FU17" i="4"/>
  <c r="FT17" i="4"/>
  <c r="FU16" i="4"/>
  <c r="FT16" i="4"/>
  <c r="FU15" i="4"/>
  <c r="FT15" i="4"/>
  <c r="FV11" i="4"/>
  <c r="FT13" i="4"/>
  <c r="FT14" i="4"/>
  <c r="FU14" i="4"/>
  <c r="FV14" i="4"/>
  <c r="FT25" i="4"/>
  <c r="FT66" i="4"/>
  <c r="FT70" i="4"/>
  <c r="FT73" i="4"/>
  <c r="FT26" i="4"/>
  <c r="FU26" i="4"/>
  <c r="FV26" i="4"/>
  <c r="FT33" i="4"/>
  <c r="FT34" i="4"/>
  <c r="FU34" i="4"/>
  <c r="FV34" i="4"/>
  <c r="FT41" i="4"/>
  <c r="FT42" i="4"/>
  <c r="FU42" i="4"/>
  <c r="FV42" i="4"/>
  <c r="FT44" i="4"/>
  <c r="FU44" i="4"/>
  <c r="FT46" i="4"/>
  <c r="FT47" i="4"/>
  <c r="FU47" i="4"/>
  <c r="FV47" i="4"/>
  <c r="FT51" i="4"/>
  <c r="FT52" i="4"/>
  <c r="FU52" i="4"/>
  <c r="FV52" i="4"/>
  <c r="FT56" i="4"/>
  <c r="FU56" i="4"/>
  <c r="FV56" i="4"/>
  <c r="FT59" i="4"/>
  <c r="FT60" i="4"/>
  <c r="FU60" i="4"/>
  <c r="FV60" i="4"/>
  <c r="FT64" i="4"/>
  <c r="FU64" i="4"/>
  <c r="FV64" i="4"/>
  <c r="FT76" i="4"/>
  <c r="FU76" i="4"/>
  <c r="FV76" i="4"/>
  <c r="FV81" i="4"/>
  <c r="FV83" i="4"/>
  <c r="FV88" i="4"/>
  <c r="FV90" i="4"/>
  <c r="C80" i="10"/>
  <c r="FD75" i="4"/>
  <c r="FD48" i="4"/>
  <c r="FC48" i="4"/>
  <c r="FB48" i="4"/>
  <c r="FD38" i="4"/>
  <c r="FC38" i="4"/>
  <c r="FB38" i="4"/>
  <c r="FD37" i="4"/>
  <c r="FC37" i="4"/>
  <c r="FB37" i="4"/>
  <c r="FD36" i="4"/>
  <c r="FC36" i="4"/>
  <c r="FB36" i="4"/>
  <c r="FD35" i="4"/>
  <c r="FC35" i="4"/>
  <c r="FB35" i="4"/>
  <c r="FB56" i="4"/>
  <c r="FS89" i="4"/>
  <c r="FS87" i="4"/>
  <c r="FS86" i="4"/>
  <c r="FS80" i="4"/>
  <c r="FS81" i="4"/>
  <c r="BG74" i="6"/>
  <c r="BG71" i="6"/>
  <c r="BG67" i="6"/>
  <c r="BG63" i="6"/>
  <c r="BG62" i="6"/>
  <c r="BG61" i="6"/>
  <c r="BG55" i="6"/>
  <c r="BG54" i="6"/>
  <c r="BG53" i="6"/>
  <c r="BG48" i="6"/>
  <c r="BG43" i="6"/>
  <c r="BG38" i="6"/>
  <c r="BG37" i="6"/>
  <c r="BG36" i="6"/>
  <c r="BG35" i="6"/>
  <c r="BG30" i="6"/>
  <c r="BG29" i="6"/>
  <c r="BG28" i="6"/>
  <c r="BG27" i="6"/>
  <c r="BG21" i="6"/>
  <c r="BG20" i="6"/>
  <c r="BG19" i="6"/>
  <c r="BG18" i="6"/>
  <c r="BG17" i="6"/>
  <c r="BG16" i="6"/>
  <c r="BG15" i="6"/>
  <c r="BG10" i="6"/>
  <c r="BG9" i="6"/>
  <c r="BG8" i="6"/>
  <c r="BG7" i="6"/>
  <c r="BG14" i="6"/>
  <c r="BG26" i="6"/>
  <c r="BG34" i="6"/>
  <c r="BG42" i="6"/>
  <c r="BG47" i="6"/>
  <c r="BG52" i="6"/>
  <c r="BG60" i="6"/>
  <c r="BG66" i="6"/>
  <c r="BG70" i="6"/>
  <c r="BG73" i="6"/>
  <c r="BG63" i="7"/>
  <c r="BG62" i="7"/>
  <c r="BG61" i="7"/>
  <c r="BG55" i="7"/>
  <c r="BG54" i="7"/>
  <c r="BG53" i="7"/>
  <c r="BG48" i="7"/>
  <c r="BG43" i="7"/>
  <c r="BG38" i="7"/>
  <c r="BG37" i="7"/>
  <c r="BG36" i="7"/>
  <c r="BG35" i="7"/>
  <c r="BG30" i="7"/>
  <c r="BG29" i="7"/>
  <c r="BG28" i="7"/>
  <c r="BG27" i="7"/>
  <c r="BG21" i="7"/>
  <c r="BG20" i="7"/>
  <c r="BG19" i="7"/>
  <c r="BG18" i="7"/>
  <c r="BG17" i="7"/>
  <c r="BG16" i="7"/>
  <c r="BG15" i="7"/>
  <c r="BG10" i="7"/>
  <c r="BG9" i="7"/>
  <c r="BG8" i="7"/>
  <c r="BG7" i="7"/>
  <c r="BG14" i="7"/>
  <c r="BG26" i="7"/>
  <c r="BG34" i="7"/>
  <c r="BG42" i="7"/>
  <c r="BG47" i="7"/>
  <c r="BG52" i="7"/>
  <c r="BG60" i="7"/>
  <c r="FS75" i="4"/>
  <c r="FR48" i="4"/>
  <c r="FQ48" i="4"/>
  <c r="FR43" i="4"/>
  <c r="FQ43" i="4"/>
  <c r="FR38" i="4"/>
  <c r="FQ38" i="4"/>
  <c r="FR37" i="4"/>
  <c r="FQ37" i="4"/>
  <c r="FR36" i="4"/>
  <c r="FQ36" i="4"/>
  <c r="FR35" i="4"/>
  <c r="FQ35" i="4"/>
  <c r="FR21" i="4"/>
  <c r="FQ21" i="4"/>
  <c r="FR20" i="4"/>
  <c r="FQ20" i="4"/>
  <c r="FR19" i="4"/>
  <c r="FQ19" i="4"/>
  <c r="FR18" i="4"/>
  <c r="FQ18" i="4"/>
  <c r="FR17" i="4"/>
  <c r="FQ17" i="4"/>
  <c r="FR16" i="4"/>
  <c r="FQ16" i="4"/>
  <c r="FR15" i="4"/>
  <c r="FQ15" i="4"/>
  <c r="FS11" i="4"/>
  <c r="FQ13" i="4"/>
  <c r="FQ14" i="4"/>
  <c r="FR14" i="4"/>
  <c r="FS14" i="4"/>
  <c r="FQ25" i="4"/>
  <c r="FQ26" i="4"/>
  <c r="FR26" i="4"/>
  <c r="FS26" i="4"/>
  <c r="FQ33" i="4"/>
  <c r="FQ34" i="4"/>
  <c r="FR34" i="4"/>
  <c r="FS34" i="4"/>
  <c r="FQ41" i="4"/>
  <c r="FQ42" i="4"/>
  <c r="FR42" i="4"/>
  <c r="FS42" i="4"/>
  <c r="FQ44" i="4"/>
  <c r="FR44" i="4"/>
  <c r="FQ46" i="4"/>
  <c r="FQ47" i="4"/>
  <c r="FR47" i="4"/>
  <c r="FS47" i="4"/>
  <c r="FQ51" i="4"/>
  <c r="FQ52" i="4"/>
  <c r="FR52" i="4"/>
  <c r="FS52" i="4"/>
  <c r="FQ56" i="4"/>
  <c r="FR56" i="4"/>
  <c r="FS56" i="4"/>
  <c r="FQ59" i="4"/>
  <c r="FQ60" i="4"/>
  <c r="FR60" i="4"/>
  <c r="FS60" i="4"/>
  <c r="FQ64" i="4"/>
  <c r="FR64" i="4"/>
  <c r="FS64" i="4"/>
  <c r="FQ66" i="4"/>
  <c r="FQ70" i="4"/>
  <c r="FQ73" i="4"/>
  <c r="FQ76" i="4"/>
  <c r="FR76" i="4"/>
  <c r="FS76" i="4"/>
  <c r="FS83" i="4"/>
  <c r="FS88" i="4"/>
  <c r="FS90" i="4"/>
  <c r="FP89" i="4"/>
  <c r="FP87" i="4"/>
  <c r="FP88" i="4"/>
  <c r="FP86" i="4"/>
  <c r="FP80" i="4"/>
  <c r="B31" i="9"/>
  <c r="FD74" i="4"/>
  <c r="FD71" i="4"/>
  <c r="FD67" i="4"/>
  <c r="FD43" i="4"/>
  <c r="FC43" i="4"/>
  <c r="FB43" i="4"/>
  <c r="FD21" i="4"/>
  <c r="FC21" i="4"/>
  <c r="FB21" i="4"/>
  <c r="FD20" i="4"/>
  <c r="FC20" i="4"/>
  <c r="FB20" i="4"/>
  <c r="FD19" i="4"/>
  <c r="FC19" i="4"/>
  <c r="FB19" i="4"/>
  <c r="FD18" i="4"/>
  <c r="FC18" i="4"/>
  <c r="FB18" i="4"/>
  <c r="FD17" i="4"/>
  <c r="FC17" i="4"/>
  <c r="FB17" i="4"/>
  <c r="FD16" i="4"/>
  <c r="FC16" i="4"/>
  <c r="FB16" i="4"/>
  <c r="FD15" i="4"/>
  <c r="FC15" i="4"/>
  <c r="FB15" i="4"/>
  <c r="D11" i="10"/>
  <c r="BF63" i="7"/>
  <c r="BF62" i="7"/>
  <c r="BF61" i="7"/>
  <c r="BF55" i="7"/>
  <c r="BF54" i="7"/>
  <c r="BF53" i="7"/>
  <c r="BF48" i="7"/>
  <c r="BF43" i="7"/>
  <c r="BF38" i="7"/>
  <c r="BF37" i="7"/>
  <c r="BF36" i="7"/>
  <c r="BF35" i="7"/>
  <c r="BF30" i="7"/>
  <c r="BF29" i="7"/>
  <c r="BF28" i="7"/>
  <c r="BF27" i="7"/>
  <c r="BF21" i="7"/>
  <c r="BF20" i="7"/>
  <c r="BF19" i="7"/>
  <c r="BF18" i="7"/>
  <c r="BF17" i="7"/>
  <c r="BF16" i="7"/>
  <c r="BF15" i="7"/>
  <c r="BF10" i="7"/>
  <c r="BF9" i="7"/>
  <c r="BF8" i="7"/>
  <c r="BF7" i="7"/>
  <c r="BF74" i="6"/>
  <c r="BF71" i="6"/>
  <c r="BF67" i="6"/>
  <c r="BF63" i="6"/>
  <c r="BF62" i="6"/>
  <c r="BF61" i="6"/>
  <c r="BF55" i="6"/>
  <c r="BF54" i="6"/>
  <c r="BF53" i="6"/>
  <c r="BF48" i="6"/>
  <c r="FD44" i="4"/>
  <c r="BF43" i="6"/>
  <c r="BF38" i="6"/>
  <c r="BF37" i="6"/>
  <c r="BF36" i="6"/>
  <c r="BF35" i="6"/>
  <c r="BF30" i="6"/>
  <c r="BF29" i="6"/>
  <c r="BF28" i="6"/>
  <c r="BF27" i="6"/>
  <c r="BF21" i="6"/>
  <c r="BF20" i="6"/>
  <c r="BF19" i="6"/>
  <c r="BF18" i="6"/>
  <c r="BF17" i="6"/>
  <c r="BF16" i="6"/>
  <c r="BF15" i="6"/>
  <c r="BF8" i="6"/>
  <c r="BF9" i="6"/>
  <c r="BF10" i="6"/>
  <c r="BF7" i="6"/>
  <c r="BF14" i="6"/>
  <c r="BF26" i="6"/>
  <c r="BF34" i="6"/>
  <c r="BF42" i="6"/>
  <c r="BF47" i="6"/>
  <c r="BF52" i="6"/>
  <c r="BF60" i="6"/>
  <c r="BF66" i="6"/>
  <c r="BF70" i="6"/>
  <c r="BF73" i="6"/>
  <c r="BF14" i="7"/>
  <c r="BF26" i="7"/>
  <c r="BF34" i="7"/>
  <c r="BF42" i="7"/>
  <c r="BF47" i="7"/>
  <c r="BF52" i="7"/>
  <c r="BF60" i="7"/>
  <c r="FN41" i="4"/>
  <c r="FP11" i="4"/>
  <c r="FN56" i="4"/>
  <c r="FN44" i="4"/>
  <c r="FN13" i="4"/>
  <c r="FN14" i="4"/>
  <c r="FO14" i="4"/>
  <c r="FP14" i="4"/>
  <c r="FN25" i="4"/>
  <c r="FN26" i="4"/>
  <c r="FO26" i="4"/>
  <c r="FP26" i="4"/>
  <c r="FN33" i="4"/>
  <c r="FN34" i="4"/>
  <c r="FO34" i="4"/>
  <c r="FP34" i="4"/>
  <c r="FN42" i="4"/>
  <c r="FO42" i="4"/>
  <c r="FP42" i="4"/>
  <c r="FO44" i="4"/>
  <c r="FN46" i="4"/>
  <c r="FN47" i="4"/>
  <c r="FO47" i="4"/>
  <c r="FP47" i="4"/>
  <c r="FN51" i="4"/>
  <c r="FN52" i="4"/>
  <c r="FO52" i="4"/>
  <c r="FP52" i="4"/>
  <c r="FO56" i="4"/>
  <c r="FN59" i="4"/>
  <c r="FN60" i="4"/>
  <c r="FO60" i="4"/>
  <c r="FP60" i="4"/>
  <c r="FO64" i="4"/>
  <c r="FN64" i="4"/>
  <c r="FP64" i="4"/>
  <c r="FN66" i="4"/>
  <c r="FN70" i="4"/>
  <c r="FN73" i="4"/>
  <c r="FP76" i="4"/>
  <c r="FN76" i="4"/>
  <c r="FO76" i="4"/>
  <c r="FP81" i="4"/>
  <c r="FP83" i="4"/>
  <c r="FP90" i="4"/>
  <c r="FP56" i="4"/>
  <c r="FM89" i="4"/>
  <c r="FM86" i="4"/>
  <c r="FM87" i="4"/>
  <c r="FM88" i="4"/>
  <c r="FM80" i="4"/>
  <c r="FM81" i="4"/>
  <c r="FA71" i="4"/>
  <c r="BE71" i="6"/>
  <c r="FA67" i="4"/>
  <c r="BE67" i="6"/>
  <c r="FA55" i="4"/>
  <c r="BE55" i="6"/>
  <c r="FA35" i="4"/>
  <c r="BE35" i="6"/>
  <c r="FA27" i="4"/>
  <c r="BE27" i="6"/>
  <c r="FA18" i="4"/>
  <c r="BE18" i="6"/>
  <c r="FA7" i="4"/>
  <c r="BE7" i="6"/>
  <c r="BE14" i="6"/>
  <c r="BE26" i="6"/>
  <c r="BE34" i="6"/>
  <c r="BE42" i="6"/>
  <c r="BE47" i="6"/>
  <c r="BE52" i="6"/>
  <c r="BE60" i="6"/>
  <c r="BE66" i="6"/>
  <c r="BE70" i="6"/>
  <c r="BE73" i="6"/>
  <c r="BE55" i="7"/>
  <c r="BE35" i="7"/>
  <c r="BE27" i="7"/>
  <c r="BE18" i="7"/>
  <c r="BE7" i="7"/>
  <c r="BE60" i="7"/>
  <c r="BE52" i="7"/>
  <c r="BE47" i="7"/>
  <c r="BE42" i="7"/>
  <c r="BE34" i="7"/>
  <c r="BE26" i="7"/>
  <c r="BE14" i="7"/>
  <c r="FM75" i="4"/>
  <c r="FA74" i="4"/>
  <c r="BE74" i="6"/>
  <c r="FL64" i="4"/>
  <c r="FA62" i="4"/>
  <c r="BE62" i="6"/>
  <c r="BE61" i="7"/>
  <c r="FA54" i="4"/>
  <c r="BE54" i="6"/>
  <c r="FA53" i="4"/>
  <c r="BE53" i="6"/>
  <c r="BE48" i="7"/>
  <c r="FL48" i="4"/>
  <c r="FL43" i="4"/>
  <c r="FL44" i="4"/>
  <c r="FA38" i="4"/>
  <c r="BE38" i="6"/>
  <c r="FL38" i="4"/>
  <c r="FA37" i="4"/>
  <c r="BE37" i="6"/>
  <c r="FL37" i="4"/>
  <c r="FA36" i="4"/>
  <c r="BE36" i="6"/>
  <c r="FL36" i="4"/>
  <c r="FL35" i="4"/>
  <c r="FA30" i="4"/>
  <c r="BE30" i="6"/>
  <c r="FA29" i="4"/>
  <c r="BE29" i="6"/>
  <c r="FA28" i="4"/>
  <c r="BE28" i="6"/>
  <c r="FA21" i="4"/>
  <c r="BE21" i="6"/>
  <c r="FL21" i="4"/>
  <c r="FA20" i="4"/>
  <c r="BE20" i="6"/>
  <c r="FL20" i="4"/>
  <c r="FA19" i="4"/>
  <c r="BE19" i="6"/>
  <c r="FL19" i="4"/>
  <c r="FL18" i="4"/>
  <c r="FA17" i="4"/>
  <c r="BE17" i="6"/>
  <c r="FL17" i="4"/>
  <c r="FA16" i="4"/>
  <c r="BE16" i="6"/>
  <c r="FL16" i="4"/>
  <c r="FA15" i="4"/>
  <c r="BE15" i="6"/>
  <c r="FL15" i="4"/>
  <c r="FA9" i="4"/>
  <c r="BE9" i="6"/>
  <c r="FA8" i="4"/>
  <c r="BE8" i="6"/>
  <c r="FK48" i="4"/>
  <c r="FK43" i="4"/>
  <c r="FK44" i="4"/>
  <c r="FK38" i="4"/>
  <c r="FK37" i="4"/>
  <c r="FK36" i="4"/>
  <c r="FK35" i="4"/>
  <c r="FK21" i="4"/>
  <c r="FK20" i="4"/>
  <c r="FK19" i="4"/>
  <c r="FK18" i="4"/>
  <c r="FK17" i="4"/>
  <c r="FK16" i="4"/>
  <c r="FK15" i="4"/>
  <c r="FM90" i="4"/>
  <c r="FM83" i="4"/>
  <c r="FL76" i="4"/>
  <c r="FK76" i="4"/>
  <c r="FK64" i="4"/>
  <c r="FM60" i="4"/>
  <c r="FL60" i="4"/>
  <c r="FK60" i="4"/>
  <c r="FK59" i="4"/>
  <c r="FM56" i="4"/>
  <c r="FM52" i="4"/>
  <c r="FL52" i="4"/>
  <c r="FK52" i="4"/>
  <c r="FK51" i="4"/>
  <c r="FM47" i="4"/>
  <c r="FL47" i="4"/>
  <c r="FK47" i="4"/>
  <c r="FK46" i="4"/>
  <c r="FA43" i="4"/>
  <c r="FA44" i="4"/>
  <c r="BE43" i="6"/>
  <c r="FM42" i="4"/>
  <c r="FL42" i="4"/>
  <c r="FK42" i="4"/>
  <c r="FK41" i="4"/>
  <c r="FM34" i="4"/>
  <c r="FL34" i="4"/>
  <c r="FK34" i="4"/>
  <c r="FK33" i="4"/>
  <c r="FM26" i="4"/>
  <c r="FL26" i="4"/>
  <c r="FK26" i="4"/>
  <c r="FK25" i="4"/>
  <c r="FK66" i="4"/>
  <c r="FK70" i="4"/>
  <c r="FK73" i="4"/>
  <c r="FM14" i="4"/>
  <c r="FL14" i="4"/>
  <c r="FK14" i="4"/>
  <c r="FK13" i="4"/>
  <c r="BE10" i="7"/>
  <c r="BE43" i="7"/>
  <c r="FA10" i="4"/>
  <c r="BE10" i="6"/>
  <c r="BE19" i="7"/>
  <c r="BE36" i="7"/>
  <c r="FA48" i="4"/>
  <c r="BE48" i="6"/>
  <c r="FA61" i="4"/>
  <c r="BE61" i="6"/>
  <c r="FM76" i="4"/>
  <c r="BE8" i="7"/>
  <c r="BE16" i="7"/>
  <c r="BE20" i="7"/>
  <c r="BE29" i="7"/>
  <c r="BE37" i="7"/>
  <c r="BE53" i="7"/>
  <c r="BE62" i="7"/>
  <c r="BE15" i="7"/>
  <c r="BE28" i="7"/>
  <c r="FM64" i="4"/>
  <c r="BE9" i="7"/>
  <c r="BE17" i="7"/>
  <c r="BE21" i="7"/>
  <c r="BE30" i="7"/>
  <c r="BE38" i="7"/>
  <c r="BE54" i="7"/>
  <c r="BE63" i="7"/>
  <c r="FA63" i="4"/>
  <c r="BE63" i="6"/>
  <c r="FM11" i="4"/>
  <c r="FL56" i="4"/>
  <c r="FK56" i="4"/>
  <c r="FJ80" i="4"/>
  <c r="FJ89" i="4"/>
  <c r="FJ87" i="4"/>
  <c r="BD14" i="6"/>
  <c r="BD26" i="6"/>
  <c r="BD34" i="6"/>
  <c r="BD42" i="6"/>
  <c r="BD47" i="6"/>
  <c r="BD52" i="6"/>
  <c r="BD60" i="6"/>
  <c r="BD66" i="6"/>
  <c r="BD70" i="6"/>
  <c r="BD73" i="6"/>
  <c r="BD60" i="7"/>
  <c r="BD52" i="7"/>
  <c r="BD47" i="7"/>
  <c r="BD42" i="7"/>
  <c r="BD34" i="7"/>
  <c r="BD26" i="7"/>
  <c r="BD14" i="7"/>
  <c r="FJ75" i="4"/>
  <c r="FJ76" i="4"/>
  <c r="FI64" i="4"/>
  <c r="FI48" i="4"/>
  <c r="FH48" i="4"/>
  <c r="FI43" i="4"/>
  <c r="FH43" i="4"/>
  <c r="FI38" i="4"/>
  <c r="FH38" i="4"/>
  <c r="FI37" i="4"/>
  <c r="FH37" i="4"/>
  <c r="FI36" i="4"/>
  <c r="FH36" i="4"/>
  <c r="FI35" i="4"/>
  <c r="FH35" i="4"/>
  <c r="FI21" i="4"/>
  <c r="FH21" i="4"/>
  <c r="FI20" i="4"/>
  <c r="FH20" i="4"/>
  <c r="FI19" i="4"/>
  <c r="FH19" i="4"/>
  <c r="FI18" i="4"/>
  <c r="FH18" i="4"/>
  <c r="FI17" i="4"/>
  <c r="FH17" i="4"/>
  <c r="FI16" i="4"/>
  <c r="FH16" i="4"/>
  <c r="FI15" i="4"/>
  <c r="FH15" i="4"/>
  <c r="FJ90" i="4"/>
  <c r="FJ88" i="4"/>
  <c r="FJ83" i="4"/>
  <c r="FJ81" i="4"/>
  <c r="FI76" i="4"/>
  <c r="FH76" i="4"/>
  <c r="FJ64" i="4"/>
  <c r="FH64" i="4"/>
  <c r="FJ60" i="4"/>
  <c r="FI60" i="4"/>
  <c r="FH60" i="4"/>
  <c r="FH59" i="4"/>
  <c r="FJ52" i="4"/>
  <c r="FI52" i="4"/>
  <c r="FH52" i="4"/>
  <c r="FH51" i="4"/>
  <c r="FJ47" i="4"/>
  <c r="FI47" i="4"/>
  <c r="FH47" i="4"/>
  <c r="FH46" i="4"/>
  <c r="FH44" i="4"/>
  <c r="FI44" i="4"/>
  <c r="FJ42" i="4"/>
  <c r="FI42" i="4"/>
  <c r="FH42" i="4"/>
  <c r="FH41" i="4"/>
  <c r="FJ34" i="4"/>
  <c r="FI34" i="4"/>
  <c r="FH34" i="4"/>
  <c r="FH33" i="4"/>
  <c r="FJ26" i="4"/>
  <c r="FI26" i="4"/>
  <c r="FH26" i="4"/>
  <c r="FH25" i="4"/>
  <c r="FH66" i="4"/>
  <c r="FH70" i="4"/>
  <c r="FH73" i="4"/>
  <c r="FJ14" i="4"/>
  <c r="FI14" i="4"/>
  <c r="FH14" i="4"/>
  <c r="FH13" i="4"/>
  <c r="FJ56" i="4"/>
  <c r="FJ11" i="4"/>
  <c r="FH56" i="4"/>
  <c r="FI56" i="4"/>
  <c r="BC14" i="6"/>
  <c r="BC26" i="6"/>
  <c r="BC34" i="6"/>
  <c r="BC42" i="6"/>
  <c r="BC47" i="6"/>
  <c r="BC52" i="6"/>
  <c r="BC60" i="6"/>
  <c r="BC66" i="6"/>
  <c r="BC70" i="6"/>
  <c r="BC73" i="6"/>
  <c r="BC60" i="7"/>
  <c r="BC52" i="7"/>
  <c r="BC47" i="7"/>
  <c r="BC42" i="7"/>
  <c r="BC34" i="7"/>
  <c r="BC26" i="7"/>
  <c r="BC14" i="7"/>
  <c r="FG89" i="4"/>
  <c r="FG90" i="4"/>
  <c r="FG87" i="4"/>
  <c r="FG88" i="4"/>
  <c r="EX87" i="4"/>
  <c r="FG80" i="4"/>
  <c r="FG75" i="4"/>
  <c r="FF48" i="4"/>
  <c r="FE48" i="4"/>
  <c r="FF43" i="4"/>
  <c r="FE43" i="4"/>
  <c r="FF38" i="4"/>
  <c r="FE38" i="4"/>
  <c r="FF37" i="4"/>
  <c r="FE37" i="4"/>
  <c r="FF36" i="4"/>
  <c r="FE36" i="4"/>
  <c r="FF35" i="4"/>
  <c r="FE35" i="4"/>
  <c r="FF21" i="4"/>
  <c r="FE21" i="4"/>
  <c r="FF20" i="4"/>
  <c r="FE20" i="4"/>
  <c r="FF19" i="4"/>
  <c r="FE19" i="4"/>
  <c r="FF18" i="4"/>
  <c r="FE18" i="4"/>
  <c r="FF17" i="4"/>
  <c r="FE17" i="4"/>
  <c r="FF16" i="4"/>
  <c r="FE16" i="4"/>
  <c r="FF15" i="4"/>
  <c r="FE15" i="4"/>
  <c r="FG83" i="4"/>
  <c r="FG81" i="4"/>
  <c r="FF76" i="4"/>
  <c r="FE76" i="4"/>
  <c r="FG64" i="4"/>
  <c r="FG60" i="4"/>
  <c r="FF60" i="4"/>
  <c r="FE60" i="4"/>
  <c r="FE59" i="4"/>
  <c r="FG52" i="4"/>
  <c r="FF52" i="4"/>
  <c r="FE52" i="4"/>
  <c r="FE51" i="4"/>
  <c r="FG47" i="4"/>
  <c r="FF47" i="4"/>
  <c r="FE47" i="4"/>
  <c r="FE46" i="4"/>
  <c r="FG42" i="4"/>
  <c r="FF42" i="4"/>
  <c r="FE42" i="4"/>
  <c r="FE41" i="4"/>
  <c r="FG34" i="4"/>
  <c r="FF34" i="4"/>
  <c r="FE34" i="4"/>
  <c r="FE33" i="4"/>
  <c r="FG26" i="4"/>
  <c r="FF26" i="4"/>
  <c r="FE26" i="4"/>
  <c r="FE25" i="4"/>
  <c r="FE66" i="4"/>
  <c r="FE70" i="4"/>
  <c r="FE73" i="4"/>
  <c r="FG14" i="4"/>
  <c r="FF14" i="4"/>
  <c r="FE14" i="4"/>
  <c r="FE13" i="4"/>
  <c r="BD15" i="7"/>
  <c r="BD19" i="7"/>
  <c r="BD28" i="7"/>
  <c r="BD36" i="7"/>
  <c r="BD9" i="7"/>
  <c r="BD18" i="7"/>
  <c r="BD27" i="7"/>
  <c r="BD35" i="7"/>
  <c r="BD55" i="7"/>
  <c r="BD8" i="7"/>
  <c r="BD17" i="7"/>
  <c r="BD21" i="7"/>
  <c r="BD30" i="7"/>
  <c r="BD38" i="7"/>
  <c r="BD54" i="7"/>
  <c r="BD63" i="7"/>
  <c r="BD16" i="7"/>
  <c r="BD20" i="7"/>
  <c r="BD29" i="7"/>
  <c r="BD37" i="7"/>
  <c r="BD53" i="7"/>
  <c r="BD62" i="7"/>
  <c r="BD7" i="7"/>
  <c r="BD48" i="7"/>
  <c r="BD61" i="7"/>
  <c r="FE44" i="4"/>
  <c r="BD43" i="7"/>
  <c r="BC54" i="7"/>
  <c r="FF56" i="4"/>
  <c r="FF44" i="4"/>
  <c r="FE64" i="4"/>
  <c r="FF64" i="4"/>
  <c r="FG76" i="4"/>
  <c r="FG56" i="4"/>
  <c r="FE56" i="4"/>
  <c r="ER7" i="4"/>
  <c r="ER8" i="4"/>
  <c r="EP9" i="4"/>
  <c r="EQ9" i="4"/>
  <c r="BB14" i="6"/>
  <c r="BB26" i="6"/>
  <c r="BB34" i="6"/>
  <c r="BB42" i="6"/>
  <c r="BB47" i="6"/>
  <c r="BB52" i="6"/>
  <c r="BB60" i="6"/>
  <c r="BB66" i="6"/>
  <c r="BB70" i="6"/>
  <c r="BB73" i="6"/>
  <c r="BB60" i="7"/>
  <c r="BB52" i="7"/>
  <c r="BB47" i="7"/>
  <c r="BB42" i="7"/>
  <c r="BB34" i="7"/>
  <c r="BB26" i="7"/>
  <c r="BB14" i="7"/>
  <c r="FD89" i="4"/>
  <c r="FD87" i="4"/>
  <c r="FD80" i="4"/>
  <c r="ER75" i="4"/>
  <c r="ER74" i="4"/>
  <c r="BC63" i="7"/>
  <c r="EQ63" i="4"/>
  <c r="EQ64" i="4"/>
  <c r="EQ62" i="4"/>
  <c r="EQ61" i="4"/>
  <c r="EP63" i="4"/>
  <c r="EP64" i="4"/>
  <c r="EP62" i="4"/>
  <c r="EP61" i="4"/>
  <c r="BC55" i="7"/>
  <c r="EQ55" i="4"/>
  <c r="EQ54" i="4"/>
  <c r="EQ53" i="4"/>
  <c r="EP55" i="4"/>
  <c r="EP54" i="4"/>
  <c r="EP53" i="4"/>
  <c r="BC38" i="7"/>
  <c r="BC37" i="7"/>
  <c r="BC35" i="7"/>
  <c r="EQ38" i="4"/>
  <c r="EQ37" i="4"/>
  <c r="EQ36" i="4"/>
  <c r="EQ35" i="4"/>
  <c r="EP38" i="4"/>
  <c r="EP37" i="4"/>
  <c r="EP36" i="4"/>
  <c r="EP35" i="4"/>
  <c r="EY37" i="4"/>
  <c r="EZ38" i="4"/>
  <c r="EY38" i="4"/>
  <c r="EZ37" i="4"/>
  <c r="EZ36" i="4"/>
  <c r="EY36" i="4"/>
  <c r="EZ35" i="4"/>
  <c r="EY35" i="4"/>
  <c r="ER71" i="4"/>
  <c r="ER35" i="4"/>
  <c r="BB35" i="7"/>
  <c r="ER36" i="4"/>
  <c r="ER37" i="4"/>
  <c r="ER53" i="4"/>
  <c r="ER38" i="4"/>
  <c r="ER54" i="4"/>
  <c r="ER61" i="4"/>
  <c r="ER55" i="4"/>
  <c r="ER62" i="4"/>
  <c r="ER63" i="4"/>
  <c r="ER67" i="4"/>
  <c r="BC30" i="7"/>
  <c r="ER29" i="4"/>
  <c r="ER30" i="4"/>
  <c r="EQ30" i="4"/>
  <c r="EQ29" i="4"/>
  <c r="EQ28" i="4"/>
  <c r="EQ27" i="4"/>
  <c r="EP30" i="4"/>
  <c r="EP29" i="4"/>
  <c r="EP28" i="4"/>
  <c r="ER27" i="4"/>
  <c r="ER28" i="4"/>
  <c r="EP27" i="4"/>
  <c r="BC19" i="7"/>
  <c r="BC18" i="7"/>
  <c r="BC17" i="7"/>
  <c r="BC15" i="7"/>
  <c r="EQ21" i="4"/>
  <c r="EQ20" i="4"/>
  <c r="EQ19" i="4"/>
  <c r="EQ18" i="4"/>
  <c r="EQ17" i="4"/>
  <c r="EQ16" i="4"/>
  <c r="EQ15" i="4"/>
  <c r="EP21" i="4"/>
  <c r="EP20" i="4"/>
  <c r="EP19" i="4"/>
  <c r="EP18" i="4"/>
  <c r="EP17" i="4"/>
  <c r="EP16" i="4"/>
  <c r="EP15" i="4"/>
  <c r="BB8" i="6"/>
  <c r="BB7" i="6"/>
  <c r="EQ8" i="4"/>
  <c r="EQ7" i="4"/>
  <c r="EP8" i="4"/>
  <c r="EP7" i="4"/>
  <c r="EQ48" i="4"/>
  <c r="EP48" i="4"/>
  <c r="ER43" i="4"/>
  <c r="FC44" i="4"/>
  <c r="EQ43" i="4"/>
  <c r="EP43" i="4"/>
  <c r="EW43" i="4"/>
  <c r="EW44" i="4"/>
  <c r="ER19" i="4"/>
  <c r="ER20" i="4"/>
  <c r="ER21" i="4"/>
  <c r="ER18" i="4"/>
  <c r="ER48" i="4"/>
  <c r="ER15" i="4"/>
  <c r="ER16" i="4"/>
  <c r="ER17" i="4"/>
  <c r="FD88" i="4"/>
  <c r="FD90" i="4"/>
  <c r="FD83" i="4"/>
  <c r="FD81" i="4"/>
  <c r="FC76" i="4"/>
  <c r="FB76" i="4"/>
  <c r="FC64" i="4"/>
  <c r="FB64" i="4"/>
  <c r="FD60" i="4"/>
  <c r="FC60" i="4"/>
  <c r="FB60" i="4"/>
  <c r="FB59" i="4"/>
  <c r="FD52" i="4"/>
  <c r="FC52" i="4"/>
  <c r="FB52" i="4"/>
  <c r="FB51" i="4"/>
  <c r="FD47" i="4"/>
  <c r="FC47" i="4"/>
  <c r="FB47" i="4"/>
  <c r="FB46" i="4"/>
  <c r="FB44" i="4"/>
  <c r="FD42" i="4"/>
  <c r="FC42" i="4"/>
  <c r="FB42" i="4"/>
  <c r="FB41" i="4"/>
  <c r="FD34" i="4"/>
  <c r="FC34" i="4"/>
  <c r="FB34" i="4"/>
  <c r="FB33" i="4"/>
  <c r="FD26" i="4"/>
  <c r="FC26" i="4"/>
  <c r="FB26" i="4"/>
  <c r="FB25" i="4"/>
  <c r="FB66" i="4"/>
  <c r="FB70" i="4"/>
  <c r="FB73" i="4"/>
  <c r="FD14" i="4"/>
  <c r="FC14" i="4"/>
  <c r="FB14" i="4"/>
  <c r="FB13" i="4"/>
  <c r="FA80" i="4"/>
  <c r="BA14" i="6"/>
  <c r="BA26" i="6"/>
  <c r="BA34" i="6"/>
  <c r="BA42" i="6"/>
  <c r="BA47" i="6"/>
  <c r="BA52" i="6"/>
  <c r="BA60" i="6"/>
  <c r="BA66" i="6"/>
  <c r="BA70" i="6"/>
  <c r="BA73" i="6"/>
  <c r="BA60" i="7"/>
  <c r="BA52" i="7"/>
  <c r="BA47" i="7"/>
  <c r="BA42" i="7"/>
  <c r="BA34" i="7"/>
  <c r="BA26" i="7"/>
  <c r="BA14" i="7"/>
  <c r="FA89" i="4"/>
  <c r="FA87" i="4"/>
  <c r="FA88" i="4"/>
  <c r="FA86" i="4"/>
  <c r="FA75" i="4"/>
  <c r="EZ63" i="4"/>
  <c r="EZ64" i="4"/>
  <c r="EY63" i="4"/>
  <c r="EY64" i="4"/>
  <c r="EZ62" i="4"/>
  <c r="EY62" i="4"/>
  <c r="EZ61" i="4"/>
  <c r="EY61" i="4"/>
  <c r="EZ55" i="4"/>
  <c r="EY55" i="4"/>
  <c r="EZ54" i="4"/>
  <c r="EY54" i="4"/>
  <c r="EZ53" i="4"/>
  <c r="EY53" i="4"/>
  <c r="EZ48" i="4"/>
  <c r="EY48" i="4"/>
  <c r="EZ43" i="4"/>
  <c r="EZ44" i="4"/>
  <c r="EY43" i="4"/>
  <c r="EZ30" i="4"/>
  <c r="EY30" i="4"/>
  <c r="EZ29" i="4"/>
  <c r="EY29" i="4"/>
  <c r="EZ28" i="4"/>
  <c r="EY28" i="4"/>
  <c r="EZ27" i="4"/>
  <c r="EY27" i="4"/>
  <c r="EZ21" i="4"/>
  <c r="EY21" i="4"/>
  <c r="EZ20" i="4"/>
  <c r="EY20" i="4"/>
  <c r="EO19" i="4"/>
  <c r="BA19" i="6"/>
  <c r="EZ19" i="4"/>
  <c r="EY19" i="4"/>
  <c r="EZ18" i="4"/>
  <c r="EY18" i="4"/>
  <c r="EZ17" i="4"/>
  <c r="EY17" i="4"/>
  <c r="EZ16" i="4"/>
  <c r="EY16" i="4"/>
  <c r="EZ15" i="4"/>
  <c r="EY15" i="4"/>
  <c r="EZ9" i="4"/>
  <c r="EY9" i="4"/>
  <c r="EZ8" i="4"/>
  <c r="EY8" i="4"/>
  <c r="EZ7" i="4"/>
  <c r="EY7" i="4"/>
  <c r="BB61" i="7"/>
  <c r="BB62" i="7"/>
  <c r="BB53" i="7"/>
  <c r="FA81" i="4"/>
  <c r="FA83" i="4"/>
  <c r="EZ76" i="4"/>
  <c r="EY76" i="4"/>
  <c r="FA76" i="4"/>
  <c r="FA60" i="4"/>
  <c r="EZ60" i="4"/>
  <c r="EY60" i="4"/>
  <c r="EY59" i="4"/>
  <c r="FA52" i="4"/>
  <c r="EZ52" i="4"/>
  <c r="EY52" i="4"/>
  <c r="EY51" i="4"/>
  <c r="FA47" i="4"/>
  <c r="EZ47" i="4"/>
  <c r="EY47" i="4"/>
  <c r="EY46" i="4"/>
  <c r="EY44" i="4"/>
  <c r="FA42" i="4"/>
  <c r="EZ42" i="4"/>
  <c r="EY42" i="4"/>
  <c r="EY41" i="4"/>
  <c r="FA34" i="4"/>
  <c r="EZ34" i="4"/>
  <c r="EY34" i="4"/>
  <c r="EY33" i="4"/>
  <c r="FA26" i="4"/>
  <c r="EZ26" i="4"/>
  <c r="EY26" i="4"/>
  <c r="EY25" i="4"/>
  <c r="EY66" i="4"/>
  <c r="EY70" i="4"/>
  <c r="EY73" i="4"/>
  <c r="FA14" i="4"/>
  <c r="EZ14" i="4"/>
  <c r="EY14" i="4"/>
  <c r="EY13" i="4"/>
  <c r="EX20" i="4"/>
  <c r="EW20" i="4"/>
  <c r="EV20" i="4"/>
  <c r="EX19" i="4"/>
  <c r="BD19" i="6"/>
  <c r="EW19" i="4"/>
  <c r="EV19" i="4"/>
  <c r="EU20" i="4"/>
  <c r="BC20" i="6"/>
  <c r="ET20" i="4"/>
  <c r="ES21" i="4"/>
  <c r="ES20" i="4"/>
  <c r="EU19" i="4"/>
  <c r="BC19" i="6"/>
  <c r="AZ19" i="7"/>
  <c r="ET19" i="4"/>
  <c r="ES19" i="4"/>
  <c r="EO20" i="4"/>
  <c r="BA20" i="6"/>
  <c r="EN20" i="4"/>
  <c r="EN19" i="4"/>
  <c r="EM20" i="4"/>
  <c r="EM19" i="4"/>
  <c r="EK20" i="4"/>
  <c r="EJ20" i="4"/>
  <c r="EL19" i="4"/>
  <c r="EK19" i="4"/>
  <c r="EJ19" i="4"/>
  <c r="EX82" i="4"/>
  <c r="EX80" i="4"/>
  <c r="EX81" i="4"/>
  <c r="EU80" i="4"/>
  <c r="EX79" i="4"/>
  <c r="EX89" i="4"/>
  <c r="EX88" i="4"/>
  <c r="EX86" i="4"/>
  <c r="EX75" i="4"/>
  <c r="EX74" i="4"/>
  <c r="EX71" i="4"/>
  <c r="BD71" i="6"/>
  <c r="EX67" i="4"/>
  <c r="BD67" i="6"/>
  <c r="EX63" i="4"/>
  <c r="EX62" i="4"/>
  <c r="BD62" i="6"/>
  <c r="EX61" i="4"/>
  <c r="BD61" i="6"/>
  <c r="EW63" i="4"/>
  <c r="EW64" i="4"/>
  <c r="EW62" i="4"/>
  <c r="EW61" i="4"/>
  <c r="EV63" i="4"/>
  <c r="EV64" i="4"/>
  <c r="EV62" i="4"/>
  <c r="EV61" i="4"/>
  <c r="EX55" i="4"/>
  <c r="BD55" i="6"/>
  <c r="EX54" i="4"/>
  <c r="BD54" i="6"/>
  <c r="EX53" i="4"/>
  <c r="BD53" i="6"/>
  <c r="EW55" i="4"/>
  <c r="EW54" i="4"/>
  <c r="EW53" i="4"/>
  <c r="EV55" i="4"/>
  <c r="EV54" i="4"/>
  <c r="EV53" i="4"/>
  <c r="EX48" i="4"/>
  <c r="BD48" i="6"/>
  <c r="EW48" i="4"/>
  <c r="EV48" i="4"/>
  <c r="EX43" i="4"/>
  <c r="EX44" i="4"/>
  <c r="BD43" i="6"/>
  <c r="EV43" i="4"/>
  <c r="EV44" i="4"/>
  <c r="EX38" i="4"/>
  <c r="EX36" i="4"/>
  <c r="BD36" i="6"/>
  <c r="EX37" i="4"/>
  <c r="EX35" i="4"/>
  <c r="BD35" i="6"/>
  <c r="EW38" i="4"/>
  <c r="EW36" i="4"/>
  <c r="EW37" i="4"/>
  <c r="EW35" i="4"/>
  <c r="EV38" i="4"/>
  <c r="EV36" i="4"/>
  <c r="EV37" i="4"/>
  <c r="EV35" i="4"/>
  <c r="EX30" i="4"/>
  <c r="BD30" i="6"/>
  <c r="EX29" i="4"/>
  <c r="EX28" i="4"/>
  <c r="BD28" i="6"/>
  <c r="EX27" i="4"/>
  <c r="BD27" i="6"/>
  <c r="EW30" i="4"/>
  <c r="EW29" i="4"/>
  <c r="EW28" i="4"/>
  <c r="EW27" i="4"/>
  <c r="EV30" i="4"/>
  <c r="EV29" i="4"/>
  <c r="EV28" i="4"/>
  <c r="EV27" i="4"/>
  <c r="EX21" i="4"/>
  <c r="BD21" i="6"/>
  <c r="EX18" i="4"/>
  <c r="BD18" i="6"/>
  <c r="EX17" i="4"/>
  <c r="BD17" i="6"/>
  <c r="EX16" i="4"/>
  <c r="BD16" i="6"/>
  <c r="EX15" i="4"/>
  <c r="BD15" i="6"/>
  <c r="EW21" i="4"/>
  <c r="EW18" i="4"/>
  <c r="EW17" i="4"/>
  <c r="EW16" i="4"/>
  <c r="EW15" i="4"/>
  <c r="EV21" i="4"/>
  <c r="EV18" i="4"/>
  <c r="EV17" i="4"/>
  <c r="EV16" i="4"/>
  <c r="EV15" i="4"/>
  <c r="EX9" i="4"/>
  <c r="BD9" i="6"/>
  <c r="EX8" i="4"/>
  <c r="BD8" i="6"/>
  <c r="EX7" i="4"/>
  <c r="EW9" i="4"/>
  <c r="EW8" i="4"/>
  <c r="EW7" i="4"/>
  <c r="EV9" i="4"/>
  <c r="EV8" i="4"/>
  <c r="EV7" i="4"/>
  <c r="AZ14" i="6"/>
  <c r="AZ26" i="6"/>
  <c r="AZ34" i="6"/>
  <c r="AZ42" i="6"/>
  <c r="AZ47" i="6"/>
  <c r="AZ52" i="6"/>
  <c r="AZ60" i="6"/>
  <c r="AZ66" i="6"/>
  <c r="AZ70" i="6"/>
  <c r="AZ73" i="6"/>
  <c r="AZ14" i="7"/>
  <c r="AZ26" i="7"/>
  <c r="AZ34" i="7"/>
  <c r="AZ42" i="7"/>
  <c r="AZ47" i="7"/>
  <c r="AZ52" i="7"/>
  <c r="AZ60" i="7"/>
  <c r="EV13" i="4"/>
  <c r="EV14" i="4"/>
  <c r="EW14" i="4"/>
  <c r="EX14" i="4"/>
  <c r="EV25" i="4"/>
  <c r="EV26" i="4"/>
  <c r="EW26" i="4"/>
  <c r="EX26" i="4"/>
  <c r="EV33" i="4"/>
  <c r="EV34" i="4"/>
  <c r="EW34" i="4"/>
  <c r="EX34" i="4"/>
  <c r="EV41" i="4"/>
  <c r="EV42" i="4"/>
  <c r="EW42" i="4"/>
  <c r="EX42" i="4"/>
  <c r="EV46" i="4"/>
  <c r="EV47" i="4"/>
  <c r="EW47" i="4"/>
  <c r="EX47" i="4"/>
  <c r="EV51" i="4"/>
  <c r="EV52" i="4"/>
  <c r="EW52" i="4"/>
  <c r="EX52" i="4"/>
  <c r="EV59" i="4"/>
  <c r="EV60" i="4"/>
  <c r="EW60" i="4"/>
  <c r="EX60" i="4"/>
  <c r="EV66" i="4"/>
  <c r="EV70" i="4"/>
  <c r="EV73" i="4"/>
  <c r="EV76" i="4"/>
  <c r="EW76" i="4"/>
  <c r="EX90" i="4"/>
  <c r="EX83" i="4"/>
  <c r="EU75" i="4"/>
  <c r="EU74" i="4"/>
  <c r="BC74" i="6"/>
  <c r="EU71" i="4"/>
  <c r="BC71" i="6"/>
  <c r="EU67" i="4"/>
  <c r="BC67" i="6"/>
  <c r="EU63" i="4"/>
  <c r="ET63" i="4"/>
  <c r="ET64" i="4"/>
  <c r="ES63" i="4"/>
  <c r="ES64" i="4"/>
  <c r="EU62" i="4"/>
  <c r="BC62" i="6"/>
  <c r="ET62" i="4"/>
  <c r="ES62" i="4"/>
  <c r="EU61" i="4"/>
  <c r="ET61" i="4"/>
  <c r="ES61" i="4"/>
  <c r="EU55" i="4"/>
  <c r="BC55" i="6"/>
  <c r="ET55" i="4"/>
  <c r="ES55" i="4"/>
  <c r="EU54" i="4"/>
  <c r="AY54" i="7"/>
  <c r="ET54" i="4"/>
  <c r="ES54" i="4"/>
  <c r="EU53" i="4"/>
  <c r="BC53" i="6"/>
  <c r="ET53" i="4"/>
  <c r="ES53" i="4"/>
  <c r="EU48" i="4"/>
  <c r="ET48" i="4"/>
  <c r="ES48" i="4"/>
  <c r="EU43" i="4"/>
  <c r="EU44" i="4"/>
  <c r="ET43" i="4"/>
  <c r="ET44" i="4"/>
  <c r="ES43" i="4"/>
  <c r="ES44" i="4"/>
  <c r="EU38" i="4"/>
  <c r="ET38" i="4"/>
  <c r="ES38" i="4"/>
  <c r="EU37" i="4"/>
  <c r="ET37" i="4"/>
  <c r="ES37" i="4"/>
  <c r="EU36" i="4"/>
  <c r="ET36" i="4"/>
  <c r="ES36" i="4"/>
  <c r="EU35" i="4"/>
  <c r="BC35" i="6"/>
  <c r="ET35" i="4"/>
  <c r="ES35" i="4"/>
  <c r="EU30" i="4"/>
  <c r="ET30" i="4"/>
  <c r="ES30" i="4"/>
  <c r="EU29" i="4"/>
  <c r="BC29" i="6"/>
  <c r="ET29" i="4"/>
  <c r="ES29" i="4"/>
  <c r="EU28" i="4"/>
  <c r="BC28" i="6"/>
  <c r="ET28" i="4"/>
  <c r="ES28" i="4"/>
  <c r="EU27" i="4"/>
  <c r="BC27" i="6"/>
  <c r="ET27" i="4"/>
  <c r="ES27" i="4"/>
  <c r="EU21" i="4"/>
  <c r="BC21" i="6"/>
  <c r="ET21" i="4"/>
  <c r="EU18" i="4"/>
  <c r="ET18" i="4"/>
  <c r="ES18" i="4"/>
  <c r="EU17" i="4"/>
  <c r="ET17" i="4"/>
  <c r="ES17" i="4"/>
  <c r="EU16" i="4"/>
  <c r="BC16" i="6"/>
  <c r="ET16" i="4"/>
  <c r="ES16" i="4"/>
  <c r="EU15" i="4"/>
  <c r="ET15" i="4"/>
  <c r="ES15" i="4"/>
  <c r="ET9" i="4"/>
  <c r="ES9" i="4"/>
  <c r="EU8" i="4"/>
  <c r="BC8" i="6"/>
  <c r="ET8" i="4"/>
  <c r="ES8" i="4"/>
  <c r="EU7" i="4"/>
  <c r="ET7" i="4"/>
  <c r="ES7" i="4"/>
  <c r="EU90" i="4"/>
  <c r="EU88" i="4"/>
  <c r="EU83" i="4"/>
  <c r="EU81" i="4"/>
  <c r="ET76" i="4"/>
  <c r="ES76" i="4"/>
  <c r="EU76" i="4"/>
  <c r="EU60" i="4"/>
  <c r="ET60" i="4"/>
  <c r="ES60" i="4"/>
  <c r="ES59" i="4"/>
  <c r="EU52" i="4"/>
  <c r="ET52" i="4"/>
  <c r="ES52" i="4"/>
  <c r="ES51" i="4"/>
  <c r="EU47" i="4"/>
  <c r="ET47" i="4"/>
  <c r="ES47" i="4"/>
  <c r="ES46" i="4"/>
  <c r="EU42" i="4"/>
  <c r="ET42" i="4"/>
  <c r="ES42" i="4"/>
  <c r="ES41" i="4"/>
  <c r="EU34" i="4"/>
  <c r="ET34" i="4"/>
  <c r="ES34" i="4"/>
  <c r="ES33" i="4"/>
  <c r="EU26" i="4"/>
  <c r="ET26" i="4"/>
  <c r="ES26" i="4"/>
  <c r="ES25" i="4"/>
  <c r="ES66" i="4"/>
  <c r="ES70" i="4"/>
  <c r="ES73" i="4"/>
  <c r="EU14" i="4"/>
  <c r="ET14" i="4"/>
  <c r="ES14" i="4"/>
  <c r="ES13" i="4"/>
  <c r="ER89" i="4"/>
  <c r="B13" i="10"/>
  <c r="F13" i="10"/>
  <c r="B25" i="10"/>
  <c r="F25" i="10"/>
  <c r="B33" i="10"/>
  <c r="F33" i="10"/>
  <c r="F46" i="10"/>
  <c r="F70" i="10"/>
  <c r="B41" i="10"/>
  <c r="F41" i="10"/>
  <c r="B46" i="10"/>
  <c r="B51" i="10"/>
  <c r="F51" i="10"/>
  <c r="B59" i="10"/>
  <c r="B66" i="10"/>
  <c r="B70" i="10"/>
  <c r="B76" i="10"/>
  <c r="F59" i="10"/>
  <c r="F66" i="10"/>
  <c r="F76" i="10"/>
  <c r="AY14" i="6"/>
  <c r="AY26" i="6"/>
  <c r="AY34" i="6"/>
  <c r="AY42" i="6"/>
  <c r="AY47" i="6"/>
  <c r="AY52" i="6"/>
  <c r="AY60" i="6"/>
  <c r="AY66" i="6"/>
  <c r="AY70" i="6"/>
  <c r="AY73" i="6"/>
  <c r="AX14" i="6"/>
  <c r="AX26" i="6"/>
  <c r="AX34" i="6"/>
  <c r="AX42" i="6"/>
  <c r="AX47" i="6"/>
  <c r="AX52" i="6"/>
  <c r="AX60" i="6"/>
  <c r="AX66" i="6"/>
  <c r="AX70" i="6"/>
  <c r="AX73" i="6"/>
  <c r="AY20" i="7"/>
  <c r="AY60" i="7"/>
  <c r="AY52" i="7"/>
  <c r="AY47" i="7"/>
  <c r="AY42" i="7"/>
  <c r="AY34" i="7"/>
  <c r="AY26" i="7"/>
  <c r="AY14" i="7"/>
  <c r="DB80" i="4"/>
  <c r="DE80" i="4"/>
  <c r="DE79" i="4"/>
  <c r="ER87" i="4"/>
  <c r="EO89" i="4"/>
  <c r="EO87" i="4"/>
  <c r="EO86" i="4"/>
  <c r="ER82" i="4"/>
  <c r="ER79" i="4"/>
  <c r="ER83" i="4"/>
  <c r="ER80" i="4"/>
  <c r="EO82" i="4"/>
  <c r="EO79" i="4"/>
  <c r="EO83" i="4"/>
  <c r="EL82" i="4"/>
  <c r="EL79" i="4"/>
  <c r="EL83" i="4"/>
  <c r="EO80" i="4"/>
  <c r="EO81" i="4"/>
  <c r="AY27" i="7"/>
  <c r="AY53" i="7"/>
  <c r="AY16" i="7"/>
  <c r="AY55" i="7"/>
  <c r="EP44" i="4"/>
  <c r="AX14" i="7"/>
  <c r="AX26" i="7"/>
  <c r="AX34" i="7"/>
  <c r="AX42" i="7"/>
  <c r="AX47" i="7"/>
  <c r="AX52" i="7"/>
  <c r="AX60" i="7"/>
  <c r="EP13" i="4"/>
  <c r="EP14" i="4"/>
  <c r="EQ14" i="4"/>
  <c r="ER14" i="4"/>
  <c r="EP25" i="4"/>
  <c r="EP26" i="4"/>
  <c r="EQ26" i="4"/>
  <c r="ER26" i="4"/>
  <c r="EP33" i="4"/>
  <c r="EP34" i="4"/>
  <c r="EQ34" i="4"/>
  <c r="ER34" i="4"/>
  <c r="EP41" i="4"/>
  <c r="EP42" i="4"/>
  <c r="EQ42" i="4"/>
  <c r="ER42" i="4"/>
  <c r="ER44" i="4"/>
  <c r="EP46" i="4"/>
  <c r="EP47" i="4"/>
  <c r="EQ47" i="4"/>
  <c r="ER47" i="4"/>
  <c r="EP51" i="4"/>
  <c r="EP52" i="4"/>
  <c r="EQ52" i="4"/>
  <c r="ER52" i="4"/>
  <c r="EP56" i="4"/>
  <c r="EP59" i="4"/>
  <c r="EP60" i="4"/>
  <c r="EQ60" i="4"/>
  <c r="ER60" i="4"/>
  <c r="ER64" i="4"/>
  <c r="EP66" i="4"/>
  <c r="EP70" i="4"/>
  <c r="EP73" i="4"/>
  <c r="ER76" i="4"/>
  <c r="EP76" i="4"/>
  <c r="EQ76" i="4"/>
  <c r="ER81" i="4"/>
  <c r="ER88" i="4"/>
  <c r="ER90" i="4"/>
  <c r="EL20" i="4"/>
  <c r="AW14" i="6"/>
  <c r="AW26" i="6"/>
  <c r="AW34" i="6"/>
  <c r="AW42" i="6"/>
  <c r="AW47" i="6"/>
  <c r="AW52" i="6"/>
  <c r="AW60" i="6"/>
  <c r="AW66" i="6"/>
  <c r="AW70" i="6"/>
  <c r="AW73" i="6"/>
  <c r="AW60" i="7"/>
  <c r="AW52" i="7"/>
  <c r="AW47" i="7"/>
  <c r="AW42" i="7"/>
  <c r="AW34" i="7"/>
  <c r="AW26" i="7"/>
  <c r="AW14" i="7"/>
  <c r="EO75" i="4"/>
  <c r="EO74" i="4"/>
  <c r="BA74" i="6"/>
  <c r="EO71" i="4"/>
  <c r="EO67" i="4"/>
  <c r="BA67" i="6"/>
  <c r="EO63" i="4"/>
  <c r="EO64" i="4"/>
  <c r="EN63" i="4"/>
  <c r="EN64" i="4"/>
  <c r="EM63" i="4"/>
  <c r="EM64" i="4"/>
  <c r="EO62" i="4"/>
  <c r="EN62" i="4"/>
  <c r="EM62" i="4"/>
  <c r="EO61" i="4"/>
  <c r="EN61" i="4"/>
  <c r="EM61" i="4"/>
  <c r="EO55" i="4"/>
  <c r="AX55" i="7"/>
  <c r="EN55" i="4"/>
  <c r="EM55" i="4"/>
  <c r="EO54" i="4"/>
  <c r="AX54" i="7"/>
  <c r="EN54" i="4"/>
  <c r="EM54" i="4"/>
  <c r="EO53" i="4"/>
  <c r="EN53" i="4"/>
  <c r="EM53" i="4"/>
  <c r="EO48" i="4"/>
  <c r="EN48" i="4"/>
  <c r="EM48" i="4"/>
  <c r="EO43" i="4"/>
  <c r="EO44" i="4"/>
  <c r="BA43" i="6"/>
  <c r="EN43" i="4"/>
  <c r="EN44" i="4"/>
  <c r="EM43" i="4"/>
  <c r="EM44" i="4"/>
  <c r="EO38" i="4"/>
  <c r="EN38" i="4"/>
  <c r="EM38" i="4"/>
  <c r="EO37" i="4"/>
  <c r="EN37" i="4"/>
  <c r="EM37" i="4"/>
  <c r="EO36" i="4"/>
  <c r="EN36" i="4"/>
  <c r="EM36" i="4"/>
  <c r="EO35" i="4"/>
  <c r="BA35" i="6"/>
  <c r="EN35" i="4"/>
  <c r="EM35" i="4"/>
  <c r="EO30" i="4"/>
  <c r="EN30" i="4"/>
  <c r="EM30" i="4"/>
  <c r="EO29" i="4"/>
  <c r="BA29" i="6"/>
  <c r="EN29" i="4"/>
  <c r="EM29" i="4"/>
  <c r="EO28" i="4"/>
  <c r="EC28" i="4"/>
  <c r="AW28" i="6"/>
  <c r="EN28" i="4"/>
  <c r="EM28" i="4"/>
  <c r="EO27" i="4"/>
  <c r="AX27" i="7"/>
  <c r="EN27" i="4"/>
  <c r="EM27" i="4"/>
  <c r="EO21" i="4"/>
  <c r="BA21" i="6"/>
  <c r="EN21" i="4"/>
  <c r="EM21" i="4"/>
  <c r="EO18" i="4"/>
  <c r="EN18" i="4"/>
  <c r="EM18" i="4"/>
  <c r="EO17" i="4"/>
  <c r="EN17" i="4"/>
  <c r="EM17" i="4"/>
  <c r="EO16" i="4"/>
  <c r="EN16" i="4"/>
  <c r="EM16" i="4"/>
  <c r="EO15" i="4"/>
  <c r="EN15" i="4"/>
  <c r="EM15" i="4"/>
  <c r="EO9" i="4"/>
  <c r="EN9" i="4"/>
  <c r="EM9" i="4"/>
  <c r="EO8" i="4"/>
  <c r="EN8" i="4"/>
  <c r="EM8" i="4"/>
  <c r="EO7" i="4"/>
  <c r="EC7" i="4"/>
  <c r="AW7" i="6"/>
  <c r="EN7" i="4"/>
  <c r="EM7" i="4"/>
  <c r="EO90" i="4"/>
  <c r="EO88" i="4"/>
  <c r="EN76" i="4"/>
  <c r="EM76" i="4"/>
  <c r="EO60" i="4"/>
  <c r="EN60" i="4"/>
  <c r="EM60" i="4"/>
  <c r="EM59" i="4"/>
  <c r="EO52" i="4"/>
  <c r="EN52" i="4"/>
  <c r="EM52" i="4"/>
  <c r="EM51" i="4"/>
  <c r="EO47" i="4"/>
  <c r="EN47" i="4"/>
  <c r="EM47" i="4"/>
  <c r="EM46" i="4"/>
  <c r="EO42" i="4"/>
  <c r="EN42" i="4"/>
  <c r="EM42" i="4"/>
  <c r="EM41" i="4"/>
  <c r="EO34" i="4"/>
  <c r="EN34" i="4"/>
  <c r="EM34" i="4"/>
  <c r="EM33" i="4"/>
  <c r="EO26" i="4"/>
  <c r="EN26" i="4"/>
  <c r="EM26" i="4"/>
  <c r="EM25" i="4"/>
  <c r="EM66" i="4"/>
  <c r="EM70" i="4"/>
  <c r="EM73" i="4"/>
  <c r="EO14" i="4"/>
  <c r="EN14" i="4"/>
  <c r="EM14" i="4"/>
  <c r="EM13" i="4"/>
  <c r="AX53" i="7"/>
  <c r="AW19" i="7"/>
  <c r="AX17" i="7"/>
  <c r="AX21" i="7"/>
  <c r="EO56" i="4"/>
  <c r="ED7" i="4"/>
  <c r="EE7" i="4"/>
  <c r="EF7" i="4"/>
  <c r="ED8" i="4"/>
  <c r="EE8" i="4"/>
  <c r="EF8" i="4"/>
  <c r="ED9" i="4"/>
  <c r="EE9" i="4"/>
  <c r="EF9" i="4"/>
  <c r="EL89" i="4"/>
  <c r="EL86" i="4"/>
  <c r="EL90" i="4"/>
  <c r="EL87" i="4"/>
  <c r="EL88" i="4"/>
  <c r="EI83" i="4"/>
  <c r="EL80" i="4"/>
  <c r="EL81" i="4"/>
  <c r="EL75" i="4"/>
  <c r="EL74" i="4"/>
  <c r="EL71" i="4"/>
  <c r="EL67" i="4"/>
  <c r="EL63" i="4"/>
  <c r="EL62" i="4"/>
  <c r="EL61" i="4"/>
  <c r="EK63" i="4"/>
  <c r="EK64" i="4"/>
  <c r="EK62" i="4"/>
  <c r="EK61" i="4"/>
  <c r="EJ63" i="4"/>
  <c r="EJ64" i="4"/>
  <c r="EJ62" i="4"/>
  <c r="EJ61" i="4"/>
  <c r="EL55" i="4"/>
  <c r="AZ55" i="6"/>
  <c r="EL54" i="4"/>
  <c r="EL53" i="4"/>
  <c r="EK54" i="4"/>
  <c r="EK53" i="4"/>
  <c r="EK55" i="4"/>
  <c r="EJ55" i="4"/>
  <c r="EJ54" i="4"/>
  <c r="EJ53" i="4"/>
  <c r="EL48" i="4"/>
  <c r="EK48" i="4"/>
  <c r="EJ48" i="4"/>
  <c r="EL43" i="4"/>
  <c r="EL44" i="4"/>
  <c r="AZ43" i="6"/>
  <c r="EK43" i="4"/>
  <c r="EK44" i="4"/>
  <c r="EJ43" i="4"/>
  <c r="EJ44" i="4"/>
  <c r="EL38" i="4"/>
  <c r="AZ38" i="6"/>
  <c r="EL37" i="4"/>
  <c r="EL36" i="4"/>
  <c r="EL35" i="4"/>
  <c r="EK38" i="4"/>
  <c r="EK37" i="4"/>
  <c r="EK36" i="4"/>
  <c r="EK35" i="4"/>
  <c r="EJ38" i="4"/>
  <c r="EJ37" i="4"/>
  <c r="EJ36" i="4"/>
  <c r="EJ35" i="4"/>
  <c r="EL30" i="4"/>
  <c r="EL29" i="4"/>
  <c r="EL28" i="4"/>
  <c r="AZ28" i="6"/>
  <c r="EL27" i="4"/>
  <c r="EH30" i="4"/>
  <c r="EE30" i="4"/>
  <c r="AW36" i="7"/>
  <c r="AW48" i="7"/>
  <c r="EB30" i="4"/>
  <c r="EK30" i="4"/>
  <c r="EK29" i="4"/>
  <c r="EK28" i="4"/>
  <c r="EK27" i="4"/>
  <c r="EJ30" i="4"/>
  <c r="EJ29" i="4"/>
  <c r="EJ28" i="4"/>
  <c r="EJ27" i="4"/>
  <c r="EL21" i="4"/>
  <c r="AW21" i="7"/>
  <c r="EL18" i="4"/>
  <c r="AW18" i="7"/>
  <c r="EL17" i="4"/>
  <c r="AZ17" i="6"/>
  <c r="EL16" i="4"/>
  <c r="EL15" i="4"/>
  <c r="AZ15" i="6"/>
  <c r="EK21" i="4"/>
  <c r="EK18" i="4"/>
  <c r="EK17" i="4"/>
  <c r="EK16" i="4"/>
  <c r="EK15" i="4"/>
  <c r="EJ21" i="4"/>
  <c r="EJ18" i="4"/>
  <c r="EJ17" i="4"/>
  <c r="EJ16" i="4"/>
  <c r="EJ15" i="4"/>
  <c r="EL9" i="4"/>
  <c r="EL7" i="4"/>
  <c r="EL56" i="4"/>
  <c r="EL8" i="4"/>
  <c r="EK9" i="4"/>
  <c r="EK8" i="4"/>
  <c r="EK7" i="4"/>
  <c r="EJ9" i="4"/>
  <c r="EJ8" i="4"/>
  <c r="EJ7" i="4"/>
  <c r="AV14" i="6"/>
  <c r="AV26" i="6"/>
  <c r="AV34" i="6"/>
  <c r="AV42" i="6"/>
  <c r="AV47" i="6"/>
  <c r="AV52" i="6"/>
  <c r="AV60" i="6"/>
  <c r="AV66" i="6"/>
  <c r="AV70" i="6"/>
  <c r="AV73" i="6"/>
  <c r="AU14" i="6"/>
  <c r="AU26" i="6"/>
  <c r="AU34" i="6"/>
  <c r="AU42" i="6"/>
  <c r="AU47" i="6"/>
  <c r="AU52" i="6"/>
  <c r="AU60" i="6"/>
  <c r="AU66" i="6"/>
  <c r="AU70" i="6"/>
  <c r="AU73" i="6"/>
  <c r="AV14" i="7"/>
  <c r="AV26" i="7"/>
  <c r="AV34" i="7"/>
  <c r="AV42" i="7"/>
  <c r="AV47" i="7"/>
  <c r="AV52" i="7"/>
  <c r="AV60" i="7"/>
  <c r="EJ13" i="4"/>
  <c r="EJ14" i="4"/>
  <c r="EK14" i="4"/>
  <c r="EL14" i="4"/>
  <c r="EJ25" i="4"/>
  <c r="EJ26" i="4"/>
  <c r="EK26" i="4"/>
  <c r="EL26" i="4"/>
  <c r="EJ33" i="4"/>
  <c r="EJ34" i="4"/>
  <c r="EK34" i="4"/>
  <c r="EL34" i="4"/>
  <c r="EJ41" i="4"/>
  <c r="EJ42" i="4"/>
  <c r="EK42" i="4"/>
  <c r="EL42" i="4"/>
  <c r="EJ46" i="4"/>
  <c r="EJ47" i="4"/>
  <c r="EK47" i="4"/>
  <c r="EL47" i="4"/>
  <c r="EJ51" i="4"/>
  <c r="EJ52" i="4"/>
  <c r="EK52" i="4"/>
  <c r="EL52" i="4"/>
  <c r="EJ59" i="4"/>
  <c r="EJ60" i="4"/>
  <c r="EK60" i="4"/>
  <c r="EL60" i="4"/>
  <c r="EJ66" i="4"/>
  <c r="EJ70" i="4"/>
  <c r="EJ73" i="4"/>
  <c r="EJ76" i="4"/>
  <c r="EK76" i="4"/>
  <c r="EI80" i="4"/>
  <c r="AU60" i="7"/>
  <c r="AU52" i="7"/>
  <c r="AU47" i="7"/>
  <c r="AU42" i="7"/>
  <c r="AU34" i="7"/>
  <c r="AU26" i="7"/>
  <c r="AU14" i="7"/>
  <c r="EI75" i="4"/>
  <c r="EI74" i="4"/>
  <c r="EI76" i="4"/>
  <c r="EI71" i="4"/>
  <c r="EI67" i="4"/>
  <c r="AY67" i="6"/>
  <c r="EI63" i="4"/>
  <c r="EI64" i="4"/>
  <c r="EH63" i="4"/>
  <c r="EH64" i="4"/>
  <c r="EG63" i="4"/>
  <c r="EG64" i="4"/>
  <c r="EI62" i="4"/>
  <c r="AY62" i="6"/>
  <c r="EH62" i="4"/>
  <c r="EG62" i="4"/>
  <c r="EI61" i="4"/>
  <c r="EH61" i="4"/>
  <c r="EG61" i="4"/>
  <c r="EI55" i="4"/>
  <c r="EH55" i="4"/>
  <c r="EG55" i="4"/>
  <c r="EI54" i="4"/>
  <c r="EH54" i="4"/>
  <c r="EG54" i="4"/>
  <c r="EI53" i="4"/>
  <c r="AV53" i="7"/>
  <c r="EH53" i="4"/>
  <c r="EG53" i="4"/>
  <c r="EI48" i="4"/>
  <c r="EH48" i="4"/>
  <c r="EG48" i="4"/>
  <c r="EI43" i="4"/>
  <c r="EI44" i="4"/>
  <c r="EH43" i="4"/>
  <c r="EH44" i="4"/>
  <c r="EG43" i="4"/>
  <c r="EG44" i="4"/>
  <c r="EI38" i="4"/>
  <c r="EH38" i="4"/>
  <c r="EG38" i="4"/>
  <c r="EI37" i="4"/>
  <c r="EH37" i="4"/>
  <c r="EG37" i="4"/>
  <c r="EI36" i="4"/>
  <c r="EH36" i="4"/>
  <c r="EG36" i="4"/>
  <c r="EI35" i="4"/>
  <c r="EH35" i="4"/>
  <c r="EG35" i="4"/>
  <c r="EI30" i="4"/>
  <c r="EG30" i="4"/>
  <c r="EI29" i="4"/>
  <c r="EH29" i="4"/>
  <c r="EG29" i="4"/>
  <c r="EI28" i="4"/>
  <c r="EH28" i="4"/>
  <c r="EG28" i="4"/>
  <c r="EI27" i="4"/>
  <c r="AY27" i="6"/>
  <c r="EH27" i="4"/>
  <c r="EG27" i="4"/>
  <c r="EI21" i="4"/>
  <c r="AY21" i="6"/>
  <c r="EH21" i="4"/>
  <c r="EG21" i="4"/>
  <c r="EI20" i="4"/>
  <c r="AY20" i="6"/>
  <c r="EH20" i="4"/>
  <c r="EG20" i="4"/>
  <c r="EI19" i="4"/>
  <c r="AV19" i="7"/>
  <c r="EH19" i="4"/>
  <c r="EG19" i="4"/>
  <c r="EI18" i="4"/>
  <c r="EH18" i="4"/>
  <c r="EG18" i="4"/>
  <c r="EI17" i="4"/>
  <c r="EH17" i="4"/>
  <c r="EG17" i="4"/>
  <c r="EI16" i="4"/>
  <c r="AY16" i="6"/>
  <c r="EH16" i="4"/>
  <c r="EG16" i="4"/>
  <c r="EI15" i="4"/>
  <c r="EH15" i="4"/>
  <c r="EG15" i="4"/>
  <c r="AY38" i="6"/>
  <c r="EI9" i="4"/>
  <c r="EI8" i="4"/>
  <c r="EI7" i="4"/>
  <c r="AV7" i="7"/>
  <c r="EH9" i="4"/>
  <c r="EH8" i="4"/>
  <c r="EH7" i="4"/>
  <c r="EH10" i="4"/>
  <c r="EG9" i="4"/>
  <c r="EG8" i="4"/>
  <c r="EG7" i="4"/>
  <c r="EG56" i="4"/>
  <c r="EI90" i="4"/>
  <c r="EI81" i="4"/>
  <c r="EH76" i="4"/>
  <c r="EG76" i="4"/>
  <c r="EG25" i="4"/>
  <c r="EG66" i="4"/>
  <c r="EG70" i="4"/>
  <c r="EG73" i="4"/>
  <c r="EI60" i="4"/>
  <c r="EH60" i="4"/>
  <c r="EG60" i="4"/>
  <c r="EG59" i="4"/>
  <c r="EI52" i="4"/>
  <c r="EH52" i="4"/>
  <c r="EG52" i="4"/>
  <c r="EG51" i="4"/>
  <c r="EI47" i="4"/>
  <c r="EH47" i="4"/>
  <c r="EG47" i="4"/>
  <c r="EG46" i="4"/>
  <c r="EI42" i="4"/>
  <c r="EH42" i="4"/>
  <c r="EG42" i="4"/>
  <c r="EG41" i="4"/>
  <c r="EI34" i="4"/>
  <c r="EH34" i="4"/>
  <c r="EG34" i="4"/>
  <c r="EG33" i="4"/>
  <c r="EI26" i="4"/>
  <c r="EH26" i="4"/>
  <c r="EG26" i="4"/>
  <c r="EI14" i="4"/>
  <c r="EH14" i="4"/>
  <c r="EG14" i="4"/>
  <c r="EG13" i="4"/>
  <c r="AY8" i="6"/>
  <c r="EF80" i="4"/>
  <c r="AT60" i="7"/>
  <c r="AT52" i="7"/>
  <c r="AT47" i="7"/>
  <c r="AT42" i="7"/>
  <c r="AT34" i="7"/>
  <c r="AT26" i="7"/>
  <c r="AT14" i="7"/>
  <c r="AT14" i="6"/>
  <c r="AT26" i="6"/>
  <c r="AT34" i="6"/>
  <c r="AT42" i="6"/>
  <c r="AT47" i="6"/>
  <c r="AT52" i="6"/>
  <c r="AT60" i="6"/>
  <c r="AT66" i="6"/>
  <c r="AT70" i="6"/>
  <c r="AT73" i="6"/>
  <c r="EF75" i="4"/>
  <c r="EF74" i="4"/>
  <c r="AX74" i="6"/>
  <c r="EF71" i="4"/>
  <c r="EF67" i="4"/>
  <c r="EF63" i="4"/>
  <c r="EF64" i="4"/>
  <c r="EE63" i="4"/>
  <c r="EE64" i="4"/>
  <c r="ED63" i="4"/>
  <c r="EF62" i="4"/>
  <c r="EE62" i="4"/>
  <c r="ED62" i="4"/>
  <c r="EF61" i="4"/>
  <c r="EE61" i="4"/>
  <c r="ED61" i="4"/>
  <c r="EF55" i="4"/>
  <c r="EE55" i="4"/>
  <c r="ED55" i="4"/>
  <c r="ED56" i="4"/>
  <c r="EF54" i="4"/>
  <c r="EE54" i="4"/>
  <c r="ED54" i="4"/>
  <c r="EF53" i="4"/>
  <c r="EE53" i="4"/>
  <c r="ED53" i="4"/>
  <c r="EF48" i="4"/>
  <c r="EE48" i="4"/>
  <c r="ED48" i="4"/>
  <c r="EF43" i="4"/>
  <c r="EF44" i="4"/>
  <c r="EE43" i="4"/>
  <c r="ED43" i="4"/>
  <c r="ED44" i="4"/>
  <c r="EF38" i="4"/>
  <c r="EE38" i="4"/>
  <c r="ED38" i="4"/>
  <c r="EF37" i="4"/>
  <c r="EE37" i="4"/>
  <c r="ED37" i="4"/>
  <c r="EF36" i="4"/>
  <c r="EE36" i="4"/>
  <c r="ED36" i="4"/>
  <c r="EF35" i="4"/>
  <c r="AX35" i="6"/>
  <c r="EE35" i="4"/>
  <c r="ED35" i="4"/>
  <c r="EF30" i="4"/>
  <c r="ED30" i="4"/>
  <c r="EF29" i="4"/>
  <c r="EE29" i="4"/>
  <c r="ED29" i="4"/>
  <c r="EF28" i="4"/>
  <c r="EE28" i="4"/>
  <c r="ED28" i="4"/>
  <c r="EF27" i="4"/>
  <c r="AX27" i="6"/>
  <c r="EE27" i="4"/>
  <c r="ED27" i="4"/>
  <c r="EF21" i="4"/>
  <c r="EE21" i="4"/>
  <c r="ED21" i="4"/>
  <c r="EF20" i="4"/>
  <c r="EE20" i="4"/>
  <c r="ED20" i="4"/>
  <c r="EF19" i="4"/>
  <c r="EE19" i="4"/>
  <c r="ED19" i="4"/>
  <c r="EF18" i="4"/>
  <c r="AX18" i="6"/>
  <c r="EE18" i="4"/>
  <c r="ED18" i="4"/>
  <c r="EF17" i="4"/>
  <c r="EE17" i="4"/>
  <c r="ED17" i="4"/>
  <c r="EF16" i="4"/>
  <c r="EE16" i="4"/>
  <c r="ED16" i="4"/>
  <c r="EF15" i="4"/>
  <c r="EE15" i="4"/>
  <c r="ED15" i="4"/>
  <c r="AX63" i="6"/>
  <c r="AU27" i="7"/>
  <c r="AX30" i="6"/>
  <c r="AX54" i="6"/>
  <c r="EF90" i="4"/>
  <c r="EF83" i="4"/>
  <c r="EF81" i="4"/>
  <c r="EE76" i="4"/>
  <c r="ED76" i="4"/>
  <c r="ED64" i="4"/>
  <c r="EF60" i="4"/>
  <c r="EE60" i="4"/>
  <c r="ED60" i="4"/>
  <c r="ED59" i="4"/>
  <c r="EF52" i="4"/>
  <c r="EE52" i="4"/>
  <c r="ED52" i="4"/>
  <c r="ED51" i="4"/>
  <c r="EF47" i="4"/>
  <c r="EE47" i="4"/>
  <c r="ED47" i="4"/>
  <c r="ED46" i="4"/>
  <c r="EE44" i="4"/>
  <c r="EF42" i="4"/>
  <c r="EE42" i="4"/>
  <c r="ED42" i="4"/>
  <c r="ED41" i="4"/>
  <c r="EF34" i="4"/>
  <c r="EE34" i="4"/>
  <c r="ED34" i="4"/>
  <c r="ED33" i="4"/>
  <c r="EF26" i="4"/>
  <c r="EE26" i="4"/>
  <c r="ED26" i="4"/>
  <c r="ED25" i="4"/>
  <c r="ED66" i="4"/>
  <c r="ED70" i="4"/>
  <c r="ED73" i="4"/>
  <c r="EF14" i="4"/>
  <c r="EE14" i="4"/>
  <c r="ED14" i="4"/>
  <c r="ED13" i="4"/>
  <c r="EC82" i="4"/>
  <c r="EC80" i="4"/>
  <c r="EC86" i="4"/>
  <c r="EC75" i="4"/>
  <c r="EC74" i="4"/>
  <c r="EC76" i="4"/>
  <c r="EC71" i="4"/>
  <c r="EC67" i="4"/>
  <c r="EC63" i="4"/>
  <c r="DQ63" i="4"/>
  <c r="AS63" i="6"/>
  <c r="EC62" i="4"/>
  <c r="EC61" i="4"/>
  <c r="EB63" i="4"/>
  <c r="EB64" i="4"/>
  <c r="EB62" i="4"/>
  <c r="EB61" i="4"/>
  <c r="EA63" i="4"/>
  <c r="EA64" i="4"/>
  <c r="EA62" i="4"/>
  <c r="EA61" i="4"/>
  <c r="EC55" i="4"/>
  <c r="AW55" i="6"/>
  <c r="EC54" i="4"/>
  <c r="AT54" i="7"/>
  <c r="EC53" i="4"/>
  <c r="EB55" i="4"/>
  <c r="EB54" i="4"/>
  <c r="EB53" i="4"/>
  <c r="EA55" i="4"/>
  <c r="EA54" i="4"/>
  <c r="EA53" i="4"/>
  <c r="EC48" i="4"/>
  <c r="EB48" i="4"/>
  <c r="AW62" i="6"/>
  <c r="EA48" i="4"/>
  <c r="EC43" i="4"/>
  <c r="EC44" i="4"/>
  <c r="AW43" i="6"/>
  <c r="EB43" i="4"/>
  <c r="EA43" i="4"/>
  <c r="EA44" i="4"/>
  <c r="EC38" i="4"/>
  <c r="AT38" i="7"/>
  <c r="EC37" i="4"/>
  <c r="EC36" i="4"/>
  <c r="EC35" i="4"/>
  <c r="EB38" i="4"/>
  <c r="EB37" i="4"/>
  <c r="EB36" i="4"/>
  <c r="EB35" i="4"/>
  <c r="EA38" i="4"/>
  <c r="EA37" i="4"/>
  <c r="EA36" i="4"/>
  <c r="EA35" i="4"/>
  <c r="EC30" i="4"/>
  <c r="AT30" i="7"/>
  <c r="EC29" i="4"/>
  <c r="EC27" i="4"/>
  <c r="EB29" i="4"/>
  <c r="EB28" i="4"/>
  <c r="EB27" i="4"/>
  <c r="EA30" i="4"/>
  <c r="EA29" i="4"/>
  <c r="EA28" i="4"/>
  <c r="EA27" i="4"/>
  <c r="EC21" i="4"/>
  <c r="EC20" i="4"/>
  <c r="AW20" i="6"/>
  <c r="EC19" i="4"/>
  <c r="AW19" i="6"/>
  <c r="EC18" i="4"/>
  <c r="EC17" i="4"/>
  <c r="DQ17" i="4"/>
  <c r="AS17" i="6"/>
  <c r="EC16" i="4"/>
  <c r="EC15" i="4"/>
  <c r="EB21" i="4"/>
  <c r="EB20" i="4"/>
  <c r="EB19" i="4"/>
  <c r="EB18" i="4"/>
  <c r="EB17" i="4"/>
  <c r="EB16" i="4"/>
  <c r="EB15" i="4"/>
  <c r="EA21" i="4"/>
  <c r="EA20" i="4"/>
  <c r="EA19" i="4"/>
  <c r="EA18" i="4"/>
  <c r="EA17" i="4"/>
  <c r="EA16" i="4"/>
  <c r="EA15" i="4"/>
  <c r="EC9" i="4"/>
  <c r="AW9" i="6"/>
  <c r="EC8" i="4"/>
  <c r="AW8" i="6"/>
  <c r="EB9" i="4"/>
  <c r="EB8" i="4"/>
  <c r="EB7" i="4"/>
  <c r="EA9" i="4"/>
  <c r="EA8" i="4"/>
  <c r="EA7" i="4"/>
  <c r="AT18" i="7"/>
  <c r="AW30" i="6"/>
  <c r="AS14" i="6"/>
  <c r="AS26" i="6"/>
  <c r="AS34" i="6"/>
  <c r="AS42" i="6"/>
  <c r="AS47" i="6"/>
  <c r="AS52" i="6"/>
  <c r="AS60" i="6"/>
  <c r="AS66" i="6"/>
  <c r="AS70" i="6"/>
  <c r="AS73" i="6"/>
  <c r="AS14" i="7"/>
  <c r="AS26" i="7"/>
  <c r="AS34" i="7"/>
  <c r="AS42" i="7"/>
  <c r="AS47" i="7"/>
  <c r="AS52" i="7"/>
  <c r="AS60" i="7"/>
  <c r="EA13" i="4"/>
  <c r="EA14" i="4"/>
  <c r="EB14" i="4"/>
  <c r="EC14" i="4"/>
  <c r="EA25" i="4"/>
  <c r="EA66" i="4"/>
  <c r="EA70" i="4"/>
  <c r="EA73" i="4"/>
  <c r="EA26" i="4"/>
  <c r="EB26" i="4"/>
  <c r="EC26" i="4"/>
  <c r="EA33" i="4"/>
  <c r="EA34" i="4"/>
  <c r="EB34" i="4"/>
  <c r="EC34" i="4"/>
  <c r="EA41" i="4"/>
  <c r="EA42" i="4"/>
  <c r="EB42" i="4"/>
  <c r="EC42" i="4"/>
  <c r="EB44" i="4"/>
  <c r="EA46" i="4"/>
  <c r="EA47" i="4"/>
  <c r="EB47" i="4"/>
  <c r="EC47" i="4"/>
  <c r="EA51" i="4"/>
  <c r="EA52" i="4"/>
  <c r="EB52" i="4"/>
  <c r="EC52" i="4"/>
  <c r="EA59" i="4"/>
  <c r="EA60" i="4"/>
  <c r="EB60" i="4"/>
  <c r="EC60" i="4"/>
  <c r="EA76" i="4"/>
  <c r="EB76" i="4"/>
  <c r="EC81" i="4"/>
  <c r="EC83" i="4"/>
  <c r="EC90" i="4"/>
  <c r="DV43" i="4"/>
  <c r="DZ9" i="4"/>
  <c r="DZ8" i="4"/>
  <c r="DW8" i="4"/>
  <c r="AR8" i="7"/>
  <c r="DZ7" i="4"/>
  <c r="AV7" i="6"/>
  <c r="DY9" i="4"/>
  <c r="DY8" i="4"/>
  <c r="DY7" i="4"/>
  <c r="DX9" i="4"/>
  <c r="DX8" i="4"/>
  <c r="DX7" i="4"/>
  <c r="DZ89" i="4"/>
  <c r="DZ88" i="4"/>
  <c r="DZ87" i="4"/>
  <c r="DZ86" i="4"/>
  <c r="DZ82" i="4"/>
  <c r="DZ80" i="4"/>
  <c r="DZ81" i="4"/>
  <c r="DZ75" i="4"/>
  <c r="DZ74" i="4"/>
  <c r="AV74" i="6"/>
  <c r="DZ71" i="4"/>
  <c r="DZ67" i="4"/>
  <c r="DW67" i="4"/>
  <c r="DZ63" i="4"/>
  <c r="DN63" i="4"/>
  <c r="AR63" i="6"/>
  <c r="DZ62" i="4"/>
  <c r="AT62" i="7"/>
  <c r="DZ61" i="4"/>
  <c r="AV61" i="6"/>
  <c r="DY63" i="4"/>
  <c r="DY64" i="4"/>
  <c r="DY62" i="4"/>
  <c r="DY61" i="4"/>
  <c r="DX63" i="4"/>
  <c r="DX64" i="4"/>
  <c r="DX62" i="4"/>
  <c r="DX61" i="4"/>
  <c r="DZ55" i="4"/>
  <c r="AS55" i="7"/>
  <c r="DZ54" i="4"/>
  <c r="DZ53" i="4"/>
  <c r="AV53" i="6"/>
  <c r="DY55" i="4"/>
  <c r="DY54" i="4"/>
  <c r="DY53" i="4"/>
  <c r="DX55" i="4"/>
  <c r="DX54" i="4"/>
  <c r="DX53" i="4"/>
  <c r="DZ48" i="4"/>
  <c r="DY48" i="4"/>
  <c r="DX48" i="4"/>
  <c r="DZ43" i="4"/>
  <c r="DZ44" i="4"/>
  <c r="DY43" i="4"/>
  <c r="DY44" i="4"/>
  <c r="DX43" i="4"/>
  <c r="DX44" i="4"/>
  <c r="DZ38" i="4"/>
  <c r="DZ37" i="4"/>
  <c r="DZ36" i="4"/>
  <c r="DZ35" i="4"/>
  <c r="DY38" i="4"/>
  <c r="DY37" i="4"/>
  <c r="DY36" i="4"/>
  <c r="DY35" i="4"/>
  <c r="DX38" i="4"/>
  <c r="DX37" i="4"/>
  <c r="DX36" i="4"/>
  <c r="DX35" i="4"/>
  <c r="DZ30" i="4"/>
  <c r="DN30" i="4"/>
  <c r="AR30" i="6"/>
  <c r="DZ29" i="4"/>
  <c r="DZ28" i="4"/>
  <c r="AS28" i="7"/>
  <c r="DZ27" i="4"/>
  <c r="DY30" i="4"/>
  <c r="DY29" i="4"/>
  <c r="DY28" i="4"/>
  <c r="DY27" i="4"/>
  <c r="DX30" i="4"/>
  <c r="DX29" i="4"/>
  <c r="DX28" i="4"/>
  <c r="DX27" i="4"/>
  <c r="DZ21" i="4"/>
  <c r="DZ20" i="4"/>
  <c r="DZ19" i="4"/>
  <c r="AV19" i="6"/>
  <c r="DZ18" i="4"/>
  <c r="DZ17" i="4"/>
  <c r="DZ16" i="4"/>
  <c r="DZ15" i="4"/>
  <c r="DY21" i="4"/>
  <c r="DY20" i="4"/>
  <c r="DY19" i="4"/>
  <c r="DY18" i="4"/>
  <c r="DY17" i="4"/>
  <c r="DY16" i="4"/>
  <c r="DY15" i="4"/>
  <c r="DX21" i="4"/>
  <c r="DX20" i="4"/>
  <c r="DX19" i="4"/>
  <c r="DX18" i="4"/>
  <c r="DX17" i="4"/>
  <c r="DX16" i="4"/>
  <c r="DX15" i="4"/>
  <c r="AR14" i="6"/>
  <c r="AR26" i="6"/>
  <c r="AR34" i="6"/>
  <c r="AR42" i="6"/>
  <c r="AR47" i="6"/>
  <c r="AR52" i="6"/>
  <c r="AR60" i="6"/>
  <c r="AR66" i="6"/>
  <c r="AR70" i="6"/>
  <c r="AR73" i="6"/>
  <c r="AR14" i="7"/>
  <c r="AR26" i="7"/>
  <c r="AR34" i="7"/>
  <c r="AR42" i="7"/>
  <c r="AR47" i="7"/>
  <c r="AR52" i="7"/>
  <c r="AR60" i="7"/>
  <c r="DX13" i="4"/>
  <c r="DX14" i="4"/>
  <c r="DY14" i="4"/>
  <c r="DZ14" i="4"/>
  <c r="DX25" i="4"/>
  <c r="DX66" i="4"/>
  <c r="DX70" i="4"/>
  <c r="DX73" i="4"/>
  <c r="DX26" i="4"/>
  <c r="DY26" i="4"/>
  <c r="DZ26" i="4"/>
  <c r="DX33" i="4"/>
  <c r="DX34" i="4"/>
  <c r="DY34" i="4"/>
  <c r="DZ34" i="4"/>
  <c r="DX41" i="4"/>
  <c r="DX42" i="4"/>
  <c r="DY42" i="4"/>
  <c r="DZ42" i="4"/>
  <c r="DX46" i="4"/>
  <c r="DX47" i="4"/>
  <c r="DY47" i="4"/>
  <c r="DZ47" i="4"/>
  <c r="DX51" i="4"/>
  <c r="DX52" i="4"/>
  <c r="DY52" i="4"/>
  <c r="DZ52" i="4"/>
  <c r="DX59" i="4"/>
  <c r="DX60" i="4"/>
  <c r="DY60" i="4"/>
  <c r="DZ60" i="4"/>
  <c r="DX76" i="4"/>
  <c r="DY76" i="4"/>
  <c r="DZ83" i="4"/>
  <c r="AV48" i="6"/>
  <c r="AS20" i="7"/>
  <c r="AV36" i="6"/>
  <c r="AV28" i="6"/>
  <c r="AV20" i="6"/>
  <c r="AV71" i="6"/>
  <c r="DZ90" i="4"/>
  <c r="AS62" i="7"/>
  <c r="DV27" i="4"/>
  <c r="DF13" i="4"/>
  <c r="DO76" i="4"/>
  <c r="DP76" i="4"/>
  <c r="DR76" i="4"/>
  <c r="DS76" i="4"/>
  <c r="DU76" i="4"/>
  <c r="DV76" i="4"/>
  <c r="DW82" i="4"/>
  <c r="DW79" i="4"/>
  <c r="DW83" i="4"/>
  <c r="DW81" i="4"/>
  <c r="DW80" i="4"/>
  <c r="DW89" i="4"/>
  <c r="DW88" i="4"/>
  <c r="DW87" i="4"/>
  <c r="DW86" i="4"/>
  <c r="DW75" i="4"/>
  <c r="DT75" i="4"/>
  <c r="DW74" i="4"/>
  <c r="AU74" i="6"/>
  <c r="DT74" i="4"/>
  <c r="DT76" i="4"/>
  <c r="DW71" i="4"/>
  <c r="DR27" i="4"/>
  <c r="DR61" i="4"/>
  <c r="DT67" i="4"/>
  <c r="DW63" i="4"/>
  <c r="DW62" i="4"/>
  <c r="DW61" i="4"/>
  <c r="DT61" i="4"/>
  <c r="AQ61" i="7"/>
  <c r="DV63" i="4"/>
  <c r="DV62" i="4"/>
  <c r="DV61" i="4"/>
  <c r="DU63" i="4"/>
  <c r="DU64" i="4"/>
  <c r="DU62" i="4"/>
  <c r="DU61" i="4"/>
  <c r="DW55" i="4"/>
  <c r="DW54" i="4"/>
  <c r="DW53" i="4"/>
  <c r="DV55" i="4"/>
  <c r="DV54" i="4"/>
  <c r="DV53" i="4"/>
  <c r="DU55" i="4"/>
  <c r="DU54" i="4"/>
  <c r="DU53" i="4"/>
  <c r="DW48" i="4"/>
  <c r="DK48" i="4"/>
  <c r="AQ48" i="6"/>
  <c r="DV48" i="4"/>
  <c r="DU48" i="4"/>
  <c r="DW43" i="4"/>
  <c r="DW44" i="4"/>
  <c r="DU43" i="4"/>
  <c r="DU44" i="4"/>
  <c r="DW38" i="4"/>
  <c r="DW37" i="4"/>
  <c r="DW36" i="4"/>
  <c r="DW35" i="4"/>
  <c r="DV38" i="4"/>
  <c r="DV37" i="4"/>
  <c r="DV36" i="4"/>
  <c r="DV35" i="4"/>
  <c r="DU38" i="4"/>
  <c r="DU37" i="4"/>
  <c r="DU36" i="4"/>
  <c r="DU35" i="4"/>
  <c r="DW30" i="4"/>
  <c r="DW29" i="4"/>
  <c r="DW28" i="4"/>
  <c r="DW27" i="4"/>
  <c r="DV30" i="4"/>
  <c r="DV29" i="4"/>
  <c r="DV28" i="4"/>
  <c r="DU30" i="4"/>
  <c r="DU29" i="4"/>
  <c r="DU28" i="4"/>
  <c r="DU27" i="4"/>
  <c r="DW21" i="4"/>
  <c r="DW20" i="4"/>
  <c r="DW19" i="4"/>
  <c r="AR19" i="7"/>
  <c r="DW18" i="4"/>
  <c r="DW17" i="4"/>
  <c r="AU17" i="6"/>
  <c r="DW16" i="4"/>
  <c r="DW15" i="4"/>
  <c r="AR15" i="7"/>
  <c r="DV21" i="4"/>
  <c r="DV20" i="4"/>
  <c r="DV19" i="4"/>
  <c r="DV18" i="4"/>
  <c r="DV17" i="4"/>
  <c r="DV16" i="4"/>
  <c r="DV15" i="4"/>
  <c r="DU21" i="4"/>
  <c r="DU20" i="4"/>
  <c r="DU19" i="4"/>
  <c r="DU18" i="4"/>
  <c r="DU17" i="4"/>
  <c r="DU16" i="4"/>
  <c r="DU15" i="4"/>
  <c r="DW9" i="4"/>
  <c r="AU8" i="6"/>
  <c r="DW7" i="4"/>
  <c r="DV9" i="4"/>
  <c r="DV8" i="4"/>
  <c r="DV7" i="4"/>
  <c r="DU9" i="4"/>
  <c r="DU8" i="4"/>
  <c r="DU7" i="4"/>
  <c r="AU19" i="6"/>
  <c r="DW64" i="4"/>
  <c r="DV64" i="4"/>
  <c r="AQ14" i="6"/>
  <c r="AQ26" i="6"/>
  <c r="AQ34" i="6"/>
  <c r="AQ42" i="6"/>
  <c r="AQ47" i="6"/>
  <c r="AQ52" i="6"/>
  <c r="AQ60" i="6"/>
  <c r="AQ66" i="6"/>
  <c r="AQ70" i="6"/>
  <c r="AQ73" i="6"/>
  <c r="AQ14" i="7"/>
  <c r="AQ26" i="7"/>
  <c r="AQ34" i="7"/>
  <c r="AQ42" i="7"/>
  <c r="AQ47" i="7"/>
  <c r="AQ52" i="7"/>
  <c r="AQ60" i="7"/>
  <c r="DU60" i="4"/>
  <c r="DV60" i="4"/>
  <c r="DW60" i="4"/>
  <c r="DU59" i="4"/>
  <c r="DU51" i="4"/>
  <c r="DU52" i="4"/>
  <c r="DV52" i="4"/>
  <c r="DW52" i="4"/>
  <c r="DU41" i="4"/>
  <c r="DU42" i="4"/>
  <c r="DV42" i="4"/>
  <c r="DW42" i="4"/>
  <c r="DV44" i="4"/>
  <c r="DU46" i="4"/>
  <c r="DU47" i="4"/>
  <c r="DV47" i="4"/>
  <c r="DW47" i="4"/>
  <c r="DU33" i="4"/>
  <c r="DU34" i="4"/>
  <c r="DV34" i="4"/>
  <c r="DW34" i="4"/>
  <c r="DU25" i="4"/>
  <c r="DU66" i="4"/>
  <c r="DU70" i="4"/>
  <c r="DU73" i="4"/>
  <c r="DU26" i="4"/>
  <c r="DV26" i="4"/>
  <c r="DW26" i="4"/>
  <c r="DU13" i="4"/>
  <c r="DU14" i="4"/>
  <c r="DV14" i="4"/>
  <c r="DW14" i="4"/>
  <c r="DT89" i="4"/>
  <c r="DT88" i="4"/>
  <c r="DT87" i="4"/>
  <c r="DT86" i="4"/>
  <c r="DQ89" i="4"/>
  <c r="DQ88" i="4"/>
  <c r="DQ87" i="4"/>
  <c r="DQ86" i="4"/>
  <c r="DN89" i="4"/>
  <c r="DN87" i="4"/>
  <c r="DN86" i="4"/>
  <c r="DK89" i="4"/>
  <c r="DK88" i="4"/>
  <c r="DK87" i="4"/>
  <c r="DK86" i="4"/>
  <c r="DN82" i="4"/>
  <c r="DN83" i="4"/>
  <c r="DN81" i="4"/>
  <c r="DN80" i="4"/>
  <c r="DK82" i="4"/>
  <c r="DK83" i="4"/>
  <c r="DK81" i="4"/>
  <c r="DK80" i="4"/>
  <c r="DH82" i="4"/>
  <c r="DH83" i="4"/>
  <c r="DH81" i="4"/>
  <c r="DH80" i="4"/>
  <c r="DH89" i="4"/>
  <c r="DH87" i="4"/>
  <c r="DH88" i="4"/>
  <c r="DH86" i="4"/>
  <c r="DH90" i="4"/>
  <c r="DE89" i="4"/>
  <c r="DE87" i="4"/>
  <c r="DE90" i="4"/>
  <c r="DE86" i="4"/>
  <c r="DT82" i="4"/>
  <c r="DT81" i="4"/>
  <c r="DT80" i="4"/>
  <c r="DT79" i="4"/>
  <c r="DQ80" i="4"/>
  <c r="DT83" i="4"/>
  <c r="DQ74" i="4"/>
  <c r="AS74" i="6"/>
  <c r="DT71" i="4"/>
  <c r="DQ71" i="4"/>
  <c r="DQ67" i="4"/>
  <c r="DT63" i="4"/>
  <c r="DT62" i="4"/>
  <c r="DS63" i="4"/>
  <c r="DS64" i="4"/>
  <c r="DS62" i="4"/>
  <c r="DS61" i="4"/>
  <c r="DR63" i="4"/>
  <c r="DR64" i="4"/>
  <c r="DR62" i="4"/>
  <c r="DT55" i="4"/>
  <c r="DT54" i="4"/>
  <c r="DT53" i="4"/>
  <c r="DH53" i="4"/>
  <c r="AP53" i="6"/>
  <c r="DS55" i="4"/>
  <c r="DS54" i="4"/>
  <c r="DS53" i="4"/>
  <c r="DR55" i="4"/>
  <c r="DR54" i="4"/>
  <c r="DR53" i="4"/>
  <c r="DO53" i="4"/>
  <c r="DT48" i="4"/>
  <c r="DS48" i="4"/>
  <c r="DR48" i="4"/>
  <c r="DQ48" i="4"/>
  <c r="DT43" i="4"/>
  <c r="DT44" i="4"/>
  <c r="DS43" i="4"/>
  <c r="DR43" i="4"/>
  <c r="DQ43" i="4"/>
  <c r="DQ44" i="4"/>
  <c r="DT38" i="4"/>
  <c r="AT38" i="6"/>
  <c r="DT37" i="4"/>
  <c r="DT36" i="4"/>
  <c r="DT35" i="4"/>
  <c r="DS38" i="4"/>
  <c r="DS37" i="4"/>
  <c r="DS36" i="4"/>
  <c r="DS35" i="4"/>
  <c r="DR38" i="4"/>
  <c r="DR37" i="4"/>
  <c r="DR36" i="4"/>
  <c r="DR35" i="4"/>
  <c r="DQ35" i="4"/>
  <c r="DT29" i="4"/>
  <c r="AQ29" i="7"/>
  <c r="DT28" i="4"/>
  <c r="DT27" i="4"/>
  <c r="DT30" i="4"/>
  <c r="AT30" i="6"/>
  <c r="DS29" i="4"/>
  <c r="DS28" i="4"/>
  <c r="DS27" i="4"/>
  <c r="DS30" i="4"/>
  <c r="DR30" i="4"/>
  <c r="DR29" i="4"/>
  <c r="DR28" i="4"/>
  <c r="DT21" i="4"/>
  <c r="DT20" i="4"/>
  <c r="DT19" i="4"/>
  <c r="DT18" i="4"/>
  <c r="DT17" i="4"/>
  <c r="DH17" i="4"/>
  <c r="AP17" i="6"/>
  <c r="DT16" i="4"/>
  <c r="AQ16" i="7"/>
  <c r="DT15" i="4"/>
  <c r="DS21" i="4"/>
  <c r="DS20" i="4"/>
  <c r="DS19" i="4"/>
  <c r="DS18" i="4"/>
  <c r="DS17" i="4"/>
  <c r="DS16" i="4"/>
  <c r="DS15" i="4"/>
  <c r="DR21" i="4"/>
  <c r="DR20" i="4"/>
  <c r="DR19" i="4"/>
  <c r="DR18" i="4"/>
  <c r="DR17" i="4"/>
  <c r="DR16" i="4"/>
  <c r="DR15" i="4"/>
  <c r="DT9" i="4"/>
  <c r="DT8" i="4"/>
  <c r="DT7" i="4"/>
  <c r="DS9" i="4"/>
  <c r="DS8" i="4"/>
  <c r="DS7" i="4"/>
  <c r="DR9" i="4"/>
  <c r="DR8" i="4"/>
  <c r="DR7" i="4"/>
  <c r="AQ19" i="7"/>
  <c r="AQ8" i="7"/>
  <c r="AQ17" i="7"/>
  <c r="AT19" i="6"/>
  <c r="AT36" i="6"/>
  <c r="AT63" i="6"/>
  <c r="DQ76" i="4"/>
  <c r="DT64" i="4"/>
  <c r="AQ63" i="7"/>
  <c r="AP14" i="6"/>
  <c r="AP26" i="6"/>
  <c r="AP34" i="6"/>
  <c r="AP42" i="6"/>
  <c r="AP47" i="6"/>
  <c r="AP52" i="6"/>
  <c r="AP60" i="6"/>
  <c r="AP66" i="6"/>
  <c r="AP70" i="6"/>
  <c r="AP73" i="6"/>
  <c r="AP14" i="7"/>
  <c r="AP26" i="7"/>
  <c r="AP34" i="7"/>
  <c r="AP42" i="7"/>
  <c r="AP47" i="7"/>
  <c r="AP52" i="7"/>
  <c r="AP60" i="7"/>
  <c r="DR66" i="4"/>
  <c r="DR70" i="4"/>
  <c r="DR73" i="4"/>
  <c r="DQ7" i="4"/>
  <c r="AP7" i="7"/>
  <c r="DQ82" i="4"/>
  <c r="DQ81" i="4"/>
  <c r="DQ79" i="4"/>
  <c r="DN67" i="4"/>
  <c r="DQ19" i="4"/>
  <c r="DQ20" i="4"/>
  <c r="DO20" i="4"/>
  <c r="DO16" i="4"/>
  <c r="DO15" i="4"/>
  <c r="DO17" i="4"/>
  <c r="DO7" i="4"/>
  <c r="AP19" i="7"/>
  <c r="DQ83" i="4"/>
  <c r="DN15" i="4"/>
  <c r="AR15" i="6"/>
  <c r="DQ75" i="4"/>
  <c r="AP63" i="7"/>
  <c r="DQ62" i="4"/>
  <c r="DQ61" i="4"/>
  <c r="DP63" i="4"/>
  <c r="DP64" i="4"/>
  <c r="DP62" i="4"/>
  <c r="DP61" i="4"/>
  <c r="DO63" i="4"/>
  <c r="DO62" i="4"/>
  <c r="DO61" i="4"/>
  <c r="DQ55" i="4"/>
  <c r="DQ54" i="4"/>
  <c r="DQ53" i="4"/>
  <c r="DP55" i="4"/>
  <c r="DP54" i="4"/>
  <c r="DP53" i="4"/>
  <c r="DO55" i="4"/>
  <c r="DO54" i="4"/>
  <c r="DP48" i="4"/>
  <c r="DO48" i="4"/>
  <c r="DP43" i="4"/>
  <c r="DO43" i="4"/>
  <c r="DQ38" i="4"/>
  <c r="DQ37" i="4"/>
  <c r="DQ36" i="4"/>
  <c r="DP38" i="4"/>
  <c r="DP37" i="4"/>
  <c r="DP36" i="4"/>
  <c r="DP35" i="4"/>
  <c r="DO38" i="4"/>
  <c r="DO37" i="4"/>
  <c r="DO36" i="4"/>
  <c r="DO35" i="4"/>
  <c r="DQ30" i="4"/>
  <c r="DP30" i="4"/>
  <c r="DO30" i="4"/>
  <c r="DQ29" i="4"/>
  <c r="DP29" i="4"/>
  <c r="DO29" i="4"/>
  <c r="DQ28" i="4"/>
  <c r="DP28" i="4"/>
  <c r="DO28" i="4"/>
  <c r="DQ27" i="4"/>
  <c r="DP27" i="4"/>
  <c r="DO27" i="4"/>
  <c r="DP19" i="4"/>
  <c r="DO19" i="4"/>
  <c r="DP20" i="4"/>
  <c r="DQ21" i="4"/>
  <c r="DQ18" i="4"/>
  <c r="DQ16" i="4"/>
  <c r="DP21" i="4"/>
  <c r="DP18" i="4"/>
  <c r="DP17" i="4"/>
  <c r="DP16" i="4"/>
  <c r="DO21" i="4"/>
  <c r="DO18" i="4"/>
  <c r="DQ15" i="4"/>
  <c r="AO15" i="7"/>
  <c r="DP15" i="4"/>
  <c r="DQ9" i="4"/>
  <c r="DQ8" i="4"/>
  <c r="DP9" i="4"/>
  <c r="DP8" i="4"/>
  <c r="DP7" i="4"/>
  <c r="DP10" i="4"/>
  <c r="DO9" i="4"/>
  <c r="DO8" i="4"/>
  <c r="DL7" i="4"/>
  <c r="DN7" i="4"/>
  <c r="AO14" i="7"/>
  <c r="AO26" i="7"/>
  <c r="AO34" i="7"/>
  <c r="AO42" i="7"/>
  <c r="AO47" i="7"/>
  <c r="AO52" i="7"/>
  <c r="AO60" i="7"/>
  <c r="AO14" i="6"/>
  <c r="AO26" i="6"/>
  <c r="AO34" i="6"/>
  <c r="AO42" i="6"/>
  <c r="AO47" i="6"/>
  <c r="AO52" i="6"/>
  <c r="AO60" i="6"/>
  <c r="AO66" i="6"/>
  <c r="AO70" i="6"/>
  <c r="AO73" i="6"/>
  <c r="DO66" i="4"/>
  <c r="DO70" i="4"/>
  <c r="DO73" i="4"/>
  <c r="AS30" i="6"/>
  <c r="AP54" i="7"/>
  <c r="AS28" i="6"/>
  <c r="AP28" i="7"/>
  <c r="DO64" i="4"/>
  <c r="AN14" i="7"/>
  <c r="AN26" i="7"/>
  <c r="AN34" i="7"/>
  <c r="AN42" i="7"/>
  <c r="AN47" i="7"/>
  <c r="AN52" i="7"/>
  <c r="AN60" i="7"/>
  <c r="AN14" i="6"/>
  <c r="AN26" i="6"/>
  <c r="AN34" i="6"/>
  <c r="AN42" i="6"/>
  <c r="AN47" i="6"/>
  <c r="AN52" i="6"/>
  <c r="AN60" i="6"/>
  <c r="AN66" i="6"/>
  <c r="AN70" i="6"/>
  <c r="AN73" i="6"/>
  <c r="DN75" i="4"/>
  <c r="DN74" i="4"/>
  <c r="DN71" i="4"/>
  <c r="AN71" i="6"/>
  <c r="DM63" i="4"/>
  <c r="DL63" i="4"/>
  <c r="DN62" i="4"/>
  <c r="AR62" i="6"/>
  <c r="DM62" i="4"/>
  <c r="DL62" i="4"/>
  <c r="DN61" i="4"/>
  <c r="AO61" i="7"/>
  <c r="DM61" i="4"/>
  <c r="DL61" i="4"/>
  <c r="DN55" i="4"/>
  <c r="DM55" i="4"/>
  <c r="DL55" i="4"/>
  <c r="DN54" i="4"/>
  <c r="DM54" i="4"/>
  <c r="DL54" i="4"/>
  <c r="DN53" i="4"/>
  <c r="DM53" i="4"/>
  <c r="DL53" i="4"/>
  <c r="DN48" i="4"/>
  <c r="DM48" i="4"/>
  <c r="DL48" i="4"/>
  <c r="DN43" i="4"/>
  <c r="DN44" i="4"/>
  <c r="DM43" i="4"/>
  <c r="DM44" i="4"/>
  <c r="DL43" i="4"/>
  <c r="DL44" i="4"/>
  <c r="DN38" i="4"/>
  <c r="DM38" i="4"/>
  <c r="DL38" i="4"/>
  <c r="DN37" i="4"/>
  <c r="DB37" i="4"/>
  <c r="AN37" i="6"/>
  <c r="DM37" i="4"/>
  <c r="DL37" i="4"/>
  <c r="DN36" i="4"/>
  <c r="DM36" i="4"/>
  <c r="DL36" i="4"/>
  <c r="DN35" i="4"/>
  <c r="DM35" i="4"/>
  <c r="DL35" i="4"/>
  <c r="DM30" i="4"/>
  <c r="DL30" i="4"/>
  <c r="DN29" i="4"/>
  <c r="DM29" i="4"/>
  <c r="DL29" i="4"/>
  <c r="DN28" i="4"/>
  <c r="AO28" i="7"/>
  <c r="DM28" i="4"/>
  <c r="DL28" i="4"/>
  <c r="DN27" i="4"/>
  <c r="DM27" i="4"/>
  <c r="DL27" i="4"/>
  <c r="DN21" i="4"/>
  <c r="DM21" i="4"/>
  <c r="DL21" i="4"/>
  <c r="DN20" i="4"/>
  <c r="DM20" i="4"/>
  <c r="DL20" i="4"/>
  <c r="DN19" i="4"/>
  <c r="AR19" i="6"/>
  <c r="DM19" i="4"/>
  <c r="DL19" i="4"/>
  <c r="DN18" i="4"/>
  <c r="DM18" i="4"/>
  <c r="DL18" i="4"/>
  <c r="DN17" i="4"/>
  <c r="DM17" i="4"/>
  <c r="DL17" i="4"/>
  <c r="DN16" i="4"/>
  <c r="AO16" i="7"/>
  <c r="DM16" i="4"/>
  <c r="DL16" i="4"/>
  <c r="DM15" i="4"/>
  <c r="DL15" i="4"/>
  <c r="DN9" i="4"/>
  <c r="AR9" i="6"/>
  <c r="DM9" i="4"/>
  <c r="DL9" i="4"/>
  <c r="DN8" i="4"/>
  <c r="DM8" i="4"/>
  <c r="DL8" i="4"/>
  <c r="DM7" i="4"/>
  <c r="DL13" i="4"/>
  <c r="DL14" i="4"/>
  <c r="DM14" i="4"/>
  <c r="DN14" i="4"/>
  <c r="DL25" i="4"/>
  <c r="DL66" i="4"/>
  <c r="DL70" i="4"/>
  <c r="DL73" i="4"/>
  <c r="DL26" i="4"/>
  <c r="DM26" i="4"/>
  <c r="DN26" i="4"/>
  <c r="DL33" i="4"/>
  <c r="DL34" i="4"/>
  <c r="DM34" i="4"/>
  <c r="DN34" i="4"/>
  <c r="DL41" i="4"/>
  <c r="DL42" i="4"/>
  <c r="DM42" i="4"/>
  <c r="DN42" i="4"/>
  <c r="DL46" i="4"/>
  <c r="DL47" i="4"/>
  <c r="DM47" i="4"/>
  <c r="DN47" i="4"/>
  <c r="DL51" i="4"/>
  <c r="DL52" i="4"/>
  <c r="DM52" i="4"/>
  <c r="DN52" i="4"/>
  <c r="DL59" i="4"/>
  <c r="DL60" i="4"/>
  <c r="DM60" i="4"/>
  <c r="DN60" i="4"/>
  <c r="DN88" i="4"/>
  <c r="AO55" i="7"/>
  <c r="AO29" i="7"/>
  <c r="DN31" i="4"/>
  <c r="DM10" i="4"/>
  <c r="DK75" i="4"/>
  <c r="DK74" i="4"/>
  <c r="DK63" i="4"/>
  <c r="DK64" i="4"/>
  <c r="DK62" i="4"/>
  <c r="DK61" i="4"/>
  <c r="AN61" i="7"/>
  <c r="DJ63" i="4"/>
  <c r="DJ62" i="4"/>
  <c r="DJ61" i="4"/>
  <c r="DI63" i="4"/>
  <c r="DI62" i="4"/>
  <c r="DI61" i="4"/>
  <c r="DK43" i="4"/>
  <c r="DJ43" i="4"/>
  <c r="DJ44" i="4"/>
  <c r="DI43" i="4"/>
  <c r="DI44" i="4"/>
  <c r="AQ63" i="6"/>
  <c r="DK30" i="4"/>
  <c r="DK29" i="4"/>
  <c r="AQ29" i="6"/>
  <c r="DK28" i="4"/>
  <c r="DK27" i="4"/>
  <c r="DJ30" i="4"/>
  <c r="DJ29" i="4"/>
  <c r="DJ28" i="4"/>
  <c r="DJ27" i="4"/>
  <c r="DI30" i="4"/>
  <c r="DI29" i="4"/>
  <c r="DI28" i="4"/>
  <c r="DI27" i="4"/>
  <c r="DK71" i="4"/>
  <c r="DK67" i="4"/>
  <c r="AM67" i="6"/>
  <c r="DK55" i="4"/>
  <c r="DJ55" i="4"/>
  <c r="DI55" i="4"/>
  <c r="DK54" i="4"/>
  <c r="DJ54" i="4"/>
  <c r="DI54" i="4"/>
  <c r="DK53" i="4"/>
  <c r="DJ53" i="4"/>
  <c r="DI53" i="4"/>
  <c r="DJ48" i="4"/>
  <c r="DI48" i="4"/>
  <c r="DK38" i="4"/>
  <c r="DJ38" i="4"/>
  <c r="DI38" i="4"/>
  <c r="DK37" i="4"/>
  <c r="DJ37" i="4"/>
  <c r="DI37" i="4"/>
  <c r="DK36" i="4"/>
  <c r="DJ36" i="4"/>
  <c r="DI36" i="4"/>
  <c r="DK35" i="4"/>
  <c r="DJ35" i="4"/>
  <c r="DI35" i="4"/>
  <c r="DK21" i="4"/>
  <c r="DJ21" i="4"/>
  <c r="DI21" i="4"/>
  <c r="DK20" i="4"/>
  <c r="DJ20" i="4"/>
  <c r="DI20" i="4"/>
  <c r="DK19" i="4"/>
  <c r="DJ19" i="4"/>
  <c r="DI19" i="4"/>
  <c r="DK18" i="4"/>
  <c r="DJ18" i="4"/>
  <c r="DI18" i="4"/>
  <c r="DK17" i="4"/>
  <c r="DJ17" i="4"/>
  <c r="DI17" i="4"/>
  <c r="DK16" i="4"/>
  <c r="DJ16" i="4"/>
  <c r="DI16" i="4"/>
  <c r="DK15" i="4"/>
  <c r="AN15" i="7"/>
  <c r="DJ15" i="4"/>
  <c r="DI15" i="4"/>
  <c r="DK9" i="4"/>
  <c r="DJ9" i="4"/>
  <c r="DJ7" i="4"/>
  <c r="DJ8" i="4"/>
  <c r="DJ10" i="4"/>
  <c r="DI9" i="4"/>
  <c r="DK8" i="4"/>
  <c r="DI8" i="4"/>
  <c r="DK7" i="4"/>
  <c r="DI7" i="4"/>
  <c r="AQ71" i="6"/>
  <c r="AQ37" i="6"/>
  <c r="AN30" i="7"/>
  <c r="AM60" i="7"/>
  <c r="AM52" i="7"/>
  <c r="AM47" i="7"/>
  <c r="AM42" i="7"/>
  <c r="AM34" i="7"/>
  <c r="AM26" i="7"/>
  <c r="AM14" i="7"/>
  <c r="AM71" i="6"/>
  <c r="DB72" i="4"/>
  <c r="DB76" i="4"/>
  <c r="AM14" i="6"/>
  <c r="AM26" i="6"/>
  <c r="AM34" i="6"/>
  <c r="AM42" i="6"/>
  <c r="AM47" i="6"/>
  <c r="AM52" i="6"/>
  <c r="AM60" i="6"/>
  <c r="AM66" i="6"/>
  <c r="AM70" i="6"/>
  <c r="AM73" i="6"/>
  <c r="DK76" i="4"/>
  <c r="DK44" i="4"/>
  <c r="DK31" i="4"/>
  <c r="DK60" i="4"/>
  <c r="DJ60" i="4"/>
  <c r="DI60" i="4"/>
  <c r="DI59" i="4"/>
  <c r="DK52" i="4"/>
  <c r="DJ52" i="4"/>
  <c r="DI52" i="4"/>
  <c r="DI51" i="4"/>
  <c r="DK47" i="4"/>
  <c r="DJ47" i="4"/>
  <c r="DI47" i="4"/>
  <c r="DI46" i="4"/>
  <c r="DK42" i="4"/>
  <c r="DJ42" i="4"/>
  <c r="DI42" i="4"/>
  <c r="DI41" i="4"/>
  <c r="DK34" i="4"/>
  <c r="DJ34" i="4"/>
  <c r="DI34" i="4"/>
  <c r="DI33" i="4"/>
  <c r="DK26" i="4"/>
  <c r="DJ26" i="4"/>
  <c r="DI26" i="4"/>
  <c r="DI25" i="4"/>
  <c r="DI66" i="4"/>
  <c r="DI70" i="4"/>
  <c r="DI73" i="4"/>
  <c r="DK14" i="4"/>
  <c r="DJ14" i="4"/>
  <c r="DI14" i="4"/>
  <c r="DI13" i="4"/>
  <c r="AL14" i="7"/>
  <c r="AL26" i="7"/>
  <c r="AL34" i="7"/>
  <c r="AL42" i="7"/>
  <c r="AL47" i="7"/>
  <c r="AL52" i="7"/>
  <c r="AL60" i="7"/>
  <c r="AL14" i="6"/>
  <c r="AL26" i="6"/>
  <c r="AL34" i="6"/>
  <c r="AL42" i="6"/>
  <c r="AL47" i="6"/>
  <c r="AL52" i="6"/>
  <c r="AL60" i="6"/>
  <c r="AL66" i="6"/>
  <c r="AL70" i="6"/>
  <c r="AL73" i="6"/>
  <c r="DH74" i="4"/>
  <c r="AL74" i="6"/>
  <c r="DH71" i="4"/>
  <c r="AL71" i="6"/>
  <c r="DH67" i="4"/>
  <c r="DH63" i="4"/>
  <c r="DG63" i="4"/>
  <c r="DF63" i="4"/>
  <c r="DH62" i="4"/>
  <c r="DG62" i="4"/>
  <c r="DF62" i="4"/>
  <c r="DH61" i="4"/>
  <c r="DG61" i="4"/>
  <c r="DF61" i="4"/>
  <c r="DH55" i="4"/>
  <c r="AP55" i="6"/>
  <c r="DG55" i="4"/>
  <c r="DF55" i="4"/>
  <c r="DH54" i="4"/>
  <c r="DG54" i="4"/>
  <c r="DF54" i="4"/>
  <c r="DG53" i="4"/>
  <c r="DF53" i="4"/>
  <c r="DH48" i="4"/>
  <c r="DG48" i="4"/>
  <c r="DF48" i="4"/>
  <c r="DH43" i="4"/>
  <c r="DH44" i="4"/>
  <c r="DG43" i="4"/>
  <c r="DF43" i="4"/>
  <c r="DF44" i="4"/>
  <c r="DH38" i="4"/>
  <c r="DG38" i="4"/>
  <c r="DF38" i="4"/>
  <c r="DH37" i="4"/>
  <c r="DG37" i="4"/>
  <c r="DF37" i="4"/>
  <c r="DH36" i="4"/>
  <c r="AP36" i="6"/>
  <c r="DG36" i="4"/>
  <c r="DF36" i="4"/>
  <c r="DH35" i="4"/>
  <c r="AP35" i="6"/>
  <c r="DG35" i="4"/>
  <c r="DF35" i="4"/>
  <c r="DH30" i="4"/>
  <c r="DG30" i="4"/>
  <c r="DF30" i="4"/>
  <c r="DH29" i="4"/>
  <c r="DG29" i="4"/>
  <c r="DF29" i="4"/>
  <c r="DH28" i="4"/>
  <c r="AP28" i="6"/>
  <c r="DG28" i="4"/>
  <c r="DF28" i="4"/>
  <c r="DH27" i="4"/>
  <c r="AP27" i="6"/>
  <c r="DG27" i="4"/>
  <c r="DF27" i="4"/>
  <c r="DH21" i="4"/>
  <c r="DG21" i="4"/>
  <c r="DF21" i="4"/>
  <c r="DH20" i="4"/>
  <c r="DG20" i="4"/>
  <c r="DF20" i="4"/>
  <c r="DH19" i="4"/>
  <c r="AP19" i="6"/>
  <c r="DG19" i="4"/>
  <c r="DF19" i="4"/>
  <c r="DH18" i="4"/>
  <c r="AP18" i="6"/>
  <c r="DG18" i="4"/>
  <c r="DF18" i="4"/>
  <c r="DG17" i="4"/>
  <c r="DF17" i="4"/>
  <c r="DH16" i="4"/>
  <c r="DG16" i="4"/>
  <c r="DF16" i="4"/>
  <c r="DH15" i="4"/>
  <c r="DG15" i="4"/>
  <c r="DF15" i="4"/>
  <c r="DH9" i="4"/>
  <c r="DH7" i="4"/>
  <c r="DH1" i="4"/>
  <c r="DG9" i="4"/>
  <c r="DF9" i="4"/>
  <c r="DH8" i="4"/>
  <c r="AP8" i="6"/>
  <c r="DG8" i="4"/>
  <c r="DF8" i="4"/>
  <c r="AP7" i="6"/>
  <c r="DG7" i="4"/>
  <c r="AP67" i="6"/>
  <c r="AM53" i="7"/>
  <c r="AP62" i="6"/>
  <c r="AM48" i="7"/>
  <c r="AM30" i="7"/>
  <c r="AL67" i="6"/>
  <c r="DF7" i="4"/>
  <c r="DG10" i="4"/>
  <c r="DF14" i="4"/>
  <c r="DG14" i="4"/>
  <c r="DH14" i="4"/>
  <c r="DF25" i="4"/>
  <c r="DF66" i="4"/>
  <c r="DF70" i="4"/>
  <c r="DF73" i="4"/>
  <c r="DF26" i="4"/>
  <c r="DG26" i="4"/>
  <c r="DH26" i="4"/>
  <c r="DF33" i="4"/>
  <c r="DF34" i="4"/>
  <c r="DG34" i="4"/>
  <c r="DH34" i="4"/>
  <c r="DF41" i="4"/>
  <c r="DF42" i="4"/>
  <c r="DG42" i="4"/>
  <c r="DH42" i="4"/>
  <c r="DG44" i="4"/>
  <c r="DF46" i="4"/>
  <c r="DF47" i="4"/>
  <c r="DG47" i="4"/>
  <c r="DH47" i="4"/>
  <c r="DF51" i="4"/>
  <c r="DF52" i="4"/>
  <c r="DG52" i="4"/>
  <c r="DH52" i="4"/>
  <c r="DF59" i="4"/>
  <c r="DF60" i="4"/>
  <c r="DG60" i="4"/>
  <c r="DH60" i="4"/>
  <c r="DE74" i="4"/>
  <c r="DE71" i="4"/>
  <c r="DE67" i="4"/>
  <c r="DE63" i="4"/>
  <c r="DD63" i="4"/>
  <c r="DC63" i="4"/>
  <c r="DE62" i="4"/>
  <c r="DD62" i="4"/>
  <c r="DC62" i="4"/>
  <c r="DE61" i="4"/>
  <c r="AO61" i="6"/>
  <c r="DD61" i="4"/>
  <c r="DC61" i="4"/>
  <c r="DE55" i="4"/>
  <c r="DD55" i="4"/>
  <c r="DC55" i="4"/>
  <c r="DE54" i="4"/>
  <c r="DD54" i="4"/>
  <c r="DC54" i="4"/>
  <c r="DE53" i="4"/>
  <c r="DD53" i="4"/>
  <c r="DC53" i="4"/>
  <c r="DE48" i="4"/>
  <c r="DD48" i="4"/>
  <c r="DC48" i="4"/>
  <c r="DE43" i="4"/>
  <c r="DE44" i="4"/>
  <c r="DD43" i="4"/>
  <c r="DC43" i="4"/>
  <c r="DC44" i="4"/>
  <c r="DE38" i="4"/>
  <c r="AL38" i="7"/>
  <c r="DD38" i="4"/>
  <c r="DC38" i="4"/>
  <c r="DE37" i="4"/>
  <c r="AK37" i="7"/>
  <c r="DD37" i="4"/>
  <c r="DC37" i="4"/>
  <c r="DE36" i="4"/>
  <c r="AL36" i="7"/>
  <c r="DD36" i="4"/>
  <c r="DC36" i="4"/>
  <c r="DE35" i="4"/>
  <c r="DD35" i="4"/>
  <c r="DC35" i="4"/>
  <c r="DE30" i="4"/>
  <c r="DD30" i="4"/>
  <c r="DC30" i="4"/>
  <c r="DE29" i="4"/>
  <c r="DB29" i="4"/>
  <c r="AK29" i="7"/>
  <c r="DD29" i="4"/>
  <c r="DC29" i="4"/>
  <c r="DE28" i="4"/>
  <c r="AL28" i="7"/>
  <c r="DD28" i="4"/>
  <c r="DC28" i="4"/>
  <c r="DE27" i="4"/>
  <c r="DD27" i="4"/>
  <c r="DC27" i="4"/>
  <c r="DE21" i="4"/>
  <c r="DD21" i="4"/>
  <c r="DC21" i="4"/>
  <c r="DE20" i="4"/>
  <c r="DD20" i="4"/>
  <c r="DC20" i="4"/>
  <c r="DE19" i="4"/>
  <c r="AL19" i="7"/>
  <c r="DD19" i="4"/>
  <c r="DC19" i="4"/>
  <c r="DE18" i="4"/>
  <c r="AL18" i="7"/>
  <c r="DD18" i="4"/>
  <c r="DC18" i="4"/>
  <c r="DE17" i="4"/>
  <c r="DD17" i="4"/>
  <c r="DC17" i="4"/>
  <c r="DE16" i="4"/>
  <c r="AO16" i="6"/>
  <c r="DD16" i="4"/>
  <c r="DC16" i="4"/>
  <c r="DE15" i="4"/>
  <c r="DD15" i="4"/>
  <c r="DC15" i="4"/>
  <c r="DE9" i="4"/>
  <c r="DD9" i="4"/>
  <c r="DC9" i="4"/>
  <c r="DE8" i="4"/>
  <c r="DD8" i="4"/>
  <c r="DC8" i="4"/>
  <c r="DE7" i="4"/>
  <c r="DD7" i="4"/>
  <c r="DC7" i="4"/>
  <c r="DB18" i="4"/>
  <c r="AO48" i="6"/>
  <c r="AL8" i="7"/>
  <c r="DE64" i="4"/>
  <c r="DE81" i="4"/>
  <c r="CV80" i="4"/>
  <c r="CY80" i="4"/>
  <c r="AK14" i="7"/>
  <c r="AK26" i="7"/>
  <c r="AK34" i="7"/>
  <c r="AK42" i="7"/>
  <c r="AK47" i="7"/>
  <c r="AK52" i="7"/>
  <c r="AK60" i="7"/>
  <c r="AK67" i="6"/>
  <c r="AJ74" i="6"/>
  <c r="AK14" i="6"/>
  <c r="AK26" i="6"/>
  <c r="AK34" i="6"/>
  <c r="AK42" i="6"/>
  <c r="AK47" i="6"/>
  <c r="AK52" i="6"/>
  <c r="AK60" i="6"/>
  <c r="AK66" i="6"/>
  <c r="AK70" i="6"/>
  <c r="AK73" i="6"/>
  <c r="DC13" i="4"/>
  <c r="DC14" i="4"/>
  <c r="DD14" i="4"/>
  <c r="DE14" i="4"/>
  <c r="DC25" i="4"/>
  <c r="DC66" i="4"/>
  <c r="DC70" i="4"/>
  <c r="DC73" i="4"/>
  <c r="DC26" i="4"/>
  <c r="DD26" i="4"/>
  <c r="DE26" i="4"/>
  <c r="DC33" i="4"/>
  <c r="DC34" i="4"/>
  <c r="DD34" i="4"/>
  <c r="DE34" i="4"/>
  <c r="DC41" i="4"/>
  <c r="DC42" i="4"/>
  <c r="DD42" i="4"/>
  <c r="DE42" i="4"/>
  <c r="DD44" i="4"/>
  <c r="DC46" i="4"/>
  <c r="DC47" i="4"/>
  <c r="DD47" i="4"/>
  <c r="DE47" i="4"/>
  <c r="DC51" i="4"/>
  <c r="DC52" i="4"/>
  <c r="DD52" i="4"/>
  <c r="DE52" i="4"/>
  <c r="DC59" i="4"/>
  <c r="DC60" i="4"/>
  <c r="DD60" i="4"/>
  <c r="DE60" i="4"/>
  <c r="DE88" i="4"/>
  <c r="DE83" i="4"/>
  <c r="DB43" i="4"/>
  <c r="DB44" i="4"/>
  <c r="DA43" i="4"/>
  <c r="DA44" i="4"/>
  <c r="CZ43" i="4"/>
  <c r="AJ71" i="6"/>
  <c r="AJ67" i="6"/>
  <c r="DB63" i="4"/>
  <c r="DA63" i="4"/>
  <c r="CZ63" i="4"/>
  <c r="DB62" i="4"/>
  <c r="DA62" i="4"/>
  <c r="CZ62" i="4"/>
  <c r="DB61" i="4"/>
  <c r="DA61" i="4"/>
  <c r="CZ61" i="4"/>
  <c r="DB55" i="4"/>
  <c r="DA55" i="4"/>
  <c r="CZ55" i="4"/>
  <c r="DB54" i="4"/>
  <c r="DA54" i="4"/>
  <c r="CZ54" i="4"/>
  <c r="DB53" i="4"/>
  <c r="DA53" i="4"/>
  <c r="CZ53" i="4"/>
  <c r="DB48" i="4"/>
  <c r="DA48" i="4"/>
  <c r="CZ48" i="4"/>
  <c r="CZ44" i="4"/>
  <c r="DB38" i="4"/>
  <c r="DA38" i="4"/>
  <c r="CZ38" i="4"/>
  <c r="DA37" i="4"/>
  <c r="CZ37" i="4"/>
  <c r="DB36" i="4"/>
  <c r="DA36" i="4"/>
  <c r="CZ36" i="4"/>
  <c r="DB35" i="4"/>
  <c r="DA35" i="4"/>
  <c r="CZ35" i="4"/>
  <c r="DB30" i="4"/>
  <c r="DA30" i="4"/>
  <c r="CZ30" i="4"/>
  <c r="DA29" i="4"/>
  <c r="CZ29" i="4"/>
  <c r="DB28" i="4"/>
  <c r="DA28" i="4"/>
  <c r="CZ28" i="4"/>
  <c r="DB27" i="4"/>
  <c r="DA27" i="4"/>
  <c r="CZ27" i="4"/>
  <c r="DB21" i="4"/>
  <c r="DA21" i="4"/>
  <c r="CZ21" i="4"/>
  <c r="DB20" i="4"/>
  <c r="DA20" i="4"/>
  <c r="CZ20" i="4"/>
  <c r="DB19" i="4"/>
  <c r="DA19" i="4"/>
  <c r="CZ19" i="4"/>
  <c r="DA18" i="4"/>
  <c r="CZ18" i="4"/>
  <c r="DB17" i="4"/>
  <c r="DA17" i="4"/>
  <c r="CZ17" i="4"/>
  <c r="DB16" i="4"/>
  <c r="DA16" i="4"/>
  <c r="CZ16" i="4"/>
  <c r="DB15" i="4"/>
  <c r="DA15" i="4"/>
  <c r="CZ15" i="4"/>
  <c r="DB9" i="4"/>
  <c r="DA9" i="4"/>
  <c r="CZ9" i="4"/>
  <c r="DB8" i="4"/>
  <c r="AN8" i="6"/>
  <c r="DA8" i="4"/>
  <c r="CZ8" i="4"/>
  <c r="DB7" i="4"/>
  <c r="DA7" i="4"/>
  <c r="DA10" i="4"/>
  <c r="CZ7" i="4"/>
  <c r="DB90" i="4"/>
  <c r="DB88" i="4"/>
  <c r="DB83" i="4"/>
  <c r="DB60" i="4"/>
  <c r="DA60" i="4"/>
  <c r="CZ60" i="4"/>
  <c r="CZ59" i="4"/>
  <c r="DB52" i="4"/>
  <c r="DA52" i="4"/>
  <c r="CZ52" i="4"/>
  <c r="CZ51" i="4"/>
  <c r="DB47" i="4"/>
  <c r="DA47" i="4"/>
  <c r="CZ47" i="4"/>
  <c r="CZ46" i="4"/>
  <c r="DB42" i="4"/>
  <c r="DA42" i="4"/>
  <c r="CZ42" i="4"/>
  <c r="CZ41" i="4"/>
  <c r="DB34" i="4"/>
  <c r="DA34" i="4"/>
  <c r="CZ34" i="4"/>
  <c r="CZ33" i="4"/>
  <c r="DB26" i="4"/>
  <c r="DA26" i="4"/>
  <c r="CZ26" i="4"/>
  <c r="CZ25" i="4"/>
  <c r="CZ66" i="4"/>
  <c r="CZ70" i="4"/>
  <c r="CZ73" i="4"/>
  <c r="DB14" i="4"/>
  <c r="DA14" i="4"/>
  <c r="CZ14" i="4"/>
  <c r="CZ13" i="4"/>
  <c r="AJ14" i="6"/>
  <c r="AJ26" i="6"/>
  <c r="AJ34" i="6"/>
  <c r="AJ42" i="6"/>
  <c r="AJ47" i="6"/>
  <c r="AJ52" i="6"/>
  <c r="AJ60" i="6"/>
  <c r="AJ66" i="6"/>
  <c r="AJ70" i="6"/>
  <c r="AJ73" i="6"/>
  <c r="AN29" i="6"/>
  <c r="AN55" i="6"/>
  <c r="AN15" i="6"/>
  <c r="DB64" i="4"/>
  <c r="AK27" i="7"/>
  <c r="DB81" i="4"/>
  <c r="AJ60" i="7"/>
  <c r="AJ52" i="7"/>
  <c r="AJ47" i="7"/>
  <c r="AJ42" i="7"/>
  <c r="AJ34" i="7"/>
  <c r="AJ26" i="7"/>
  <c r="AJ14" i="7"/>
  <c r="AI74" i="6"/>
  <c r="AI71" i="6"/>
  <c r="AI67" i="6"/>
  <c r="CN59" i="4"/>
  <c r="CN51" i="4"/>
  <c r="CN46" i="4"/>
  <c r="CN41" i="4"/>
  <c r="CN33" i="4"/>
  <c r="CN25" i="4"/>
  <c r="CN66" i="4"/>
  <c r="CN70" i="4"/>
  <c r="CN73" i="4"/>
  <c r="CN13" i="4"/>
  <c r="CY43" i="4"/>
  <c r="CY44" i="4"/>
  <c r="CX43" i="4"/>
  <c r="CW43" i="4"/>
  <c r="CW44" i="4"/>
  <c r="AI60" i="7"/>
  <c r="AI52" i="7"/>
  <c r="AI47" i="7"/>
  <c r="AI42" i="7"/>
  <c r="AI34" i="7"/>
  <c r="AI26" i="7"/>
  <c r="AI14" i="7"/>
  <c r="AI14" i="6"/>
  <c r="AI26" i="6"/>
  <c r="AI34" i="6"/>
  <c r="AI42" i="6"/>
  <c r="AI47" i="6"/>
  <c r="AI52" i="6"/>
  <c r="AI60" i="6"/>
  <c r="AI66" i="6"/>
  <c r="AI70" i="6"/>
  <c r="AI73" i="6"/>
  <c r="CY63" i="4"/>
  <c r="AM63" i="6"/>
  <c r="CX63" i="4"/>
  <c r="CW63" i="4"/>
  <c r="CY62" i="4"/>
  <c r="CX62" i="4"/>
  <c r="CW62" i="4"/>
  <c r="CY61" i="4"/>
  <c r="CX61" i="4"/>
  <c r="CW61" i="4"/>
  <c r="CY55" i="4"/>
  <c r="AM55" i="6"/>
  <c r="CX55" i="4"/>
  <c r="CW55" i="4"/>
  <c r="CY54" i="4"/>
  <c r="CX54" i="4"/>
  <c r="CW54" i="4"/>
  <c r="CY53" i="4"/>
  <c r="CX53" i="4"/>
  <c r="CW53" i="4"/>
  <c r="CY48" i="4"/>
  <c r="CX48" i="4"/>
  <c r="CW48" i="4"/>
  <c r="CY38" i="4"/>
  <c r="CX38" i="4"/>
  <c r="CW38" i="4"/>
  <c r="CY37" i="4"/>
  <c r="AJ37" i="7"/>
  <c r="CX37" i="4"/>
  <c r="CW37" i="4"/>
  <c r="CY36" i="4"/>
  <c r="CX36" i="4"/>
  <c r="CW36" i="4"/>
  <c r="CY35" i="4"/>
  <c r="CX35" i="4"/>
  <c r="CW35" i="4"/>
  <c r="CY30" i="4"/>
  <c r="AM30" i="6"/>
  <c r="CX30" i="4"/>
  <c r="CW30" i="4"/>
  <c r="CY29" i="4"/>
  <c r="CX29" i="4"/>
  <c r="CW29" i="4"/>
  <c r="CY28" i="4"/>
  <c r="CX28" i="4"/>
  <c r="CW28" i="4"/>
  <c r="CY27" i="4"/>
  <c r="CX27" i="4"/>
  <c r="CW27" i="4"/>
  <c r="CY21" i="4"/>
  <c r="CX21" i="4"/>
  <c r="CW21" i="4"/>
  <c r="CY20" i="4"/>
  <c r="AJ20" i="7"/>
  <c r="CX20" i="4"/>
  <c r="CW20" i="4"/>
  <c r="CY19" i="4"/>
  <c r="CX19" i="4"/>
  <c r="CW19" i="4"/>
  <c r="CY18" i="4"/>
  <c r="CV18" i="4"/>
  <c r="AI18" i="7"/>
  <c r="CX18" i="4"/>
  <c r="CW18" i="4"/>
  <c r="CY17" i="4"/>
  <c r="AJ17" i="7"/>
  <c r="CX17" i="4"/>
  <c r="CW17" i="4"/>
  <c r="CY16" i="4"/>
  <c r="CX16" i="4"/>
  <c r="CW16" i="4"/>
  <c r="CY15" i="4"/>
  <c r="AJ15" i="7"/>
  <c r="CX15" i="4"/>
  <c r="CW15" i="4"/>
  <c r="CY9" i="4"/>
  <c r="CX9" i="4"/>
  <c r="CW9" i="4"/>
  <c r="CY8" i="4"/>
  <c r="AJ8" i="7"/>
  <c r="CX8" i="4"/>
  <c r="CW8" i="4"/>
  <c r="CY7" i="4"/>
  <c r="CX7" i="4"/>
  <c r="CW7" i="4"/>
  <c r="CY90" i="4"/>
  <c r="CY88" i="4"/>
  <c r="CY60" i="4"/>
  <c r="CX60" i="4"/>
  <c r="CW60" i="4"/>
  <c r="CW59" i="4"/>
  <c r="CY52" i="4"/>
  <c r="CX52" i="4"/>
  <c r="CW52" i="4"/>
  <c r="CW51" i="4"/>
  <c r="CY47" i="4"/>
  <c r="CX47" i="4"/>
  <c r="CW47" i="4"/>
  <c r="CW46" i="4"/>
  <c r="CY42" i="4"/>
  <c r="CX42" i="4"/>
  <c r="CW42" i="4"/>
  <c r="CW41" i="4"/>
  <c r="CY34" i="4"/>
  <c r="CX34" i="4"/>
  <c r="CW34" i="4"/>
  <c r="CW33" i="4"/>
  <c r="CY26" i="4"/>
  <c r="CX26" i="4"/>
  <c r="CW26" i="4"/>
  <c r="CW25" i="4"/>
  <c r="CW66" i="4"/>
  <c r="CW70" i="4"/>
  <c r="CW73" i="4"/>
  <c r="CY14" i="4"/>
  <c r="CX14" i="4"/>
  <c r="CW14" i="4"/>
  <c r="CW13" i="4"/>
  <c r="AM62" i="6"/>
  <c r="AJ55" i="7"/>
  <c r="CY83" i="4"/>
  <c r="CY81" i="4"/>
  <c r="CX44" i="4"/>
  <c r="CS80" i="4"/>
  <c r="CP83" i="4"/>
  <c r="CV81" i="4"/>
  <c r="CM80" i="4"/>
  <c r="CM83" i="4"/>
  <c r="CP90" i="4"/>
  <c r="CS90" i="4"/>
  <c r="CV90" i="4"/>
  <c r="CM90" i="4"/>
  <c r="CM88" i="4"/>
  <c r="CP80" i="4"/>
  <c r="CP81" i="4"/>
  <c r="CM81" i="4"/>
  <c r="AH60" i="7"/>
  <c r="AH52" i="7"/>
  <c r="AH47" i="7"/>
  <c r="AH42" i="7"/>
  <c r="AH34" i="7"/>
  <c r="AH26" i="7"/>
  <c r="AH14" i="7"/>
  <c r="AH14" i="6"/>
  <c r="CV63" i="4"/>
  <c r="CU63" i="4"/>
  <c r="CT63" i="4"/>
  <c r="CV62" i="4"/>
  <c r="CU62" i="4"/>
  <c r="CT62" i="4"/>
  <c r="CV61" i="4"/>
  <c r="AL61" i="6"/>
  <c r="CU61" i="4"/>
  <c r="CT61" i="4"/>
  <c r="CV55" i="4"/>
  <c r="CU55" i="4"/>
  <c r="CT55" i="4"/>
  <c r="CV54" i="4"/>
  <c r="CU54" i="4"/>
  <c r="CT54" i="4"/>
  <c r="CV53" i="4"/>
  <c r="CU53" i="4"/>
  <c r="CT53" i="4"/>
  <c r="CV48" i="4"/>
  <c r="AL48" i="6"/>
  <c r="CU48" i="4"/>
  <c r="CT48" i="4"/>
  <c r="CV43" i="4"/>
  <c r="CV44" i="4"/>
  <c r="CS43" i="4"/>
  <c r="CS44" i="4"/>
  <c r="AH43" i="7"/>
  <c r="CU43" i="4"/>
  <c r="CU44" i="4"/>
  <c r="CT43" i="4"/>
  <c r="CT44" i="4"/>
  <c r="CV38" i="4"/>
  <c r="CU38" i="4"/>
  <c r="CT38" i="4"/>
  <c r="CV37" i="4"/>
  <c r="CU37" i="4"/>
  <c r="CT37" i="4"/>
  <c r="CV36" i="4"/>
  <c r="AL36" i="6"/>
  <c r="CU36" i="4"/>
  <c r="CT36" i="4"/>
  <c r="CV35" i="4"/>
  <c r="CU35" i="4"/>
  <c r="CT35" i="4"/>
  <c r="CV30" i="4"/>
  <c r="CU30" i="4"/>
  <c r="CT30" i="4"/>
  <c r="CV29" i="4"/>
  <c r="CU29" i="4"/>
  <c r="CT29" i="4"/>
  <c r="CV28" i="4"/>
  <c r="CU28" i="4"/>
  <c r="CT28" i="4"/>
  <c r="CV27" i="4"/>
  <c r="CU27" i="4"/>
  <c r="CT27" i="4"/>
  <c r="CV21" i="4"/>
  <c r="CU21" i="4"/>
  <c r="CT21" i="4"/>
  <c r="CV20" i="4"/>
  <c r="CU20" i="4"/>
  <c r="CT20" i="4"/>
  <c r="CV19" i="4"/>
  <c r="AL19" i="6"/>
  <c r="CU19" i="4"/>
  <c r="CT19" i="4"/>
  <c r="AL18" i="6"/>
  <c r="CU18" i="4"/>
  <c r="CT18" i="4"/>
  <c r="CV17" i="4"/>
  <c r="CU17" i="4"/>
  <c r="CT17" i="4"/>
  <c r="CV16" i="4"/>
  <c r="AL16" i="6"/>
  <c r="CU16" i="4"/>
  <c r="CT16" i="4"/>
  <c r="CV15" i="4"/>
  <c r="CU15" i="4"/>
  <c r="CT15" i="4"/>
  <c r="CV9" i="4"/>
  <c r="AL9" i="6"/>
  <c r="CU9" i="4"/>
  <c r="CT9" i="4"/>
  <c r="CV8" i="4"/>
  <c r="CU8" i="4"/>
  <c r="CT8" i="4"/>
  <c r="CV7" i="4"/>
  <c r="CU7" i="4"/>
  <c r="CT7" i="4"/>
  <c r="CV88" i="4"/>
  <c r="CV83" i="4"/>
  <c r="CV60" i="4"/>
  <c r="CU60" i="4"/>
  <c r="CT60" i="4"/>
  <c r="CT59" i="4"/>
  <c r="CV52" i="4"/>
  <c r="CU52" i="4"/>
  <c r="CT52" i="4"/>
  <c r="CT51" i="4"/>
  <c r="CV47" i="4"/>
  <c r="CU47" i="4"/>
  <c r="CT47" i="4"/>
  <c r="CT46" i="4"/>
  <c r="CV42" i="4"/>
  <c r="CU42" i="4"/>
  <c r="CT42" i="4"/>
  <c r="CT41" i="4"/>
  <c r="CV34" i="4"/>
  <c r="CU34" i="4"/>
  <c r="CT34" i="4"/>
  <c r="CT33" i="4"/>
  <c r="CV26" i="4"/>
  <c r="CU26" i="4"/>
  <c r="CT26" i="4"/>
  <c r="CT25" i="4"/>
  <c r="CT66" i="4"/>
  <c r="CT70" i="4"/>
  <c r="CT73" i="4"/>
  <c r="CV14" i="4"/>
  <c r="CU14" i="4"/>
  <c r="CT14" i="4"/>
  <c r="CT13" i="4"/>
  <c r="AL20" i="6"/>
  <c r="AL28" i="6"/>
  <c r="AH26" i="6"/>
  <c r="CT56" i="4"/>
  <c r="AH34" i="6"/>
  <c r="CQ62" i="4"/>
  <c r="AH42" i="6"/>
  <c r="CD90" i="4"/>
  <c r="CD88" i="4"/>
  <c r="CD87" i="4"/>
  <c r="CD80" i="4"/>
  <c r="CD60" i="4"/>
  <c r="CD52" i="4"/>
  <c r="CD47" i="4"/>
  <c r="CD42" i="4"/>
  <c r="CD34" i="4"/>
  <c r="CD26" i="4"/>
  <c r="CD14" i="4"/>
  <c r="CC60" i="4"/>
  <c r="CC52" i="4"/>
  <c r="CC47" i="4"/>
  <c r="CC42" i="4"/>
  <c r="CC34" i="4"/>
  <c r="CC26" i="4"/>
  <c r="CC14" i="4"/>
  <c r="CB60" i="4"/>
  <c r="CB59" i="4"/>
  <c r="CB52" i="4"/>
  <c r="CB51" i="4"/>
  <c r="CB47" i="4"/>
  <c r="CB46" i="4"/>
  <c r="CB42" i="4"/>
  <c r="CB41" i="4"/>
  <c r="CB34" i="4"/>
  <c r="CB33" i="4"/>
  <c r="CB26" i="4"/>
  <c r="CB25" i="4"/>
  <c r="CB14" i="4"/>
  <c r="CB13" i="4"/>
  <c r="CP60" i="4"/>
  <c r="CP52" i="4"/>
  <c r="CP47" i="4"/>
  <c r="CP42" i="4"/>
  <c r="CP34" i="4"/>
  <c r="CP26" i="4"/>
  <c r="CP14" i="4"/>
  <c r="CP88" i="4"/>
  <c r="CN60" i="4"/>
  <c r="CN52" i="4"/>
  <c r="CN47" i="4"/>
  <c r="CN42" i="4"/>
  <c r="CN34" i="4"/>
  <c r="CN26" i="4"/>
  <c r="CN14" i="4"/>
  <c r="CS81" i="4"/>
  <c r="AG60" i="7"/>
  <c r="AG52" i="7"/>
  <c r="AG47" i="7"/>
  <c r="AG42" i="7"/>
  <c r="AG34" i="7"/>
  <c r="AG26" i="7"/>
  <c r="AG14" i="7"/>
  <c r="CS63" i="4"/>
  <c r="CR63" i="4"/>
  <c r="CQ63" i="4"/>
  <c r="CS62" i="4"/>
  <c r="CR62" i="4"/>
  <c r="CS61" i="4"/>
  <c r="CR61" i="4"/>
  <c r="CQ61" i="4"/>
  <c r="CS55" i="4"/>
  <c r="CR55" i="4"/>
  <c r="CQ55" i="4"/>
  <c r="CS54" i="4"/>
  <c r="CR54" i="4"/>
  <c r="CQ54" i="4"/>
  <c r="CS53" i="4"/>
  <c r="CR53" i="4"/>
  <c r="CQ53" i="4"/>
  <c r="CS48" i="4"/>
  <c r="CR48" i="4"/>
  <c r="CQ48" i="4"/>
  <c r="CR43" i="4"/>
  <c r="CQ43" i="4"/>
  <c r="CS38" i="4"/>
  <c r="AK38" i="6"/>
  <c r="CR38" i="4"/>
  <c r="CQ38" i="4"/>
  <c r="CS37" i="4"/>
  <c r="CR37" i="4"/>
  <c r="CQ37" i="4"/>
  <c r="CS36" i="4"/>
  <c r="AK36" i="6"/>
  <c r="CR36" i="4"/>
  <c r="CQ36" i="4"/>
  <c r="CS35" i="4"/>
  <c r="CR35" i="4"/>
  <c r="CQ35" i="4"/>
  <c r="CS30" i="4"/>
  <c r="AK30" i="6"/>
  <c r="CR30" i="4"/>
  <c r="CQ30" i="4"/>
  <c r="CS29" i="4"/>
  <c r="CR29" i="4"/>
  <c r="CQ29" i="4"/>
  <c r="CS28" i="4"/>
  <c r="CR28" i="4"/>
  <c r="CQ28" i="4"/>
  <c r="CS27" i="4"/>
  <c r="AK27" i="6"/>
  <c r="CR27" i="4"/>
  <c r="CQ27" i="4"/>
  <c r="CS21" i="4"/>
  <c r="AK21" i="6"/>
  <c r="CR21" i="4"/>
  <c r="CQ21" i="4"/>
  <c r="CS20" i="4"/>
  <c r="CR20" i="4"/>
  <c r="CQ20" i="4"/>
  <c r="CS19" i="4"/>
  <c r="CR19" i="4"/>
  <c r="CQ19" i="4"/>
  <c r="CS18" i="4"/>
  <c r="CR18" i="4"/>
  <c r="CQ18" i="4"/>
  <c r="CS17" i="4"/>
  <c r="CR17" i="4"/>
  <c r="CQ17" i="4"/>
  <c r="CS16" i="4"/>
  <c r="CR16" i="4"/>
  <c r="CQ16" i="4"/>
  <c r="CS15" i="4"/>
  <c r="CR15" i="4"/>
  <c r="CQ15" i="4"/>
  <c r="AK55" i="6"/>
  <c r="AK63" i="6"/>
  <c r="AK62" i="6"/>
  <c r="AH47" i="6"/>
  <c r="AH27" i="7"/>
  <c r="AH35" i="7"/>
  <c r="CS9" i="4"/>
  <c r="AK9" i="6"/>
  <c r="CR9" i="4"/>
  <c r="CQ9" i="4"/>
  <c r="CS8" i="4"/>
  <c r="CR8" i="4"/>
  <c r="CQ8" i="4"/>
  <c r="CS7" i="4"/>
  <c r="CR7" i="4"/>
  <c r="CQ7" i="4"/>
  <c r="CP62" i="4"/>
  <c r="CO62" i="4"/>
  <c r="CN62" i="4"/>
  <c r="CP61" i="4"/>
  <c r="CO61" i="4"/>
  <c r="CN61" i="4"/>
  <c r="CP55" i="4"/>
  <c r="AG55" i="7"/>
  <c r="CO55" i="4"/>
  <c r="CN55" i="4"/>
  <c r="CP54" i="4"/>
  <c r="AJ54" i="6"/>
  <c r="CO54" i="4"/>
  <c r="CN54" i="4"/>
  <c r="CP53" i="4"/>
  <c r="CO53" i="4"/>
  <c r="CN53" i="4"/>
  <c r="CP48" i="4"/>
  <c r="CO48" i="4"/>
  <c r="CN48" i="4"/>
  <c r="CP43" i="4"/>
  <c r="CO43" i="4"/>
  <c r="CO44" i="4"/>
  <c r="CN43" i="4"/>
  <c r="CP38" i="4"/>
  <c r="CO38" i="4"/>
  <c r="CN38" i="4"/>
  <c r="CP37" i="4"/>
  <c r="AJ37" i="6"/>
  <c r="CO37" i="4"/>
  <c r="CN37" i="4"/>
  <c r="CP36" i="4"/>
  <c r="AG36" i="7"/>
  <c r="CO36" i="4"/>
  <c r="CN36" i="4"/>
  <c r="CP35" i="4"/>
  <c r="AJ35" i="6"/>
  <c r="CO35" i="4"/>
  <c r="CN35" i="4"/>
  <c r="CP30" i="4"/>
  <c r="CO30" i="4"/>
  <c r="CN30" i="4"/>
  <c r="CP29" i="4"/>
  <c r="AJ29" i="6"/>
  <c r="CO29" i="4"/>
  <c r="CN29" i="4"/>
  <c r="CP28" i="4"/>
  <c r="CO28" i="4"/>
  <c r="CN28" i="4"/>
  <c r="CP27" i="4"/>
  <c r="AJ27" i="6"/>
  <c r="CO27" i="4"/>
  <c r="CN27" i="4"/>
  <c r="CP21" i="4"/>
  <c r="CO21" i="4"/>
  <c r="CN21" i="4"/>
  <c r="CP20" i="4"/>
  <c r="CO20" i="4"/>
  <c r="CN20" i="4"/>
  <c r="CP19" i="4"/>
  <c r="CO19" i="4"/>
  <c r="CN19" i="4"/>
  <c r="CP18" i="4"/>
  <c r="AJ18" i="6"/>
  <c r="CO18" i="4"/>
  <c r="CN18" i="4"/>
  <c r="CP17" i="4"/>
  <c r="AJ17" i="6"/>
  <c r="CO17" i="4"/>
  <c r="CN17" i="4"/>
  <c r="CP16" i="4"/>
  <c r="AJ16" i="6"/>
  <c r="CO16" i="4"/>
  <c r="CN16" i="4"/>
  <c r="CP15" i="4"/>
  <c r="CO15" i="4"/>
  <c r="CN15" i="4"/>
  <c r="CP9" i="4"/>
  <c r="CO9" i="4"/>
  <c r="CN9" i="4"/>
  <c r="CP8" i="4"/>
  <c r="CO8" i="4"/>
  <c r="CN8" i="4"/>
  <c r="CP7" i="4"/>
  <c r="AJ7" i="6"/>
  <c r="CO7" i="4"/>
  <c r="CN7" i="4"/>
  <c r="CP63" i="4"/>
  <c r="CO63" i="4"/>
  <c r="CN63" i="4"/>
  <c r="V7" i="4"/>
  <c r="AG27" i="7"/>
  <c r="AJ55" i="6"/>
  <c r="AG54" i="7"/>
  <c r="AJ20" i="6"/>
  <c r="AJ53" i="6"/>
  <c r="AH9" i="7"/>
  <c r="AH52" i="6"/>
  <c r="U7" i="4"/>
  <c r="T7" i="4"/>
  <c r="J7" i="4"/>
  <c r="AH60" i="6"/>
  <c r="I7" i="4"/>
  <c r="H7" i="4"/>
  <c r="CK7" i="4"/>
  <c r="CS88" i="4"/>
  <c r="CS60" i="4"/>
  <c r="CR60" i="4"/>
  <c r="CQ60" i="4"/>
  <c r="CQ59" i="4"/>
  <c r="CS52" i="4"/>
  <c r="CR52" i="4"/>
  <c r="CQ52" i="4"/>
  <c r="CQ51" i="4"/>
  <c r="CS47" i="4"/>
  <c r="CR47" i="4"/>
  <c r="CQ47" i="4"/>
  <c r="CQ46" i="4"/>
  <c r="CR44" i="4"/>
  <c r="CS42" i="4"/>
  <c r="CR42" i="4"/>
  <c r="CQ42" i="4"/>
  <c r="CQ41" i="4"/>
  <c r="CS34" i="4"/>
  <c r="CR34" i="4"/>
  <c r="CQ34" i="4"/>
  <c r="CQ33" i="4"/>
  <c r="CS26" i="4"/>
  <c r="CR26" i="4"/>
  <c r="CQ26" i="4"/>
  <c r="CQ25" i="4"/>
  <c r="CQ66" i="4"/>
  <c r="CQ70" i="4"/>
  <c r="CQ73" i="4"/>
  <c r="CS14" i="4"/>
  <c r="CR14" i="4"/>
  <c r="CQ14" i="4"/>
  <c r="CQ13" i="4"/>
  <c r="CS83" i="4"/>
  <c r="CP82" i="4"/>
  <c r="AF14" i="7"/>
  <c r="AF26" i="7"/>
  <c r="AF34" i="7"/>
  <c r="AF42" i="7"/>
  <c r="AF47" i="7"/>
  <c r="AF52" i="7"/>
  <c r="AF60" i="7"/>
  <c r="CO14" i="4"/>
  <c r="CO26" i="4"/>
  <c r="CO34" i="4"/>
  <c r="CO42" i="4"/>
  <c r="CO47" i="4"/>
  <c r="CO52" i="4"/>
  <c r="CO60" i="4"/>
  <c r="I54" i="9"/>
  <c r="CJ80" i="4"/>
  <c r="I53" i="9"/>
  <c r="BU80" i="4"/>
  <c r="BX80" i="4"/>
  <c r="BX58" i="4"/>
  <c r="AE14" i="7"/>
  <c r="AE26" i="7"/>
  <c r="AE34" i="7"/>
  <c r="AE42" i="7"/>
  <c r="AE47" i="7"/>
  <c r="AE52" i="7"/>
  <c r="AE60" i="7"/>
  <c r="CM63" i="4"/>
  <c r="AF63" i="7"/>
  <c r="CL63" i="4"/>
  <c r="CK63" i="4"/>
  <c r="CM62" i="4"/>
  <c r="AI62" i="6"/>
  <c r="CL62" i="4"/>
  <c r="CK62" i="4"/>
  <c r="CM61" i="4"/>
  <c r="CL61" i="4"/>
  <c r="CK61" i="4"/>
  <c r="CM55" i="4"/>
  <c r="CL55" i="4"/>
  <c r="CK55" i="4"/>
  <c r="CM54" i="4"/>
  <c r="CL54" i="4"/>
  <c r="CK54" i="4"/>
  <c r="CM53" i="4"/>
  <c r="AI53" i="6"/>
  <c r="CL53" i="4"/>
  <c r="CK53" i="4"/>
  <c r="CM48" i="4"/>
  <c r="CL48" i="4"/>
  <c r="CK48" i="4"/>
  <c r="CM43" i="4"/>
  <c r="CM44" i="4"/>
  <c r="CL43" i="4"/>
  <c r="CK43" i="4"/>
  <c r="CK44" i="4"/>
  <c r="CM38" i="4"/>
  <c r="CL38" i="4"/>
  <c r="CK38" i="4"/>
  <c r="CM37" i="4"/>
  <c r="AI37" i="6"/>
  <c r="CL37" i="4"/>
  <c r="CK37" i="4"/>
  <c r="CM36" i="4"/>
  <c r="AF36" i="7"/>
  <c r="CL36" i="4"/>
  <c r="CK36" i="4"/>
  <c r="CM35" i="4"/>
  <c r="CL35" i="4"/>
  <c r="CK35" i="4"/>
  <c r="CM30" i="4"/>
  <c r="AI30" i="6"/>
  <c r="CL30" i="4"/>
  <c r="CK30" i="4"/>
  <c r="CM29" i="4"/>
  <c r="AI29" i="6"/>
  <c r="CL29" i="4"/>
  <c r="CK29" i="4"/>
  <c r="CM28" i="4"/>
  <c r="AI28" i="6"/>
  <c r="CL28" i="4"/>
  <c r="CK28" i="4"/>
  <c r="CM27" i="4"/>
  <c r="CL27" i="4"/>
  <c r="CK27" i="4"/>
  <c r="CM21" i="4"/>
  <c r="AI21" i="6"/>
  <c r="CL21" i="4"/>
  <c r="CK21" i="4"/>
  <c r="CM20" i="4"/>
  <c r="AI20" i="6"/>
  <c r="CL20" i="4"/>
  <c r="CK20" i="4"/>
  <c r="CM19" i="4"/>
  <c r="CL19" i="4"/>
  <c r="CK19" i="4"/>
  <c r="CM18" i="4"/>
  <c r="CL18" i="4"/>
  <c r="CK18" i="4"/>
  <c r="CM17" i="4"/>
  <c r="CL17" i="4"/>
  <c r="CK17" i="4"/>
  <c r="CM16" i="4"/>
  <c r="AI16" i="6"/>
  <c r="CL16" i="4"/>
  <c r="CK16" i="4"/>
  <c r="CM15" i="4"/>
  <c r="AI15" i="6"/>
  <c r="CL15" i="4"/>
  <c r="CK15" i="4"/>
  <c r="CM9" i="4"/>
  <c r="CL9" i="4"/>
  <c r="CK9" i="4"/>
  <c r="CM8" i="4"/>
  <c r="AF8" i="7"/>
  <c r="CL8" i="4"/>
  <c r="CL7" i="4"/>
  <c r="CL10" i="4"/>
  <c r="CK8" i="4"/>
  <c r="CM7" i="4"/>
  <c r="AI7" i="6"/>
  <c r="CK13" i="4"/>
  <c r="CK14" i="4"/>
  <c r="CL14" i="4"/>
  <c r="CM14" i="4"/>
  <c r="CK25" i="4"/>
  <c r="CK66" i="4"/>
  <c r="CK70" i="4"/>
  <c r="CK73" i="4"/>
  <c r="CK26" i="4"/>
  <c r="CL26" i="4"/>
  <c r="CM26" i="4"/>
  <c r="CK33" i="4"/>
  <c r="CK34" i="4"/>
  <c r="CL34" i="4"/>
  <c r="CM34" i="4"/>
  <c r="CK41" i="4"/>
  <c r="CK42" i="4"/>
  <c r="CL42" i="4"/>
  <c r="CM42" i="4"/>
  <c r="CK46" i="4"/>
  <c r="CK47" i="4"/>
  <c r="CL47" i="4"/>
  <c r="CM47" i="4"/>
  <c r="CK51" i="4"/>
  <c r="CK52" i="4"/>
  <c r="CL52" i="4"/>
  <c r="CM52" i="4"/>
  <c r="CK59" i="4"/>
  <c r="CK60" i="4"/>
  <c r="CL60" i="4"/>
  <c r="CM60" i="4"/>
  <c r="AI19" i="6"/>
  <c r="AI36" i="6"/>
  <c r="AI17" i="6"/>
  <c r="AF21" i="7"/>
  <c r="AF38" i="7"/>
  <c r="AI38" i="6"/>
  <c r="AI63" i="6"/>
  <c r="CL44" i="4"/>
  <c r="AD14" i="7"/>
  <c r="AD26" i="7"/>
  <c r="AD34" i="7"/>
  <c r="AD42" i="7"/>
  <c r="AD47" i="7"/>
  <c r="AD52" i="7"/>
  <c r="AD60" i="7"/>
  <c r="CJ63" i="4"/>
  <c r="AE63" i="7"/>
  <c r="CI63" i="4"/>
  <c r="CH63" i="4"/>
  <c r="CJ62" i="4"/>
  <c r="CI62" i="4"/>
  <c r="CH62" i="4"/>
  <c r="CJ61" i="4"/>
  <c r="CI61" i="4"/>
  <c r="CH61" i="4"/>
  <c r="CJ55" i="4"/>
  <c r="AH55" i="6"/>
  <c r="CI55" i="4"/>
  <c r="CH55" i="4"/>
  <c r="CJ54" i="4"/>
  <c r="AE54" i="7"/>
  <c r="CI54" i="4"/>
  <c r="CH54" i="4"/>
  <c r="CJ53" i="4"/>
  <c r="CI53" i="4"/>
  <c r="CH53" i="4"/>
  <c r="CJ48" i="4"/>
  <c r="CI48" i="4"/>
  <c r="CH48" i="4"/>
  <c r="CJ43" i="4"/>
  <c r="CI43" i="4"/>
  <c r="CI44" i="4"/>
  <c r="CH43" i="4"/>
  <c r="CJ38" i="4"/>
  <c r="AE38" i="7"/>
  <c r="CI38" i="4"/>
  <c r="CH38" i="4"/>
  <c r="CJ37" i="4"/>
  <c r="CI37" i="4"/>
  <c r="CH37" i="4"/>
  <c r="CJ36" i="4"/>
  <c r="CI36" i="4"/>
  <c r="CH36" i="4"/>
  <c r="CJ35" i="4"/>
  <c r="AH35" i="6"/>
  <c r="CI35" i="4"/>
  <c r="CH35" i="4"/>
  <c r="CJ30" i="4"/>
  <c r="AE30" i="7"/>
  <c r="CI30" i="4"/>
  <c r="CH30" i="4"/>
  <c r="CJ29" i="4"/>
  <c r="CI29" i="4"/>
  <c r="CH29" i="4"/>
  <c r="CJ28" i="4"/>
  <c r="CI28" i="4"/>
  <c r="CH28" i="4"/>
  <c r="CJ27" i="4"/>
  <c r="CI27" i="4"/>
  <c r="CH27" i="4"/>
  <c r="CJ21" i="4"/>
  <c r="AE21" i="7"/>
  <c r="CI21" i="4"/>
  <c r="CH21" i="4"/>
  <c r="CJ20" i="4"/>
  <c r="CI20" i="4"/>
  <c r="CH20" i="4"/>
  <c r="CJ19" i="4"/>
  <c r="AE19" i="7"/>
  <c r="CI19" i="4"/>
  <c r="CH19" i="4"/>
  <c r="CJ18" i="4"/>
  <c r="AH18" i="6"/>
  <c r="CI18" i="4"/>
  <c r="CH18" i="4"/>
  <c r="CJ17" i="4"/>
  <c r="AE17" i="7"/>
  <c r="CI17" i="4"/>
  <c r="CH17" i="4"/>
  <c r="CJ16" i="4"/>
  <c r="CI16" i="4"/>
  <c r="CH16" i="4"/>
  <c r="CJ15" i="4"/>
  <c r="CI15" i="4"/>
  <c r="CH15" i="4"/>
  <c r="CJ9" i="4"/>
  <c r="AH9" i="6"/>
  <c r="CI9" i="4"/>
  <c r="CH9" i="4"/>
  <c r="CJ8" i="4"/>
  <c r="CI8" i="4"/>
  <c r="CH8" i="4"/>
  <c r="CJ7" i="4"/>
  <c r="CI7" i="4"/>
  <c r="CH7" i="4"/>
  <c r="CH11" i="4"/>
  <c r="CH13" i="4"/>
  <c r="CH14" i="4"/>
  <c r="CI14" i="4"/>
  <c r="CJ14" i="4"/>
  <c r="CH25" i="4"/>
  <c r="CH26" i="4"/>
  <c r="CI26" i="4"/>
  <c r="CJ26" i="4"/>
  <c r="CH33" i="4"/>
  <c r="CH34" i="4"/>
  <c r="CI34" i="4"/>
  <c r="CJ34" i="4"/>
  <c r="CH41" i="4"/>
  <c r="CH42" i="4"/>
  <c r="CI42" i="4"/>
  <c r="CJ42" i="4"/>
  <c r="CH46" i="4"/>
  <c r="CH47" i="4"/>
  <c r="CI47" i="4"/>
  <c r="CJ47" i="4"/>
  <c r="CH51" i="4"/>
  <c r="CH52" i="4"/>
  <c r="CI52" i="4"/>
  <c r="CJ52" i="4"/>
  <c r="CH59" i="4"/>
  <c r="CH60" i="4"/>
  <c r="CI60" i="4"/>
  <c r="CJ60" i="4"/>
  <c r="CJ83" i="4"/>
  <c r="CJ88" i="4"/>
  <c r="CJ90" i="4"/>
  <c r="CH56" i="4"/>
  <c r="AE28" i="7"/>
  <c r="AH27" i="6"/>
  <c r="CJ44" i="4"/>
  <c r="AH16" i="6"/>
  <c r="AE20" i="7"/>
  <c r="AH29" i="6"/>
  <c r="AE29" i="7"/>
  <c r="AE37" i="7"/>
  <c r="CH44" i="4"/>
  <c r="CJ81" i="4"/>
  <c r="CG80" i="4"/>
  <c r="CD81" i="4"/>
  <c r="CD83" i="4"/>
  <c r="AC14" i="7"/>
  <c r="AC26" i="7"/>
  <c r="AC34" i="7"/>
  <c r="AC42" i="7"/>
  <c r="AC47" i="7"/>
  <c r="AC52" i="7"/>
  <c r="AC60" i="7"/>
  <c r="CG63" i="4"/>
  <c r="AC63" i="7"/>
  <c r="CF63" i="4"/>
  <c r="CE63" i="4"/>
  <c r="CG62" i="4"/>
  <c r="CF62" i="4"/>
  <c r="CE62" i="4"/>
  <c r="CG61" i="4"/>
  <c r="CF61" i="4"/>
  <c r="CE61" i="4"/>
  <c r="CG55" i="4"/>
  <c r="CF55" i="4"/>
  <c r="CE55" i="4"/>
  <c r="CG54" i="4"/>
  <c r="AG54" i="6"/>
  <c r="CF54" i="4"/>
  <c r="CE54" i="4"/>
  <c r="CG53" i="4"/>
  <c r="CF53" i="4"/>
  <c r="CE53" i="4"/>
  <c r="CG48" i="4"/>
  <c r="AC48" i="7"/>
  <c r="CF48" i="4"/>
  <c r="CE48" i="4"/>
  <c r="CG43" i="4"/>
  <c r="CF43" i="4"/>
  <c r="CC44" i="4"/>
  <c r="CE43" i="4"/>
  <c r="CB44" i="4"/>
  <c r="CG38" i="4"/>
  <c r="AC38" i="7"/>
  <c r="CF38" i="4"/>
  <c r="CE38" i="4"/>
  <c r="CG37" i="4"/>
  <c r="AD37" i="7"/>
  <c r="CF37" i="4"/>
  <c r="CE37" i="4"/>
  <c r="CG36" i="4"/>
  <c r="CF36" i="4"/>
  <c r="CE36" i="4"/>
  <c r="CG35" i="4"/>
  <c r="AC35" i="7"/>
  <c r="CF35" i="4"/>
  <c r="CE35" i="4"/>
  <c r="CG30" i="4"/>
  <c r="CF30" i="4"/>
  <c r="CE30" i="4"/>
  <c r="CG29" i="4"/>
  <c r="CF29" i="4"/>
  <c r="CE29" i="4"/>
  <c r="CG28" i="4"/>
  <c r="CF28" i="4"/>
  <c r="CE28" i="4"/>
  <c r="CG27" i="4"/>
  <c r="AC27" i="7"/>
  <c r="CF27" i="4"/>
  <c r="CE27" i="4"/>
  <c r="CG21" i="4"/>
  <c r="CF21" i="4"/>
  <c r="CE21" i="4"/>
  <c r="CG20" i="4"/>
  <c r="CF20" i="4"/>
  <c r="CE20" i="4"/>
  <c r="CG19" i="4"/>
  <c r="CF19" i="4"/>
  <c r="CE19" i="4"/>
  <c r="CG18" i="4"/>
  <c r="CF18" i="4"/>
  <c r="CE18" i="4"/>
  <c r="CG17" i="4"/>
  <c r="CF17" i="4"/>
  <c r="CE17" i="4"/>
  <c r="CG16" i="4"/>
  <c r="CF16" i="4"/>
  <c r="CE16" i="4"/>
  <c r="CG15" i="4"/>
  <c r="CF15" i="4"/>
  <c r="CE15" i="4"/>
  <c r="CG9" i="4"/>
  <c r="AG9" i="6"/>
  <c r="CF9" i="4"/>
  <c r="CE9" i="4"/>
  <c r="CG8" i="4"/>
  <c r="CF8" i="4"/>
  <c r="CE8" i="4"/>
  <c r="CG7" i="4"/>
  <c r="CF7" i="4"/>
  <c r="CE7" i="4"/>
  <c r="CE13" i="4"/>
  <c r="CE14" i="4"/>
  <c r="CF14" i="4"/>
  <c r="CG14" i="4"/>
  <c r="CE25" i="4"/>
  <c r="CE26" i="4"/>
  <c r="CF26" i="4"/>
  <c r="CG26" i="4"/>
  <c r="CE33" i="4"/>
  <c r="CE34" i="4"/>
  <c r="CF34" i="4"/>
  <c r="CG34" i="4"/>
  <c r="CE41" i="4"/>
  <c r="CE42" i="4"/>
  <c r="CF42" i="4"/>
  <c r="CG42" i="4"/>
  <c r="CE46" i="4"/>
  <c r="CE47" i="4"/>
  <c r="CF47" i="4"/>
  <c r="CG47" i="4"/>
  <c r="CE51" i="4"/>
  <c r="CE52" i="4"/>
  <c r="CF52" i="4"/>
  <c r="CG52" i="4"/>
  <c r="CE59" i="4"/>
  <c r="CE60" i="4"/>
  <c r="CF60" i="4"/>
  <c r="CG60" i="4"/>
  <c r="CG81" i="4"/>
  <c r="CG83" i="4"/>
  <c r="CG88" i="4"/>
  <c r="CG90" i="4"/>
  <c r="CB11" i="4"/>
  <c r="AD9" i="7"/>
  <c r="AF54" i="6"/>
  <c r="AG63" i="6"/>
  <c r="AC18" i="7"/>
  <c r="AG27" i="6"/>
  <c r="AF35" i="6"/>
  <c r="AC20" i="7"/>
  <c r="AC29" i="7"/>
  <c r="AC37" i="7"/>
  <c r="AG62" i="6"/>
  <c r="AB14" i="7"/>
  <c r="AB26" i="7"/>
  <c r="AB34" i="7"/>
  <c r="AB42" i="7"/>
  <c r="AB47" i="7"/>
  <c r="AB52" i="7"/>
  <c r="AB60" i="7"/>
  <c r="CC43" i="4"/>
  <c r="CD63" i="4"/>
  <c r="CC63" i="4"/>
  <c r="CB63" i="4"/>
  <c r="CD62" i="4"/>
  <c r="CC62" i="4"/>
  <c r="CB62" i="4"/>
  <c r="CD61" i="4"/>
  <c r="CC61" i="4"/>
  <c r="CB61" i="4"/>
  <c r="CD55" i="4"/>
  <c r="CC55" i="4"/>
  <c r="CB55" i="4"/>
  <c r="CD54" i="4"/>
  <c r="CC54" i="4"/>
  <c r="CB54" i="4"/>
  <c r="CD53" i="4"/>
  <c r="CC53" i="4"/>
  <c r="CB53" i="4"/>
  <c r="CD48" i="4"/>
  <c r="CC48" i="4"/>
  <c r="CB48" i="4"/>
  <c r="CD43" i="4"/>
  <c r="CB43" i="4"/>
  <c r="CD38" i="4"/>
  <c r="CC38" i="4"/>
  <c r="CB38" i="4"/>
  <c r="CD37" i="4"/>
  <c r="CC37" i="4"/>
  <c r="CB37" i="4"/>
  <c r="CD36" i="4"/>
  <c r="CC36" i="4"/>
  <c r="CB36" i="4"/>
  <c r="CD35" i="4"/>
  <c r="CC35" i="4"/>
  <c r="CB35" i="4"/>
  <c r="CD30" i="4"/>
  <c r="CC30" i="4"/>
  <c r="CB30" i="4"/>
  <c r="CD29" i="4"/>
  <c r="CC29" i="4"/>
  <c r="CB29" i="4"/>
  <c r="CD28" i="4"/>
  <c r="CC28" i="4"/>
  <c r="CB28" i="4"/>
  <c r="CD27" i="4"/>
  <c r="CC27" i="4"/>
  <c r="CB27" i="4"/>
  <c r="CD21" i="4"/>
  <c r="CC21" i="4"/>
  <c r="CB21" i="4"/>
  <c r="CD20" i="4"/>
  <c r="CC20" i="4"/>
  <c r="CB20" i="4"/>
  <c r="CD19" i="4"/>
  <c r="CC19" i="4"/>
  <c r="CB19" i="4"/>
  <c r="CD18" i="4"/>
  <c r="CC18" i="4"/>
  <c r="CB18" i="4"/>
  <c r="CD17" i="4"/>
  <c r="CC17" i="4"/>
  <c r="CB17" i="4"/>
  <c r="CD16" i="4"/>
  <c r="CC16" i="4"/>
  <c r="CB16" i="4"/>
  <c r="CD15" i="4"/>
  <c r="CC15" i="4"/>
  <c r="CB15" i="4"/>
  <c r="CD9" i="4"/>
  <c r="CC9" i="4"/>
  <c r="CB9" i="4"/>
  <c r="CD8" i="4"/>
  <c r="CC8" i="4"/>
  <c r="CB8" i="4"/>
  <c r="CD7" i="4"/>
  <c r="CC7" i="4"/>
  <c r="CB7" i="4"/>
  <c r="CA87" i="4"/>
  <c r="CA90" i="4"/>
  <c r="CA80" i="4"/>
  <c r="BH95" i="4"/>
  <c r="AA14" i="7"/>
  <c r="AA26" i="7"/>
  <c r="AA34" i="7"/>
  <c r="AA42" i="7"/>
  <c r="AA47" i="7"/>
  <c r="AA52" i="7"/>
  <c r="AA60" i="7"/>
  <c r="CA63" i="4"/>
  <c r="BZ63" i="4"/>
  <c r="BY63" i="4"/>
  <c r="CA62" i="4"/>
  <c r="BZ62" i="4"/>
  <c r="BY62" i="4"/>
  <c r="CA61" i="4"/>
  <c r="AE61" i="6"/>
  <c r="BZ61" i="4"/>
  <c r="BY61" i="4"/>
  <c r="CA55" i="4"/>
  <c r="BZ55" i="4"/>
  <c r="BY55" i="4"/>
  <c r="CA54" i="4"/>
  <c r="BZ54" i="4"/>
  <c r="BY54" i="4"/>
  <c r="CA53" i="4"/>
  <c r="AE53" i="6"/>
  <c r="BZ53" i="4"/>
  <c r="BY53" i="4"/>
  <c r="CA48" i="4"/>
  <c r="AE48" i="6"/>
  <c r="BZ48" i="4"/>
  <c r="BY48" i="4"/>
  <c r="CA43" i="4"/>
  <c r="CA44" i="4"/>
  <c r="BZ43" i="4"/>
  <c r="BZ44" i="4"/>
  <c r="BY43" i="4"/>
  <c r="BY44" i="4"/>
  <c r="CA38" i="4"/>
  <c r="BZ38" i="4"/>
  <c r="BY38" i="4"/>
  <c r="CA37" i="4"/>
  <c r="BZ37" i="4"/>
  <c r="BY37" i="4"/>
  <c r="CA36" i="4"/>
  <c r="BZ36" i="4"/>
  <c r="BY36" i="4"/>
  <c r="CA35" i="4"/>
  <c r="BZ35" i="4"/>
  <c r="BY35" i="4"/>
  <c r="CA30" i="4"/>
  <c r="AE30" i="6"/>
  <c r="BZ30" i="4"/>
  <c r="BY30" i="4"/>
  <c r="CA29" i="4"/>
  <c r="BZ29" i="4"/>
  <c r="BY29" i="4"/>
  <c r="CA28" i="4"/>
  <c r="BZ28" i="4"/>
  <c r="BY28" i="4"/>
  <c r="CA27" i="4"/>
  <c r="BZ27" i="4"/>
  <c r="BY27" i="4"/>
  <c r="CA21" i="4"/>
  <c r="BZ21" i="4"/>
  <c r="BY21" i="4"/>
  <c r="CA20" i="4"/>
  <c r="BZ20" i="4"/>
  <c r="BY20" i="4"/>
  <c r="CA19" i="4"/>
  <c r="AE19" i="6"/>
  <c r="BZ19" i="4"/>
  <c r="BY19" i="4"/>
  <c r="CA18" i="4"/>
  <c r="BO18" i="4"/>
  <c r="AA18" i="6"/>
  <c r="BZ18" i="4"/>
  <c r="BY18" i="4"/>
  <c r="CA17" i="4"/>
  <c r="BZ17" i="4"/>
  <c r="BY17" i="4"/>
  <c r="CA16" i="4"/>
  <c r="BZ16" i="4"/>
  <c r="BY16" i="4"/>
  <c r="CA15" i="4"/>
  <c r="BZ15" i="4"/>
  <c r="BY15" i="4"/>
  <c r="CA9" i="4"/>
  <c r="BZ9" i="4"/>
  <c r="BY9" i="4"/>
  <c r="CA8" i="4"/>
  <c r="BZ8" i="4"/>
  <c r="BY8" i="4"/>
  <c r="CA7" i="4"/>
  <c r="BZ7" i="4"/>
  <c r="BY7" i="4"/>
  <c r="BY13" i="4"/>
  <c r="BY14" i="4"/>
  <c r="BZ14" i="4"/>
  <c r="CA14" i="4"/>
  <c r="BY25" i="4"/>
  <c r="BY26" i="4"/>
  <c r="BZ26" i="4"/>
  <c r="CA26" i="4"/>
  <c r="BY33" i="4"/>
  <c r="BY34" i="4"/>
  <c r="BZ34" i="4"/>
  <c r="CA34" i="4"/>
  <c r="BY41" i="4"/>
  <c r="BY42" i="4"/>
  <c r="BZ42" i="4"/>
  <c r="CA42" i="4"/>
  <c r="BY46" i="4"/>
  <c r="BY47" i="4"/>
  <c r="BZ47" i="4"/>
  <c r="CA47" i="4"/>
  <c r="BY51" i="4"/>
  <c r="BY52" i="4"/>
  <c r="BZ52" i="4"/>
  <c r="CA52" i="4"/>
  <c r="BY59" i="4"/>
  <c r="BY60" i="4"/>
  <c r="BZ60" i="4"/>
  <c r="CA60" i="4"/>
  <c r="AE16" i="6"/>
  <c r="AE36" i="6"/>
  <c r="AE8" i="6"/>
  <c r="AE38" i="6"/>
  <c r="CA88" i="4"/>
  <c r="CA81" i="4"/>
  <c r="CA83" i="4"/>
  <c r="Z14" i="7"/>
  <c r="Z26" i="7"/>
  <c r="Z34" i="7"/>
  <c r="Z42" i="7"/>
  <c r="Z47" i="7"/>
  <c r="Z52" i="7"/>
  <c r="Z60" i="7"/>
  <c r="BX83" i="4"/>
  <c r="BX90" i="4"/>
  <c r="BX81" i="4"/>
  <c r="Y14" i="7"/>
  <c r="Y26" i="7"/>
  <c r="Y34" i="7"/>
  <c r="Y42" i="7"/>
  <c r="Y47" i="7"/>
  <c r="Y52" i="7"/>
  <c r="Y60" i="7"/>
  <c r="BX63" i="4"/>
  <c r="BW63" i="4"/>
  <c r="BV63" i="4"/>
  <c r="BX62" i="4"/>
  <c r="BW62" i="4"/>
  <c r="BV62" i="4"/>
  <c r="BX61" i="4"/>
  <c r="AA61" i="7"/>
  <c r="BW61" i="4"/>
  <c r="BV61" i="4"/>
  <c r="BX55" i="4"/>
  <c r="BW55" i="4"/>
  <c r="BV55" i="4"/>
  <c r="BX54" i="4"/>
  <c r="BW54" i="4"/>
  <c r="BV54" i="4"/>
  <c r="BX53" i="4"/>
  <c r="BW53" i="4"/>
  <c r="BV53" i="4"/>
  <c r="BX48" i="4"/>
  <c r="AA48" i="7"/>
  <c r="BW48" i="4"/>
  <c r="BV48" i="4"/>
  <c r="BX43" i="4"/>
  <c r="BX44" i="4"/>
  <c r="BW43" i="4"/>
  <c r="BW44" i="4"/>
  <c r="BV43" i="4"/>
  <c r="BV44" i="4"/>
  <c r="BX38" i="4"/>
  <c r="BW38" i="4"/>
  <c r="BV38" i="4"/>
  <c r="BX37" i="4"/>
  <c r="BW37" i="4"/>
  <c r="BV37" i="4"/>
  <c r="BX36" i="4"/>
  <c r="BW36" i="4"/>
  <c r="BV36" i="4"/>
  <c r="BX35" i="4"/>
  <c r="AD35" i="6"/>
  <c r="BW35" i="4"/>
  <c r="BV35" i="4"/>
  <c r="BX30" i="4"/>
  <c r="BL30" i="4"/>
  <c r="Z30" i="6"/>
  <c r="BW30" i="4"/>
  <c r="BV30" i="4"/>
  <c r="BX29" i="4"/>
  <c r="AD29" i="6"/>
  <c r="BW29" i="4"/>
  <c r="BV29" i="4"/>
  <c r="BX28" i="4"/>
  <c r="BW28" i="4"/>
  <c r="BV28" i="4"/>
  <c r="BX27" i="4"/>
  <c r="BW27" i="4"/>
  <c r="BV27" i="4"/>
  <c r="BX21" i="4"/>
  <c r="BW21" i="4"/>
  <c r="BV21" i="4"/>
  <c r="BX20" i="4"/>
  <c r="BW20" i="4"/>
  <c r="BV20" i="4"/>
  <c r="BX19" i="4"/>
  <c r="BW19" i="4"/>
  <c r="BV19" i="4"/>
  <c r="BX18" i="4"/>
  <c r="BW18" i="4"/>
  <c r="BV18" i="4"/>
  <c r="BX17" i="4"/>
  <c r="BW17" i="4"/>
  <c r="BV17" i="4"/>
  <c r="BX16" i="4"/>
  <c r="AD16" i="6"/>
  <c r="BW16" i="4"/>
  <c r="BV16" i="4"/>
  <c r="BX15" i="4"/>
  <c r="BW15" i="4"/>
  <c r="BV15" i="4"/>
  <c r="BX9" i="4"/>
  <c r="BW9" i="4"/>
  <c r="BV9" i="4"/>
  <c r="BX8" i="4"/>
  <c r="BW8" i="4"/>
  <c r="BV8" i="4"/>
  <c r="BV7" i="4"/>
  <c r="BV10" i="4"/>
  <c r="BX7" i="4"/>
  <c r="BW7" i="4"/>
  <c r="BW10" i="4"/>
  <c r="BV13" i="4"/>
  <c r="BV14" i="4"/>
  <c r="BW14" i="4"/>
  <c r="BX14" i="4"/>
  <c r="BV25" i="4"/>
  <c r="BV26" i="4"/>
  <c r="BW26" i="4"/>
  <c r="BX26" i="4"/>
  <c r="BV33" i="4"/>
  <c r="BV34" i="4"/>
  <c r="BW34" i="4"/>
  <c r="BX34" i="4"/>
  <c r="BV41" i="4"/>
  <c r="BV42" i="4"/>
  <c r="BW42" i="4"/>
  <c r="BX42" i="4"/>
  <c r="BV46" i="4"/>
  <c r="BV47" i="4"/>
  <c r="BW47" i="4"/>
  <c r="BX47" i="4"/>
  <c r="BV51" i="4"/>
  <c r="BV52" i="4"/>
  <c r="BW52" i="4"/>
  <c r="BX52" i="4"/>
  <c r="BV59" i="4"/>
  <c r="BV60" i="4"/>
  <c r="BW60" i="4"/>
  <c r="BX60" i="4"/>
  <c r="BU63" i="4"/>
  <c r="BT63" i="4"/>
  <c r="BS63" i="4"/>
  <c r="BU62" i="4"/>
  <c r="BT62" i="4"/>
  <c r="BS62" i="4"/>
  <c r="BU61" i="4"/>
  <c r="BR61" i="4"/>
  <c r="Y61" i="7"/>
  <c r="BT61" i="4"/>
  <c r="BS61" i="4"/>
  <c r="BU55" i="4"/>
  <c r="BT55" i="4"/>
  <c r="BS55" i="4"/>
  <c r="BU54" i="4"/>
  <c r="BI54" i="4"/>
  <c r="Y54" i="6"/>
  <c r="BT54" i="4"/>
  <c r="BS54" i="4"/>
  <c r="BU53" i="4"/>
  <c r="BT53" i="4"/>
  <c r="BS53" i="4"/>
  <c r="BU48" i="4"/>
  <c r="BT48" i="4"/>
  <c r="BS48" i="4"/>
  <c r="BU43" i="4"/>
  <c r="BU44" i="4"/>
  <c r="BT43" i="4"/>
  <c r="BS43" i="4"/>
  <c r="BS44" i="4"/>
  <c r="BU38" i="4"/>
  <c r="BR38" i="4"/>
  <c r="Y38" i="7"/>
  <c r="BT38" i="4"/>
  <c r="BS38" i="4"/>
  <c r="BU37" i="4"/>
  <c r="BT37" i="4"/>
  <c r="BS37" i="4"/>
  <c r="BU36" i="4"/>
  <c r="BT36" i="4"/>
  <c r="BS36" i="4"/>
  <c r="BU35" i="4"/>
  <c r="BT35" i="4"/>
  <c r="BS35" i="4"/>
  <c r="BU30" i="4"/>
  <c r="BT30" i="4"/>
  <c r="BS30" i="4"/>
  <c r="BU29" i="4"/>
  <c r="Z29" i="7"/>
  <c r="BT29" i="4"/>
  <c r="BS29" i="4"/>
  <c r="BU28" i="4"/>
  <c r="BT28" i="4"/>
  <c r="BS28" i="4"/>
  <c r="BU27" i="4"/>
  <c r="AC27" i="6"/>
  <c r="BT27" i="4"/>
  <c r="BS27" i="4"/>
  <c r="BU21" i="4"/>
  <c r="BT21" i="4"/>
  <c r="BS21" i="4"/>
  <c r="BU20" i="4"/>
  <c r="BT20" i="4"/>
  <c r="BS20" i="4"/>
  <c r="BU19" i="4"/>
  <c r="BT19" i="4"/>
  <c r="BS19" i="4"/>
  <c r="BU18" i="4"/>
  <c r="BT18" i="4"/>
  <c r="BS18" i="4"/>
  <c r="BU17" i="4"/>
  <c r="BT17" i="4"/>
  <c r="BS17" i="4"/>
  <c r="BU16" i="4"/>
  <c r="BT16" i="4"/>
  <c r="BS16" i="4"/>
  <c r="BU15" i="4"/>
  <c r="BT15" i="4"/>
  <c r="BS15" i="4"/>
  <c r="BU9" i="4"/>
  <c r="BT9" i="4"/>
  <c r="BS9" i="4"/>
  <c r="BU8" i="4"/>
  <c r="Z8" i="7"/>
  <c r="BT8" i="4"/>
  <c r="BS8" i="4"/>
  <c r="BU7" i="4"/>
  <c r="BT7" i="4"/>
  <c r="BS7" i="4"/>
  <c r="BS13" i="4"/>
  <c r="BS14" i="4"/>
  <c r="BT14" i="4"/>
  <c r="BU14" i="4"/>
  <c r="BS25" i="4"/>
  <c r="BS26" i="4"/>
  <c r="BT26" i="4"/>
  <c r="BU26" i="4"/>
  <c r="BS33" i="4"/>
  <c r="BS34" i="4"/>
  <c r="BT34" i="4"/>
  <c r="BU34" i="4"/>
  <c r="BS41" i="4"/>
  <c r="BS42" i="4"/>
  <c r="BT42" i="4"/>
  <c r="BU42" i="4"/>
  <c r="BT44" i="4"/>
  <c r="BS46" i="4"/>
  <c r="BS47" i="4"/>
  <c r="BT47" i="4"/>
  <c r="BU47" i="4"/>
  <c r="BS51" i="4"/>
  <c r="BS52" i="4"/>
  <c r="BT52" i="4"/>
  <c r="BU52" i="4"/>
  <c r="BS59" i="4"/>
  <c r="BS60" i="4"/>
  <c r="BT60" i="4"/>
  <c r="BU60" i="4"/>
  <c r="BU81" i="4"/>
  <c r="BU88" i="4"/>
  <c r="BU90" i="4"/>
  <c r="BS56" i="4"/>
  <c r="AD17" i="6"/>
  <c r="AD7" i="6"/>
  <c r="AA8" i="7"/>
  <c r="Z7" i="7"/>
  <c r="BU83" i="4"/>
  <c r="H52" i="9"/>
  <c r="H51" i="9"/>
  <c r="BR88" i="4"/>
  <c r="BR80" i="4"/>
  <c r="BR83" i="4"/>
  <c r="X14" i="7"/>
  <c r="X26" i="7"/>
  <c r="X34" i="7"/>
  <c r="X42" i="7"/>
  <c r="X47" i="7"/>
  <c r="X52" i="7"/>
  <c r="X60" i="7"/>
  <c r="BR63" i="4"/>
  <c r="AB63" i="6"/>
  <c r="BQ63" i="4"/>
  <c r="BP63" i="4"/>
  <c r="BR62" i="4"/>
  <c r="BQ62" i="4"/>
  <c r="BP62" i="4"/>
  <c r="BQ61" i="4"/>
  <c r="BP61" i="4"/>
  <c r="BR55" i="4"/>
  <c r="BQ55" i="4"/>
  <c r="BP55" i="4"/>
  <c r="BR54" i="4"/>
  <c r="BQ54" i="4"/>
  <c r="BP54" i="4"/>
  <c r="BR53" i="4"/>
  <c r="BQ53" i="4"/>
  <c r="BP53" i="4"/>
  <c r="BR48" i="4"/>
  <c r="BQ48" i="4"/>
  <c r="BP48" i="4"/>
  <c r="BR43" i="4"/>
  <c r="BR44" i="4"/>
  <c r="BQ43" i="4"/>
  <c r="BQ44" i="4"/>
  <c r="BP43" i="4"/>
  <c r="BP44" i="4"/>
  <c r="BQ38" i="4"/>
  <c r="BP38" i="4"/>
  <c r="BR37" i="4"/>
  <c r="BQ37" i="4"/>
  <c r="BP37" i="4"/>
  <c r="BR36" i="4"/>
  <c r="BQ36" i="4"/>
  <c r="BP36" i="4"/>
  <c r="BR35" i="4"/>
  <c r="BO35" i="4"/>
  <c r="X35" i="7"/>
  <c r="BQ35" i="4"/>
  <c r="BP35" i="4"/>
  <c r="BR30" i="4"/>
  <c r="BQ30" i="4"/>
  <c r="BP30" i="4"/>
  <c r="BR29" i="4"/>
  <c r="BO29" i="4"/>
  <c r="X29" i="7"/>
  <c r="BQ29" i="4"/>
  <c r="BP29" i="4"/>
  <c r="BR28" i="4"/>
  <c r="BQ28" i="4"/>
  <c r="BP28" i="4"/>
  <c r="BR27" i="4"/>
  <c r="AB27" i="6"/>
  <c r="BQ27" i="4"/>
  <c r="BP27" i="4"/>
  <c r="BR21" i="4"/>
  <c r="BQ21" i="4"/>
  <c r="BP21" i="4"/>
  <c r="BR20" i="4"/>
  <c r="AB20" i="6"/>
  <c r="BQ20" i="4"/>
  <c r="BP20" i="4"/>
  <c r="BR19" i="4"/>
  <c r="BQ19" i="4"/>
  <c r="BP19" i="4"/>
  <c r="BR18" i="4"/>
  <c r="BQ18" i="4"/>
  <c r="BP18" i="4"/>
  <c r="BR17" i="4"/>
  <c r="BQ17" i="4"/>
  <c r="BP17" i="4"/>
  <c r="BR16" i="4"/>
  <c r="AB16" i="6"/>
  <c r="BQ16" i="4"/>
  <c r="BP16" i="4"/>
  <c r="BR15" i="4"/>
  <c r="BQ15" i="4"/>
  <c r="BP15" i="4"/>
  <c r="BR9" i="4"/>
  <c r="AB9" i="6"/>
  <c r="BQ9" i="4"/>
  <c r="BP9" i="4"/>
  <c r="BR8" i="4"/>
  <c r="BQ8" i="4"/>
  <c r="BP8" i="4"/>
  <c r="BR7" i="4"/>
  <c r="BQ7" i="4"/>
  <c r="BP7" i="4"/>
  <c r="BP13" i="4"/>
  <c r="BP14" i="4"/>
  <c r="BQ14" i="4"/>
  <c r="BR14" i="4"/>
  <c r="BP25" i="4"/>
  <c r="BP26" i="4"/>
  <c r="BQ26" i="4"/>
  <c r="BR26" i="4"/>
  <c r="BP33" i="4"/>
  <c r="BP34" i="4"/>
  <c r="BQ34" i="4"/>
  <c r="BR34" i="4"/>
  <c r="BP41" i="4"/>
  <c r="BP42" i="4"/>
  <c r="BQ42" i="4"/>
  <c r="BR42" i="4"/>
  <c r="BP46" i="4"/>
  <c r="BP47" i="4"/>
  <c r="BQ47" i="4"/>
  <c r="BR47" i="4"/>
  <c r="BP51" i="4"/>
  <c r="BP52" i="4"/>
  <c r="BQ52" i="4"/>
  <c r="BR52" i="4"/>
  <c r="BP59" i="4"/>
  <c r="BP60" i="4"/>
  <c r="BQ60" i="4"/>
  <c r="BR60" i="4"/>
  <c r="BR90" i="4"/>
  <c r="AB7" i="6"/>
  <c r="Y27" i="7"/>
  <c r="BR81" i="4"/>
  <c r="W14" i="7"/>
  <c r="W26" i="7"/>
  <c r="W34" i="7"/>
  <c r="W42" i="7"/>
  <c r="W47" i="7"/>
  <c r="W52" i="7"/>
  <c r="W60" i="7"/>
  <c r="BO88" i="4"/>
  <c r="BO80" i="4"/>
  <c r="BG95" i="4"/>
  <c r="BO63" i="4"/>
  <c r="BL63" i="4"/>
  <c r="W63" i="7"/>
  <c r="BO62" i="4"/>
  <c r="BO61" i="4"/>
  <c r="BO55" i="4"/>
  <c r="BO54" i="4"/>
  <c r="BO53" i="4"/>
  <c r="BO48" i="4"/>
  <c r="BO43" i="4"/>
  <c r="BO44" i="4"/>
  <c r="BO38" i="4"/>
  <c r="BL38" i="4"/>
  <c r="W38" i="7"/>
  <c r="BO37" i="4"/>
  <c r="AA37" i="6"/>
  <c r="BO36" i="4"/>
  <c r="BO30" i="4"/>
  <c r="W30" i="7"/>
  <c r="AA29" i="6"/>
  <c r="BO28" i="4"/>
  <c r="BO27" i="4"/>
  <c r="BO21" i="4"/>
  <c r="BO20" i="4"/>
  <c r="AA20" i="6"/>
  <c r="BO19" i="4"/>
  <c r="X19" i="7"/>
  <c r="BO17" i="4"/>
  <c r="BO16" i="4"/>
  <c r="BO15" i="4"/>
  <c r="BO9" i="4"/>
  <c r="BO8" i="4"/>
  <c r="AA8" i="6"/>
  <c r="BO7" i="4"/>
  <c r="BN63" i="4"/>
  <c r="BN62" i="4"/>
  <c r="BN61" i="4"/>
  <c r="BN55" i="4"/>
  <c r="BN54" i="4"/>
  <c r="BN53" i="4"/>
  <c r="BN48" i="4"/>
  <c r="BN43" i="4"/>
  <c r="BN44" i="4"/>
  <c r="BN38" i="4"/>
  <c r="BN37" i="4"/>
  <c r="BN36" i="4"/>
  <c r="BN35" i="4"/>
  <c r="BN30" i="4"/>
  <c r="BN29" i="4"/>
  <c r="BN28" i="4"/>
  <c r="BN27" i="4"/>
  <c r="BN21" i="4"/>
  <c r="BN20" i="4"/>
  <c r="BN19" i="4"/>
  <c r="BN18" i="4"/>
  <c r="BN17" i="4"/>
  <c r="BN16" i="4"/>
  <c r="BN15" i="4"/>
  <c r="BN9" i="4"/>
  <c r="BN8" i="4"/>
  <c r="BN7" i="4"/>
  <c r="BM63" i="4"/>
  <c r="BM62" i="4"/>
  <c r="BM61" i="4"/>
  <c r="BM55" i="4"/>
  <c r="BM54" i="4"/>
  <c r="BM53" i="4"/>
  <c r="BM48" i="4"/>
  <c r="BM43" i="4"/>
  <c r="BM44" i="4"/>
  <c r="BM38" i="4"/>
  <c r="BM37" i="4"/>
  <c r="BM36" i="4"/>
  <c r="BM35" i="4"/>
  <c r="BM30" i="4"/>
  <c r="BM29" i="4"/>
  <c r="BM28" i="4"/>
  <c r="BM27" i="4"/>
  <c r="BM21" i="4"/>
  <c r="BM20" i="4"/>
  <c r="BM19" i="4"/>
  <c r="BM18" i="4"/>
  <c r="BM17" i="4"/>
  <c r="BM16" i="4"/>
  <c r="BM15" i="4"/>
  <c r="BM9" i="4"/>
  <c r="BM8" i="4"/>
  <c r="BM7" i="4"/>
  <c r="BM13" i="4"/>
  <c r="BM14" i="4"/>
  <c r="BN14" i="4"/>
  <c r="BO14" i="4"/>
  <c r="BM25" i="4"/>
  <c r="BM26" i="4"/>
  <c r="BN26" i="4"/>
  <c r="BO26" i="4"/>
  <c r="BM33" i="4"/>
  <c r="BM34" i="4"/>
  <c r="BN34" i="4"/>
  <c r="BO34" i="4"/>
  <c r="BM41" i="4"/>
  <c r="BM42" i="4"/>
  <c r="BN42" i="4"/>
  <c r="BO42" i="4"/>
  <c r="BM46" i="4"/>
  <c r="BM47" i="4"/>
  <c r="BN47" i="4"/>
  <c r="BO47" i="4"/>
  <c r="BM51" i="4"/>
  <c r="BM52" i="4"/>
  <c r="BN52" i="4"/>
  <c r="BO52" i="4"/>
  <c r="BM59" i="4"/>
  <c r="BM60" i="4"/>
  <c r="BN60" i="4"/>
  <c r="BO60" i="4"/>
  <c r="AA28" i="6"/>
  <c r="BO81" i="4"/>
  <c r="BO83" i="4"/>
  <c r="X37" i="7"/>
  <c r="X48" i="7"/>
  <c r="BO90" i="4"/>
  <c r="V14" i="7"/>
  <c r="V26" i="7"/>
  <c r="V34" i="7"/>
  <c r="V42" i="7"/>
  <c r="V47" i="7"/>
  <c r="V52" i="7"/>
  <c r="V60" i="7"/>
  <c r="BL87" i="4"/>
  <c r="BL88" i="4"/>
  <c r="BL80" i="4"/>
  <c r="BL83" i="4"/>
  <c r="BK63" i="4"/>
  <c r="BJ63" i="4"/>
  <c r="BL62" i="4"/>
  <c r="BK62" i="4"/>
  <c r="BJ62" i="4"/>
  <c r="BL61" i="4"/>
  <c r="BK61" i="4"/>
  <c r="BJ61" i="4"/>
  <c r="BL55" i="4"/>
  <c r="BI55" i="4"/>
  <c r="V55" i="7"/>
  <c r="BK55" i="4"/>
  <c r="BJ55" i="4"/>
  <c r="BL54" i="4"/>
  <c r="BK54" i="4"/>
  <c r="BJ54" i="4"/>
  <c r="BL53" i="4"/>
  <c r="BI53" i="4"/>
  <c r="V53" i="7"/>
  <c r="BK53" i="4"/>
  <c r="BJ53" i="4"/>
  <c r="BL48" i="4"/>
  <c r="BK48" i="4"/>
  <c r="BJ48" i="4"/>
  <c r="BL43" i="4"/>
  <c r="BL44" i="4"/>
  <c r="BK43" i="4"/>
  <c r="BK44" i="4"/>
  <c r="BJ43" i="4"/>
  <c r="BJ44" i="4"/>
  <c r="BK38" i="4"/>
  <c r="BJ38" i="4"/>
  <c r="BL37" i="4"/>
  <c r="BK37" i="4"/>
  <c r="BJ37" i="4"/>
  <c r="BL36" i="4"/>
  <c r="BK36" i="4"/>
  <c r="BJ36" i="4"/>
  <c r="BL35" i="4"/>
  <c r="Z35" i="6"/>
  <c r="BK35" i="4"/>
  <c r="BJ35" i="4"/>
  <c r="BK30" i="4"/>
  <c r="BJ30" i="4"/>
  <c r="BL29" i="4"/>
  <c r="Z29" i="6"/>
  <c r="BK29" i="4"/>
  <c r="BJ29" i="4"/>
  <c r="BL28" i="4"/>
  <c r="Z28" i="6"/>
  <c r="BK28" i="4"/>
  <c r="BJ28" i="4"/>
  <c r="BL27" i="4"/>
  <c r="BK27" i="4"/>
  <c r="BJ27" i="4"/>
  <c r="BL21" i="4"/>
  <c r="Z21" i="6"/>
  <c r="BK21" i="4"/>
  <c r="BJ21" i="4"/>
  <c r="BL20" i="4"/>
  <c r="BK20" i="4"/>
  <c r="BJ20" i="4"/>
  <c r="BL19" i="4"/>
  <c r="BK19" i="4"/>
  <c r="BJ19" i="4"/>
  <c r="BL18" i="4"/>
  <c r="BK18" i="4"/>
  <c r="BJ18" i="4"/>
  <c r="BL17" i="4"/>
  <c r="Z17" i="6"/>
  <c r="BK17" i="4"/>
  <c r="BJ17" i="4"/>
  <c r="BL16" i="4"/>
  <c r="BK16" i="4"/>
  <c r="BJ16" i="4"/>
  <c r="BL15" i="4"/>
  <c r="Z15" i="6"/>
  <c r="BK15" i="4"/>
  <c r="BJ15" i="4"/>
  <c r="BI63" i="4"/>
  <c r="BF63" i="4"/>
  <c r="U63" i="7"/>
  <c r="BH63" i="4"/>
  <c r="BG63" i="4"/>
  <c r="BI62" i="4"/>
  <c r="BH62" i="4"/>
  <c r="BG62" i="4"/>
  <c r="BI61" i="4"/>
  <c r="BH61" i="4"/>
  <c r="BG61" i="4"/>
  <c r="Y55" i="6"/>
  <c r="BH55" i="4"/>
  <c r="BG55" i="4"/>
  <c r="BH54" i="4"/>
  <c r="BG54" i="4"/>
  <c r="BH53" i="4"/>
  <c r="BG53" i="4"/>
  <c r="BI48" i="4"/>
  <c r="V48" i="7"/>
  <c r="BH48" i="4"/>
  <c r="BG48" i="4"/>
  <c r="BI43" i="4"/>
  <c r="BI44" i="4"/>
  <c r="Y43" i="6"/>
  <c r="BH43" i="4"/>
  <c r="BH44" i="4"/>
  <c r="BG43" i="4"/>
  <c r="BG44" i="4"/>
  <c r="BI38" i="4"/>
  <c r="BH38" i="4"/>
  <c r="BG38" i="4"/>
  <c r="BI37" i="4"/>
  <c r="Y37" i="6"/>
  <c r="BH37" i="4"/>
  <c r="BG37" i="4"/>
  <c r="BI36" i="4"/>
  <c r="BH36" i="4"/>
  <c r="BG36" i="4"/>
  <c r="BI35" i="4"/>
  <c r="AW35" i="4"/>
  <c r="U35" i="6"/>
  <c r="BH35" i="4"/>
  <c r="BG35" i="4"/>
  <c r="BI30" i="4"/>
  <c r="BH30" i="4"/>
  <c r="BG30" i="4"/>
  <c r="BI29" i="4"/>
  <c r="BH29" i="4"/>
  <c r="BG29" i="4"/>
  <c r="BI28" i="4"/>
  <c r="BH28" i="4"/>
  <c r="BG28" i="4"/>
  <c r="BI27" i="4"/>
  <c r="BH27" i="4"/>
  <c r="BG27" i="4"/>
  <c r="BI21" i="4"/>
  <c r="BH21" i="4"/>
  <c r="BG21" i="4"/>
  <c r="BI20" i="4"/>
  <c r="Y20" i="6"/>
  <c r="BH20" i="4"/>
  <c r="BG20" i="4"/>
  <c r="BI19" i="4"/>
  <c r="BH19" i="4"/>
  <c r="BG19" i="4"/>
  <c r="BI18" i="4"/>
  <c r="AW18" i="4"/>
  <c r="U18" i="6"/>
  <c r="BH18" i="4"/>
  <c r="BG18" i="4"/>
  <c r="BI17" i="4"/>
  <c r="BH17" i="4"/>
  <c r="BG17" i="4"/>
  <c r="BI16" i="4"/>
  <c r="Y16" i="6"/>
  <c r="BH16" i="4"/>
  <c r="BG16" i="4"/>
  <c r="BI15" i="4"/>
  <c r="BH15" i="4"/>
  <c r="BG15" i="4"/>
  <c r="BI9" i="4"/>
  <c r="BH9" i="4"/>
  <c r="BG9" i="4"/>
  <c r="BI8" i="4"/>
  <c r="BH8" i="4"/>
  <c r="BG8" i="4"/>
  <c r="BI7" i="4"/>
  <c r="BH7" i="4"/>
  <c r="BG7" i="4"/>
  <c r="BL9" i="4"/>
  <c r="BL8" i="4"/>
  <c r="BL7" i="4"/>
  <c r="Z7" i="6"/>
  <c r="BK9" i="4"/>
  <c r="BK8" i="4"/>
  <c r="BK7" i="4"/>
  <c r="BJ9" i="4"/>
  <c r="BJ8" i="4"/>
  <c r="BJ7" i="4"/>
  <c r="BJ11" i="4"/>
  <c r="BJ13" i="4"/>
  <c r="BJ14" i="4"/>
  <c r="BK14" i="4"/>
  <c r="BL14" i="4"/>
  <c r="BJ25" i="4"/>
  <c r="BJ26" i="4"/>
  <c r="BK26" i="4"/>
  <c r="BL26" i="4"/>
  <c r="BJ33" i="4"/>
  <c r="BJ34" i="4"/>
  <c r="BK34" i="4"/>
  <c r="BL34" i="4"/>
  <c r="BJ41" i="4"/>
  <c r="BJ42" i="4"/>
  <c r="BK42" i="4"/>
  <c r="BL42" i="4"/>
  <c r="BJ46" i="4"/>
  <c r="BJ47" i="4"/>
  <c r="BK47" i="4"/>
  <c r="BL47" i="4"/>
  <c r="BJ51" i="4"/>
  <c r="BJ52" i="4"/>
  <c r="BK52" i="4"/>
  <c r="BL52" i="4"/>
  <c r="BJ59" i="4"/>
  <c r="BJ60" i="4"/>
  <c r="BK60" i="4"/>
  <c r="BL60" i="4"/>
  <c r="Z61" i="6"/>
  <c r="W35" i="7"/>
  <c r="W27" i="7"/>
  <c r="Z63" i="6"/>
  <c r="W37" i="7"/>
  <c r="BL81" i="4"/>
  <c r="V61" i="7"/>
  <c r="W18" i="7"/>
  <c r="BL90" i="4"/>
  <c r="U14" i="7"/>
  <c r="U26" i="7"/>
  <c r="U34" i="7"/>
  <c r="U42" i="7"/>
  <c r="U47" i="7"/>
  <c r="U52" i="7"/>
  <c r="U60" i="7"/>
  <c r="BI87" i="4"/>
  <c r="BI88" i="4"/>
  <c r="BI80" i="4"/>
  <c r="BI81" i="4"/>
  <c r="BG13" i="4"/>
  <c r="BG14" i="4"/>
  <c r="BH14" i="4"/>
  <c r="BI14" i="4"/>
  <c r="BG25" i="4"/>
  <c r="BG26" i="4"/>
  <c r="BH26" i="4"/>
  <c r="BI26" i="4"/>
  <c r="BG33" i="4"/>
  <c r="BG34" i="4"/>
  <c r="BH34" i="4"/>
  <c r="BI34" i="4"/>
  <c r="BG41" i="4"/>
  <c r="BG42" i="4"/>
  <c r="BH42" i="4"/>
  <c r="BI42" i="4"/>
  <c r="BG46" i="4"/>
  <c r="BG47" i="4"/>
  <c r="BH47" i="4"/>
  <c r="BI47" i="4"/>
  <c r="BG51" i="4"/>
  <c r="BG52" i="4"/>
  <c r="BH52" i="4"/>
  <c r="BI52" i="4"/>
  <c r="BG59" i="4"/>
  <c r="BG60" i="4"/>
  <c r="BH60" i="4"/>
  <c r="BI60" i="4"/>
  <c r="X63" i="6"/>
  <c r="AT63" i="4"/>
  <c r="BF62" i="4"/>
  <c r="AT62" i="4"/>
  <c r="BF61" i="4"/>
  <c r="AT61" i="4"/>
  <c r="BF55" i="4"/>
  <c r="AT55" i="4"/>
  <c r="BF54" i="4"/>
  <c r="AT54" i="4"/>
  <c r="BF53" i="4"/>
  <c r="AT53" i="4"/>
  <c r="BF48" i="4"/>
  <c r="AT48" i="4"/>
  <c r="T48" i="6"/>
  <c r="BF43" i="4"/>
  <c r="BF44" i="4"/>
  <c r="AT43" i="4"/>
  <c r="AT44" i="4"/>
  <c r="BF38" i="4"/>
  <c r="X38" i="6"/>
  <c r="AT38" i="4"/>
  <c r="BF37" i="4"/>
  <c r="AT37" i="4"/>
  <c r="BF36" i="4"/>
  <c r="U36" i="7"/>
  <c r="AT36" i="4"/>
  <c r="BF35" i="4"/>
  <c r="AT35" i="4"/>
  <c r="BF30" i="4"/>
  <c r="AT30" i="4"/>
  <c r="T30" i="6"/>
  <c r="BF29" i="4"/>
  <c r="X29" i="6"/>
  <c r="AT29" i="4"/>
  <c r="T29" i="6"/>
  <c r="BF28" i="4"/>
  <c r="AT28" i="4"/>
  <c r="BF27" i="4"/>
  <c r="X27" i="6"/>
  <c r="AT27" i="4"/>
  <c r="BF21" i="4"/>
  <c r="X21" i="6"/>
  <c r="AT21" i="4"/>
  <c r="BF20" i="4"/>
  <c r="AT20" i="4"/>
  <c r="AQ20" i="4"/>
  <c r="P20" i="7"/>
  <c r="BF19" i="4"/>
  <c r="AT19" i="4"/>
  <c r="BF18" i="4"/>
  <c r="AT18" i="4"/>
  <c r="BF17" i="4"/>
  <c r="AT17" i="4"/>
  <c r="BF16" i="4"/>
  <c r="X16" i="6"/>
  <c r="AT16" i="4"/>
  <c r="BF15" i="4"/>
  <c r="AT15" i="4"/>
  <c r="BF7" i="4"/>
  <c r="BF8" i="4"/>
  <c r="BF9" i="4"/>
  <c r="X9" i="6"/>
  <c r="AT7" i="4"/>
  <c r="AT8" i="4"/>
  <c r="T8" i="6"/>
  <c r="AT9" i="4"/>
  <c r="BE63" i="4"/>
  <c r="AS63" i="4"/>
  <c r="BE62" i="4"/>
  <c r="AS62" i="4"/>
  <c r="BE61" i="4"/>
  <c r="AS61" i="4"/>
  <c r="BE55" i="4"/>
  <c r="AS55" i="4"/>
  <c r="BE54" i="4"/>
  <c r="AS54" i="4"/>
  <c r="BE53" i="4"/>
  <c r="AS53" i="4"/>
  <c r="BE48" i="4"/>
  <c r="AS48" i="4"/>
  <c r="BE43" i="4"/>
  <c r="BE44" i="4"/>
  <c r="AS43" i="4"/>
  <c r="AS44" i="4"/>
  <c r="BE38" i="4"/>
  <c r="AS38" i="4"/>
  <c r="BE37" i="4"/>
  <c r="AS37" i="4"/>
  <c r="BE36" i="4"/>
  <c r="AS36" i="4"/>
  <c r="BE35" i="4"/>
  <c r="AS35" i="4"/>
  <c r="BE30" i="4"/>
  <c r="AS30" i="4"/>
  <c r="BE29" i="4"/>
  <c r="AS29" i="4"/>
  <c r="BE28" i="4"/>
  <c r="AS28" i="4"/>
  <c r="BE27" i="4"/>
  <c r="AS27" i="4"/>
  <c r="BE21" i="4"/>
  <c r="AS21" i="4"/>
  <c r="BE20" i="4"/>
  <c r="AS20" i="4"/>
  <c r="BE19" i="4"/>
  <c r="AS19" i="4"/>
  <c r="BE18" i="4"/>
  <c r="AS18" i="4"/>
  <c r="BE17" i="4"/>
  <c r="AS17" i="4"/>
  <c r="BE16" i="4"/>
  <c r="AS16" i="4"/>
  <c r="BE15" i="4"/>
  <c r="AS15" i="4"/>
  <c r="BE7" i="4"/>
  <c r="BE8" i="4"/>
  <c r="BE9" i="4"/>
  <c r="BE11" i="4"/>
  <c r="AS7" i="4"/>
  <c r="AS8" i="4"/>
  <c r="AS9" i="4"/>
  <c r="BD63" i="4"/>
  <c r="AR63" i="4"/>
  <c r="BD62" i="4"/>
  <c r="AR62" i="4"/>
  <c r="BD61" i="4"/>
  <c r="AR61" i="4"/>
  <c r="BD55" i="4"/>
  <c r="AR55" i="4"/>
  <c r="BD54" i="4"/>
  <c r="AR54" i="4"/>
  <c r="BD53" i="4"/>
  <c r="AR53" i="4"/>
  <c r="BD48" i="4"/>
  <c r="AR48" i="4"/>
  <c r="BD43" i="4"/>
  <c r="BD44" i="4"/>
  <c r="AR43" i="4"/>
  <c r="AR44" i="4"/>
  <c r="BD38" i="4"/>
  <c r="AR38" i="4"/>
  <c r="BD37" i="4"/>
  <c r="AR37" i="4"/>
  <c r="BD36" i="4"/>
  <c r="AR36" i="4"/>
  <c r="BD35" i="4"/>
  <c r="AR35" i="4"/>
  <c r="BD30" i="4"/>
  <c r="AR30" i="4"/>
  <c r="BD29" i="4"/>
  <c r="AR29" i="4"/>
  <c r="BD28" i="4"/>
  <c r="AR28" i="4"/>
  <c r="BD27" i="4"/>
  <c r="AR27" i="4"/>
  <c r="BD21" i="4"/>
  <c r="AR21" i="4"/>
  <c r="BD20" i="4"/>
  <c r="AR20" i="4"/>
  <c r="BD19" i="4"/>
  <c r="AR19" i="4"/>
  <c r="BD18" i="4"/>
  <c r="AR18" i="4"/>
  <c r="BD17" i="4"/>
  <c r="AR17" i="4"/>
  <c r="BD16" i="4"/>
  <c r="AR16" i="4"/>
  <c r="BD15" i="4"/>
  <c r="AR15" i="4"/>
  <c r="BD7" i="4"/>
  <c r="BD8" i="4"/>
  <c r="BD9" i="4"/>
  <c r="AR7" i="4"/>
  <c r="AR8" i="4"/>
  <c r="AR9" i="4"/>
  <c r="BC63" i="4"/>
  <c r="BC62" i="4"/>
  <c r="BC61" i="4"/>
  <c r="BC55" i="4"/>
  <c r="BC54" i="4"/>
  <c r="BC53" i="4"/>
  <c r="BC48" i="4"/>
  <c r="BC43" i="4"/>
  <c r="BC44" i="4"/>
  <c r="W43" i="6"/>
  <c r="BC38" i="4"/>
  <c r="BC36" i="4"/>
  <c r="AZ36" i="4"/>
  <c r="S36" i="7"/>
  <c r="BC35" i="4"/>
  <c r="BC30" i="4"/>
  <c r="BC29" i="4"/>
  <c r="BC28" i="4"/>
  <c r="AZ28" i="4"/>
  <c r="S28" i="7"/>
  <c r="BC27" i="4"/>
  <c r="BC21" i="4"/>
  <c r="BC20" i="4"/>
  <c r="BC19" i="4"/>
  <c r="BC18" i="4"/>
  <c r="BC17" i="4"/>
  <c r="BC16" i="4"/>
  <c r="BC15" i="4"/>
  <c r="BC7" i="4"/>
  <c r="BC8" i="4"/>
  <c r="W8" i="6"/>
  <c r="BC9" i="4"/>
  <c r="AZ9" i="4"/>
  <c r="S9" i="7"/>
  <c r="T14" i="7"/>
  <c r="T26" i="7"/>
  <c r="T34" i="7"/>
  <c r="T42" i="7"/>
  <c r="T47" i="7"/>
  <c r="T52" i="7"/>
  <c r="T60" i="7"/>
  <c r="BF88" i="4"/>
  <c r="BF80" i="4"/>
  <c r="BF81" i="4"/>
  <c r="BF82" i="4"/>
  <c r="BD13" i="4"/>
  <c r="BD14" i="4"/>
  <c r="BE14" i="4"/>
  <c r="BF14" i="4"/>
  <c r="BD25" i="4"/>
  <c r="BD26" i="4"/>
  <c r="BE26" i="4"/>
  <c r="BF26" i="4"/>
  <c r="BD33" i="4"/>
  <c r="BD34" i="4"/>
  <c r="BE34" i="4"/>
  <c r="BF34" i="4"/>
  <c r="BD41" i="4"/>
  <c r="BD42" i="4"/>
  <c r="BE42" i="4"/>
  <c r="BF42" i="4"/>
  <c r="BD46" i="4"/>
  <c r="BD47" i="4"/>
  <c r="BE47" i="4"/>
  <c r="BF47" i="4"/>
  <c r="BD51" i="4"/>
  <c r="BD52" i="4"/>
  <c r="BE52" i="4"/>
  <c r="BF52" i="4"/>
  <c r="BD59" i="4"/>
  <c r="BD60" i="4"/>
  <c r="BE60" i="4"/>
  <c r="BF60" i="4"/>
  <c r="BF90" i="4"/>
  <c r="BB62" i="4"/>
  <c r="BB63" i="4"/>
  <c r="BB61" i="4"/>
  <c r="BA62" i="4"/>
  <c r="BA63" i="4"/>
  <c r="BA61" i="4"/>
  <c r="BB54" i="4"/>
  <c r="BB55" i="4"/>
  <c r="BB53" i="4"/>
  <c r="BA54" i="4"/>
  <c r="BA55" i="4"/>
  <c r="BA53" i="4"/>
  <c r="BB48" i="4"/>
  <c r="BA48" i="4"/>
  <c r="BB43" i="4"/>
  <c r="BB44" i="4"/>
  <c r="BA43" i="4"/>
  <c r="BA44" i="4"/>
  <c r="BC37" i="4"/>
  <c r="W37" i="6"/>
  <c r="BB36" i="4"/>
  <c r="BB37" i="4"/>
  <c r="BB38" i="4"/>
  <c r="BB35" i="4"/>
  <c r="BA36" i="4"/>
  <c r="BA37" i="4"/>
  <c r="BA38" i="4"/>
  <c r="BA35" i="4"/>
  <c r="BB28" i="4"/>
  <c r="BB29" i="4"/>
  <c r="BB30" i="4"/>
  <c r="BB27" i="4"/>
  <c r="BA28" i="4"/>
  <c r="BA29" i="4"/>
  <c r="BA30" i="4"/>
  <c r="BA27" i="4"/>
  <c r="BB16" i="4"/>
  <c r="BB17" i="4"/>
  <c r="BB18" i="4"/>
  <c r="BB19" i="4"/>
  <c r="BB20" i="4"/>
  <c r="BB21" i="4"/>
  <c r="BB15" i="4"/>
  <c r="BA16" i="4"/>
  <c r="BA17" i="4"/>
  <c r="BA18" i="4"/>
  <c r="BA19" i="4"/>
  <c r="BA20" i="4"/>
  <c r="BA21" i="4"/>
  <c r="BA15" i="4"/>
  <c r="BB8" i="4"/>
  <c r="BB9" i="4"/>
  <c r="BB7" i="4"/>
  <c r="BA8" i="4"/>
  <c r="BA9" i="4"/>
  <c r="BA7" i="4"/>
  <c r="BA10" i="4"/>
  <c r="AZ62" i="4"/>
  <c r="AZ63" i="4"/>
  <c r="AZ61" i="4"/>
  <c r="V61" i="6"/>
  <c r="AZ54" i="4"/>
  <c r="AZ55" i="4"/>
  <c r="AZ53" i="4"/>
  <c r="AZ48" i="4"/>
  <c r="AZ43" i="4"/>
  <c r="AZ44" i="4"/>
  <c r="AZ37" i="4"/>
  <c r="AZ38" i="4"/>
  <c r="AZ35" i="4"/>
  <c r="V35" i="6"/>
  <c r="AZ29" i="4"/>
  <c r="AZ30" i="4"/>
  <c r="AN30" i="4"/>
  <c r="R30" i="6"/>
  <c r="AZ27" i="4"/>
  <c r="AZ16" i="4"/>
  <c r="AZ17" i="4"/>
  <c r="AZ18" i="4"/>
  <c r="AZ19" i="4"/>
  <c r="AZ20" i="4"/>
  <c r="AZ21" i="4"/>
  <c r="AZ15" i="4"/>
  <c r="AW15" i="4"/>
  <c r="R15" i="7"/>
  <c r="AZ8" i="4"/>
  <c r="AZ7" i="4"/>
  <c r="S14" i="7"/>
  <c r="S26" i="7"/>
  <c r="S34" i="7"/>
  <c r="S42" i="7"/>
  <c r="S47" i="7"/>
  <c r="S52" i="7"/>
  <c r="S60" i="7"/>
  <c r="AQ62" i="4"/>
  <c r="AQ63" i="4"/>
  <c r="AN63" i="4"/>
  <c r="O63" i="7"/>
  <c r="AQ61" i="4"/>
  <c r="AQ54" i="4"/>
  <c r="AQ55" i="4"/>
  <c r="AQ53" i="4"/>
  <c r="AQ48" i="4"/>
  <c r="AQ43" i="4"/>
  <c r="AQ44" i="4"/>
  <c r="AQ38" i="4"/>
  <c r="AQ36" i="4"/>
  <c r="AQ37" i="4"/>
  <c r="AQ35" i="4"/>
  <c r="AQ28" i="4"/>
  <c r="AQ29" i="4"/>
  <c r="AQ30" i="4"/>
  <c r="AQ27" i="4"/>
  <c r="AQ16" i="4"/>
  <c r="AQ17" i="4"/>
  <c r="AQ18" i="4"/>
  <c r="AQ19" i="4"/>
  <c r="AQ21" i="4"/>
  <c r="AQ15" i="4"/>
  <c r="AN15" i="4"/>
  <c r="AQ8" i="4"/>
  <c r="AQ9" i="4"/>
  <c r="AQ7" i="4"/>
  <c r="AN7" i="4"/>
  <c r="BC88" i="4"/>
  <c r="BC80" i="4"/>
  <c r="BC81" i="4"/>
  <c r="BC82" i="4"/>
  <c r="AY63" i="4"/>
  <c r="AX63" i="4"/>
  <c r="AY62" i="4"/>
  <c r="AX62" i="4"/>
  <c r="AY61" i="4"/>
  <c r="AX61" i="4"/>
  <c r="AY55" i="4"/>
  <c r="AX55" i="4"/>
  <c r="AX56" i="4"/>
  <c r="AY54" i="4"/>
  <c r="AX54" i="4"/>
  <c r="AY53" i="4"/>
  <c r="AX53" i="4"/>
  <c r="AY48" i="4"/>
  <c r="AX48" i="4"/>
  <c r="AY43" i="4"/>
  <c r="AY44" i="4"/>
  <c r="AX43" i="4"/>
  <c r="AX44" i="4"/>
  <c r="AY38" i="4"/>
  <c r="AX38" i="4"/>
  <c r="AY37" i="4"/>
  <c r="AX37" i="4"/>
  <c r="AY36" i="4"/>
  <c r="AX36" i="4"/>
  <c r="AY35" i="4"/>
  <c r="AX35" i="4"/>
  <c r="AY30" i="4"/>
  <c r="AX30" i="4"/>
  <c r="AY29" i="4"/>
  <c r="AX29" i="4"/>
  <c r="AY28" i="4"/>
  <c r="AX28" i="4"/>
  <c r="AY27" i="4"/>
  <c r="AX27" i="4"/>
  <c r="AY21" i="4"/>
  <c r="AX21" i="4"/>
  <c r="AY20" i="4"/>
  <c r="AX20" i="4"/>
  <c r="AY19" i="4"/>
  <c r="AX19" i="4"/>
  <c r="AY18" i="4"/>
  <c r="AX18" i="4"/>
  <c r="AY17" i="4"/>
  <c r="AX17" i="4"/>
  <c r="AY16" i="4"/>
  <c r="AX16" i="4"/>
  <c r="AY15" i="4"/>
  <c r="AX15" i="4"/>
  <c r="AY9" i="4"/>
  <c r="AX9" i="4"/>
  <c r="AY8" i="4"/>
  <c r="AX8" i="4"/>
  <c r="AY7" i="4"/>
  <c r="AX7" i="4"/>
  <c r="BC90" i="4"/>
  <c r="BC60" i="4"/>
  <c r="BB60" i="4"/>
  <c r="BA60" i="4"/>
  <c r="BA59" i="4"/>
  <c r="BC52" i="4"/>
  <c r="BB52" i="4"/>
  <c r="BA52" i="4"/>
  <c r="BA51" i="4"/>
  <c r="BC47" i="4"/>
  <c r="BB47" i="4"/>
  <c r="BA47" i="4"/>
  <c r="BA46" i="4"/>
  <c r="BC42" i="4"/>
  <c r="BB42" i="4"/>
  <c r="BA42" i="4"/>
  <c r="BA41" i="4"/>
  <c r="BC34" i="4"/>
  <c r="BB34" i="4"/>
  <c r="BA34" i="4"/>
  <c r="BA33" i="4"/>
  <c r="BC26" i="4"/>
  <c r="BB26" i="4"/>
  <c r="BA26" i="4"/>
  <c r="BA25" i="4"/>
  <c r="BC14" i="4"/>
  <c r="BB14" i="4"/>
  <c r="BA14" i="4"/>
  <c r="BA13" i="4"/>
  <c r="AT90" i="4"/>
  <c r="AW90" i="4"/>
  <c r="AW63" i="4"/>
  <c r="AW62" i="4"/>
  <c r="AW61" i="4"/>
  <c r="AW55" i="4"/>
  <c r="AW54" i="4"/>
  <c r="AW53" i="4"/>
  <c r="AW48" i="4"/>
  <c r="AW43" i="4"/>
  <c r="AW44" i="4"/>
  <c r="AW38" i="4"/>
  <c r="AW37" i="4"/>
  <c r="Q37" i="7"/>
  <c r="AW36" i="4"/>
  <c r="AW30" i="4"/>
  <c r="AW29" i="4"/>
  <c r="AW28" i="4"/>
  <c r="AW27" i="4"/>
  <c r="R27" i="7"/>
  <c r="AW21" i="4"/>
  <c r="AW20" i="4"/>
  <c r="AW19" i="4"/>
  <c r="AW17" i="4"/>
  <c r="R17" i="7"/>
  <c r="AW16" i="4"/>
  <c r="U16" i="6"/>
  <c r="AW7" i="4"/>
  <c r="AW8" i="4"/>
  <c r="AW9" i="4"/>
  <c r="R60" i="7"/>
  <c r="R52" i="7"/>
  <c r="R47" i="7"/>
  <c r="R42" i="7"/>
  <c r="R34" i="7"/>
  <c r="R26" i="7"/>
  <c r="R14" i="7"/>
  <c r="AN62" i="4"/>
  <c r="AN61" i="4"/>
  <c r="AN55" i="4"/>
  <c r="AN54" i="4"/>
  <c r="AN53" i="4"/>
  <c r="AN48" i="4"/>
  <c r="AN43" i="4"/>
  <c r="AN44" i="4"/>
  <c r="AN38" i="4"/>
  <c r="AN37" i="4"/>
  <c r="AN36" i="4"/>
  <c r="AN35" i="4"/>
  <c r="AK35" i="4"/>
  <c r="N35" i="7"/>
  <c r="AN29" i="4"/>
  <c r="AN28" i="4"/>
  <c r="AN27" i="4"/>
  <c r="AK27" i="4"/>
  <c r="N27" i="7"/>
  <c r="AN21" i="4"/>
  <c r="AN20" i="4"/>
  <c r="AN19" i="4"/>
  <c r="AN18" i="4"/>
  <c r="AK18" i="4"/>
  <c r="N18" i="7"/>
  <c r="AN17" i="4"/>
  <c r="AN16" i="4"/>
  <c r="AN8" i="4"/>
  <c r="AN9" i="4"/>
  <c r="AZ82" i="4"/>
  <c r="AZ80" i="4"/>
  <c r="AZ88" i="4"/>
  <c r="AW88" i="4"/>
  <c r="AT88" i="4"/>
  <c r="AZ90" i="4"/>
  <c r="AZ60" i="4"/>
  <c r="AY60" i="4"/>
  <c r="AX60" i="4"/>
  <c r="AX59" i="4"/>
  <c r="AZ52" i="4"/>
  <c r="AY52" i="4"/>
  <c r="AX52" i="4"/>
  <c r="AX51" i="4"/>
  <c r="AZ47" i="4"/>
  <c r="AY47" i="4"/>
  <c r="AX47" i="4"/>
  <c r="AX46" i="4"/>
  <c r="AZ42" i="4"/>
  <c r="AY42" i="4"/>
  <c r="AX42" i="4"/>
  <c r="AX41" i="4"/>
  <c r="AZ34" i="4"/>
  <c r="AY34" i="4"/>
  <c r="AX34" i="4"/>
  <c r="AX33" i="4"/>
  <c r="AZ26" i="4"/>
  <c r="AY26" i="4"/>
  <c r="AX26" i="4"/>
  <c r="AX25" i="4"/>
  <c r="AZ14" i="4"/>
  <c r="AY14" i="4"/>
  <c r="AX14" i="4"/>
  <c r="AX13" i="4"/>
  <c r="AK63" i="4"/>
  <c r="AK62" i="4"/>
  <c r="AK61" i="4"/>
  <c r="AV63" i="4"/>
  <c r="AJ63" i="4"/>
  <c r="AV62" i="4"/>
  <c r="AJ62" i="4"/>
  <c r="AV61" i="4"/>
  <c r="AJ61" i="4"/>
  <c r="AU63" i="4"/>
  <c r="AI63" i="4"/>
  <c r="AU62" i="4"/>
  <c r="AI62" i="4"/>
  <c r="AU61" i="4"/>
  <c r="AI61" i="4"/>
  <c r="AK55" i="4"/>
  <c r="AK54" i="4"/>
  <c r="AK53" i="4"/>
  <c r="AV55" i="4"/>
  <c r="AJ55" i="4"/>
  <c r="AV54" i="4"/>
  <c r="AJ54" i="4"/>
  <c r="AV53" i="4"/>
  <c r="AJ53" i="4"/>
  <c r="AU55" i="4"/>
  <c r="AI55" i="4"/>
  <c r="AU54" i="4"/>
  <c r="AI54" i="4"/>
  <c r="AU53" i="4"/>
  <c r="AI53" i="4"/>
  <c r="AK48" i="4"/>
  <c r="AV48" i="4"/>
  <c r="AJ48" i="4"/>
  <c r="AU48" i="4"/>
  <c r="AI48" i="4"/>
  <c r="AK43" i="4"/>
  <c r="AK44" i="4"/>
  <c r="AV43" i="4"/>
  <c r="AV44" i="4"/>
  <c r="AJ43" i="4"/>
  <c r="AJ44" i="4"/>
  <c r="AU43" i="4"/>
  <c r="AU44" i="4"/>
  <c r="AI43" i="4"/>
  <c r="AI44" i="4"/>
  <c r="AK38" i="4"/>
  <c r="AK37" i="4"/>
  <c r="N37" i="7"/>
  <c r="AK36" i="4"/>
  <c r="AV38" i="4"/>
  <c r="AJ38" i="4"/>
  <c r="AV37" i="4"/>
  <c r="AJ37" i="4"/>
  <c r="AV36" i="4"/>
  <c r="AJ36" i="4"/>
  <c r="AV35" i="4"/>
  <c r="AJ35" i="4"/>
  <c r="AU38" i="4"/>
  <c r="AI38" i="4"/>
  <c r="AU37" i="4"/>
  <c r="AI37" i="4"/>
  <c r="AU36" i="4"/>
  <c r="AI36" i="4"/>
  <c r="AU35" i="4"/>
  <c r="AI35" i="4"/>
  <c r="AK30" i="4"/>
  <c r="AK29" i="4"/>
  <c r="AK28" i="4"/>
  <c r="AV30" i="4"/>
  <c r="AJ30" i="4"/>
  <c r="AV29" i="4"/>
  <c r="AJ29" i="4"/>
  <c r="AV28" i="4"/>
  <c r="AJ28" i="4"/>
  <c r="AV27" i="4"/>
  <c r="AJ27" i="4"/>
  <c r="AU30" i="4"/>
  <c r="AI30" i="4"/>
  <c r="AU29" i="4"/>
  <c r="AI29" i="4"/>
  <c r="AU28" i="4"/>
  <c r="AI28" i="4"/>
  <c r="AU27" i="4"/>
  <c r="AI27" i="4"/>
  <c r="AK21" i="4"/>
  <c r="AK20" i="4"/>
  <c r="AK19" i="4"/>
  <c r="AK17" i="4"/>
  <c r="AK16" i="4"/>
  <c r="AK15" i="4"/>
  <c r="AV21" i="4"/>
  <c r="AJ21" i="4"/>
  <c r="AV20" i="4"/>
  <c r="AJ20" i="4"/>
  <c r="AV19" i="4"/>
  <c r="AJ19" i="4"/>
  <c r="AV18" i="4"/>
  <c r="AJ18" i="4"/>
  <c r="AV17" i="4"/>
  <c r="AJ17" i="4"/>
  <c r="AV16" i="4"/>
  <c r="AJ16" i="4"/>
  <c r="AV15" i="4"/>
  <c r="AJ15" i="4"/>
  <c r="AU21" i="4"/>
  <c r="AI21" i="4"/>
  <c r="AU20" i="4"/>
  <c r="AI20" i="4"/>
  <c r="AU19" i="4"/>
  <c r="AI19" i="4"/>
  <c r="AU18" i="4"/>
  <c r="AI18" i="4"/>
  <c r="AU17" i="4"/>
  <c r="AI17" i="4"/>
  <c r="AU16" i="4"/>
  <c r="AI16" i="4"/>
  <c r="AU15" i="4"/>
  <c r="AI15" i="4"/>
  <c r="AK7" i="4"/>
  <c r="AK8" i="4"/>
  <c r="AK9" i="4"/>
  <c r="AV7" i="4"/>
  <c r="AV8" i="4"/>
  <c r="AV9" i="4"/>
  <c r="AJ7" i="4"/>
  <c r="AJ8" i="4"/>
  <c r="AJ9" i="4"/>
  <c r="AJ10" i="4"/>
  <c r="AU7" i="4"/>
  <c r="AU8" i="4"/>
  <c r="AU9" i="4"/>
  <c r="AI7" i="4"/>
  <c r="AI8" i="4"/>
  <c r="AI9" i="4"/>
  <c r="AI10" i="4"/>
  <c r="Q60" i="7"/>
  <c r="Q52" i="7"/>
  <c r="Q47" i="7"/>
  <c r="Q42" i="7"/>
  <c r="Q34" i="7"/>
  <c r="Q26" i="7"/>
  <c r="Q14" i="7"/>
  <c r="AW80" i="4"/>
  <c r="AW81" i="4"/>
  <c r="AW82" i="4"/>
  <c r="AW60" i="4"/>
  <c r="AV60" i="4"/>
  <c r="AU60" i="4"/>
  <c r="AU59" i="4"/>
  <c r="AW52" i="4"/>
  <c r="AV52" i="4"/>
  <c r="AU52" i="4"/>
  <c r="AU51" i="4"/>
  <c r="AW47" i="4"/>
  <c r="AV47" i="4"/>
  <c r="AU47" i="4"/>
  <c r="AU46" i="4"/>
  <c r="AW42" i="4"/>
  <c r="AV42" i="4"/>
  <c r="AU42" i="4"/>
  <c r="AU41" i="4"/>
  <c r="AW34" i="4"/>
  <c r="AV34" i="4"/>
  <c r="AU34" i="4"/>
  <c r="AU33" i="4"/>
  <c r="AW26" i="4"/>
  <c r="AV26" i="4"/>
  <c r="AU26" i="4"/>
  <c r="AU25" i="4"/>
  <c r="AW14" i="4"/>
  <c r="AV14" i="4"/>
  <c r="AU14" i="4"/>
  <c r="AU13" i="4"/>
  <c r="V9" i="4"/>
  <c r="J9" i="4"/>
  <c r="E129" i="9"/>
  <c r="Y7" i="4"/>
  <c r="Y9" i="4"/>
  <c r="M7" i="4"/>
  <c r="M9" i="4"/>
  <c r="E9" i="7"/>
  <c r="AB7" i="4"/>
  <c r="AB9" i="4"/>
  <c r="P7" i="4"/>
  <c r="P9" i="4"/>
  <c r="AE7" i="4"/>
  <c r="AE9" i="4"/>
  <c r="S7" i="4"/>
  <c r="S9" i="4"/>
  <c r="AH7" i="4"/>
  <c r="AH9" i="4"/>
  <c r="I134" i="9"/>
  <c r="J134" i="9"/>
  <c r="K134" i="9"/>
  <c r="L134" i="9"/>
  <c r="M134" i="9"/>
  <c r="N134" i="9"/>
  <c r="O134" i="9"/>
  <c r="P134" i="9"/>
  <c r="H134" i="9"/>
  <c r="G7" i="4"/>
  <c r="G9" i="4"/>
  <c r="D7" i="4"/>
  <c r="D9" i="4"/>
  <c r="AT82" i="4"/>
  <c r="AT80" i="4"/>
  <c r="AT81" i="4"/>
  <c r="P60" i="7"/>
  <c r="P52" i="7"/>
  <c r="P47" i="7"/>
  <c r="P42" i="7"/>
  <c r="P34" i="7"/>
  <c r="P26" i="7"/>
  <c r="P14" i="7"/>
  <c r="AH63" i="4"/>
  <c r="M63" i="7"/>
  <c r="AH62" i="4"/>
  <c r="AH61" i="4"/>
  <c r="AH55" i="4"/>
  <c r="AH54" i="4"/>
  <c r="AH53" i="4"/>
  <c r="AH48" i="4"/>
  <c r="AH43" i="4"/>
  <c r="AH44" i="4"/>
  <c r="AH38" i="4"/>
  <c r="AH37" i="4"/>
  <c r="AH36" i="4"/>
  <c r="M36" i="7"/>
  <c r="AH35" i="4"/>
  <c r="AH30" i="4"/>
  <c r="AH29" i="4"/>
  <c r="AH28" i="4"/>
  <c r="AH27" i="4"/>
  <c r="AH21" i="4"/>
  <c r="AH20" i="4"/>
  <c r="AH19" i="4"/>
  <c r="AH18" i="4"/>
  <c r="AH17" i="4"/>
  <c r="AH16" i="4"/>
  <c r="AH15" i="4"/>
  <c r="AH8" i="4"/>
  <c r="AE30" i="4"/>
  <c r="AE29" i="4"/>
  <c r="AE28" i="4"/>
  <c r="AE27" i="4"/>
  <c r="AE21" i="4"/>
  <c r="AE20" i="4"/>
  <c r="AE19" i="4"/>
  <c r="AE18" i="4"/>
  <c r="AE17" i="4"/>
  <c r="AE16" i="4"/>
  <c r="AE15" i="4"/>
  <c r="AE8" i="4"/>
  <c r="AT60" i="4"/>
  <c r="AS60" i="4"/>
  <c r="AR60" i="4"/>
  <c r="AR59" i="4"/>
  <c r="AT52" i="4"/>
  <c r="AS52" i="4"/>
  <c r="AR52" i="4"/>
  <c r="AR51" i="4"/>
  <c r="AT47" i="4"/>
  <c r="AS47" i="4"/>
  <c r="AR47" i="4"/>
  <c r="AR46" i="4"/>
  <c r="AT42" i="4"/>
  <c r="AS42" i="4"/>
  <c r="AR42" i="4"/>
  <c r="AR41" i="4"/>
  <c r="AT34" i="4"/>
  <c r="AS34" i="4"/>
  <c r="AR34" i="4"/>
  <c r="AR33" i="4"/>
  <c r="AT26" i="4"/>
  <c r="AS26" i="4"/>
  <c r="AR26" i="4"/>
  <c r="AR25" i="4"/>
  <c r="AT14" i="4"/>
  <c r="AS14" i="4"/>
  <c r="AR14" i="4"/>
  <c r="AR13" i="4"/>
  <c r="AQ88" i="4"/>
  <c r="AQ80" i="4"/>
  <c r="AQ81" i="4"/>
  <c r="AQ82" i="4"/>
  <c r="AP63" i="4"/>
  <c r="AO63" i="4"/>
  <c r="AP62" i="4"/>
  <c r="AO62" i="4"/>
  <c r="AP61" i="4"/>
  <c r="AO61" i="4"/>
  <c r="AP55" i="4"/>
  <c r="AO55" i="4"/>
  <c r="AP54" i="4"/>
  <c r="AO54" i="4"/>
  <c r="AP53" i="4"/>
  <c r="AO53" i="4"/>
  <c r="AP48" i="4"/>
  <c r="AO48" i="4"/>
  <c r="AP43" i="4"/>
  <c r="AP44" i="4"/>
  <c r="AO43" i="4"/>
  <c r="AO44" i="4"/>
  <c r="AP38" i="4"/>
  <c r="AO38" i="4"/>
  <c r="AP37" i="4"/>
  <c r="AO37" i="4"/>
  <c r="AP36" i="4"/>
  <c r="AO36" i="4"/>
  <c r="AP35" i="4"/>
  <c r="AO35" i="4"/>
  <c r="AP30" i="4"/>
  <c r="AO30" i="4"/>
  <c r="AP29" i="4"/>
  <c r="AO29" i="4"/>
  <c r="AP28" i="4"/>
  <c r="AO28" i="4"/>
  <c r="AP27" i="4"/>
  <c r="AO27" i="4"/>
  <c r="AP21" i="4"/>
  <c r="AO21" i="4"/>
  <c r="AP20" i="4"/>
  <c r="AO20" i="4"/>
  <c r="AP19" i="4"/>
  <c r="AO19" i="4"/>
  <c r="AP18" i="4"/>
  <c r="AO18" i="4"/>
  <c r="AP17" i="4"/>
  <c r="AO17" i="4"/>
  <c r="AP16" i="4"/>
  <c r="AO16" i="4"/>
  <c r="AP15" i="4"/>
  <c r="AO15" i="4"/>
  <c r="AP7" i="4"/>
  <c r="AP8" i="4"/>
  <c r="AP9" i="4"/>
  <c r="AO7" i="4"/>
  <c r="AO8" i="4"/>
  <c r="AO9" i="4"/>
  <c r="O60" i="7"/>
  <c r="O52" i="7"/>
  <c r="O47" i="7"/>
  <c r="O42" i="7"/>
  <c r="O34" i="7"/>
  <c r="O26" i="7"/>
  <c r="O14" i="7"/>
  <c r="AE63" i="4"/>
  <c r="AE62" i="4"/>
  <c r="AE61" i="4"/>
  <c r="AE55" i="4"/>
  <c r="AE54" i="4"/>
  <c r="AE53" i="4"/>
  <c r="AE48" i="4"/>
  <c r="AE43" i="4"/>
  <c r="AE44" i="4"/>
  <c r="AE38" i="4"/>
  <c r="AE37" i="4"/>
  <c r="AE36" i="4"/>
  <c r="AE35" i="4"/>
  <c r="AQ90" i="4"/>
  <c r="AQ60" i="4"/>
  <c r="AP60" i="4"/>
  <c r="AO60" i="4"/>
  <c r="AO59" i="4"/>
  <c r="AQ52" i="4"/>
  <c r="AP52" i="4"/>
  <c r="AO52" i="4"/>
  <c r="AO51" i="4"/>
  <c r="AQ47" i="4"/>
  <c r="AP47" i="4"/>
  <c r="AO47" i="4"/>
  <c r="AO46" i="4"/>
  <c r="AQ42" i="4"/>
  <c r="AP42" i="4"/>
  <c r="AO42" i="4"/>
  <c r="AO41" i="4"/>
  <c r="AQ34" i="4"/>
  <c r="AP34" i="4"/>
  <c r="AO34" i="4"/>
  <c r="AO33" i="4"/>
  <c r="AQ26" i="4"/>
  <c r="AP26" i="4"/>
  <c r="AO26" i="4"/>
  <c r="AO25" i="4"/>
  <c r="AQ14" i="4"/>
  <c r="AP14" i="4"/>
  <c r="AO14" i="4"/>
  <c r="AO13" i="4"/>
  <c r="AE80" i="4"/>
  <c r="AE81" i="4"/>
  <c r="AH80" i="4"/>
  <c r="AK80" i="4"/>
  <c r="AN80" i="4"/>
  <c r="AN94" i="4"/>
  <c r="S80" i="4"/>
  <c r="B74" i="9"/>
  <c r="V80" i="4"/>
  <c r="B75" i="9"/>
  <c r="Y80" i="4"/>
  <c r="Y81" i="4"/>
  <c r="AB80" i="4"/>
  <c r="AB81" i="4"/>
  <c r="S81" i="4"/>
  <c r="AB94" i="4"/>
  <c r="H81" i="9"/>
  <c r="H80" i="9"/>
  <c r="H79" i="9"/>
  <c r="H78" i="9"/>
  <c r="H77" i="9"/>
  <c r="H76" i="9"/>
  <c r="H75" i="9"/>
  <c r="H74" i="9"/>
  <c r="H50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" i="9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1" i="9"/>
  <c r="AN90" i="4"/>
  <c r="AN88" i="4"/>
  <c r="AK88" i="4"/>
  <c r="AH88" i="4"/>
  <c r="AN82" i="4"/>
  <c r="N60" i="7"/>
  <c r="N52" i="7"/>
  <c r="N47" i="7"/>
  <c r="N42" i="7"/>
  <c r="N34" i="7"/>
  <c r="N26" i="7"/>
  <c r="N14" i="7"/>
  <c r="AB63" i="4"/>
  <c r="AB62" i="4"/>
  <c r="Y62" i="4"/>
  <c r="J62" i="7"/>
  <c r="AB61" i="4"/>
  <c r="AB55" i="4"/>
  <c r="AB54" i="4"/>
  <c r="AB53" i="4"/>
  <c r="AB48" i="4"/>
  <c r="AB43" i="4"/>
  <c r="AB44" i="4"/>
  <c r="AB38" i="4"/>
  <c r="AB37" i="4"/>
  <c r="P37" i="4"/>
  <c r="J37" i="6"/>
  <c r="AB36" i="4"/>
  <c r="K36" i="7"/>
  <c r="AB35" i="4"/>
  <c r="AB30" i="4"/>
  <c r="AB29" i="4"/>
  <c r="K29" i="7"/>
  <c r="AB28" i="4"/>
  <c r="AB27" i="4"/>
  <c r="AB21" i="4"/>
  <c r="AB20" i="4"/>
  <c r="AB19" i="4"/>
  <c r="AB18" i="4"/>
  <c r="AB17" i="4"/>
  <c r="AB16" i="4"/>
  <c r="AB15" i="4"/>
  <c r="AB8" i="4"/>
  <c r="N60" i="6"/>
  <c r="N52" i="6"/>
  <c r="N47" i="6"/>
  <c r="N42" i="6"/>
  <c r="N34" i="6"/>
  <c r="N26" i="6"/>
  <c r="N14" i="6"/>
  <c r="AM63" i="4"/>
  <c r="AL63" i="4"/>
  <c r="AM62" i="4"/>
  <c r="AL62" i="4"/>
  <c r="AM61" i="4"/>
  <c r="AL61" i="4"/>
  <c r="AM55" i="4"/>
  <c r="AL55" i="4"/>
  <c r="AM54" i="4"/>
  <c r="AL54" i="4"/>
  <c r="AM53" i="4"/>
  <c r="AL53" i="4"/>
  <c r="AM48" i="4"/>
  <c r="AL48" i="4"/>
  <c r="AM43" i="4"/>
  <c r="AM44" i="4"/>
  <c r="AL43" i="4"/>
  <c r="AL44" i="4"/>
  <c r="AM38" i="4"/>
  <c r="AL38" i="4"/>
  <c r="AM37" i="4"/>
  <c r="AL37" i="4"/>
  <c r="AM36" i="4"/>
  <c r="AL36" i="4"/>
  <c r="AM35" i="4"/>
  <c r="AL35" i="4"/>
  <c r="AM30" i="4"/>
  <c r="AL30" i="4"/>
  <c r="AM29" i="4"/>
  <c r="AL29" i="4"/>
  <c r="AM28" i="4"/>
  <c r="AL28" i="4"/>
  <c r="AM27" i="4"/>
  <c r="AL27" i="4"/>
  <c r="AM21" i="4"/>
  <c r="AL21" i="4"/>
  <c r="AM20" i="4"/>
  <c r="AL20" i="4"/>
  <c r="AM19" i="4"/>
  <c r="AL19" i="4"/>
  <c r="AM18" i="4"/>
  <c r="AL18" i="4"/>
  <c r="AM17" i="4"/>
  <c r="AL17" i="4"/>
  <c r="AM16" i="4"/>
  <c r="AL16" i="4"/>
  <c r="AM15" i="4"/>
  <c r="AL15" i="4"/>
  <c r="AM9" i="4"/>
  <c r="AL9" i="4"/>
  <c r="AM8" i="4"/>
  <c r="AL8" i="4"/>
  <c r="AM7" i="4"/>
  <c r="AM10" i="4"/>
  <c r="AL7" i="4"/>
  <c r="AN60" i="4"/>
  <c r="AM60" i="4"/>
  <c r="AL60" i="4"/>
  <c r="AL59" i="4"/>
  <c r="AN52" i="4"/>
  <c r="AM52" i="4"/>
  <c r="AL52" i="4"/>
  <c r="AL51" i="4"/>
  <c r="AN47" i="4"/>
  <c r="AM47" i="4"/>
  <c r="AL47" i="4"/>
  <c r="AL46" i="4"/>
  <c r="AN42" i="4"/>
  <c r="AM42" i="4"/>
  <c r="AL42" i="4"/>
  <c r="AL41" i="4"/>
  <c r="AN34" i="4"/>
  <c r="AM34" i="4"/>
  <c r="AL34" i="4"/>
  <c r="AL33" i="4"/>
  <c r="AN26" i="4"/>
  <c r="AM26" i="4"/>
  <c r="AL26" i="4"/>
  <c r="AL25" i="4"/>
  <c r="AN14" i="4"/>
  <c r="AM14" i="4"/>
  <c r="AL14" i="4"/>
  <c r="AL13" i="4"/>
  <c r="AE90" i="4"/>
  <c r="AK90" i="4"/>
  <c r="AH90" i="4"/>
  <c r="AB90" i="4"/>
  <c r="Y90" i="4"/>
  <c r="V90" i="4"/>
  <c r="S90" i="4"/>
  <c r="AE88" i="4"/>
  <c r="AB88" i="4"/>
  <c r="Y88" i="4"/>
  <c r="V88" i="4"/>
  <c r="S88" i="4"/>
  <c r="AK82" i="4"/>
  <c r="AH82" i="4"/>
  <c r="AE82" i="4"/>
  <c r="AB82" i="4"/>
  <c r="Y82" i="4"/>
  <c r="V82" i="4"/>
  <c r="S82" i="4"/>
  <c r="Y43" i="4"/>
  <c r="Y44" i="4"/>
  <c r="X43" i="4"/>
  <c r="X44" i="4"/>
  <c r="W43" i="4"/>
  <c r="W44" i="4"/>
  <c r="Y63" i="4"/>
  <c r="Y61" i="4"/>
  <c r="Y55" i="4"/>
  <c r="Y54" i="4"/>
  <c r="M54" i="6"/>
  <c r="Y53" i="4"/>
  <c r="Y48" i="4"/>
  <c r="Y38" i="4"/>
  <c r="Y37" i="4"/>
  <c r="Y36" i="4"/>
  <c r="Y35" i="4"/>
  <c r="Y30" i="4"/>
  <c r="Y29" i="4"/>
  <c r="M29" i="4"/>
  <c r="I29" i="6"/>
  <c r="Y28" i="4"/>
  <c r="Y27" i="4"/>
  <c r="Y21" i="4"/>
  <c r="Y20" i="4"/>
  <c r="Y19" i="4"/>
  <c r="Y18" i="4"/>
  <c r="Y17" i="4"/>
  <c r="Y16" i="4"/>
  <c r="Y15" i="4"/>
  <c r="Y8" i="4"/>
  <c r="X63" i="4"/>
  <c r="X62" i="4"/>
  <c r="X61" i="4"/>
  <c r="X55" i="4"/>
  <c r="X54" i="4"/>
  <c r="X53" i="4"/>
  <c r="X48" i="4"/>
  <c r="X38" i="4"/>
  <c r="X37" i="4"/>
  <c r="X36" i="4"/>
  <c r="X35" i="4"/>
  <c r="X30" i="4"/>
  <c r="X29" i="4"/>
  <c r="X28" i="4"/>
  <c r="X27" i="4"/>
  <c r="X21" i="4"/>
  <c r="X20" i="4"/>
  <c r="X19" i="4"/>
  <c r="X18" i="4"/>
  <c r="X17" i="4"/>
  <c r="X16" i="4"/>
  <c r="X15" i="4"/>
  <c r="X7" i="4"/>
  <c r="X8" i="4"/>
  <c r="X9" i="4"/>
  <c r="W63" i="4"/>
  <c r="W62" i="4"/>
  <c r="W61" i="4"/>
  <c r="W55" i="4"/>
  <c r="W54" i="4"/>
  <c r="W53" i="4"/>
  <c r="W48" i="4"/>
  <c r="W38" i="4"/>
  <c r="W37" i="4"/>
  <c r="W36" i="4"/>
  <c r="W35" i="4"/>
  <c r="W30" i="4"/>
  <c r="W29" i="4"/>
  <c r="W28" i="4"/>
  <c r="W27" i="4"/>
  <c r="W21" i="4"/>
  <c r="W20" i="4"/>
  <c r="W19" i="4"/>
  <c r="W18" i="4"/>
  <c r="W17" i="4"/>
  <c r="W16" i="4"/>
  <c r="W15" i="4"/>
  <c r="W7" i="4"/>
  <c r="W8" i="4"/>
  <c r="W9" i="4"/>
  <c r="M60" i="7"/>
  <c r="M52" i="7"/>
  <c r="M47" i="7"/>
  <c r="M42" i="7"/>
  <c r="M34" i="7"/>
  <c r="M26" i="7"/>
  <c r="M14" i="7"/>
  <c r="M60" i="6"/>
  <c r="M52" i="6"/>
  <c r="M47" i="6"/>
  <c r="M42" i="6"/>
  <c r="M34" i="6"/>
  <c r="M26" i="6"/>
  <c r="M14" i="6"/>
  <c r="AK60" i="4"/>
  <c r="AJ60" i="4"/>
  <c r="AI60" i="4"/>
  <c r="AI59" i="4"/>
  <c r="AK52" i="4"/>
  <c r="AJ52" i="4"/>
  <c r="AI52" i="4"/>
  <c r="AI51" i="4"/>
  <c r="AK47" i="4"/>
  <c r="AJ47" i="4"/>
  <c r="AI47" i="4"/>
  <c r="AI46" i="4"/>
  <c r="AK42" i="4"/>
  <c r="AJ42" i="4"/>
  <c r="AI42" i="4"/>
  <c r="AI41" i="4"/>
  <c r="AK34" i="4"/>
  <c r="AJ34" i="4"/>
  <c r="AI34" i="4"/>
  <c r="AI33" i="4"/>
  <c r="AK26" i="4"/>
  <c r="AJ26" i="4"/>
  <c r="AI26" i="4"/>
  <c r="AI25" i="4"/>
  <c r="AK14" i="4"/>
  <c r="AJ14" i="4"/>
  <c r="AI14" i="4"/>
  <c r="AI13" i="4"/>
  <c r="V30" i="4"/>
  <c r="S30" i="4"/>
  <c r="M30" i="4"/>
  <c r="J30" i="4"/>
  <c r="P30" i="4"/>
  <c r="G30" i="4"/>
  <c r="D30" i="7"/>
  <c r="D69" i="7"/>
  <c r="D30" i="4"/>
  <c r="F30" i="6"/>
  <c r="F69" i="6"/>
  <c r="V38" i="4"/>
  <c r="S38" i="4"/>
  <c r="P38" i="4"/>
  <c r="G38" i="7"/>
  <c r="M38" i="4"/>
  <c r="J38" i="4"/>
  <c r="G38" i="4"/>
  <c r="D38" i="4"/>
  <c r="V37" i="4"/>
  <c r="S37" i="4"/>
  <c r="M37" i="4"/>
  <c r="F37" i="7"/>
  <c r="J37" i="4"/>
  <c r="G37" i="4"/>
  <c r="D37" i="4"/>
  <c r="V36" i="4"/>
  <c r="J36" i="4"/>
  <c r="H36" i="6"/>
  <c r="S36" i="4"/>
  <c r="P36" i="4"/>
  <c r="M36" i="4"/>
  <c r="G36" i="4"/>
  <c r="D36" i="4"/>
  <c r="V35" i="4"/>
  <c r="S35" i="4"/>
  <c r="K35" i="6"/>
  <c r="P35" i="4"/>
  <c r="M35" i="4"/>
  <c r="J35" i="4"/>
  <c r="G35" i="4"/>
  <c r="D35" i="4"/>
  <c r="C35" i="7"/>
  <c r="V63" i="4"/>
  <c r="V62" i="4"/>
  <c r="V61" i="4"/>
  <c r="I61" i="7"/>
  <c r="V55" i="4"/>
  <c r="L55" i="6"/>
  <c r="V54" i="4"/>
  <c r="V53" i="4"/>
  <c r="V48" i="4"/>
  <c r="V43" i="4"/>
  <c r="V44" i="4"/>
  <c r="V29" i="4"/>
  <c r="V28" i="4"/>
  <c r="V27" i="4"/>
  <c r="V21" i="4"/>
  <c r="V20" i="4"/>
  <c r="V19" i="4"/>
  <c r="V18" i="4"/>
  <c r="V17" i="4"/>
  <c r="V16" i="4"/>
  <c r="V15" i="4"/>
  <c r="V8" i="4"/>
  <c r="S63" i="4"/>
  <c r="S62" i="4"/>
  <c r="S61" i="4"/>
  <c r="S55" i="4"/>
  <c r="S56" i="4"/>
  <c r="S54" i="4"/>
  <c r="S53" i="4"/>
  <c r="S48" i="4"/>
  <c r="S43" i="4"/>
  <c r="S44" i="4"/>
  <c r="S29" i="4"/>
  <c r="S28" i="4"/>
  <c r="S27" i="4"/>
  <c r="S21" i="4"/>
  <c r="S20" i="4"/>
  <c r="S19" i="4"/>
  <c r="S18" i="4"/>
  <c r="S17" i="4"/>
  <c r="S16" i="4"/>
  <c r="S15" i="4"/>
  <c r="S8" i="4"/>
  <c r="P63" i="4"/>
  <c r="P62" i="4"/>
  <c r="P61" i="4"/>
  <c r="P55" i="4"/>
  <c r="P54" i="4"/>
  <c r="P53" i="4"/>
  <c r="P48" i="4"/>
  <c r="P43" i="4"/>
  <c r="P44" i="4"/>
  <c r="P29" i="4"/>
  <c r="P28" i="4"/>
  <c r="P27" i="4"/>
  <c r="P21" i="4"/>
  <c r="P20" i="4"/>
  <c r="P19" i="4"/>
  <c r="P18" i="4"/>
  <c r="P17" i="4"/>
  <c r="P16" i="4"/>
  <c r="J16" i="6"/>
  <c r="P15" i="4"/>
  <c r="P8" i="4"/>
  <c r="M63" i="4"/>
  <c r="M62" i="4"/>
  <c r="F62" i="7"/>
  <c r="M61" i="4"/>
  <c r="M55" i="4"/>
  <c r="M54" i="4"/>
  <c r="M53" i="4"/>
  <c r="M48" i="4"/>
  <c r="M43" i="4"/>
  <c r="M44" i="4"/>
  <c r="M28" i="4"/>
  <c r="M27" i="4"/>
  <c r="M21" i="4"/>
  <c r="I21" i="6"/>
  <c r="M20" i="4"/>
  <c r="M19" i="4"/>
  <c r="M18" i="4"/>
  <c r="M17" i="4"/>
  <c r="M16" i="4"/>
  <c r="M15" i="4"/>
  <c r="I15" i="6"/>
  <c r="M8" i="4"/>
  <c r="J63" i="4"/>
  <c r="J62" i="4"/>
  <c r="J61" i="4"/>
  <c r="E61" i="7"/>
  <c r="J55" i="4"/>
  <c r="J54" i="4"/>
  <c r="J53" i="4"/>
  <c r="J48" i="4"/>
  <c r="E48" i="7"/>
  <c r="J43" i="4"/>
  <c r="J44" i="4"/>
  <c r="J29" i="4"/>
  <c r="J28" i="4"/>
  <c r="J27" i="4"/>
  <c r="E27" i="7"/>
  <c r="J21" i="4"/>
  <c r="J20" i="4"/>
  <c r="J19" i="4"/>
  <c r="J18" i="4"/>
  <c r="E18" i="7"/>
  <c r="J17" i="4"/>
  <c r="J16" i="4"/>
  <c r="J15" i="4"/>
  <c r="J8" i="4"/>
  <c r="E8" i="7"/>
  <c r="H7" i="6"/>
  <c r="G63" i="4"/>
  <c r="D63" i="7"/>
  <c r="G62" i="4"/>
  <c r="G61" i="4"/>
  <c r="G55" i="4"/>
  <c r="G54" i="4"/>
  <c r="G54" i="6"/>
  <c r="G53" i="4"/>
  <c r="G48" i="4"/>
  <c r="D48" i="4"/>
  <c r="C48" i="7"/>
  <c r="G43" i="4"/>
  <c r="G44" i="4"/>
  <c r="G29" i="4"/>
  <c r="G28" i="4"/>
  <c r="G27" i="4"/>
  <c r="G21" i="4"/>
  <c r="G20" i="4"/>
  <c r="G19" i="4"/>
  <c r="G18" i="4"/>
  <c r="D18" i="7"/>
  <c r="G17" i="4"/>
  <c r="G16" i="4"/>
  <c r="G15" i="4"/>
  <c r="G8" i="4"/>
  <c r="G8" i="6"/>
  <c r="D63" i="4"/>
  <c r="D62" i="4"/>
  <c r="F62" i="6"/>
  <c r="D61" i="4"/>
  <c r="D54" i="4"/>
  <c r="F54" i="6"/>
  <c r="D55" i="4"/>
  <c r="D53" i="4"/>
  <c r="D43" i="4"/>
  <c r="D44" i="4"/>
  <c r="D29" i="4"/>
  <c r="D28" i="4"/>
  <c r="D27" i="4"/>
  <c r="D21" i="4"/>
  <c r="D20" i="4"/>
  <c r="D19" i="4"/>
  <c r="D18" i="4"/>
  <c r="D17" i="4"/>
  <c r="F17" i="6"/>
  <c r="D16" i="4"/>
  <c r="D15" i="4"/>
  <c r="D8" i="4"/>
  <c r="C60" i="6"/>
  <c r="D60" i="6"/>
  <c r="E60" i="6"/>
  <c r="F60" i="6"/>
  <c r="G60" i="6"/>
  <c r="H60" i="6"/>
  <c r="I60" i="6"/>
  <c r="J60" i="6"/>
  <c r="K60" i="6"/>
  <c r="L60" i="6"/>
  <c r="B60" i="6"/>
  <c r="C52" i="6"/>
  <c r="D52" i="6"/>
  <c r="E52" i="6"/>
  <c r="F52" i="6"/>
  <c r="G52" i="6"/>
  <c r="H52" i="6"/>
  <c r="I52" i="6"/>
  <c r="J52" i="6"/>
  <c r="K52" i="6"/>
  <c r="L52" i="6"/>
  <c r="B52" i="6"/>
  <c r="C47" i="6"/>
  <c r="D47" i="6"/>
  <c r="E47" i="6"/>
  <c r="F47" i="6"/>
  <c r="G47" i="6"/>
  <c r="H47" i="6"/>
  <c r="I47" i="6"/>
  <c r="J47" i="6"/>
  <c r="K47" i="6"/>
  <c r="L47" i="6"/>
  <c r="B47" i="6"/>
  <c r="C42" i="6"/>
  <c r="D42" i="6"/>
  <c r="E42" i="6"/>
  <c r="F42" i="6"/>
  <c r="G42" i="6"/>
  <c r="H42" i="6"/>
  <c r="I42" i="6"/>
  <c r="J42" i="6"/>
  <c r="K42" i="6"/>
  <c r="L42" i="6"/>
  <c r="B42" i="6"/>
  <c r="C34" i="6"/>
  <c r="D34" i="6"/>
  <c r="E34" i="6"/>
  <c r="F34" i="6"/>
  <c r="G34" i="6"/>
  <c r="H34" i="6"/>
  <c r="I34" i="6"/>
  <c r="J34" i="6"/>
  <c r="K34" i="6"/>
  <c r="L34" i="6"/>
  <c r="B34" i="6"/>
  <c r="C26" i="6"/>
  <c r="D26" i="6"/>
  <c r="E26" i="6"/>
  <c r="F26" i="6"/>
  <c r="G26" i="6"/>
  <c r="H26" i="6"/>
  <c r="I26" i="6"/>
  <c r="J26" i="6"/>
  <c r="K26" i="6"/>
  <c r="L26" i="6"/>
  <c r="B26" i="6"/>
  <c r="C14" i="6"/>
  <c r="D14" i="6"/>
  <c r="E14" i="6"/>
  <c r="F14" i="6"/>
  <c r="G14" i="6"/>
  <c r="H14" i="6"/>
  <c r="I14" i="6"/>
  <c r="J14" i="6"/>
  <c r="K14" i="6"/>
  <c r="L14" i="6"/>
  <c r="B14" i="6"/>
  <c r="E14" i="7"/>
  <c r="F14" i="7"/>
  <c r="G14" i="7"/>
  <c r="H14" i="7"/>
  <c r="I14" i="7"/>
  <c r="J14" i="7"/>
  <c r="K14" i="7"/>
  <c r="L14" i="7"/>
  <c r="E26" i="7"/>
  <c r="F26" i="7"/>
  <c r="G26" i="7"/>
  <c r="H26" i="7"/>
  <c r="I26" i="7"/>
  <c r="J26" i="7"/>
  <c r="K26" i="7"/>
  <c r="L26" i="7"/>
  <c r="E34" i="7"/>
  <c r="F34" i="7"/>
  <c r="G34" i="7"/>
  <c r="H34" i="7"/>
  <c r="I34" i="7"/>
  <c r="J34" i="7"/>
  <c r="K34" i="7"/>
  <c r="L34" i="7"/>
  <c r="E42" i="7"/>
  <c r="F42" i="7"/>
  <c r="G42" i="7"/>
  <c r="H42" i="7"/>
  <c r="I42" i="7"/>
  <c r="J42" i="7"/>
  <c r="K42" i="7"/>
  <c r="L42" i="7"/>
  <c r="E47" i="7"/>
  <c r="F47" i="7"/>
  <c r="G47" i="7"/>
  <c r="H47" i="7"/>
  <c r="I47" i="7"/>
  <c r="J47" i="7"/>
  <c r="K47" i="7"/>
  <c r="L47" i="7"/>
  <c r="E52" i="7"/>
  <c r="F52" i="7"/>
  <c r="G52" i="7"/>
  <c r="H52" i="7"/>
  <c r="I52" i="7"/>
  <c r="J52" i="7"/>
  <c r="K52" i="7"/>
  <c r="L52" i="7"/>
  <c r="E60" i="7"/>
  <c r="F60" i="7"/>
  <c r="G60" i="7"/>
  <c r="H60" i="7"/>
  <c r="I60" i="7"/>
  <c r="J60" i="7"/>
  <c r="K60" i="7"/>
  <c r="L60" i="7"/>
  <c r="C60" i="7"/>
  <c r="D60" i="7"/>
  <c r="B60" i="7"/>
  <c r="C52" i="7"/>
  <c r="D52" i="7"/>
  <c r="B52" i="7"/>
  <c r="C47" i="7"/>
  <c r="D47" i="7"/>
  <c r="B47" i="7"/>
  <c r="C42" i="7"/>
  <c r="D42" i="7"/>
  <c r="B42" i="7"/>
  <c r="C34" i="7"/>
  <c r="D34" i="7"/>
  <c r="B34" i="7"/>
  <c r="C26" i="7"/>
  <c r="D26" i="7"/>
  <c r="B26" i="7"/>
  <c r="C14" i="7"/>
  <c r="D14" i="7"/>
  <c r="B14" i="7"/>
  <c r="AD8" i="4"/>
  <c r="AD9" i="4"/>
  <c r="AG8" i="4"/>
  <c r="AG9" i="4"/>
  <c r="AG11" i="4"/>
  <c r="AC7" i="4"/>
  <c r="AC9" i="4"/>
  <c r="AC63" i="4"/>
  <c r="AD63" i="4"/>
  <c r="AC30" i="4"/>
  <c r="AD30" i="4"/>
  <c r="AF55" i="4"/>
  <c r="AC55" i="4"/>
  <c r="AC8" i="4"/>
  <c r="AF7" i="4"/>
  <c r="AF9" i="4"/>
  <c r="AG43" i="4"/>
  <c r="AG44" i="4"/>
  <c r="U43" i="4"/>
  <c r="U44" i="4"/>
  <c r="AF43" i="4"/>
  <c r="AF44" i="4"/>
  <c r="T43" i="4"/>
  <c r="T44" i="4"/>
  <c r="AG63" i="4"/>
  <c r="U63" i="4"/>
  <c r="AG62" i="4"/>
  <c r="U62" i="4"/>
  <c r="AG61" i="4"/>
  <c r="U61" i="4"/>
  <c r="AG55" i="4"/>
  <c r="U55" i="4"/>
  <c r="AG54" i="4"/>
  <c r="U54" i="4"/>
  <c r="AG53" i="4"/>
  <c r="U53" i="4"/>
  <c r="AG48" i="4"/>
  <c r="U48" i="4"/>
  <c r="AG38" i="4"/>
  <c r="U38" i="4"/>
  <c r="AG37" i="4"/>
  <c r="U37" i="4"/>
  <c r="AG36" i="4"/>
  <c r="U36" i="4"/>
  <c r="AG35" i="4"/>
  <c r="U35" i="4"/>
  <c r="AG30" i="4"/>
  <c r="U30" i="4"/>
  <c r="AG29" i="4"/>
  <c r="U29" i="4"/>
  <c r="AG28" i="4"/>
  <c r="U28" i="4"/>
  <c r="AG27" i="4"/>
  <c r="U27" i="4"/>
  <c r="AG21" i="4"/>
  <c r="U21" i="4"/>
  <c r="AG20" i="4"/>
  <c r="U20" i="4"/>
  <c r="AG19" i="4"/>
  <c r="U19" i="4"/>
  <c r="AG18" i="4"/>
  <c r="U18" i="4"/>
  <c r="AG17" i="4"/>
  <c r="U17" i="4"/>
  <c r="AG16" i="4"/>
  <c r="U16" i="4"/>
  <c r="AG15" i="4"/>
  <c r="U15" i="4"/>
  <c r="AG7" i="4"/>
  <c r="U8" i="4"/>
  <c r="U9" i="4"/>
  <c r="AF63" i="4"/>
  <c r="T63" i="4"/>
  <c r="AF62" i="4"/>
  <c r="T62" i="4"/>
  <c r="AF61" i="4"/>
  <c r="T61" i="4"/>
  <c r="T55" i="4"/>
  <c r="AF54" i="4"/>
  <c r="T54" i="4"/>
  <c r="AF53" i="4"/>
  <c r="T53" i="4"/>
  <c r="AF48" i="4"/>
  <c r="T48" i="4"/>
  <c r="AF38" i="4"/>
  <c r="T38" i="4"/>
  <c r="AF37" i="4"/>
  <c r="T37" i="4"/>
  <c r="AF36" i="4"/>
  <c r="T36" i="4"/>
  <c r="AF35" i="4"/>
  <c r="T35" i="4"/>
  <c r="AF30" i="4"/>
  <c r="T30" i="4"/>
  <c r="AF29" i="4"/>
  <c r="T29" i="4"/>
  <c r="AF28" i="4"/>
  <c r="T28" i="4"/>
  <c r="AF27" i="4"/>
  <c r="T27" i="4"/>
  <c r="AF21" i="4"/>
  <c r="T21" i="4"/>
  <c r="AF20" i="4"/>
  <c r="T20" i="4"/>
  <c r="AF19" i="4"/>
  <c r="T19" i="4"/>
  <c r="AF18" i="4"/>
  <c r="T18" i="4"/>
  <c r="AF17" i="4"/>
  <c r="T17" i="4"/>
  <c r="AF16" i="4"/>
  <c r="T16" i="4"/>
  <c r="AF15" i="4"/>
  <c r="T15" i="4"/>
  <c r="AF8" i="4"/>
  <c r="T8" i="4"/>
  <c r="T9" i="4"/>
  <c r="AH60" i="4"/>
  <c r="AG60" i="4"/>
  <c r="AF60" i="4"/>
  <c r="AF59" i="4"/>
  <c r="AH52" i="4"/>
  <c r="AG52" i="4"/>
  <c r="AF52" i="4"/>
  <c r="AF51" i="4"/>
  <c r="AH47" i="4"/>
  <c r="AG47" i="4"/>
  <c r="AF47" i="4"/>
  <c r="AF46" i="4"/>
  <c r="AH42" i="4"/>
  <c r="AG42" i="4"/>
  <c r="AF42" i="4"/>
  <c r="AF41" i="4"/>
  <c r="AH34" i="4"/>
  <c r="AG34" i="4"/>
  <c r="AF34" i="4"/>
  <c r="AF33" i="4"/>
  <c r="AH26" i="4"/>
  <c r="AG26" i="4"/>
  <c r="AF26" i="4"/>
  <c r="AF25" i="4"/>
  <c r="AH14" i="4"/>
  <c r="AG14" i="4"/>
  <c r="AF14" i="4"/>
  <c r="AF13" i="4"/>
  <c r="AD62" i="4"/>
  <c r="AD61" i="4"/>
  <c r="AC62" i="4"/>
  <c r="AC61" i="4"/>
  <c r="AD55" i="4"/>
  <c r="AD54" i="4"/>
  <c r="AD53" i="4"/>
  <c r="AC54" i="4"/>
  <c r="AC53" i="4"/>
  <c r="AD48" i="4"/>
  <c r="AC48" i="4"/>
  <c r="AD43" i="4"/>
  <c r="AD44" i="4"/>
  <c r="AC43" i="4"/>
  <c r="AC44" i="4"/>
  <c r="AD38" i="4"/>
  <c r="AC38" i="4"/>
  <c r="AD37" i="4"/>
  <c r="AD36" i="4"/>
  <c r="AD35" i="4"/>
  <c r="AC37" i="4"/>
  <c r="AC36" i="4"/>
  <c r="AC35" i="4"/>
  <c r="AD29" i="4"/>
  <c r="AD28" i="4"/>
  <c r="AD27" i="4"/>
  <c r="AC29" i="4"/>
  <c r="AC28" i="4"/>
  <c r="AC27" i="4"/>
  <c r="AD21" i="4"/>
  <c r="AD20" i="4"/>
  <c r="AD19" i="4"/>
  <c r="AD18" i="4"/>
  <c r="AD17" i="4"/>
  <c r="AD16" i="4"/>
  <c r="AD15" i="4"/>
  <c r="AC15" i="4"/>
  <c r="AC21" i="4"/>
  <c r="AC20" i="4"/>
  <c r="AC19" i="4"/>
  <c r="AC18" i="4"/>
  <c r="AC17" i="4"/>
  <c r="AC16" i="4"/>
  <c r="AD7" i="4"/>
  <c r="AE60" i="4"/>
  <c r="AD60" i="4"/>
  <c r="AC60" i="4"/>
  <c r="AC59" i="4"/>
  <c r="AE52" i="4"/>
  <c r="AD52" i="4"/>
  <c r="AC52" i="4"/>
  <c r="AC51" i="4"/>
  <c r="AE47" i="4"/>
  <c r="AD47" i="4"/>
  <c r="AC47" i="4"/>
  <c r="AC46" i="4"/>
  <c r="AE42" i="4"/>
  <c r="AD42" i="4"/>
  <c r="AC42" i="4"/>
  <c r="AC41" i="4"/>
  <c r="AE34" i="4"/>
  <c r="AD34" i="4"/>
  <c r="AC34" i="4"/>
  <c r="AC33" i="4"/>
  <c r="AE26" i="4"/>
  <c r="AD26" i="4"/>
  <c r="AC26" i="4"/>
  <c r="AC25" i="4"/>
  <c r="AE14" i="4"/>
  <c r="AD14" i="4"/>
  <c r="AC14" i="4"/>
  <c r="AC13" i="4"/>
  <c r="AA43" i="4"/>
  <c r="AA44" i="4"/>
  <c r="Z43" i="4"/>
  <c r="Z44" i="4"/>
  <c r="AA63" i="4"/>
  <c r="AA62" i="4"/>
  <c r="AA61" i="4"/>
  <c r="AA55" i="4"/>
  <c r="AA54" i="4"/>
  <c r="AA53" i="4"/>
  <c r="AA48" i="4"/>
  <c r="AA38" i="4"/>
  <c r="AA37" i="4"/>
  <c r="AA36" i="4"/>
  <c r="AA35" i="4"/>
  <c r="AA30" i="4"/>
  <c r="AA29" i="4"/>
  <c r="AA28" i="4"/>
  <c r="AA27" i="4"/>
  <c r="AA21" i="4"/>
  <c r="AA20" i="4"/>
  <c r="AA19" i="4"/>
  <c r="AA18" i="4"/>
  <c r="AA17" i="4"/>
  <c r="AA16" i="4"/>
  <c r="AA15" i="4"/>
  <c r="AA7" i="4"/>
  <c r="AA8" i="4"/>
  <c r="AA9" i="4"/>
  <c r="Z63" i="4"/>
  <c r="Z62" i="4"/>
  <c r="Z61" i="4"/>
  <c r="Z55" i="4"/>
  <c r="Z54" i="4"/>
  <c r="Z53" i="4"/>
  <c r="Z48" i="4"/>
  <c r="Z38" i="4"/>
  <c r="Z37" i="4"/>
  <c r="Z36" i="4"/>
  <c r="Z35" i="4"/>
  <c r="Z30" i="4"/>
  <c r="Z29" i="4"/>
  <c r="Z28" i="4"/>
  <c r="Z27" i="4"/>
  <c r="Z21" i="4"/>
  <c r="Z20" i="4"/>
  <c r="Z19" i="4"/>
  <c r="Z18" i="4"/>
  <c r="Z17" i="4"/>
  <c r="Z16" i="4"/>
  <c r="Z15" i="4"/>
  <c r="Z7" i="4"/>
  <c r="Z8" i="4"/>
  <c r="Z9" i="4"/>
  <c r="AB60" i="4"/>
  <c r="AA60" i="4"/>
  <c r="Z60" i="4"/>
  <c r="Z59" i="4"/>
  <c r="AB52" i="4"/>
  <c r="AA52" i="4"/>
  <c r="Z52" i="4"/>
  <c r="Z51" i="4"/>
  <c r="AB47" i="4"/>
  <c r="AA47" i="4"/>
  <c r="Z47" i="4"/>
  <c r="Z46" i="4"/>
  <c r="AB42" i="4"/>
  <c r="AA42" i="4"/>
  <c r="Z42" i="4"/>
  <c r="Z41" i="4"/>
  <c r="AB34" i="4"/>
  <c r="AA34" i="4"/>
  <c r="Z34" i="4"/>
  <c r="Z33" i="4"/>
  <c r="AB26" i="4"/>
  <c r="AA26" i="4"/>
  <c r="Z26" i="4"/>
  <c r="Z25" i="4"/>
  <c r="AB14" i="4"/>
  <c r="AA14" i="4"/>
  <c r="Z14" i="4"/>
  <c r="Z13" i="4"/>
  <c r="L63" i="4"/>
  <c r="K63" i="4"/>
  <c r="L62" i="4"/>
  <c r="K62" i="4"/>
  <c r="L61" i="4"/>
  <c r="K61" i="4"/>
  <c r="L55" i="4"/>
  <c r="K55" i="4"/>
  <c r="L54" i="4"/>
  <c r="K54" i="4"/>
  <c r="L53" i="4"/>
  <c r="K53" i="4"/>
  <c r="L48" i="4"/>
  <c r="K48" i="4"/>
  <c r="L43" i="4"/>
  <c r="L44" i="4"/>
  <c r="K43" i="4"/>
  <c r="K44" i="4"/>
  <c r="L38" i="4"/>
  <c r="K38" i="4"/>
  <c r="L37" i="4"/>
  <c r="K37" i="4"/>
  <c r="L36" i="4"/>
  <c r="K36" i="4"/>
  <c r="L35" i="4"/>
  <c r="K35" i="4"/>
  <c r="L30" i="4"/>
  <c r="K30" i="4"/>
  <c r="L29" i="4"/>
  <c r="K29" i="4"/>
  <c r="L28" i="4"/>
  <c r="K28" i="4"/>
  <c r="L27" i="4"/>
  <c r="K27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9" i="4"/>
  <c r="K9" i="4"/>
  <c r="L8" i="4"/>
  <c r="K8" i="4"/>
  <c r="L7" i="4"/>
  <c r="K7" i="4"/>
  <c r="K10" i="4"/>
  <c r="O63" i="4"/>
  <c r="N63" i="4"/>
  <c r="O62" i="4"/>
  <c r="N62" i="4"/>
  <c r="O61" i="4"/>
  <c r="N61" i="4"/>
  <c r="O55" i="4"/>
  <c r="N55" i="4"/>
  <c r="O54" i="4"/>
  <c r="N54" i="4"/>
  <c r="O53" i="4"/>
  <c r="N53" i="4"/>
  <c r="O48" i="4"/>
  <c r="N48" i="4"/>
  <c r="O43" i="4"/>
  <c r="O44" i="4"/>
  <c r="N43" i="4"/>
  <c r="N44" i="4"/>
  <c r="O38" i="4"/>
  <c r="N38" i="4"/>
  <c r="O37" i="4"/>
  <c r="N37" i="4"/>
  <c r="O36" i="4"/>
  <c r="N36" i="4"/>
  <c r="O35" i="4"/>
  <c r="N35" i="4"/>
  <c r="O30" i="4"/>
  <c r="N30" i="4"/>
  <c r="O29" i="4"/>
  <c r="N29" i="4"/>
  <c r="O28" i="4"/>
  <c r="N28" i="4"/>
  <c r="O27" i="4"/>
  <c r="N27" i="4"/>
  <c r="O21" i="4"/>
  <c r="N21" i="4"/>
  <c r="O20" i="4"/>
  <c r="N20" i="4"/>
  <c r="O19" i="4"/>
  <c r="N19" i="4"/>
  <c r="O18" i="4"/>
  <c r="N18" i="4"/>
  <c r="O17" i="4"/>
  <c r="N17" i="4"/>
  <c r="O16" i="4"/>
  <c r="N16" i="4"/>
  <c r="O15" i="4"/>
  <c r="N15" i="4"/>
  <c r="O9" i="4"/>
  <c r="N9" i="4"/>
  <c r="O8" i="4"/>
  <c r="N8" i="4"/>
  <c r="O7" i="4"/>
  <c r="N7" i="4"/>
  <c r="I63" i="4"/>
  <c r="H63" i="4"/>
  <c r="I62" i="4"/>
  <c r="H62" i="4"/>
  <c r="I61" i="4"/>
  <c r="H61" i="4"/>
  <c r="I55" i="4"/>
  <c r="H55" i="4"/>
  <c r="I54" i="4"/>
  <c r="H54" i="4"/>
  <c r="I53" i="4"/>
  <c r="H53" i="4"/>
  <c r="I48" i="4"/>
  <c r="H48" i="4"/>
  <c r="I43" i="4"/>
  <c r="I44" i="4"/>
  <c r="H43" i="4"/>
  <c r="H44" i="4"/>
  <c r="I38" i="4"/>
  <c r="H38" i="4"/>
  <c r="I37" i="4"/>
  <c r="H37" i="4"/>
  <c r="I36" i="4"/>
  <c r="H36" i="4"/>
  <c r="I35" i="4"/>
  <c r="H35" i="4"/>
  <c r="I30" i="4"/>
  <c r="H30" i="4"/>
  <c r="I29" i="4"/>
  <c r="H29" i="4"/>
  <c r="I28" i="4"/>
  <c r="H28" i="4"/>
  <c r="I27" i="4"/>
  <c r="H27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9" i="4"/>
  <c r="H9" i="4"/>
  <c r="I8" i="4"/>
  <c r="H8" i="4"/>
  <c r="R63" i="4"/>
  <c r="Q63" i="4"/>
  <c r="R62" i="4"/>
  <c r="Q62" i="4"/>
  <c r="R61" i="4"/>
  <c r="Q61" i="4"/>
  <c r="R55" i="4"/>
  <c r="Q55" i="4"/>
  <c r="R54" i="4"/>
  <c r="Q54" i="4"/>
  <c r="R53" i="4"/>
  <c r="Q53" i="4"/>
  <c r="R48" i="4"/>
  <c r="Q48" i="4"/>
  <c r="R43" i="4"/>
  <c r="R44" i="4"/>
  <c r="Q43" i="4"/>
  <c r="Q44" i="4"/>
  <c r="R38" i="4"/>
  <c r="Q38" i="4"/>
  <c r="R37" i="4"/>
  <c r="Q37" i="4"/>
  <c r="R36" i="4"/>
  <c r="Q36" i="4"/>
  <c r="R35" i="4"/>
  <c r="Q35" i="4"/>
  <c r="R30" i="4"/>
  <c r="Q30" i="4"/>
  <c r="R29" i="4"/>
  <c r="Q29" i="4"/>
  <c r="R28" i="4"/>
  <c r="Q28" i="4"/>
  <c r="R27" i="4"/>
  <c r="Q27" i="4"/>
  <c r="R21" i="4"/>
  <c r="Q21" i="4"/>
  <c r="R20" i="4"/>
  <c r="Q20" i="4"/>
  <c r="R19" i="4"/>
  <c r="Q19" i="4"/>
  <c r="R18" i="4"/>
  <c r="Q18" i="4"/>
  <c r="R17" i="4"/>
  <c r="Q17" i="4"/>
  <c r="R16" i="4"/>
  <c r="Q16" i="4"/>
  <c r="R15" i="4"/>
  <c r="Q15" i="4"/>
  <c r="R9" i="4"/>
  <c r="Q9" i="4"/>
  <c r="R8" i="4"/>
  <c r="R7" i="4"/>
  <c r="R10" i="4"/>
  <c r="Q8" i="4"/>
  <c r="Q7" i="4"/>
  <c r="F63" i="4"/>
  <c r="E63" i="4"/>
  <c r="F62" i="4"/>
  <c r="E62" i="4"/>
  <c r="F61" i="4"/>
  <c r="E61" i="4"/>
  <c r="F55" i="4"/>
  <c r="E55" i="4"/>
  <c r="F54" i="4"/>
  <c r="E54" i="4"/>
  <c r="F53" i="4"/>
  <c r="E53" i="4"/>
  <c r="F48" i="4"/>
  <c r="E48" i="4"/>
  <c r="F43" i="4"/>
  <c r="F44" i="4"/>
  <c r="E43" i="4"/>
  <c r="E44" i="4"/>
  <c r="F38" i="4"/>
  <c r="E38" i="4"/>
  <c r="F37" i="4"/>
  <c r="E37" i="4"/>
  <c r="F36" i="4"/>
  <c r="E36" i="4"/>
  <c r="F35" i="4"/>
  <c r="E35" i="4"/>
  <c r="F30" i="4"/>
  <c r="E30" i="4"/>
  <c r="F29" i="4"/>
  <c r="E29" i="4"/>
  <c r="F28" i="4"/>
  <c r="E28" i="4"/>
  <c r="F27" i="4"/>
  <c r="E27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9" i="4"/>
  <c r="E9" i="4"/>
  <c r="F8" i="4"/>
  <c r="E8" i="4"/>
  <c r="F7" i="4"/>
  <c r="E7" i="4"/>
  <c r="C63" i="4"/>
  <c r="B63" i="4"/>
  <c r="C62" i="4"/>
  <c r="B62" i="4"/>
  <c r="C61" i="4"/>
  <c r="B61" i="4"/>
  <c r="C55" i="4"/>
  <c r="B55" i="4"/>
  <c r="C54" i="4"/>
  <c r="B54" i="4"/>
  <c r="C53" i="4"/>
  <c r="B53" i="4"/>
  <c r="C48" i="4"/>
  <c r="B48" i="4"/>
  <c r="C43" i="4"/>
  <c r="C44" i="4"/>
  <c r="B43" i="4"/>
  <c r="B44" i="4"/>
  <c r="C38" i="4"/>
  <c r="B38" i="4"/>
  <c r="C37" i="4"/>
  <c r="B37" i="4"/>
  <c r="C36" i="4"/>
  <c r="B36" i="4"/>
  <c r="C35" i="4"/>
  <c r="B35" i="4"/>
  <c r="C30" i="4"/>
  <c r="B30" i="4"/>
  <c r="C29" i="4"/>
  <c r="B29" i="4"/>
  <c r="C28" i="4"/>
  <c r="B28" i="4"/>
  <c r="C27" i="4"/>
  <c r="B27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9" i="4"/>
  <c r="B9" i="4"/>
  <c r="C8" i="4"/>
  <c r="B8" i="4"/>
  <c r="C7" i="4"/>
  <c r="C10" i="4"/>
  <c r="W25" i="4"/>
  <c r="W26" i="4"/>
  <c r="X26" i="4"/>
  <c r="Y26" i="4"/>
  <c r="W33" i="4"/>
  <c r="W34" i="4"/>
  <c r="X34" i="4"/>
  <c r="Y34" i="4"/>
  <c r="W41" i="4"/>
  <c r="W42" i="4"/>
  <c r="X42" i="4"/>
  <c r="Y42" i="4"/>
  <c r="W46" i="4"/>
  <c r="W47" i="4"/>
  <c r="X47" i="4"/>
  <c r="Y47" i="4"/>
  <c r="W51" i="4"/>
  <c r="W52" i="4"/>
  <c r="X52" i="4"/>
  <c r="Y52" i="4"/>
  <c r="W59" i="4"/>
  <c r="W60" i="4"/>
  <c r="X60" i="4"/>
  <c r="Y60" i="4"/>
  <c r="W13" i="4"/>
  <c r="W14" i="4"/>
  <c r="X14" i="4"/>
  <c r="Y14" i="4"/>
  <c r="T25" i="4"/>
  <c r="T26" i="4"/>
  <c r="U26" i="4"/>
  <c r="V26" i="4"/>
  <c r="T33" i="4"/>
  <c r="T34" i="4"/>
  <c r="U34" i="4"/>
  <c r="V34" i="4"/>
  <c r="T41" i="4"/>
  <c r="T42" i="4"/>
  <c r="U42" i="4"/>
  <c r="V42" i="4"/>
  <c r="T46" i="4"/>
  <c r="T47" i="4"/>
  <c r="U47" i="4"/>
  <c r="V47" i="4"/>
  <c r="T51" i="4"/>
  <c r="T52" i="4"/>
  <c r="U52" i="4"/>
  <c r="V52" i="4"/>
  <c r="T59" i="4"/>
  <c r="T60" i="4"/>
  <c r="U60" i="4"/>
  <c r="V60" i="4"/>
  <c r="T13" i="4"/>
  <c r="T14" i="4"/>
  <c r="U14" i="4"/>
  <c r="V14" i="4"/>
  <c r="Q59" i="4"/>
  <c r="Q60" i="4"/>
  <c r="R60" i="4"/>
  <c r="S60" i="4"/>
  <c r="Q51" i="4"/>
  <c r="Q52" i="4"/>
  <c r="R52" i="4"/>
  <c r="S52" i="4"/>
  <c r="Q46" i="4"/>
  <c r="Q47" i="4"/>
  <c r="R47" i="4"/>
  <c r="S47" i="4"/>
  <c r="Q41" i="4"/>
  <c r="Q42" i="4"/>
  <c r="R42" i="4"/>
  <c r="S42" i="4"/>
  <c r="Q33" i="4"/>
  <c r="Q34" i="4"/>
  <c r="R34" i="4"/>
  <c r="S34" i="4"/>
  <c r="Q25" i="4"/>
  <c r="Q26" i="4"/>
  <c r="R26" i="4"/>
  <c r="S26" i="4"/>
  <c r="Q13" i="4"/>
  <c r="Q14" i="4"/>
  <c r="R14" i="4"/>
  <c r="S14" i="4"/>
  <c r="E13" i="4"/>
  <c r="E14" i="4"/>
  <c r="F14" i="4"/>
  <c r="G14" i="4"/>
  <c r="E25" i="4"/>
  <c r="E26" i="4"/>
  <c r="F26" i="4"/>
  <c r="G26" i="4"/>
  <c r="E33" i="4"/>
  <c r="E59" i="4"/>
  <c r="H59" i="4"/>
  <c r="K59" i="4"/>
  <c r="N59" i="4"/>
  <c r="E60" i="4"/>
  <c r="F60" i="4"/>
  <c r="G60" i="4"/>
  <c r="H60" i="4"/>
  <c r="I60" i="4"/>
  <c r="J60" i="4"/>
  <c r="K60" i="4"/>
  <c r="L60" i="4"/>
  <c r="M60" i="4"/>
  <c r="N60" i="4"/>
  <c r="O60" i="4"/>
  <c r="P60" i="4"/>
  <c r="C60" i="4"/>
  <c r="D60" i="4"/>
  <c r="B60" i="4"/>
  <c r="E51" i="4"/>
  <c r="H51" i="4"/>
  <c r="K51" i="4"/>
  <c r="N51" i="4"/>
  <c r="E52" i="4"/>
  <c r="F52" i="4"/>
  <c r="G52" i="4"/>
  <c r="H52" i="4"/>
  <c r="I52" i="4"/>
  <c r="J52" i="4"/>
  <c r="K52" i="4"/>
  <c r="L52" i="4"/>
  <c r="M52" i="4"/>
  <c r="N52" i="4"/>
  <c r="O52" i="4"/>
  <c r="P52" i="4"/>
  <c r="C52" i="4"/>
  <c r="D52" i="4"/>
  <c r="B52" i="4"/>
  <c r="E46" i="4"/>
  <c r="H46" i="4"/>
  <c r="K46" i="4"/>
  <c r="N46" i="4"/>
  <c r="E47" i="4"/>
  <c r="F47" i="4"/>
  <c r="G47" i="4"/>
  <c r="H47" i="4"/>
  <c r="I47" i="4"/>
  <c r="J47" i="4"/>
  <c r="K47" i="4"/>
  <c r="L47" i="4"/>
  <c r="M47" i="4"/>
  <c r="N47" i="4"/>
  <c r="O47" i="4"/>
  <c r="P47" i="4"/>
  <c r="C47" i="4"/>
  <c r="D47" i="4"/>
  <c r="B47" i="4"/>
  <c r="E41" i="4"/>
  <c r="H41" i="4"/>
  <c r="K41" i="4"/>
  <c r="N41" i="4"/>
  <c r="E42" i="4"/>
  <c r="F42" i="4"/>
  <c r="G42" i="4"/>
  <c r="H42" i="4"/>
  <c r="I42" i="4"/>
  <c r="J42" i="4"/>
  <c r="K42" i="4"/>
  <c r="L42" i="4"/>
  <c r="M42" i="4"/>
  <c r="N42" i="4"/>
  <c r="O42" i="4"/>
  <c r="P42" i="4"/>
  <c r="C42" i="4"/>
  <c r="D42" i="4"/>
  <c r="B42" i="4"/>
  <c r="H33" i="4"/>
  <c r="K33" i="4"/>
  <c r="N33" i="4"/>
  <c r="E34" i="4"/>
  <c r="F34" i="4"/>
  <c r="G34" i="4"/>
  <c r="H34" i="4"/>
  <c r="I34" i="4"/>
  <c r="J34" i="4"/>
  <c r="K34" i="4"/>
  <c r="L34" i="4"/>
  <c r="M34" i="4"/>
  <c r="N34" i="4"/>
  <c r="O34" i="4"/>
  <c r="P34" i="4"/>
  <c r="C34" i="4"/>
  <c r="D34" i="4"/>
  <c r="B34" i="4"/>
  <c r="H25" i="4"/>
  <c r="K25" i="4"/>
  <c r="N25" i="4"/>
  <c r="H26" i="4"/>
  <c r="I26" i="4"/>
  <c r="J26" i="4"/>
  <c r="K26" i="4"/>
  <c r="L26" i="4"/>
  <c r="M26" i="4"/>
  <c r="N26" i="4"/>
  <c r="O26" i="4"/>
  <c r="P26" i="4"/>
  <c r="C26" i="4"/>
  <c r="D26" i="4"/>
  <c r="B26" i="4"/>
  <c r="H14" i="4"/>
  <c r="I14" i="4"/>
  <c r="J14" i="4"/>
  <c r="K14" i="4"/>
  <c r="L14" i="4"/>
  <c r="M14" i="4"/>
  <c r="N14" i="4"/>
  <c r="O14" i="4"/>
  <c r="P14" i="4"/>
  <c r="C14" i="4"/>
  <c r="D14" i="4"/>
  <c r="B14" i="4"/>
  <c r="H13" i="4"/>
  <c r="K13" i="4"/>
  <c r="N13" i="4"/>
  <c r="B13" i="4"/>
  <c r="B59" i="4"/>
  <c r="B51" i="4"/>
  <c r="B46" i="4"/>
  <c r="B41" i="4"/>
  <c r="B33" i="4"/>
  <c r="B25" i="4"/>
  <c r="J9" i="7"/>
  <c r="J7" i="7"/>
  <c r="L29" i="7"/>
  <c r="L9" i="7"/>
  <c r="L7" i="7"/>
  <c r="L18" i="7"/>
  <c r="AB83" i="4"/>
  <c r="B78" i="9"/>
  <c r="AN83" i="4"/>
  <c r="E21" i="7"/>
  <c r="H30" i="6"/>
  <c r="H70" i="6"/>
  <c r="M55" i="6"/>
  <c r="Q28" i="6"/>
  <c r="AC56" i="4"/>
  <c r="L63" i="7"/>
  <c r="J28" i="6"/>
  <c r="K48" i="7"/>
  <c r="P9" i="6"/>
  <c r="K18" i="7"/>
  <c r="AE83" i="4"/>
  <c r="K7" i="6"/>
  <c r="D61" i="7"/>
  <c r="H54" i="7"/>
  <c r="H63" i="7"/>
  <c r="I17" i="7"/>
  <c r="I21" i="7"/>
  <c r="J48" i="7"/>
  <c r="Q18" i="6"/>
  <c r="N63" i="7"/>
  <c r="O20" i="6"/>
  <c r="L16" i="7"/>
  <c r="K36" i="6"/>
  <c r="N55" i="6"/>
  <c r="O54" i="7"/>
  <c r="Q62" i="7"/>
  <c r="G7" i="7"/>
  <c r="I9" i="7"/>
  <c r="H62" i="6"/>
  <c r="L17" i="7"/>
  <c r="L21" i="7"/>
  <c r="L30" i="7"/>
  <c r="L71" i="7"/>
  <c r="AU11" i="4"/>
  <c r="Q54" i="6"/>
  <c r="Q63" i="6"/>
  <c r="G38" i="6"/>
  <c r="E7" i="7"/>
  <c r="L16" i="6"/>
  <c r="L29" i="6"/>
  <c r="Q129" i="9"/>
  <c r="J55" i="7"/>
  <c r="H38" i="6"/>
  <c r="O48" i="7"/>
  <c r="L36" i="7"/>
  <c r="K9" i="7"/>
  <c r="M48" i="7"/>
  <c r="I17" i="6"/>
  <c r="I55" i="6"/>
  <c r="F27" i="7"/>
  <c r="O62" i="6"/>
  <c r="O21" i="6"/>
  <c r="C19" i="7"/>
  <c r="F37" i="6"/>
  <c r="F55" i="6"/>
  <c r="M10" i="4"/>
  <c r="M11" i="4"/>
  <c r="K20" i="6"/>
  <c r="K53" i="6"/>
  <c r="G62" i="7"/>
  <c r="C37" i="7"/>
  <c r="G37" i="7"/>
  <c r="J30" i="7"/>
  <c r="J70" i="7"/>
  <c r="J38" i="7"/>
  <c r="M129" i="9"/>
  <c r="K129" i="9"/>
  <c r="M37" i="7"/>
  <c r="O30" i="7"/>
  <c r="O71" i="7"/>
  <c r="S37" i="6"/>
  <c r="T37" i="7"/>
  <c r="F35" i="6"/>
  <c r="J35" i="6"/>
  <c r="L38" i="7"/>
  <c r="L53" i="7"/>
  <c r="AF56" i="4"/>
  <c r="G63" i="6"/>
  <c r="E29" i="7"/>
  <c r="M28" i="7"/>
  <c r="M15" i="6"/>
  <c r="M19" i="6"/>
  <c r="M36" i="6"/>
  <c r="K35" i="7"/>
  <c r="R36" i="6"/>
  <c r="Q9" i="7"/>
  <c r="L62" i="7"/>
  <c r="I15" i="7"/>
  <c r="K7" i="7"/>
  <c r="L8" i="7"/>
  <c r="C15" i="7"/>
  <c r="G36" i="6"/>
  <c r="M28" i="6"/>
  <c r="K63" i="7"/>
  <c r="B7" i="4"/>
  <c r="B10" i="4"/>
  <c r="U21" i="7"/>
  <c r="C55" i="7"/>
  <c r="C16" i="7"/>
  <c r="C20" i="7"/>
  <c r="C28" i="7"/>
  <c r="G37" i="6"/>
  <c r="H15" i="6"/>
  <c r="H28" i="6"/>
  <c r="I36" i="6"/>
  <c r="F16" i="7"/>
  <c r="K54" i="6"/>
  <c r="L53" i="6"/>
  <c r="L62" i="6"/>
  <c r="H35" i="6"/>
  <c r="O15" i="7"/>
  <c r="R7" i="7"/>
  <c r="R21" i="7"/>
  <c r="S61" i="7"/>
  <c r="BE10" i="4"/>
  <c r="U61" i="7"/>
  <c r="N36" i="7"/>
  <c r="N10" i="4"/>
  <c r="I28" i="7"/>
  <c r="K62" i="7"/>
  <c r="L20" i="7"/>
  <c r="C61" i="7"/>
  <c r="L63" i="6"/>
  <c r="I27" i="6"/>
  <c r="AM11" i="4"/>
  <c r="N19" i="7"/>
  <c r="H9" i="6"/>
  <c r="Q35" i="6"/>
  <c r="Q19" i="6"/>
  <c r="R15" i="6"/>
  <c r="L43" i="6"/>
  <c r="AT83" i="4"/>
  <c r="G53" i="6"/>
  <c r="C53" i="7"/>
  <c r="J48" i="6"/>
  <c r="F48" i="7"/>
  <c r="Y10" i="4"/>
  <c r="Y3" i="4"/>
  <c r="I18" i="6"/>
  <c r="M61" i="6"/>
  <c r="J61" i="7"/>
  <c r="H63" i="6"/>
  <c r="E63" i="7"/>
  <c r="J17" i="6"/>
  <c r="J21" i="6"/>
  <c r="F63" i="6"/>
  <c r="H15" i="7"/>
  <c r="K19" i="6"/>
  <c r="G19" i="6"/>
  <c r="G28" i="6"/>
  <c r="H28" i="7"/>
  <c r="G55" i="7"/>
  <c r="G62" i="6"/>
  <c r="D62" i="7"/>
  <c r="AK81" i="4"/>
  <c r="B80" i="9"/>
  <c r="C62" i="7"/>
  <c r="H61" i="7"/>
  <c r="F18" i="7"/>
  <c r="J61" i="6"/>
  <c r="F61" i="7"/>
  <c r="J17" i="7"/>
  <c r="K17" i="7"/>
  <c r="N21" i="6"/>
  <c r="K21" i="7"/>
  <c r="J21" i="7"/>
  <c r="K30" i="7"/>
  <c r="K70" i="7"/>
  <c r="J30" i="6"/>
  <c r="J70" i="6"/>
  <c r="N54" i="6"/>
  <c r="K54" i="7"/>
  <c r="N63" i="6"/>
  <c r="L129" i="9"/>
  <c r="I129" i="9"/>
  <c r="AK10" i="4"/>
  <c r="AK4" i="4"/>
  <c r="M8" i="7"/>
  <c r="N17" i="7"/>
  <c r="Q21" i="6"/>
  <c r="N21" i="7"/>
  <c r="Q30" i="6"/>
  <c r="M38" i="6"/>
  <c r="M38" i="7"/>
  <c r="U27" i="6"/>
  <c r="Q27" i="6"/>
  <c r="V56" i="4"/>
  <c r="E17" i="7"/>
  <c r="I7" i="7"/>
  <c r="I53" i="7"/>
  <c r="K27" i="7"/>
  <c r="H53" i="6"/>
  <c r="E16" i="7"/>
  <c r="K62" i="6"/>
  <c r="L38" i="6"/>
  <c r="F36" i="7"/>
  <c r="D37" i="7"/>
  <c r="L30" i="6"/>
  <c r="L71" i="6"/>
  <c r="I30" i="6"/>
  <c r="I70" i="6"/>
  <c r="E30" i="7"/>
  <c r="E69" i="7"/>
  <c r="N28" i="7"/>
  <c r="AV10" i="4"/>
  <c r="M7" i="6"/>
  <c r="AI56" i="4"/>
  <c r="M55" i="7"/>
  <c r="U15" i="6"/>
  <c r="R35" i="7"/>
  <c r="O48" i="6"/>
  <c r="O61" i="7"/>
  <c r="R9" i="7"/>
  <c r="AZ56" i="4"/>
  <c r="V36" i="6"/>
  <c r="T20" i="6"/>
  <c r="T37" i="6"/>
  <c r="P37" i="7"/>
  <c r="T55" i="6"/>
  <c r="K16" i="6"/>
  <c r="L17" i="6"/>
  <c r="L21" i="6"/>
  <c r="V83" i="4"/>
  <c r="O10" i="4"/>
  <c r="L10" i="4"/>
  <c r="C30" i="7"/>
  <c r="I62" i="7"/>
  <c r="F21" i="6"/>
  <c r="H17" i="6"/>
  <c r="H21" i="6"/>
  <c r="J7" i="6"/>
  <c r="K63" i="6"/>
  <c r="L37" i="6"/>
  <c r="H37" i="7"/>
  <c r="N7" i="6"/>
  <c r="N54" i="7"/>
  <c r="O28" i="7"/>
  <c r="O9" i="7"/>
  <c r="O9" i="6"/>
  <c r="S17" i="6"/>
  <c r="S36" i="6"/>
  <c r="O8" i="7"/>
  <c r="N8" i="7"/>
  <c r="N48" i="7"/>
  <c r="R61" i="6"/>
  <c r="N61" i="7"/>
  <c r="Q55" i="6"/>
  <c r="U55" i="6"/>
  <c r="F35" i="7"/>
  <c r="E38" i="7"/>
  <c r="M63" i="6"/>
  <c r="AK83" i="4"/>
  <c r="N8" i="6"/>
  <c r="J18" i="7"/>
  <c r="J27" i="7"/>
  <c r="J35" i="7"/>
  <c r="B77" i="9"/>
  <c r="O29" i="6"/>
  <c r="Q15" i="6"/>
  <c r="R63" i="6"/>
  <c r="R30" i="7"/>
  <c r="R62" i="7"/>
  <c r="S8" i="6"/>
  <c r="S20" i="6"/>
  <c r="S16" i="6"/>
  <c r="BF83" i="4"/>
  <c r="T9" i="6"/>
  <c r="U15" i="7"/>
  <c r="U48" i="7"/>
  <c r="N19" i="6"/>
  <c r="N48" i="6"/>
  <c r="N61" i="6"/>
  <c r="AW83" i="4"/>
  <c r="R54" i="7"/>
  <c r="O54" i="6"/>
  <c r="BB11" i="4"/>
  <c r="BD11" i="4"/>
  <c r="U17" i="7"/>
  <c r="AZ83" i="4"/>
  <c r="N43" i="7"/>
  <c r="BI90" i="4"/>
  <c r="I43" i="6"/>
  <c r="BF95" i="4"/>
  <c r="F43" i="7"/>
  <c r="AQ83" i="4"/>
  <c r="BC83" i="4"/>
  <c r="C21" i="7"/>
  <c r="C17" i="7"/>
  <c r="C29" i="7"/>
  <c r="D16" i="7"/>
  <c r="D54" i="7"/>
  <c r="E15" i="7"/>
  <c r="G8" i="7"/>
  <c r="G17" i="7"/>
  <c r="I43" i="7"/>
  <c r="I55" i="7"/>
  <c r="H43" i="6"/>
  <c r="H55" i="6"/>
  <c r="L35" i="6"/>
  <c r="M7" i="7"/>
  <c r="I35" i="7"/>
  <c r="M48" i="6"/>
  <c r="I48" i="6"/>
  <c r="AH81" i="4"/>
  <c r="B79" i="9"/>
  <c r="T43" i="6"/>
  <c r="W55" i="6"/>
  <c r="T55" i="7"/>
  <c r="S55" i="7"/>
  <c r="BA56" i="4"/>
  <c r="Q15" i="7"/>
  <c r="P15" i="7"/>
  <c r="P15" i="6"/>
  <c r="Q17" i="7"/>
  <c r="T17" i="6"/>
  <c r="Q19" i="7"/>
  <c r="P19" i="6"/>
  <c r="P21" i="7"/>
  <c r="Q28" i="7"/>
  <c r="P28" i="7"/>
  <c r="Q30" i="7"/>
  <c r="Q71" i="7"/>
  <c r="P30" i="7"/>
  <c r="P71" i="7"/>
  <c r="P36" i="7"/>
  <c r="P38" i="7"/>
  <c r="P48" i="7"/>
  <c r="Q48" i="7"/>
  <c r="P48" i="6"/>
  <c r="P54" i="7"/>
  <c r="P54" i="6"/>
  <c r="T61" i="6"/>
  <c r="P61" i="7"/>
  <c r="T63" i="6"/>
  <c r="P63" i="7"/>
  <c r="Q63" i="7"/>
  <c r="P63" i="6"/>
  <c r="M56" i="4"/>
  <c r="D8" i="7"/>
  <c r="D17" i="7"/>
  <c r="D21" i="7"/>
  <c r="D55" i="7"/>
  <c r="F15" i="7"/>
  <c r="G18" i="7"/>
  <c r="G27" i="7"/>
  <c r="H53" i="7"/>
  <c r="H62" i="7"/>
  <c r="I27" i="7"/>
  <c r="J8" i="7"/>
  <c r="F36" i="6"/>
  <c r="G16" i="6"/>
  <c r="G20" i="6"/>
  <c r="G27" i="6"/>
  <c r="G29" i="6"/>
  <c r="I8" i="6"/>
  <c r="I38" i="6"/>
  <c r="I61" i="6"/>
  <c r="J8" i="6"/>
  <c r="V10" i="4"/>
  <c r="V2" i="4"/>
  <c r="H8" i="6"/>
  <c r="E35" i="7"/>
  <c r="M18" i="6"/>
  <c r="M27" i="6"/>
  <c r="M35" i="6"/>
  <c r="X10" i="4"/>
  <c r="S83" i="4"/>
  <c r="Y83" i="4"/>
  <c r="K38" i="7"/>
  <c r="O37" i="6"/>
  <c r="K37" i="7"/>
  <c r="O63" i="6"/>
  <c r="AO11" i="4"/>
  <c r="K28" i="6"/>
  <c r="P29" i="7"/>
  <c r="R18" i="6"/>
  <c r="O18" i="7"/>
  <c r="N18" i="6"/>
  <c r="N27" i="6"/>
  <c r="O35" i="7"/>
  <c r="N35" i="6"/>
  <c r="T19" i="6"/>
  <c r="S10" i="4"/>
  <c r="S3" i="4"/>
  <c r="K8" i="6"/>
  <c r="AN81" i="4"/>
  <c r="B81" i="9"/>
  <c r="AH10" i="4"/>
  <c r="AH2" i="4"/>
  <c r="AH56" i="4"/>
  <c r="L7" i="6"/>
  <c r="W38" i="6"/>
  <c r="T38" i="7"/>
  <c r="S53" i="6"/>
  <c r="T62" i="7"/>
  <c r="P8" i="7"/>
  <c r="AS11" i="4"/>
  <c r="X8" i="6"/>
  <c r="T8" i="7"/>
  <c r="U8" i="7"/>
  <c r="T16" i="6"/>
  <c r="P16" i="6"/>
  <c r="T18" i="6"/>
  <c r="P18" i="7"/>
  <c r="P18" i="6"/>
  <c r="Q18" i="7"/>
  <c r="T27" i="6"/>
  <c r="Q27" i="7"/>
  <c r="T35" i="6"/>
  <c r="P35" i="7"/>
  <c r="Q35" i="7"/>
  <c r="T53" i="6"/>
  <c r="P53" i="6"/>
  <c r="P55" i="7"/>
  <c r="P55" i="6"/>
  <c r="AR56" i="4"/>
  <c r="T62" i="6"/>
  <c r="P62" i="6"/>
  <c r="AG10" i="4"/>
  <c r="AC11" i="4"/>
  <c r="C54" i="7"/>
  <c r="C63" i="7"/>
  <c r="D15" i="7"/>
  <c r="D19" i="7"/>
  <c r="D28" i="7"/>
  <c r="F17" i="7"/>
  <c r="F21" i="7"/>
  <c r="F55" i="7"/>
  <c r="H16" i="7"/>
  <c r="H20" i="7"/>
  <c r="H29" i="7"/>
  <c r="H55" i="7"/>
  <c r="I16" i="7"/>
  <c r="I20" i="7"/>
  <c r="I29" i="7"/>
  <c r="I54" i="7"/>
  <c r="I63" i="7"/>
  <c r="I35" i="6"/>
  <c r="F48" i="6"/>
  <c r="F61" i="6"/>
  <c r="G35" i="7"/>
  <c r="I37" i="7"/>
  <c r="M8" i="6"/>
  <c r="M16" i="6"/>
  <c r="M20" i="6"/>
  <c r="M29" i="6"/>
  <c r="M37" i="6"/>
  <c r="AH83" i="4"/>
  <c r="J36" i="6"/>
  <c r="B76" i="9"/>
  <c r="L35" i="7"/>
  <c r="O53" i="6"/>
  <c r="AT56" i="4"/>
  <c r="K30" i="6"/>
  <c r="K70" i="6"/>
  <c r="P16" i="7"/>
  <c r="P53" i="7"/>
  <c r="AB10" i="4"/>
  <c r="AB3" i="4"/>
  <c r="Q16" i="7"/>
  <c r="Q54" i="7"/>
  <c r="R16" i="6"/>
  <c r="O16" i="7"/>
  <c r="N16" i="6"/>
  <c r="R20" i="6"/>
  <c r="O20" i="7"/>
  <c r="N20" i="6"/>
  <c r="O29" i="7"/>
  <c r="N29" i="6"/>
  <c r="O37" i="7"/>
  <c r="N37" i="6"/>
  <c r="T36" i="6"/>
  <c r="V43" i="7"/>
  <c r="F15" i="6"/>
  <c r="F19" i="6"/>
  <c r="F28" i="6"/>
  <c r="G61" i="6"/>
  <c r="H16" i="6"/>
  <c r="H20" i="6"/>
  <c r="H29" i="6"/>
  <c r="I54" i="6"/>
  <c r="I63" i="6"/>
  <c r="P10" i="4"/>
  <c r="F10" i="7"/>
  <c r="J18" i="6"/>
  <c r="J27" i="6"/>
  <c r="C36" i="7"/>
  <c r="G36" i="7"/>
  <c r="D38" i="7"/>
  <c r="I38" i="7"/>
  <c r="I30" i="7"/>
  <c r="I70" i="7"/>
  <c r="AB95" i="4"/>
  <c r="AP10" i="4"/>
  <c r="O7" i="6"/>
  <c r="P27" i="6"/>
  <c r="P35" i="6"/>
  <c r="P43" i="6"/>
  <c r="G129" i="9"/>
  <c r="Q8" i="6"/>
  <c r="AZ81" i="4"/>
  <c r="AZ95" i="4"/>
  <c r="R53" i="7"/>
  <c r="Q53" i="7"/>
  <c r="AY10" i="4"/>
  <c r="AQ10" i="4"/>
  <c r="P129" i="9"/>
  <c r="P133" i="9"/>
  <c r="S30" i="6"/>
  <c r="O30" i="6"/>
  <c r="O71" i="6"/>
  <c r="S21" i="7"/>
  <c r="V21" i="6"/>
  <c r="R21" i="6"/>
  <c r="S17" i="7"/>
  <c r="V17" i="6"/>
  <c r="R17" i="6"/>
  <c r="S29" i="7"/>
  <c r="V29" i="6"/>
  <c r="R29" i="6"/>
  <c r="S37" i="7"/>
  <c r="V37" i="6"/>
  <c r="R37" i="6"/>
  <c r="BB10" i="4"/>
  <c r="T9" i="7"/>
  <c r="W9" i="6"/>
  <c r="T16" i="7"/>
  <c r="W16" i="6"/>
  <c r="T20" i="7"/>
  <c r="W20" i="6"/>
  <c r="T29" i="7"/>
  <c r="W29" i="6"/>
  <c r="W48" i="6"/>
  <c r="T48" i="7"/>
  <c r="S48" i="6"/>
  <c r="W61" i="6"/>
  <c r="T61" i="7"/>
  <c r="U62" i="6"/>
  <c r="E36" i="7"/>
  <c r="F38" i="7"/>
  <c r="F30" i="7"/>
  <c r="F69" i="7"/>
  <c r="P20" i="6"/>
  <c r="P29" i="6"/>
  <c r="P37" i="6"/>
  <c r="R8" i="7"/>
  <c r="Q8" i="7"/>
  <c r="R55" i="7"/>
  <c r="Q55" i="7"/>
  <c r="AW56" i="4"/>
  <c r="S28" i="6"/>
  <c r="O28" i="6"/>
  <c r="S38" i="6"/>
  <c r="S8" i="7"/>
  <c r="S27" i="7"/>
  <c r="R27" i="6"/>
  <c r="V27" i="6"/>
  <c r="R35" i="6"/>
  <c r="S63" i="7"/>
  <c r="V63" i="6"/>
  <c r="W18" i="6"/>
  <c r="W35" i="6"/>
  <c r="W54" i="6"/>
  <c r="S54" i="6"/>
  <c r="T54" i="7"/>
  <c r="W63" i="6"/>
  <c r="T63" i="7"/>
  <c r="U53" i="6"/>
  <c r="P21" i="6"/>
  <c r="P30" i="6"/>
  <c r="P38" i="6"/>
  <c r="D129" i="9"/>
  <c r="R63" i="7"/>
  <c r="S9" i="6"/>
  <c r="S29" i="6"/>
  <c r="S61" i="6"/>
  <c r="S30" i="7"/>
  <c r="V30" i="6"/>
  <c r="S38" i="7"/>
  <c r="V38" i="6"/>
  <c r="S62" i="7"/>
  <c r="V62" i="6"/>
  <c r="T17" i="7"/>
  <c r="W17" i="6"/>
  <c r="T21" i="7"/>
  <c r="W21" i="6"/>
  <c r="T30" i="7"/>
  <c r="W30" i="6"/>
  <c r="AR10" i="4"/>
  <c r="U9" i="7"/>
  <c r="U18" i="7"/>
  <c r="U27" i="7"/>
  <c r="U35" i="7"/>
  <c r="U53" i="7"/>
  <c r="U62" i="7"/>
  <c r="V28" i="6"/>
  <c r="P28" i="6"/>
  <c r="P36" i="6"/>
  <c r="R43" i="6"/>
  <c r="S20" i="7"/>
  <c r="V20" i="6"/>
  <c r="S16" i="7"/>
  <c r="V16" i="6"/>
  <c r="T15" i="7"/>
  <c r="W15" i="6"/>
  <c r="T19" i="7"/>
  <c r="W19" i="6"/>
  <c r="T28" i="7"/>
  <c r="W28" i="6"/>
  <c r="T36" i="7"/>
  <c r="W36" i="6"/>
  <c r="AT10" i="4"/>
  <c r="U54" i="6"/>
  <c r="U63" i="6"/>
  <c r="U7" i="7"/>
  <c r="U16" i="7"/>
  <c r="U20" i="7"/>
  <c r="U29" i="7"/>
  <c r="U55" i="7"/>
  <c r="U37" i="7"/>
  <c r="V15" i="6"/>
  <c r="U43" i="6"/>
  <c r="BI83" i="4"/>
  <c r="K43" i="6"/>
  <c r="H43" i="7"/>
  <c r="G43" i="7"/>
  <c r="N43" i="6"/>
  <c r="J43" i="6"/>
  <c r="K43" i="7"/>
  <c r="J43" i="7"/>
  <c r="V81" i="4"/>
  <c r="AB96" i="4"/>
  <c r="AN95" i="4"/>
  <c r="Q43" i="7"/>
  <c r="H36" i="7"/>
  <c r="H38" i="7"/>
  <c r="G30" i="7"/>
  <c r="G69" i="7"/>
  <c r="S43" i="6"/>
  <c r="R9" i="6"/>
  <c r="T7" i="7"/>
  <c r="M3" i="4"/>
  <c r="M2" i="4"/>
  <c r="M4" i="4"/>
  <c r="M133" i="9"/>
  <c r="J10" i="6"/>
  <c r="AN96" i="4"/>
  <c r="S11" i="4"/>
  <c r="S2" i="4"/>
  <c r="AQ4" i="4"/>
  <c r="AB4" i="4"/>
  <c r="FA90" i="4"/>
  <c r="U20" i="6"/>
  <c r="Q20" i="6"/>
  <c r="I19" i="6"/>
  <c r="E19" i="7"/>
  <c r="F19" i="7"/>
  <c r="I28" i="6"/>
  <c r="E28" i="7"/>
  <c r="F28" i="7"/>
  <c r="F54" i="7"/>
  <c r="J54" i="6"/>
  <c r="G54" i="7"/>
  <c r="F63" i="7"/>
  <c r="J63" i="6"/>
  <c r="G63" i="7"/>
  <c r="K17" i="6"/>
  <c r="G17" i="6"/>
  <c r="H17" i="7"/>
  <c r="H21" i="7"/>
  <c r="K21" i="6"/>
  <c r="G21" i="7"/>
  <c r="G21" i="6"/>
  <c r="I8" i="7"/>
  <c r="L8" i="6"/>
  <c r="H8" i="7"/>
  <c r="H18" i="7"/>
  <c r="H18" i="6"/>
  <c r="H27" i="6"/>
  <c r="H27" i="7"/>
  <c r="L27" i="6"/>
  <c r="H48" i="6"/>
  <c r="I37" i="6"/>
  <c r="J20" i="7"/>
  <c r="J53" i="6"/>
  <c r="J53" i="7"/>
  <c r="L55" i="7"/>
  <c r="O55" i="6"/>
  <c r="K15" i="6"/>
  <c r="O15" i="6"/>
  <c r="L15" i="7"/>
  <c r="M15" i="7"/>
  <c r="L19" i="7"/>
  <c r="M19" i="7"/>
  <c r="L28" i="7"/>
  <c r="L28" i="6"/>
  <c r="L48" i="7"/>
  <c r="L48" i="6"/>
  <c r="L61" i="6"/>
  <c r="M61" i="7"/>
  <c r="L61" i="7"/>
  <c r="P61" i="6"/>
  <c r="C7" i="7"/>
  <c r="D7" i="7"/>
  <c r="G56" i="4"/>
  <c r="G9" i="7"/>
  <c r="G9" i="6"/>
  <c r="F9" i="7"/>
  <c r="F9" i="6"/>
  <c r="J9" i="6"/>
  <c r="N9" i="7"/>
  <c r="N129" i="9"/>
  <c r="M16" i="7"/>
  <c r="Q16" i="6"/>
  <c r="N16" i="7"/>
  <c r="N20" i="7"/>
  <c r="M20" i="7"/>
  <c r="M29" i="7"/>
  <c r="N29" i="7"/>
  <c r="M53" i="6"/>
  <c r="M53" i="7"/>
  <c r="Q53" i="6"/>
  <c r="M62" i="6"/>
  <c r="M62" i="7"/>
  <c r="Q62" i="6"/>
  <c r="N55" i="7"/>
  <c r="R55" i="6"/>
  <c r="AW10" i="4"/>
  <c r="U8" i="6"/>
  <c r="X54" i="6"/>
  <c r="T54" i="6"/>
  <c r="U54" i="7"/>
  <c r="Y9" i="6"/>
  <c r="U9" i="6"/>
  <c r="V62" i="7"/>
  <c r="AD7" i="7"/>
  <c r="AC7" i="6"/>
  <c r="CE11" i="4"/>
  <c r="AG16" i="6"/>
  <c r="AF16" i="6"/>
  <c r="AD16" i="7"/>
  <c r="AF20" i="6"/>
  <c r="AG20" i="6"/>
  <c r="AD20" i="7"/>
  <c r="AD29" i="7"/>
  <c r="AB29" i="6"/>
  <c r="AC53" i="7"/>
  <c r="AD53" i="7"/>
  <c r="AF62" i="6"/>
  <c r="AD62" i="7"/>
  <c r="T10" i="4"/>
  <c r="AM48" i="6"/>
  <c r="AI48" i="7"/>
  <c r="AI48" i="6"/>
  <c r="AM61" i="6"/>
  <c r="AI61" i="6"/>
  <c r="AN17" i="6"/>
  <c r="AN17" i="7"/>
  <c r="AS35" i="6"/>
  <c r="BA53" i="6"/>
  <c r="AW53" i="7"/>
  <c r="BA62" i="6"/>
  <c r="AW62" i="7"/>
  <c r="BA7" i="7"/>
  <c r="BD7" i="6"/>
  <c r="BD29" i="6"/>
  <c r="AZ29" i="7"/>
  <c r="BD63" i="6"/>
  <c r="EX64" i="4"/>
  <c r="Q29" i="6"/>
  <c r="R29" i="7"/>
  <c r="P3" i="4"/>
  <c r="I10" i="6"/>
  <c r="Q29" i="7"/>
  <c r="Q20" i="7"/>
  <c r="AT11" i="4"/>
  <c r="S4" i="4"/>
  <c r="R20" i="7"/>
  <c r="S15" i="7"/>
  <c r="S15" i="6"/>
  <c r="X7" i="6"/>
  <c r="T7" i="6"/>
  <c r="BF10" i="4"/>
  <c r="AE8" i="7"/>
  <c r="AH8" i="6"/>
  <c r="AD8" i="6"/>
  <c r="AF15" i="7"/>
  <c r="AK15" i="6"/>
  <c r="AG15" i="6"/>
  <c r="AK19" i="6"/>
  <c r="AF19" i="7"/>
  <c r="AF29" i="7"/>
  <c r="AF29" i="6"/>
  <c r="AG29" i="6"/>
  <c r="AG29" i="7"/>
  <c r="AF37" i="6"/>
  <c r="AG37" i="6"/>
  <c r="CN44" i="4"/>
  <c r="CQ44" i="4"/>
  <c r="AG53" i="7"/>
  <c r="AF53" i="7"/>
  <c r="AG53" i="6"/>
  <c r="CN56" i="4"/>
  <c r="CQ56" i="4"/>
  <c r="Y63" i="7"/>
  <c r="Y63" i="6"/>
  <c r="CA56" i="4"/>
  <c r="L10" i="6"/>
  <c r="Y2" i="4"/>
  <c r="AB11" i="4"/>
  <c r="Y4" i="4"/>
  <c r="AK3" i="4"/>
  <c r="G48" i="6"/>
  <c r="J37" i="7"/>
  <c r="G18" i="6"/>
  <c r="J54" i="7"/>
  <c r="D48" i="7"/>
  <c r="R36" i="7"/>
  <c r="Q36" i="6"/>
  <c r="Q36" i="7"/>
  <c r="Q61" i="7"/>
  <c r="Q61" i="6"/>
  <c r="P9" i="7"/>
  <c r="AP11" i="4"/>
  <c r="S21" i="6"/>
  <c r="O21" i="7"/>
  <c r="O17" i="6"/>
  <c r="O17" i="7"/>
  <c r="O36" i="7"/>
  <c r="O36" i="6"/>
  <c r="V18" i="6"/>
  <c r="R18" i="7"/>
  <c r="V48" i="6"/>
  <c r="R48" i="6"/>
  <c r="S48" i="7"/>
  <c r="V63" i="7"/>
  <c r="AD38" i="6"/>
  <c r="Z38" i="6"/>
  <c r="CE44" i="4"/>
  <c r="AC16" i="7"/>
  <c r="AK74" i="6"/>
  <c r="DE76" i="4"/>
  <c r="AO74" i="6"/>
  <c r="AT48" i="6"/>
  <c r="AP48" i="6"/>
  <c r="AT61" i="6"/>
  <c r="AP61" i="7"/>
  <c r="F10" i="4"/>
  <c r="Q10" i="4"/>
  <c r="L15" i="6"/>
  <c r="K16" i="7"/>
  <c r="K20" i="7"/>
  <c r="K29" i="6"/>
  <c r="L20" i="6"/>
  <c r="S62" i="6"/>
  <c r="BH10" i="4"/>
  <c r="X9" i="7"/>
  <c r="X27" i="7"/>
  <c r="AA35" i="6"/>
  <c r="AA43" i="6"/>
  <c r="AC20" i="6"/>
  <c r="AC37" i="6"/>
  <c r="AD54" i="6"/>
  <c r="AD63" i="6"/>
  <c r="AA38" i="7"/>
  <c r="AF27" i="6"/>
  <c r="AC54" i="7"/>
  <c r="AF15" i="6"/>
  <c r="AB28" i="6"/>
  <c r="AL27" i="7"/>
  <c r="AL53" i="7"/>
  <c r="AK53" i="6"/>
  <c r="AL62" i="7"/>
  <c r="AO62" i="6"/>
  <c r="AP15" i="6"/>
  <c r="AL15" i="6"/>
  <c r="AL15" i="7"/>
  <c r="AR8" i="6"/>
  <c r="AP8" i="7"/>
  <c r="AS8" i="6"/>
  <c r="AP30" i="7"/>
  <c r="AO30" i="7"/>
  <c r="AU7" i="7"/>
  <c r="AT7" i="7"/>
  <c r="AX7" i="6"/>
  <c r="AX36" i="7"/>
  <c r="AW36" i="6"/>
  <c r="BC30" i="6"/>
  <c r="AZ30" i="7"/>
  <c r="AY30" i="7"/>
  <c r="BC63" i="6"/>
  <c r="AY63" i="6"/>
  <c r="Z10" i="4"/>
  <c r="AA10" i="4"/>
  <c r="E55" i="7"/>
  <c r="K53" i="7"/>
  <c r="R38" i="7"/>
  <c r="T53" i="7"/>
  <c r="W36" i="7"/>
  <c r="BP11" i="4"/>
  <c r="BP56" i="4"/>
  <c r="AA27" i="7"/>
  <c r="Z36" i="6"/>
  <c r="AB7" i="7"/>
  <c r="AB16" i="7"/>
  <c r="AB20" i="7"/>
  <c r="AB29" i="7"/>
  <c r="BY56" i="4"/>
  <c r="AJ48" i="7"/>
  <c r="AJ61" i="7"/>
  <c r="AP61" i="6"/>
  <c r="AY17" i="6"/>
  <c r="AV17" i="7"/>
  <c r="AY37" i="6"/>
  <c r="AU37" i="6"/>
  <c r="AZ63" i="6"/>
  <c r="EL64" i="4"/>
  <c r="BA7" i="6"/>
  <c r="EO10" i="4"/>
  <c r="AW7" i="7"/>
  <c r="AX7" i="7"/>
  <c r="AX16" i="7"/>
  <c r="AW16" i="7"/>
  <c r="EQ44" i="4"/>
  <c r="AX37" i="7"/>
  <c r="AY37" i="7"/>
  <c r="BA37" i="6"/>
  <c r="J62" i="6"/>
  <c r="K15" i="7"/>
  <c r="K38" i="6"/>
  <c r="V19" i="6"/>
  <c r="V37" i="7"/>
  <c r="BK11" i="4"/>
  <c r="W9" i="7"/>
  <c r="V15" i="7"/>
  <c r="BG56" i="4"/>
  <c r="BQ10" i="4"/>
  <c r="BR10" i="4"/>
  <c r="AE7" i="6"/>
  <c r="AG35" i="6"/>
  <c r="AF9" i="6"/>
  <c r="AJ21" i="6"/>
  <c r="AJ30" i="6"/>
  <c r="AF7" i="6"/>
  <c r="DH72" i="4"/>
  <c r="AR18" i="6"/>
  <c r="AN18" i="6"/>
  <c r="AR17" i="6"/>
  <c r="AV63" i="6"/>
  <c r="AR63" i="7"/>
  <c r="BA38" i="6"/>
  <c r="AW38" i="7"/>
  <c r="BC18" i="6"/>
  <c r="AY18" i="7"/>
  <c r="AI9" i="6"/>
  <c r="AI27" i="6"/>
  <c r="AE35" i="6"/>
  <c r="AL27" i="6"/>
  <c r="AI35" i="7"/>
  <c r="AP21" i="6"/>
  <c r="AP30" i="6"/>
  <c r="AP38" i="6"/>
  <c r="DI10" i="4"/>
  <c r="AM19" i="7"/>
  <c r="AN27" i="6"/>
  <c r="AS21" i="6"/>
  <c r="AP35" i="7"/>
  <c r="AP48" i="7"/>
  <c r="AQ28" i="7"/>
  <c r="AQ36" i="7"/>
  <c r="AQ43" i="7"/>
  <c r="AU62" i="6"/>
  <c r="DY10" i="4"/>
  <c r="AV9" i="6"/>
  <c r="EA56" i="4"/>
  <c r="AW67" i="6"/>
  <c r="EF76" i="4"/>
  <c r="AX61" i="6"/>
  <c r="AX71" i="6"/>
  <c r="AY74" i="6"/>
  <c r="AY29" i="6"/>
  <c r="EK56" i="4"/>
  <c r="AW55" i="7"/>
  <c r="EO76" i="4"/>
  <c r="BA15" i="6"/>
  <c r="BA48" i="6"/>
  <c r="ET10" i="4"/>
  <c r="BA38" i="7"/>
  <c r="BD38" i="6"/>
  <c r="BD10" i="7"/>
  <c r="AF16" i="7"/>
  <c r="AG19" i="7"/>
  <c r="AJ48" i="6"/>
  <c r="AJ61" i="6"/>
  <c r="AM54" i="6"/>
  <c r="AN16" i="6"/>
  <c r="AO28" i="6"/>
  <c r="AK43" i="7"/>
  <c r="AK55" i="7"/>
  <c r="AM21" i="7"/>
  <c r="AM29" i="7"/>
  <c r="AM54" i="7"/>
  <c r="AR21" i="6"/>
  <c r="AO35" i="7"/>
  <c r="DN90" i="4"/>
  <c r="AT28" i="7"/>
  <c r="EF56" i="4"/>
  <c r="AZ7" i="6"/>
  <c r="AV54" i="6"/>
  <c r="AX30" i="7"/>
  <c r="ET56" i="4"/>
  <c r="AX28" i="6"/>
  <c r="AJ9" i="6"/>
  <c r="AN62" i="6"/>
  <c r="AO71" i="6"/>
  <c r="DH31" i="4"/>
  <c r="DF10" i="4"/>
  <c r="DF11" i="4"/>
  <c r="AQ74" i="6"/>
  <c r="AP38" i="7"/>
  <c r="DS10" i="4"/>
  <c r="DS56" i="4"/>
  <c r="AU53" i="6"/>
  <c r="AV30" i="7"/>
  <c r="AV38" i="7"/>
  <c r="BA37" i="7"/>
  <c r="BD37" i="6"/>
  <c r="EX76" i="4"/>
  <c r="BD74" i="6"/>
  <c r="BA20" i="7"/>
  <c r="BD20" i="6"/>
  <c r="AD37" i="6"/>
  <c r="Z37" i="6"/>
  <c r="BC7" i="6"/>
  <c r="AY7" i="7"/>
  <c r="AY7" i="6"/>
  <c r="AZ15" i="7"/>
  <c r="AY15" i="6"/>
  <c r="P11" i="4"/>
  <c r="I10" i="7"/>
  <c r="P10" i="6"/>
  <c r="AK2" i="4"/>
  <c r="M10" i="6"/>
  <c r="Y11" i="4"/>
  <c r="I18" i="7"/>
  <c r="Q9" i="6"/>
  <c r="G55" i="6"/>
  <c r="I133" i="9"/>
  <c r="D9" i="7"/>
  <c r="D56" i="4"/>
  <c r="C9" i="7"/>
  <c r="H7" i="7"/>
  <c r="H129" i="9"/>
  <c r="G7" i="6"/>
  <c r="F7" i="7"/>
  <c r="P56" i="4"/>
  <c r="I7" i="6"/>
  <c r="F129" i="9"/>
  <c r="O16" i="6"/>
  <c r="O38" i="6"/>
  <c r="O38" i="7"/>
  <c r="O55" i="7"/>
  <c r="V7" i="6"/>
  <c r="AX11" i="4"/>
  <c r="Y48" i="6"/>
  <c r="Z18" i="7"/>
  <c r="AD18" i="6"/>
  <c r="AE17" i="6"/>
  <c r="AA17" i="7"/>
  <c r="AE21" i="6"/>
  <c r="AA21" i="7"/>
  <c r="AB54" i="7"/>
  <c r="AE54" i="6"/>
  <c r="AA54" i="7"/>
  <c r="AE63" i="6"/>
  <c r="AB63" i="7"/>
  <c r="AA63" i="7"/>
  <c r="CM56" i="4"/>
  <c r="I10" i="4"/>
  <c r="AX17" i="6"/>
  <c r="AT17" i="7"/>
  <c r="AT17" i="6"/>
  <c r="AX21" i="6"/>
  <c r="AT21" i="6"/>
  <c r="AU21" i="7"/>
  <c r="AX37" i="6"/>
  <c r="AU37" i="7"/>
  <c r="AU53" i="7"/>
  <c r="AT53" i="6"/>
  <c r="AX53" i="6"/>
  <c r="AT67" i="6"/>
  <c r="AX67" i="6"/>
  <c r="J10" i="4"/>
  <c r="AI11" i="4"/>
  <c r="E54" i="7"/>
  <c r="H54" i="6"/>
  <c r="F8" i="7"/>
  <c r="F8" i="6"/>
  <c r="X55" i="6"/>
  <c r="BF56" i="4"/>
  <c r="BD56" i="4"/>
  <c r="AA16" i="6"/>
  <c r="X16" i="7"/>
  <c r="X28" i="7"/>
  <c r="W28" i="7"/>
  <c r="AA48" i="6"/>
  <c r="W48" i="7"/>
  <c r="AA61" i="6"/>
  <c r="W61" i="7"/>
  <c r="AB18" i="6"/>
  <c r="X18" i="7"/>
  <c r="X18" i="6"/>
  <c r="AG19" i="6"/>
  <c r="AF19" i="6"/>
  <c r="AB19" i="6"/>
  <c r="AG36" i="6"/>
  <c r="AF36" i="6"/>
  <c r="AC61" i="7"/>
  <c r="AB61" i="7"/>
  <c r="AM43" i="6"/>
  <c r="AI43" i="7"/>
  <c r="AQ36" i="6"/>
  <c r="AM36" i="7"/>
  <c r="AM36" i="6"/>
  <c r="AS53" i="7"/>
  <c r="AS53" i="6"/>
  <c r="G10" i="7"/>
  <c r="P10" i="7"/>
  <c r="Q10" i="7"/>
  <c r="V3" i="4"/>
  <c r="P4" i="4"/>
  <c r="AK11" i="4"/>
  <c r="Q10" i="6"/>
  <c r="K55" i="6"/>
  <c r="AK56" i="4"/>
  <c r="J56" i="4"/>
  <c r="H37" i="6"/>
  <c r="AL56" i="4"/>
  <c r="U19" i="6"/>
  <c r="Z20" i="6"/>
  <c r="V20" i="7"/>
  <c r="AB36" i="6"/>
  <c r="AB48" i="6"/>
  <c r="X48" i="6"/>
  <c r="Z37" i="7"/>
  <c r="AD55" i="6"/>
  <c r="AA55" i="7"/>
  <c r="AB48" i="7"/>
  <c r="AC28" i="7"/>
  <c r="CV56" i="4"/>
  <c r="AI7" i="7"/>
  <c r="AL7" i="6"/>
  <c r="AH7" i="6"/>
  <c r="AI20" i="7"/>
  <c r="AH20" i="6"/>
  <c r="AL29" i="6"/>
  <c r="AH29" i="7"/>
  <c r="AI37" i="7"/>
  <c r="AL37" i="6"/>
  <c r="AH37" i="6"/>
  <c r="AL53" i="6"/>
  <c r="AH53" i="7"/>
  <c r="AH53" i="6"/>
  <c r="AH62" i="6"/>
  <c r="AL62" i="6"/>
  <c r="G48" i="7"/>
  <c r="G61" i="7"/>
  <c r="D35" i="7"/>
  <c r="D36" i="7"/>
  <c r="E37" i="7"/>
  <c r="J63" i="7"/>
  <c r="N9" i="6"/>
  <c r="AU56" i="4"/>
  <c r="AN56" i="4"/>
  <c r="O19" i="7"/>
  <c r="O43" i="7"/>
  <c r="X36" i="6"/>
  <c r="BG10" i="4"/>
  <c r="X43" i="7"/>
  <c r="Z16" i="7"/>
  <c r="Z21" i="7"/>
  <c r="BV56" i="4"/>
  <c r="AA37" i="7"/>
  <c r="AF63" i="6"/>
  <c r="CB10" i="4"/>
  <c r="AD18" i="7"/>
  <c r="AD27" i="7"/>
  <c r="AF37" i="7"/>
  <c r="AI54" i="6"/>
  <c r="AJ54" i="7"/>
  <c r="AJ63" i="7"/>
  <c r="AO20" i="7"/>
  <c r="AT9" i="6"/>
  <c r="AQ9" i="7"/>
  <c r="AP9" i="7"/>
  <c r="AT20" i="6"/>
  <c r="AP20" i="7"/>
  <c r="AT37" i="6"/>
  <c r="AS67" i="6"/>
  <c r="AO67" i="6"/>
  <c r="AS15" i="6"/>
  <c r="AT37" i="7"/>
  <c r="AW37" i="6"/>
  <c r="AS37" i="6"/>
  <c r="AV16" i="7"/>
  <c r="EZ56" i="4"/>
  <c r="AY19" i="7"/>
  <c r="AX19" i="7"/>
  <c r="EQ56" i="4"/>
  <c r="AL10" i="4"/>
  <c r="P8" i="6"/>
  <c r="L43" i="7"/>
  <c r="R53" i="6"/>
  <c r="R43" i="7"/>
  <c r="AS10" i="4"/>
  <c r="X20" i="6"/>
  <c r="X61" i="6"/>
  <c r="Z18" i="6"/>
  <c r="Z27" i="6"/>
  <c r="AA21" i="6"/>
  <c r="AA30" i="6"/>
  <c r="AA38" i="6"/>
  <c r="AA63" i="6"/>
  <c r="AB15" i="6"/>
  <c r="X30" i="7"/>
  <c r="X38" i="7"/>
  <c r="CK10" i="4"/>
  <c r="CT10" i="4"/>
  <c r="CT11" i="4"/>
  <c r="AL55" i="6"/>
  <c r="AH55" i="7"/>
  <c r="AK35" i="7"/>
  <c r="AL35" i="7"/>
  <c r="AO35" i="6"/>
  <c r="AM28" i="7"/>
  <c r="AM28" i="6"/>
  <c r="AN63" i="7"/>
  <c r="AN63" i="6"/>
  <c r="DN64" i="4"/>
  <c r="AP17" i="7"/>
  <c r="AO17" i="7"/>
  <c r="AO17" i="6"/>
  <c r="AO27" i="6"/>
  <c r="AP55" i="7"/>
  <c r="AS55" i="6"/>
  <c r="AO55" i="6"/>
  <c r="AS62" i="6"/>
  <c r="AP62" i="7"/>
  <c r="AV36" i="7"/>
  <c r="AU36" i="7"/>
  <c r="AU36" i="6"/>
  <c r="AT8" i="7"/>
  <c r="AT8" i="6"/>
  <c r="EN56" i="4"/>
  <c r="BA61" i="6"/>
  <c r="AX61" i="7"/>
  <c r="AZ20" i="6"/>
  <c r="AW20" i="7"/>
  <c r="AV20" i="7"/>
  <c r="ER9" i="4"/>
  <c r="AD10" i="4"/>
  <c r="U10" i="4"/>
  <c r="AF11" i="4"/>
  <c r="AD31" i="4"/>
  <c r="AC10" i="4"/>
  <c r="AD11" i="4"/>
  <c r="F18" i="6"/>
  <c r="F27" i="6"/>
  <c r="N17" i="6"/>
  <c r="AX10" i="4"/>
  <c r="X17" i="6"/>
  <c r="V8" i="7"/>
  <c r="BI10" i="4"/>
  <c r="V54" i="7"/>
  <c r="AG7" i="6"/>
  <c r="AE16" i="7"/>
  <c r="AF20" i="7"/>
  <c r="AG28" i="7"/>
  <c r="AL35" i="6"/>
  <c r="AR28" i="6"/>
  <c r="AN28" i="7"/>
  <c r="AR7" i="7"/>
  <c r="AU7" i="6"/>
  <c r="AR18" i="7"/>
  <c r="AU18" i="6"/>
  <c r="AQ28" i="6"/>
  <c r="AQ55" i="7"/>
  <c r="AU55" i="6"/>
  <c r="AQ55" i="6"/>
  <c r="AR27" i="6"/>
  <c r="BC36" i="6"/>
  <c r="AY36" i="7"/>
  <c r="BC48" i="6"/>
  <c r="AY48" i="6"/>
  <c r="AZ9" i="6"/>
  <c r="AZ54" i="6"/>
  <c r="AG17" i="7"/>
  <c r="AI19" i="7"/>
  <c r="AI36" i="7"/>
  <c r="AK61" i="7"/>
  <c r="AN61" i="6"/>
  <c r="CZ10" i="4"/>
  <c r="AK53" i="7"/>
  <c r="AL9" i="7"/>
  <c r="DH10" i="4"/>
  <c r="DG11" i="4"/>
  <c r="AM74" i="6"/>
  <c r="AO18" i="6"/>
  <c r="AS19" i="6"/>
  <c r="DK90" i="4"/>
  <c r="AU29" i="6"/>
  <c r="AU71" i="6"/>
  <c r="DW90" i="4"/>
  <c r="AS16" i="7"/>
  <c r="AW48" i="6"/>
  <c r="AW61" i="6"/>
  <c r="AU55" i="7"/>
  <c r="EN10" i="4"/>
  <c r="AZ28" i="7"/>
  <c r="EV10" i="4"/>
  <c r="EP10" i="4"/>
  <c r="EQ10" i="4"/>
  <c r="BB9" i="6"/>
  <c r="AJ38" i="7"/>
  <c r="AO20" i="6"/>
  <c r="AL29" i="7"/>
  <c r="DC56" i="4"/>
  <c r="AN27" i="7"/>
  <c r="DW56" i="4"/>
  <c r="AU16" i="6"/>
  <c r="AQ20" i="7"/>
  <c r="AQ30" i="6"/>
  <c r="AQ38" i="7"/>
  <c r="DU56" i="4"/>
  <c r="AQ53" i="6"/>
  <c r="AR16" i="7"/>
  <c r="AR20" i="7"/>
  <c r="AS29" i="7"/>
  <c r="AV37" i="6"/>
  <c r="AV43" i="6"/>
  <c r="AU62" i="7"/>
  <c r="AT15" i="6"/>
  <c r="AX19" i="6"/>
  <c r="AV54" i="7"/>
  <c r="AW17" i="7"/>
  <c r="AZ54" i="7"/>
  <c r="BA8" i="6"/>
  <c r="BA17" i="6"/>
  <c r="AI61" i="7"/>
  <c r="CU10" i="4"/>
  <c r="CW10" i="4"/>
  <c r="AI16" i="7"/>
  <c r="AN20" i="6"/>
  <c r="AK18" i="7"/>
  <c r="DD11" i="4"/>
  <c r="AO15" i="6"/>
  <c r="DH4" i="4"/>
  <c r="AM35" i="7"/>
  <c r="AM61" i="7"/>
  <c r="AM37" i="7"/>
  <c r="AU61" i="6"/>
  <c r="DZ56" i="4"/>
  <c r="AT9" i="7"/>
  <c r="EC56" i="4"/>
  <c r="AW74" i="6"/>
  <c r="AU8" i="7"/>
  <c r="EK10" i="4"/>
  <c r="EL10" i="4"/>
  <c r="AZ48" i="6"/>
  <c r="BA28" i="6"/>
  <c r="EV56" i="4"/>
  <c r="AX15" i="7"/>
  <c r="AX20" i="7"/>
  <c r="DT90" i="4"/>
  <c r="G43" i="6"/>
  <c r="C43" i="7"/>
  <c r="D43" i="7"/>
  <c r="BI3" i="4"/>
  <c r="U10" i="6"/>
  <c r="BI11" i="4"/>
  <c r="BI4" i="4"/>
  <c r="BI2" i="4"/>
  <c r="P2" i="4"/>
  <c r="K133" i="9"/>
  <c r="D53" i="7"/>
  <c r="Y18" i="6"/>
  <c r="V18" i="7"/>
  <c r="AA7" i="6"/>
  <c r="X7" i="7"/>
  <c r="W7" i="7"/>
  <c r="BO10" i="4"/>
  <c r="BO2" i="4"/>
  <c r="BO11" i="4"/>
  <c r="X15" i="7"/>
  <c r="W15" i="7"/>
  <c r="AD20" i="6"/>
  <c r="Z20" i="7"/>
  <c r="AD30" i="6"/>
  <c r="AA30" i="7"/>
  <c r="AD62" i="6"/>
  <c r="Z62" i="6"/>
  <c r="AA62" i="7"/>
  <c r="D20" i="7"/>
  <c r="D29" i="7"/>
  <c r="Y8" i="6"/>
  <c r="BH11" i="4"/>
  <c r="Y17" i="6"/>
  <c r="U17" i="6"/>
  <c r="Y21" i="6"/>
  <c r="U21" i="6"/>
  <c r="BM11" i="4"/>
  <c r="AB37" i="6"/>
  <c r="X37" i="6"/>
  <c r="AA15" i="7"/>
  <c r="AE15" i="6"/>
  <c r="AA15" i="6"/>
  <c r="AB15" i="7"/>
  <c r="AB19" i="7"/>
  <c r="AA19" i="7"/>
  <c r="AA19" i="6"/>
  <c r="AE28" i="6"/>
  <c r="AA28" i="7"/>
  <c r="AB28" i="7"/>
  <c r="AB36" i="7"/>
  <c r="AA36" i="6"/>
  <c r="AA36" i="7"/>
  <c r="CF10" i="4"/>
  <c r="CC10" i="4"/>
  <c r="G19" i="7"/>
  <c r="G28" i="7"/>
  <c r="H61" i="6"/>
  <c r="C38" i="7"/>
  <c r="W10" i="4"/>
  <c r="J19" i="6"/>
  <c r="Y7" i="6"/>
  <c r="V7" i="7"/>
  <c r="BI56" i="4"/>
  <c r="AA17" i="6"/>
  <c r="X17" i="7"/>
  <c r="Y15" i="6"/>
  <c r="Y19" i="6"/>
  <c r="AC61" i="6"/>
  <c r="Y61" i="6"/>
  <c r="AD9" i="6"/>
  <c r="Z9" i="6"/>
  <c r="BX56" i="4"/>
  <c r="Q133" i="9"/>
  <c r="F20" i="6"/>
  <c r="F29" i="6"/>
  <c r="V9" i="7"/>
  <c r="V9" i="6"/>
  <c r="V16" i="7"/>
  <c r="Z16" i="6"/>
  <c r="X36" i="7"/>
  <c r="Y30" i="7"/>
  <c r="AB35" i="6"/>
  <c r="X35" i="6"/>
  <c r="V21" i="7"/>
  <c r="Z54" i="6"/>
  <c r="BJ10" i="4"/>
  <c r="V19" i="7"/>
  <c r="Y37" i="7"/>
  <c r="Z35" i="7"/>
  <c r="BS10" i="4"/>
  <c r="Z43" i="7"/>
  <c r="Z61" i="7"/>
  <c r="AE20" i="6"/>
  <c r="AE37" i="6"/>
  <c r="CF44" i="4"/>
  <c r="AF17" i="7"/>
  <c r="AE62" i="7"/>
  <c r="AK43" i="6"/>
  <c r="AG9" i="7"/>
  <c r="AG30" i="7"/>
  <c r="AN9" i="6"/>
  <c r="AJ9" i="7"/>
  <c r="DA11" i="4"/>
  <c r="AN21" i="6"/>
  <c r="AJ21" i="7"/>
  <c r="AN30" i="6"/>
  <c r="DB31" i="4"/>
  <c r="I20" i="6"/>
  <c r="J29" i="7"/>
  <c r="AO10" i="4"/>
  <c r="K27" i="6"/>
  <c r="M35" i="7"/>
  <c r="H9" i="7"/>
  <c r="AU10" i="4"/>
  <c r="AV11" i="4"/>
  <c r="AJ11" i="4"/>
  <c r="Q38" i="6"/>
  <c r="R16" i="7"/>
  <c r="S63" i="6"/>
  <c r="BD10" i="4"/>
  <c r="W29" i="7"/>
  <c r="BN10" i="4"/>
  <c r="Y20" i="7"/>
  <c r="BP10" i="4"/>
  <c r="Y17" i="7"/>
  <c r="Y21" i="7"/>
  <c r="BV11" i="4"/>
  <c r="AE29" i="6"/>
  <c r="AD35" i="7"/>
  <c r="CE10" i="4"/>
  <c r="CH10" i="4"/>
  <c r="CI11" i="4"/>
  <c r="CL11" i="4"/>
  <c r="AI8" i="6"/>
  <c r="CS56" i="4"/>
  <c r="AJ62" i="6"/>
  <c r="CO11" i="4"/>
  <c r="CY10" i="4"/>
  <c r="AJ7" i="7"/>
  <c r="AM29" i="6"/>
  <c r="AI29" i="7"/>
  <c r="DB10" i="4"/>
  <c r="AL43" i="7"/>
  <c r="N62" i="6"/>
  <c r="O27" i="6"/>
  <c r="O35" i="6"/>
  <c r="AZ10" i="4"/>
  <c r="B21" i="9"/>
  <c r="BC56" i="4"/>
  <c r="S18" i="6"/>
  <c r="T27" i="7"/>
  <c r="S35" i="6"/>
  <c r="X30" i="6"/>
  <c r="X43" i="6"/>
  <c r="BK10" i="4"/>
  <c r="W17" i="7"/>
  <c r="W53" i="6"/>
  <c r="W62" i="7"/>
  <c r="CJ56" i="4"/>
  <c r="AO7" i="6"/>
  <c r="AL7" i="7"/>
  <c r="DE56" i="4"/>
  <c r="AK7" i="7"/>
  <c r="DC11" i="4"/>
  <c r="AL20" i="7"/>
  <c r="AK20" i="7"/>
  <c r="AX43" i="6"/>
  <c r="AT43" i="6"/>
  <c r="AL16" i="7"/>
  <c r="AY18" i="6"/>
  <c r="AU18" i="7"/>
  <c r="AV27" i="7"/>
  <c r="AZ61" i="7"/>
  <c r="AY61" i="6"/>
  <c r="AY61" i="7"/>
  <c r="BC61" i="6"/>
  <c r="BB16" i="6"/>
  <c r="BC16" i="7"/>
  <c r="BB20" i="6"/>
  <c r="BB20" i="7"/>
  <c r="BC20" i="7"/>
  <c r="AX28" i="7"/>
  <c r="AY28" i="7"/>
  <c r="BB27" i="6"/>
  <c r="BC27" i="7"/>
  <c r="BB29" i="6"/>
  <c r="BB29" i="7"/>
  <c r="BC29" i="7"/>
  <c r="AY62" i="7"/>
  <c r="AX62" i="7"/>
  <c r="AX38" i="7"/>
  <c r="AX38" i="6"/>
  <c r="BB36" i="6"/>
  <c r="BC36" i="7"/>
  <c r="AL55" i="7"/>
  <c r="AO37" i="6"/>
  <c r="DC10" i="4"/>
  <c r="AK48" i="7"/>
  <c r="DG2" i="4"/>
  <c r="AM27" i="7"/>
  <c r="DF56" i="4"/>
  <c r="AQ62" i="6"/>
  <c r="AO18" i="7"/>
  <c r="AR61" i="6"/>
  <c r="DL11" i="4"/>
  <c r="AR16" i="6"/>
  <c r="AR20" i="6"/>
  <c r="AR29" i="6"/>
  <c r="AS61" i="6"/>
  <c r="AR7" i="6"/>
  <c r="AS54" i="6"/>
  <c r="AP37" i="7"/>
  <c r="AP18" i="7"/>
  <c r="DO10" i="4"/>
  <c r="AS20" i="6"/>
  <c r="AT29" i="6"/>
  <c r="AQ30" i="7"/>
  <c r="AQ53" i="7"/>
  <c r="DQ90" i="4"/>
  <c r="AR62" i="7"/>
  <c r="AT74" i="6"/>
  <c r="AU30" i="6"/>
  <c r="AU38" i="6"/>
  <c r="AR55" i="7"/>
  <c r="DU10" i="4"/>
  <c r="AU63" i="6"/>
  <c r="DZ76" i="4"/>
  <c r="DZ64" i="4"/>
  <c r="AV18" i="6"/>
  <c r="AV16" i="6"/>
  <c r="AS54" i="7"/>
  <c r="AV62" i="6"/>
  <c r="AV8" i="6"/>
  <c r="AW38" i="6"/>
  <c r="EA10" i="4"/>
  <c r="EB10" i="4"/>
  <c r="AW54" i="6"/>
  <c r="AX15" i="6"/>
  <c r="AX62" i="6"/>
  <c r="AU38" i="7"/>
  <c r="EG10" i="4"/>
  <c r="AV63" i="7"/>
  <c r="AV18" i="7"/>
  <c r="AU17" i="7"/>
  <c r="AV21" i="7"/>
  <c r="AZ21" i="6"/>
  <c r="AJ38" i="6"/>
  <c r="CS10" i="4"/>
  <c r="CS2" i="4"/>
  <c r="AF54" i="7"/>
  <c r="AH15" i="7"/>
  <c r="CX11" i="4"/>
  <c r="CW56" i="4"/>
  <c r="AI62" i="7"/>
  <c r="DB2" i="4"/>
  <c r="DB56" i="4"/>
  <c r="AO19" i="6"/>
  <c r="AL37" i="7"/>
  <c r="DH3" i="4"/>
  <c r="DE72" i="4"/>
  <c r="AP9" i="6"/>
  <c r="AP16" i="6"/>
  <c r="AP20" i="6"/>
  <c r="AP29" i="6"/>
  <c r="AP37" i="6"/>
  <c r="DI56" i="4"/>
  <c r="AQ61" i="6"/>
  <c r="AM62" i="7"/>
  <c r="AO62" i="7"/>
  <c r="DQ64" i="4"/>
  <c r="AP16" i="7"/>
  <c r="AS18" i="6"/>
  <c r="AT28" i="6"/>
  <c r="AT16" i="6"/>
  <c r="AT35" i="6"/>
  <c r="AR43" i="7"/>
  <c r="DW76" i="4"/>
  <c r="AU20" i="6"/>
  <c r="AR29" i="7"/>
  <c r="AS61" i="7"/>
  <c r="AT61" i="7"/>
  <c r="AV29" i="6"/>
  <c r="AS37" i="7"/>
  <c r="AR53" i="7"/>
  <c r="DX10" i="4"/>
  <c r="AW16" i="6"/>
  <c r="AS18" i="7"/>
  <c r="AU15" i="7"/>
  <c r="AY30" i="6"/>
  <c r="AY54" i="6"/>
  <c r="AY36" i="6"/>
  <c r="EH56" i="4"/>
  <c r="AV29" i="7"/>
  <c r="AZ37" i="6"/>
  <c r="AW37" i="7"/>
  <c r="EE10" i="4"/>
  <c r="ES56" i="4"/>
  <c r="AZ17" i="7"/>
  <c r="BC17" i="6"/>
  <c r="AY17" i="7"/>
  <c r="BC38" i="6"/>
  <c r="AZ38" i="7"/>
  <c r="AY38" i="7"/>
  <c r="BA19" i="7"/>
  <c r="AZ19" i="6"/>
  <c r="BA30" i="6"/>
  <c r="FA64" i="4"/>
  <c r="BA63" i="6"/>
  <c r="AK29" i="6"/>
  <c r="AK37" i="6"/>
  <c r="AM37" i="6"/>
  <c r="CX10" i="4"/>
  <c r="AK62" i="7"/>
  <c r="DD10" i="4"/>
  <c r="AK54" i="7"/>
  <c r="DH56" i="4"/>
  <c r="AM55" i="7"/>
  <c r="AN29" i="7"/>
  <c r="DM11" i="4"/>
  <c r="AO63" i="7"/>
  <c r="AR71" i="6"/>
  <c r="AO8" i="7"/>
  <c r="AS16" i="6"/>
  <c r="DP56" i="4"/>
  <c r="AO27" i="7"/>
  <c r="AT55" i="6"/>
  <c r="AR61" i="7"/>
  <c r="DV10" i="4"/>
  <c r="AR37" i="7"/>
  <c r="AV55" i="6"/>
  <c r="AV15" i="6"/>
  <c r="AR28" i="7"/>
  <c r="AR36" i="7"/>
  <c r="AS48" i="7"/>
  <c r="DY56" i="4"/>
  <c r="AW18" i="6"/>
  <c r="AT19" i="7"/>
  <c r="AT15" i="7"/>
  <c r="AS19" i="7"/>
  <c r="AW29" i="6"/>
  <c r="AX55" i="6"/>
  <c r="AU30" i="7"/>
  <c r="AU54" i="7"/>
  <c r="EE56" i="4"/>
  <c r="AV8" i="7"/>
  <c r="AV48" i="7"/>
  <c r="AV37" i="7"/>
  <c r="AY71" i="6"/>
  <c r="AW8" i="7"/>
  <c r="AW29" i="7"/>
  <c r="AW9" i="7"/>
  <c r="ES10" i="4"/>
  <c r="EU11" i="4"/>
  <c r="AZ37" i="7"/>
  <c r="BC37" i="6"/>
  <c r="BB54" i="7"/>
  <c r="BB54" i="6"/>
  <c r="BB63" i="6"/>
  <c r="BB74" i="6"/>
  <c r="BC54" i="6"/>
  <c r="AW15" i="7"/>
  <c r="AW63" i="7"/>
  <c r="ED10" i="4"/>
  <c r="EF11" i="4"/>
  <c r="AX63" i="7"/>
  <c r="BA16" i="6"/>
  <c r="AY15" i="7"/>
  <c r="AZ21" i="7"/>
  <c r="EX10" i="4"/>
  <c r="BD10" i="6"/>
  <c r="BA17" i="7"/>
  <c r="BA28" i="7"/>
  <c r="BA54" i="7"/>
  <c r="BA61" i="7"/>
  <c r="AZ71" i="6"/>
  <c r="BB16" i="7"/>
  <c r="BB48" i="6"/>
  <c r="BB17" i="6"/>
  <c r="BB21" i="6"/>
  <c r="BB28" i="6"/>
  <c r="BB30" i="6"/>
  <c r="BB37" i="7"/>
  <c r="BB37" i="6"/>
  <c r="FD56" i="4"/>
  <c r="BB55" i="6"/>
  <c r="BB67" i="6"/>
  <c r="FG11" i="4"/>
  <c r="BC28" i="7"/>
  <c r="BC21" i="7"/>
  <c r="BC43" i="6"/>
  <c r="BA54" i="6"/>
  <c r="AZ36" i="6"/>
  <c r="BA71" i="6"/>
  <c r="AX18" i="7"/>
  <c r="BB18" i="6"/>
  <c r="BB38" i="7"/>
  <c r="BB38" i="6"/>
  <c r="BB61" i="6"/>
  <c r="BB71" i="6"/>
  <c r="E9" i="10"/>
  <c r="BC9" i="7"/>
  <c r="BC15" i="6"/>
  <c r="BC7" i="7"/>
  <c r="AV62" i="7"/>
  <c r="AW54" i="7"/>
  <c r="AW30" i="7"/>
  <c r="AY21" i="7"/>
  <c r="EU9" i="4"/>
  <c r="AZ36" i="7"/>
  <c r="BA15" i="7"/>
  <c r="BA21" i="7"/>
  <c r="BA30" i="7"/>
  <c r="BA63" i="7"/>
  <c r="EZ10" i="4"/>
  <c r="BB15" i="6"/>
  <c r="BB19" i="7"/>
  <c r="BB19" i="6"/>
  <c r="BB35" i="6"/>
  <c r="BB53" i="6"/>
  <c r="BB62" i="6"/>
  <c r="BC61" i="7"/>
  <c r="BC48" i="7"/>
  <c r="BC8" i="7"/>
  <c r="BC62" i="7"/>
  <c r="BC53" i="7"/>
  <c r="BB7" i="7"/>
  <c r="FC56" i="4"/>
  <c r="BB43" i="6"/>
  <c r="I53" i="6"/>
  <c r="E53" i="7"/>
  <c r="K28" i="7"/>
  <c r="J28" i="7"/>
  <c r="N28" i="6"/>
  <c r="Q48" i="6"/>
  <c r="R48" i="7"/>
  <c r="V54" i="6"/>
  <c r="R54" i="6"/>
  <c r="Y38" i="6"/>
  <c r="V38" i="7"/>
  <c r="BR4" i="4"/>
  <c r="BR11" i="4"/>
  <c r="BR2" i="4"/>
  <c r="AL17" i="6"/>
  <c r="AH17" i="7"/>
  <c r="AI17" i="7"/>
  <c r="AH17" i="6"/>
  <c r="AH30" i="7"/>
  <c r="AL30" i="6"/>
  <c r="AH30" i="6"/>
  <c r="AI30" i="7"/>
  <c r="AH54" i="7"/>
  <c r="AL54" i="6"/>
  <c r="AH54" i="6"/>
  <c r="AI54" i="7"/>
  <c r="AR36" i="6"/>
  <c r="AN36" i="7"/>
  <c r="AN36" i="6"/>
  <c r="AO36" i="7"/>
  <c r="AR53" i="6"/>
  <c r="AN53" i="7"/>
  <c r="AN53" i="6"/>
  <c r="AH11" i="4"/>
  <c r="AH3" i="4"/>
  <c r="AT3" i="4"/>
  <c r="J10" i="7"/>
  <c r="AQ3" i="4"/>
  <c r="V4" i="4"/>
  <c r="V11" i="4"/>
  <c r="AZ4" i="4"/>
  <c r="S7" i="6"/>
  <c r="S43" i="7"/>
  <c r="S18" i="7"/>
  <c r="T35" i="7"/>
  <c r="T18" i="7"/>
  <c r="BC10" i="4"/>
  <c r="BC2" i="4"/>
  <c r="S35" i="7"/>
  <c r="R19" i="6"/>
  <c r="J36" i="7"/>
  <c r="G29" i="7"/>
  <c r="W62" i="6"/>
  <c r="J20" i="6"/>
  <c r="S55" i="6"/>
  <c r="R19" i="7"/>
  <c r="R8" i="6"/>
  <c r="AQ56" i="4"/>
  <c r="J15" i="7"/>
  <c r="C18" i="7"/>
  <c r="N62" i="7"/>
  <c r="AZ2" i="4"/>
  <c r="I62" i="6"/>
  <c r="R61" i="7"/>
  <c r="R7" i="6"/>
  <c r="K61" i="6"/>
  <c r="K48" i="6"/>
  <c r="J15" i="6"/>
  <c r="E20" i="7"/>
  <c r="F43" i="6"/>
  <c r="N30" i="6"/>
  <c r="N71" i="6"/>
  <c r="N30" i="7"/>
  <c r="N71" i="7"/>
  <c r="N38" i="7"/>
  <c r="R38" i="6"/>
  <c r="N38" i="6"/>
  <c r="P7" i="7"/>
  <c r="AR11" i="4"/>
  <c r="P7" i="6"/>
  <c r="X19" i="6"/>
  <c r="U19" i="7"/>
  <c r="T21" i="6"/>
  <c r="Q21" i="7"/>
  <c r="T38" i="6"/>
  <c r="Q38" i="7"/>
  <c r="X10" i="7"/>
  <c r="Y29" i="6"/>
  <c r="V29" i="7"/>
  <c r="U29" i="6"/>
  <c r="AC8" i="7"/>
  <c r="BR3" i="4"/>
  <c r="Y8" i="7"/>
  <c r="X8" i="7"/>
  <c r="AB53" i="6"/>
  <c r="X53" i="6"/>
  <c r="X53" i="7"/>
  <c r="AB62" i="6"/>
  <c r="X62" i="7"/>
  <c r="X62" i="6"/>
  <c r="AC53" i="6"/>
  <c r="Y53" i="6"/>
  <c r="Y53" i="7"/>
  <c r="AC62" i="6"/>
  <c r="Y62" i="7"/>
  <c r="Y62" i="6"/>
  <c r="AD53" i="6"/>
  <c r="Z53" i="6"/>
  <c r="Z53" i="7"/>
  <c r="AG8" i="6"/>
  <c r="AF8" i="6"/>
  <c r="CG10" i="4"/>
  <c r="CD3" i="4"/>
  <c r="CD10" i="4"/>
  <c r="AB8" i="7"/>
  <c r="CC11" i="4"/>
  <c r="CF11" i="4"/>
  <c r="AC8" i="6"/>
  <c r="AB8" i="6"/>
  <c r="AG17" i="6"/>
  <c r="AB17" i="7"/>
  <c r="AF17" i="6"/>
  <c r="AC17" i="6"/>
  <c r="AC17" i="7"/>
  <c r="AB17" i="6"/>
  <c r="AG21" i="6"/>
  <c r="AF21" i="6"/>
  <c r="AB21" i="7"/>
  <c r="AC21" i="6"/>
  <c r="AC21" i="7"/>
  <c r="AB21" i="6"/>
  <c r="AF30" i="6"/>
  <c r="AB30" i="7"/>
  <c r="AG30" i="6"/>
  <c r="AC30" i="6"/>
  <c r="AB30" i="6"/>
  <c r="AC30" i="7"/>
  <c r="AG38" i="6"/>
  <c r="AF38" i="6"/>
  <c r="AB38" i="7"/>
  <c r="AC38" i="6"/>
  <c r="AB38" i="6"/>
  <c r="CD44" i="4"/>
  <c r="CG44" i="4"/>
  <c r="AF55" i="6"/>
  <c r="AC55" i="6"/>
  <c r="AB55" i="6"/>
  <c r="AG55" i="6"/>
  <c r="CG56" i="4"/>
  <c r="CB56" i="4"/>
  <c r="AC55" i="7"/>
  <c r="AD55" i="7"/>
  <c r="AB55" i="7"/>
  <c r="CD56" i="4"/>
  <c r="N15" i="6"/>
  <c r="N15" i="7"/>
  <c r="AL21" i="6"/>
  <c r="AH21" i="7"/>
  <c r="AI21" i="7"/>
  <c r="AH21" i="6"/>
  <c r="AH4" i="4"/>
  <c r="AT2" i="4"/>
  <c r="AB2" i="4"/>
  <c r="AQ11" i="4"/>
  <c r="H10" i="6"/>
  <c r="Q130" i="9"/>
  <c r="Q134" i="9"/>
  <c r="D10" i="4"/>
  <c r="U61" i="6"/>
  <c r="AN10" i="4"/>
  <c r="O10" i="7"/>
  <c r="W27" i="6"/>
  <c r="S7" i="7"/>
  <c r="S19" i="7"/>
  <c r="N36" i="6"/>
  <c r="G20" i="7"/>
  <c r="AF10" i="4"/>
  <c r="P27" i="7"/>
  <c r="O27" i="7"/>
  <c r="E62" i="7"/>
  <c r="U37" i="6"/>
  <c r="U38" i="7"/>
  <c r="K19" i="7"/>
  <c r="F20" i="7"/>
  <c r="AY11" i="4"/>
  <c r="U38" i="6"/>
  <c r="N7" i="7"/>
  <c r="Q37" i="6"/>
  <c r="E10" i="4"/>
  <c r="H10" i="4"/>
  <c r="E43" i="7"/>
  <c r="R37" i="7"/>
  <c r="V53" i="6"/>
  <c r="S53" i="7"/>
  <c r="W53" i="7"/>
  <c r="V28" i="7"/>
  <c r="U28" i="6"/>
  <c r="U28" i="7"/>
  <c r="V36" i="7"/>
  <c r="U36" i="6"/>
  <c r="V30" i="7"/>
  <c r="W43" i="7"/>
  <c r="V43" i="6"/>
  <c r="Z43" i="6"/>
  <c r="BJ56" i="4"/>
  <c r="Z55" i="6"/>
  <c r="BL56" i="4"/>
  <c r="V55" i="6"/>
  <c r="Y15" i="7"/>
  <c r="AC15" i="6"/>
  <c r="Z15" i="7"/>
  <c r="AC19" i="6"/>
  <c r="Y19" i="7"/>
  <c r="Z19" i="7"/>
  <c r="Z28" i="7"/>
  <c r="AC28" i="6"/>
  <c r="Y28" i="7"/>
  <c r="Y28" i="6"/>
  <c r="AC36" i="6"/>
  <c r="Z36" i="7"/>
  <c r="Y36" i="6"/>
  <c r="Y36" i="7"/>
  <c r="J29" i="6"/>
  <c r="F29" i="7"/>
  <c r="M43" i="6"/>
  <c r="M43" i="7"/>
  <c r="N53" i="6"/>
  <c r="N53" i="7"/>
  <c r="AL11" i="4"/>
  <c r="AM12" i="4"/>
  <c r="O7" i="7"/>
  <c r="P19" i="7"/>
  <c r="S19" i="6"/>
  <c r="O19" i="6"/>
  <c r="O62" i="7"/>
  <c r="P62" i="7"/>
  <c r="Y30" i="6"/>
  <c r="U30" i="6"/>
  <c r="U30" i="7"/>
  <c r="AL8" i="6"/>
  <c r="CV10" i="4"/>
  <c r="AI8" i="7"/>
  <c r="CU11" i="4"/>
  <c r="AH8" i="7"/>
  <c r="AL38" i="6"/>
  <c r="AI38" i="7"/>
  <c r="AH38" i="7"/>
  <c r="AH38" i="6"/>
  <c r="AH63" i="7"/>
  <c r="AI63" i="7"/>
  <c r="AH63" i="6"/>
  <c r="AT4" i="4"/>
  <c r="AQ2" i="4"/>
  <c r="AN11" i="4"/>
  <c r="M10" i="7"/>
  <c r="H10" i="7"/>
  <c r="AZ3" i="4"/>
  <c r="T43" i="7"/>
  <c r="Q43" i="6"/>
  <c r="S27" i="6"/>
  <c r="U48" i="6"/>
  <c r="W7" i="6"/>
  <c r="V8" i="6"/>
  <c r="O43" i="6"/>
  <c r="G16" i="7"/>
  <c r="U43" i="7"/>
  <c r="O53" i="7"/>
  <c r="F16" i="6"/>
  <c r="BA11" i="4"/>
  <c r="J19" i="7"/>
  <c r="O129" i="9"/>
  <c r="O133" i="9"/>
  <c r="S54" i="7"/>
  <c r="AO56" i="4"/>
  <c r="G10" i="4"/>
  <c r="C8" i="7"/>
  <c r="C27" i="7"/>
  <c r="D27" i="7"/>
  <c r="F53" i="6"/>
  <c r="G53" i="7"/>
  <c r="F53" i="7"/>
  <c r="G15" i="7"/>
  <c r="G15" i="6"/>
  <c r="H19" i="6"/>
  <c r="L19" i="6"/>
  <c r="H19" i="7"/>
  <c r="I19" i="7"/>
  <c r="I48" i="7"/>
  <c r="H48" i="7"/>
  <c r="G35" i="6"/>
  <c r="H35" i="7"/>
  <c r="I36" i="7"/>
  <c r="L36" i="6"/>
  <c r="J38" i="6"/>
  <c r="F38" i="6"/>
  <c r="G30" i="6"/>
  <c r="G69" i="6"/>
  <c r="H30" i="7"/>
  <c r="H70" i="7"/>
  <c r="J16" i="7"/>
  <c r="I16" i="6"/>
  <c r="AB56" i="4"/>
  <c r="K55" i="7"/>
  <c r="J55" i="6"/>
  <c r="L37" i="7"/>
  <c r="K37" i="6"/>
  <c r="K61" i="7"/>
  <c r="O61" i="6"/>
  <c r="K8" i="7"/>
  <c r="O8" i="6"/>
  <c r="AE10" i="4"/>
  <c r="L10" i="7"/>
  <c r="K18" i="6"/>
  <c r="O18" i="6"/>
  <c r="L18" i="6"/>
  <c r="M18" i="7"/>
  <c r="M27" i="7"/>
  <c r="L27" i="7"/>
  <c r="L54" i="7"/>
  <c r="L54" i="6"/>
  <c r="M54" i="7"/>
  <c r="C129" i="9"/>
  <c r="F7" i="6"/>
  <c r="M9" i="7"/>
  <c r="L9" i="6"/>
  <c r="K9" i="6"/>
  <c r="AE56" i="4"/>
  <c r="J129" i="9"/>
  <c r="I9" i="6"/>
  <c r="Y56" i="4"/>
  <c r="M9" i="6"/>
  <c r="M17" i="7"/>
  <c r="Q17" i="6"/>
  <c r="M17" i="6"/>
  <c r="M21" i="7"/>
  <c r="M21" i="6"/>
  <c r="M30" i="7"/>
  <c r="M71" i="7"/>
  <c r="M30" i="6"/>
  <c r="M71" i="6"/>
  <c r="U7" i="6"/>
  <c r="Q7" i="7"/>
  <c r="Q7" i="6"/>
  <c r="R28" i="6"/>
  <c r="R28" i="7"/>
  <c r="R62" i="6"/>
  <c r="X15" i="6"/>
  <c r="T15" i="6"/>
  <c r="P17" i="7"/>
  <c r="P17" i="6"/>
  <c r="X28" i="6"/>
  <c r="T28" i="6"/>
  <c r="P43" i="7"/>
  <c r="W8" i="7"/>
  <c r="Z8" i="6"/>
  <c r="BL10" i="4"/>
  <c r="V27" i="7"/>
  <c r="Y27" i="6"/>
  <c r="Y35" i="6"/>
  <c r="V35" i="7"/>
  <c r="AH15" i="6"/>
  <c r="AD15" i="6"/>
  <c r="AE15" i="7"/>
  <c r="AD15" i="7"/>
  <c r="AD19" i="7"/>
  <c r="AD19" i="6"/>
  <c r="AH19" i="6"/>
  <c r="AH28" i="6"/>
  <c r="AD28" i="7"/>
  <c r="AD28" i="6"/>
  <c r="AH36" i="6"/>
  <c r="AE36" i="7"/>
  <c r="AD36" i="7"/>
  <c r="AD36" i="6"/>
  <c r="AH48" i="6"/>
  <c r="AD48" i="7"/>
  <c r="AE48" i="7"/>
  <c r="AD48" i="6"/>
  <c r="AH61" i="6"/>
  <c r="AE61" i="7"/>
  <c r="AD61" i="7"/>
  <c r="AD61" i="6"/>
  <c r="AX8" i="6"/>
  <c r="AX8" i="7"/>
  <c r="W16" i="7"/>
  <c r="V17" i="7"/>
  <c r="W20" i="7"/>
  <c r="Z19" i="6"/>
  <c r="X21" i="7"/>
  <c r="AA54" i="6"/>
  <c r="W54" i="7"/>
  <c r="AB61" i="6"/>
  <c r="X61" i="7"/>
  <c r="BT10" i="4"/>
  <c r="BT11" i="4"/>
  <c r="AC9" i="7"/>
  <c r="Y9" i="7"/>
  <c r="AC9" i="6"/>
  <c r="AC18" i="6"/>
  <c r="Y18" i="7"/>
  <c r="AC35" i="6"/>
  <c r="Y35" i="7"/>
  <c r="AC48" i="6"/>
  <c r="Y48" i="7"/>
  <c r="Z30" i="7"/>
  <c r="Z48" i="7"/>
  <c r="Z48" i="6"/>
  <c r="AA53" i="6"/>
  <c r="AA53" i="7"/>
  <c r="AA62" i="6"/>
  <c r="AE62" i="6"/>
  <c r="AD43" i="6"/>
  <c r="AE9" i="7"/>
  <c r="AE9" i="6"/>
  <c r="AF9" i="7"/>
  <c r="AI18" i="6"/>
  <c r="AE18" i="7"/>
  <c r="AE27" i="7"/>
  <c r="AE27" i="6"/>
  <c r="AF27" i="7"/>
  <c r="AF35" i="7"/>
  <c r="AE35" i="7"/>
  <c r="AE43" i="6"/>
  <c r="AF43" i="7"/>
  <c r="AE43" i="7"/>
  <c r="AF55" i="7"/>
  <c r="AE55" i="7"/>
  <c r="AI55" i="6"/>
  <c r="AE55" i="6"/>
  <c r="AJ63" i="6"/>
  <c r="AG63" i="7"/>
  <c r="AJ15" i="6"/>
  <c r="AG15" i="7"/>
  <c r="CQ11" i="4"/>
  <c r="CN10" i="4"/>
  <c r="CQ10" i="4"/>
  <c r="CN11" i="4"/>
  <c r="CR11" i="4"/>
  <c r="CR10" i="4"/>
  <c r="AH18" i="7"/>
  <c r="AG18" i="7"/>
  <c r="AF18" i="7"/>
  <c r="AF18" i="6"/>
  <c r="AK18" i="6"/>
  <c r="AG18" i="6"/>
  <c r="AK28" i="6"/>
  <c r="AG28" i="6"/>
  <c r="AF28" i="6"/>
  <c r="AF28" i="7"/>
  <c r="AK48" i="6"/>
  <c r="AH48" i="7"/>
  <c r="AG48" i="7"/>
  <c r="AG48" i="6"/>
  <c r="AF48" i="6"/>
  <c r="AF48" i="7"/>
  <c r="AK61" i="6"/>
  <c r="AF61" i="7"/>
  <c r="AG61" i="6"/>
  <c r="AG61" i="7"/>
  <c r="AF61" i="6"/>
  <c r="AL63" i="6"/>
  <c r="AM63" i="7"/>
  <c r="AL63" i="7"/>
  <c r="AP63" i="6"/>
  <c r="DH64" i="4"/>
  <c r="BM10" i="4"/>
  <c r="AA55" i="6"/>
  <c r="BM56" i="4"/>
  <c r="BO56" i="4"/>
  <c r="W55" i="7"/>
  <c r="BQ11" i="4"/>
  <c r="BR56" i="4"/>
  <c r="X55" i="7"/>
  <c r="BU56" i="4"/>
  <c r="Z55" i="7"/>
  <c r="BY11" i="4"/>
  <c r="BY10" i="4"/>
  <c r="BZ11" i="4"/>
  <c r="BZ10" i="4"/>
  <c r="AA9" i="6"/>
  <c r="AB9" i="7"/>
  <c r="AA9" i="7"/>
  <c r="AB18" i="7"/>
  <c r="AA18" i="7"/>
  <c r="AA27" i="6"/>
  <c r="AB27" i="7"/>
  <c r="AB35" i="7"/>
  <c r="AA35" i="7"/>
  <c r="CE56" i="4"/>
  <c r="CI10" i="4"/>
  <c r="CK11" i="4"/>
  <c r="AQ9" i="6"/>
  <c r="AM9" i="7"/>
  <c r="AN9" i="7"/>
  <c r="DK56" i="4"/>
  <c r="AM9" i="6"/>
  <c r="AQ18" i="6"/>
  <c r="AM18" i="7"/>
  <c r="AM18" i="6"/>
  <c r="AN18" i="7"/>
  <c r="AR43" i="6"/>
  <c r="AN43" i="6"/>
  <c r="AN43" i="7"/>
  <c r="BG11" i="4"/>
  <c r="W19" i="7"/>
  <c r="W21" i="7"/>
  <c r="BN11" i="4"/>
  <c r="Y43" i="7"/>
  <c r="X20" i="7"/>
  <c r="X63" i="7"/>
  <c r="Y55" i="7"/>
  <c r="AB54" i="6"/>
  <c r="X54" i="7"/>
  <c r="Z9" i="7"/>
  <c r="BS11" i="4"/>
  <c r="BU10" i="4"/>
  <c r="BU4" i="4"/>
  <c r="AC7" i="7"/>
  <c r="Y7" i="7"/>
  <c r="Y16" i="7"/>
  <c r="AC16" i="6"/>
  <c r="AC29" i="6"/>
  <c r="Y29" i="7"/>
  <c r="AC54" i="6"/>
  <c r="Z54" i="7"/>
  <c r="Y54" i="7"/>
  <c r="AC63" i="6"/>
  <c r="Z63" i="7"/>
  <c r="Z17" i="7"/>
  <c r="Z27" i="7"/>
  <c r="AE18" i="6"/>
  <c r="AA43" i="7"/>
  <c r="AI43" i="6"/>
  <c r="AI35" i="6"/>
  <c r="CK56" i="4"/>
  <c r="CM10" i="4"/>
  <c r="CM4" i="4"/>
  <c r="AF10" i="6"/>
  <c r="CY3" i="4"/>
  <c r="AI10" i="7"/>
  <c r="CY4" i="4"/>
  <c r="BX10" i="4"/>
  <c r="Z62" i="7"/>
  <c r="AA29" i="7"/>
  <c r="AA16" i="7"/>
  <c r="BW11" i="4"/>
  <c r="AD21" i="6"/>
  <c r="AD27" i="6"/>
  <c r="CA10" i="4"/>
  <c r="AB62" i="7"/>
  <c r="AB37" i="7"/>
  <c r="AC62" i="7"/>
  <c r="AF53" i="6"/>
  <c r="AD63" i="7"/>
  <c r="AD54" i="7"/>
  <c r="AD38" i="7"/>
  <c r="AD30" i="7"/>
  <c r="AD21" i="7"/>
  <c r="AD17" i="7"/>
  <c r="AD8" i="7"/>
  <c r="AC36" i="7"/>
  <c r="AC19" i="7"/>
  <c r="AC15" i="7"/>
  <c r="CJ10" i="4"/>
  <c r="CJ3" i="4"/>
  <c r="AE53" i="7"/>
  <c r="AE7" i="7"/>
  <c r="AH43" i="6"/>
  <c r="AF30" i="7"/>
  <c r="AF7" i="7"/>
  <c r="AG21" i="7"/>
  <c r="AK35" i="6"/>
  <c r="AG35" i="7"/>
  <c r="CW11" i="4"/>
  <c r="CY11" i="4"/>
  <c r="AJ27" i="7"/>
  <c r="AM27" i="6"/>
  <c r="AM35" i="6"/>
  <c r="AJ35" i="7"/>
  <c r="AM53" i="6"/>
  <c r="AI53" i="7"/>
  <c r="CZ11" i="4"/>
  <c r="AK38" i="7"/>
  <c r="AK16" i="7"/>
  <c r="AJ16" i="7"/>
  <c r="AN19" i="6"/>
  <c r="AJ19" i="6"/>
  <c r="AK19" i="7"/>
  <c r="AJ19" i="7"/>
  <c r="AN28" i="6"/>
  <c r="AJ28" i="7"/>
  <c r="AJ28" i="6"/>
  <c r="AJ36" i="7"/>
  <c r="AJ36" i="6"/>
  <c r="AJ43" i="7"/>
  <c r="AO38" i="6"/>
  <c r="AP43" i="6"/>
  <c r="AM43" i="7"/>
  <c r="AL43" i="6"/>
  <c r="AQ8" i="6"/>
  <c r="AM8" i="6"/>
  <c r="DJ11" i="4"/>
  <c r="AM8" i="7"/>
  <c r="AN8" i="7"/>
  <c r="AM17" i="6"/>
  <c r="AM17" i="7"/>
  <c r="AN21" i="7"/>
  <c r="AM21" i="6"/>
  <c r="AM38" i="6"/>
  <c r="AM38" i="7"/>
  <c r="AQ38" i="6"/>
  <c r="AN35" i="7"/>
  <c r="AN35" i="6"/>
  <c r="AR35" i="6"/>
  <c r="AR48" i="6"/>
  <c r="AN48" i="6"/>
  <c r="AN48" i="7"/>
  <c r="AR74" i="6"/>
  <c r="AN74" i="6"/>
  <c r="DN76" i="4"/>
  <c r="AN7" i="7"/>
  <c r="AN7" i="6"/>
  <c r="DN10" i="4"/>
  <c r="DN2" i="4"/>
  <c r="AO9" i="7"/>
  <c r="DQ56" i="4"/>
  <c r="DQ10" i="4"/>
  <c r="AS9" i="6"/>
  <c r="AO9" i="6"/>
  <c r="AP21" i="7"/>
  <c r="AO21" i="6"/>
  <c r="AO21" i="7"/>
  <c r="AS29" i="6"/>
  <c r="AO29" i="6"/>
  <c r="AP36" i="7"/>
  <c r="AO36" i="6"/>
  <c r="AS36" i="6"/>
  <c r="DO56" i="4"/>
  <c r="AP53" i="7"/>
  <c r="AO53" i="7"/>
  <c r="AO53" i="6"/>
  <c r="AW71" i="6"/>
  <c r="AS71" i="6"/>
  <c r="CO10" i="4"/>
  <c r="AJ8" i="6"/>
  <c r="CP10" i="4"/>
  <c r="AJ10" i="6"/>
  <c r="AG8" i="7"/>
  <c r="AK7" i="6"/>
  <c r="CP56" i="4"/>
  <c r="AK16" i="6"/>
  <c r="AH16" i="7"/>
  <c r="AG16" i="7"/>
  <c r="AH20" i="7"/>
  <c r="AG20" i="7"/>
  <c r="AH62" i="7"/>
  <c r="AG62" i="7"/>
  <c r="AH28" i="7"/>
  <c r="AO8" i="6"/>
  <c r="DE10" i="4"/>
  <c r="DE3" i="4"/>
  <c r="AK8" i="7"/>
  <c r="AK8" i="6"/>
  <c r="AL17" i="7"/>
  <c r="AK17" i="7"/>
  <c r="AL21" i="7"/>
  <c r="AK21" i="7"/>
  <c r="AL30" i="7"/>
  <c r="AO30" i="6"/>
  <c r="AK30" i="7"/>
  <c r="AO54" i="6"/>
  <c r="AL54" i="7"/>
  <c r="AK63" i="7"/>
  <c r="AO63" i="6"/>
  <c r="AQ7" i="6"/>
  <c r="AM7" i="7"/>
  <c r="DK10" i="4"/>
  <c r="DI11" i="4"/>
  <c r="AM7" i="6"/>
  <c r="AQ16" i="6"/>
  <c r="AM16" i="6"/>
  <c r="AN16" i="7"/>
  <c r="AM16" i="7"/>
  <c r="AQ20" i="6"/>
  <c r="AN20" i="7"/>
  <c r="AM20" i="6"/>
  <c r="AM20" i="7"/>
  <c r="AN38" i="7"/>
  <c r="AN38" i="6"/>
  <c r="AR55" i="6"/>
  <c r="DN56" i="4"/>
  <c r="DL56" i="4"/>
  <c r="AR67" i="6"/>
  <c r="AN67" i="6"/>
  <c r="AQ17" i="6"/>
  <c r="AU21" i="6"/>
  <c r="AQ21" i="7"/>
  <c r="AQ21" i="6"/>
  <c r="AR27" i="7"/>
  <c r="AU27" i="6"/>
  <c r="AQ27" i="6"/>
  <c r="AQ27" i="7"/>
  <c r="AR35" i="7"/>
  <c r="AQ35" i="7"/>
  <c r="AU35" i="6"/>
  <c r="AQ35" i="6"/>
  <c r="AQ43" i="6"/>
  <c r="AU48" i="6"/>
  <c r="AQ48" i="7"/>
  <c r="AR48" i="7"/>
  <c r="AQ54" i="7"/>
  <c r="AR54" i="7"/>
  <c r="AU54" i="6"/>
  <c r="AQ54" i="6"/>
  <c r="AV17" i="6"/>
  <c r="AR17" i="7"/>
  <c r="AV21" i="6"/>
  <c r="AR21" i="7"/>
  <c r="AV30" i="6"/>
  <c r="AS30" i="7"/>
  <c r="AR30" i="7"/>
  <c r="AV38" i="6"/>
  <c r="AR38" i="7"/>
  <c r="AS38" i="7"/>
  <c r="AR38" i="6"/>
  <c r="AU67" i="6"/>
  <c r="AQ67" i="6"/>
  <c r="AW17" i="6"/>
  <c r="AS17" i="7"/>
  <c r="AT21" i="7"/>
  <c r="AS21" i="7"/>
  <c r="AW21" i="6"/>
  <c r="AW27" i="6"/>
  <c r="AS27" i="7"/>
  <c r="AT27" i="7"/>
  <c r="AS27" i="6"/>
  <c r="AW35" i="6"/>
  <c r="AS35" i="7"/>
  <c r="AA20" i="7"/>
  <c r="AA7" i="7"/>
  <c r="Z38" i="7"/>
  <c r="AB53" i="7"/>
  <c r="AF62" i="7"/>
  <c r="AG7" i="7"/>
  <c r="AG38" i="7"/>
  <c r="AH7" i="7"/>
  <c r="CP44" i="4"/>
  <c r="AG43" i="7"/>
  <c r="AK54" i="6"/>
  <c r="AK17" i="6"/>
  <c r="AK20" i="6"/>
  <c r="AH37" i="7"/>
  <c r="AG37" i="7"/>
  <c r="AI27" i="7"/>
  <c r="AI9" i="7"/>
  <c r="AJ53" i="7"/>
  <c r="CY2" i="4"/>
  <c r="DB3" i="4"/>
  <c r="DB4" i="4"/>
  <c r="AJ10" i="7"/>
  <c r="CZ56" i="4"/>
  <c r="AJ62" i="7"/>
  <c r="DE31" i="4"/>
  <c r="AP74" i="6"/>
  <c r="DH76" i="4"/>
  <c r="AN55" i="7"/>
  <c r="AQ15" i="6"/>
  <c r="AM15" i="6"/>
  <c r="AM15" i="7"/>
  <c r="AQ19" i="6"/>
  <c r="AN19" i="7"/>
  <c r="AM19" i="6"/>
  <c r="AR37" i="6"/>
  <c r="AN37" i="7"/>
  <c r="AO37" i="7"/>
  <c r="AR54" i="6"/>
  <c r="AO54" i="7"/>
  <c r="AN54" i="7"/>
  <c r="AN54" i="6"/>
  <c r="DL10" i="4"/>
  <c r="AO7" i="7"/>
  <c r="DR56" i="4"/>
  <c r="DR10" i="4"/>
  <c r="AT7" i="6"/>
  <c r="AQ7" i="7"/>
  <c r="DT56" i="4"/>
  <c r="DT10" i="4"/>
  <c r="AT18" i="6"/>
  <c r="AQ18" i="7"/>
  <c r="AT27" i="6"/>
  <c r="AP27" i="7"/>
  <c r="AS43" i="6"/>
  <c r="AO43" i="6"/>
  <c r="AP43" i="7"/>
  <c r="AO43" i="7"/>
  <c r="AS48" i="6"/>
  <c r="AO48" i="7"/>
  <c r="AT54" i="6"/>
  <c r="AP54" i="6"/>
  <c r="AT62" i="6"/>
  <c r="AQ62" i="7"/>
  <c r="AP71" i="6"/>
  <c r="AT71" i="6"/>
  <c r="AH61" i="7"/>
  <c r="AH36" i="7"/>
  <c r="AH19" i="7"/>
  <c r="AI55" i="7"/>
  <c r="AI28" i="7"/>
  <c r="AI15" i="7"/>
  <c r="CY56" i="4"/>
  <c r="AJ29" i="7"/>
  <c r="AJ30" i="7"/>
  <c r="DB11" i="4"/>
  <c r="AK28" i="7"/>
  <c r="AK36" i="7"/>
  <c r="AK71" i="6"/>
  <c r="AL61" i="7"/>
  <c r="AL48" i="7"/>
  <c r="AN62" i="7"/>
  <c r="AS38" i="6"/>
  <c r="AP15" i="7"/>
  <c r="AP29" i="7"/>
  <c r="AS7" i="6"/>
  <c r="AR9" i="7"/>
  <c r="DW10" i="4"/>
  <c r="DX56" i="4"/>
  <c r="AT43" i="7"/>
  <c r="AU16" i="7"/>
  <c r="AX16" i="6"/>
  <c r="AT16" i="7"/>
  <c r="AX20" i="6"/>
  <c r="AU20" i="7"/>
  <c r="AT20" i="7"/>
  <c r="AT29" i="7"/>
  <c r="AU29" i="7"/>
  <c r="AX29" i="6"/>
  <c r="AX36" i="6"/>
  <c r="AT36" i="7"/>
  <c r="AU48" i="7"/>
  <c r="AT48" i="7"/>
  <c r="AV15" i="7"/>
  <c r="AU15" i="6"/>
  <c r="AY19" i="6"/>
  <c r="AU19" i="7"/>
  <c r="AU28" i="7"/>
  <c r="AV28" i="7"/>
  <c r="AY28" i="6"/>
  <c r="AU28" i="6"/>
  <c r="AY35" i="6"/>
  <c r="AU35" i="7"/>
  <c r="AV43" i="7"/>
  <c r="AU43" i="7"/>
  <c r="AU43" i="6"/>
  <c r="AV55" i="7"/>
  <c r="EI56" i="4"/>
  <c r="AY55" i="6"/>
  <c r="AZ67" i="6"/>
  <c r="AV67" i="6"/>
  <c r="AZ9" i="7"/>
  <c r="AY9" i="6"/>
  <c r="DV56" i="4"/>
  <c r="AS9" i="7"/>
  <c r="DZ10" i="4"/>
  <c r="EB56" i="4"/>
  <c r="AS63" i="7"/>
  <c r="AU63" i="7"/>
  <c r="AW63" i="6"/>
  <c r="AT63" i="7"/>
  <c r="AT35" i="7"/>
  <c r="AU9" i="7"/>
  <c r="AU9" i="6"/>
  <c r="AV9" i="7"/>
  <c r="AW27" i="7"/>
  <c r="AV27" i="6"/>
  <c r="AW35" i="7"/>
  <c r="AV35" i="6"/>
  <c r="AV35" i="7"/>
  <c r="EM56" i="4"/>
  <c r="EM10" i="4"/>
  <c r="EW56" i="4"/>
  <c r="EW10" i="4"/>
  <c r="EX11" i="4"/>
  <c r="BA16" i="7"/>
  <c r="AZ16" i="6"/>
  <c r="AZ16" i="7"/>
  <c r="AZ27" i="6"/>
  <c r="AZ27" i="7"/>
  <c r="BA35" i="7"/>
  <c r="AZ35" i="6"/>
  <c r="AZ35" i="7"/>
  <c r="BA53" i="7"/>
  <c r="AZ53" i="7"/>
  <c r="AZ53" i="6"/>
  <c r="EY56" i="4"/>
  <c r="EY10" i="4"/>
  <c r="BA9" i="6"/>
  <c r="BB9" i="7"/>
  <c r="BA9" i="7"/>
  <c r="BA18" i="7"/>
  <c r="BA18" i="6"/>
  <c r="BB18" i="7"/>
  <c r="BA27" i="7"/>
  <c r="BA27" i="6"/>
  <c r="BB27" i="7"/>
  <c r="BB43" i="7"/>
  <c r="BA43" i="7"/>
  <c r="BB55" i="7"/>
  <c r="BA55" i="7"/>
  <c r="FA56" i="4"/>
  <c r="BA55" i="6"/>
  <c r="AY48" i="7"/>
  <c r="AX48" i="7"/>
  <c r="BB8" i="7"/>
  <c r="BC10" i="7"/>
  <c r="AJ18" i="7"/>
  <c r="AK9" i="7"/>
  <c r="AK15" i="7"/>
  <c r="AO19" i="7"/>
  <c r="AO38" i="7"/>
  <c r="AQ15" i="7"/>
  <c r="AS43" i="7"/>
  <c r="EC64" i="4"/>
  <c r="AU61" i="7"/>
  <c r="AW53" i="6"/>
  <c r="AT53" i="7"/>
  <c r="AX48" i="6"/>
  <c r="EI10" i="4"/>
  <c r="EI11" i="4"/>
  <c r="AY8" i="7"/>
  <c r="AY43" i="7"/>
  <c r="AY43" i="6"/>
  <c r="AZ43" i="7"/>
  <c r="AS15" i="7"/>
  <c r="AS36" i="7"/>
  <c r="AS7" i="7"/>
  <c r="EC10" i="4"/>
  <c r="AW15" i="6"/>
  <c r="EJ56" i="4"/>
  <c r="AW61" i="7"/>
  <c r="AZ61" i="6"/>
  <c r="AX43" i="7"/>
  <c r="AW43" i="7"/>
  <c r="AZ63" i="7"/>
  <c r="EU64" i="4"/>
  <c r="AY63" i="7"/>
  <c r="AZ10" i="6"/>
  <c r="BA48" i="7"/>
  <c r="AZ48" i="7"/>
  <c r="BB48" i="7"/>
  <c r="B72" i="10"/>
  <c r="BB15" i="7"/>
  <c r="AX29" i="7"/>
  <c r="AY29" i="7"/>
  <c r="AY35" i="7"/>
  <c r="AX35" i="7"/>
  <c r="BA36" i="7"/>
  <c r="BA36" i="6"/>
  <c r="BB36" i="7"/>
  <c r="FD64" i="4"/>
  <c r="BB63" i="7"/>
  <c r="EJ10" i="4"/>
  <c r="EL11" i="4"/>
  <c r="AZ74" i="6"/>
  <c r="EL76" i="4"/>
  <c r="EE11" i="4"/>
  <c r="EF10" i="4"/>
  <c r="AX9" i="6"/>
  <c r="AZ18" i="6"/>
  <c r="AZ18" i="7"/>
  <c r="BA29" i="7"/>
  <c r="AZ29" i="6"/>
  <c r="EX56" i="4"/>
  <c r="AZ55" i="7"/>
  <c r="BA62" i="7"/>
  <c r="AZ62" i="6"/>
  <c r="AZ62" i="7"/>
  <c r="AQ37" i="7"/>
  <c r="AS8" i="7"/>
  <c r="AT55" i="7"/>
  <c r="AV61" i="7"/>
  <c r="AY53" i="6"/>
  <c r="AZ7" i="7"/>
  <c r="EU10" i="4"/>
  <c r="AZ10" i="7"/>
  <c r="EU56" i="4"/>
  <c r="BA8" i="7"/>
  <c r="AZ8" i="7"/>
  <c r="AZ8" i="6"/>
  <c r="E54" i="10"/>
  <c r="E55" i="10"/>
  <c r="AW28" i="7"/>
  <c r="AZ30" i="6"/>
  <c r="AZ20" i="7"/>
  <c r="BB21" i="7"/>
  <c r="E27" i="10"/>
  <c r="E62" i="10"/>
  <c r="E29" i="10"/>
  <c r="D31" i="10"/>
  <c r="E28" i="10"/>
  <c r="E30" i="10"/>
  <c r="C79" i="10"/>
  <c r="E61" i="10"/>
  <c r="E63" i="10"/>
  <c r="BB30" i="7"/>
  <c r="E53" i="10"/>
  <c r="BB28" i="7"/>
  <c r="FD76" i="4"/>
  <c r="BB17" i="7"/>
  <c r="BF11" i="4"/>
  <c r="BF3" i="4"/>
  <c r="BF4" i="4"/>
  <c r="BF2" i="4"/>
  <c r="CP2" i="4"/>
  <c r="AF10" i="7"/>
  <c r="EC11" i="4"/>
  <c r="EO11" i="4"/>
  <c r="CS11" i="4"/>
  <c r="AI10" i="6"/>
  <c r="CP3" i="4"/>
  <c r="CS3" i="4"/>
  <c r="X10" i="6"/>
  <c r="U10" i="7"/>
  <c r="AW10" i="7"/>
  <c r="FA11" i="4"/>
  <c r="CP11" i="4"/>
  <c r="CP4" i="4"/>
  <c r="CS4" i="4"/>
  <c r="AW4" i="4"/>
  <c r="AW11" i="4"/>
  <c r="AW3" i="4"/>
  <c r="AW2" i="4"/>
  <c r="T10" i="6"/>
  <c r="ER11" i="4"/>
  <c r="B26" i="9"/>
  <c r="DH2" i="4"/>
  <c r="DH11" i="4"/>
  <c r="ER10" i="4"/>
  <c r="ER56" i="4"/>
  <c r="AX9" i="7"/>
  <c r="J2" i="4"/>
  <c r="J3" i="4"/>
  <c r="J11" i="4"/>
  <c r="E10" i="7"/>
  <c r="J4" i="4"/>
  <c r="L133" i="9"/>
  <c r="H133" i="9"/>
  <c r="BB10" i="7"/>
  <c r="BC9" i="6"/>
  <c r="AY9" i="7"/>
  <c r="AZ11" i="4"/>
  <c r="R10" i="7"/>
  <c r="B30" i="9"/>
  <c r="BB10" i="6"/>
  <c r="AJ43" i="6"/>
  <c r="BU11" i="4"/>
  <c r="BC10" i="6"/>
  <c r="BC43" i="7"/>
  <c r="BO3" i="4"/>
  <c r="BO4" i="4"/>
  <c r="AV10" i="6"/>
  <c r="AR10" i="7"/>
  <c r="AR10" i="6"/>
  <c r="AA10" i="6"/>
  <c r="CA3" i="4"/>
  <c r="AA10" i="7"/>
  <c r="CA2" i="4"/>
  <c r="CA4" i="4"/>
  <c r="R10" i="6"/>
  <c r="D12" i="10"/>
  <c r="AU10" i="7"/>
  <c r="AV10" i="7"/>
  <c r="AU10" i="6"/>
  <c r="AM10" i="6"/>
  <c r="AM10" i="7"/>
  <c r="DN12" i="4"/>
  <c r="DN4" i="4"/>
  <c r="AN10" i="6"/>
  <c r="AN10" i="7"/>
  <c r="DN3" i="4"/>
  <c r="DN11" i="4"/>
  <c r="CA11" i="4"/>
  <c r="BC11" i="4"/>
  <c r="AF43" i="6"/>
  <c r="AC43" i="7"/>
  <c r="AD43" i="7"/>
  <c r="AB43" i="7"/>
  <c r="AB43" i="6"/>
  <c r="AG43" i="6"/>
  <c r="AC43" i="6"/>
  <c r="CD4" i="4"/>
  <c r="AC10" i="6"/>
  <c r="AB10" i="7"/>
  <c r="CG2" i="4"/>
  <c r="CD2" i="4"/>
  <c r="CG4" i="4"/>
  <c r="CD11" i="4"/>
  <c r="AG10" i="6"/>
  <c r="CG11" i="4"/>
  <c r="AB10" i="6"/>
  <c r="B28" i="9"/>
  <c r="AT10" i="7"/>
  <c r="AT10" i="6"/>
  <c r="CJ2" i="4"/>
  <c r="AD10" i="7"/>
  <c r="AD10" i="6"/>
  <c r="CJ4" i="4"/>
  <c r="B24" i="9"/>
  <c r="G4" i="4"/>
  <c r="D10" i="7"/>
  <c r="C10" i="7"/>
  <c r="G3" i="4"/>
  <c r="G10" i="6"/>
  <c r="G2" i="4"/>
  <c r="G11" i="4"/>
  <c r="AQ10" i="7"/>
  <c r="AQ10" i="6"/>
  <c r="AO10" i="6"/>
  <c r="AO10" i="7"/>
  <c r="DK3" i="4"/>
  <c r="AG10" i="7"/>
  <c r="CJ11" i="4"/>
  <c r="N133" i="9"/>
  <c r="J133" i="9"/>
  <c r="AE4" i="4"/>
  <c r="AE11" i="4"/>
  <c r="AE3" i="4"/>
  <c r="K10" i="6"/>
  <c r="K10" i="7"/>
  <c r="AE2" i="4"/>
  <c r="O10" i="6"/>
  <c r="AL10" i="6"/>
  <c r="CV11" i="4"/>
  <c r="CV4" i="4"/>
  <c r="CV2" i="4"/>
  <c r="AH10" i="7"/>
  <c r="AH10" i="6"/>
  <c r="B25" i="9"/>
  <c r="D4" i="4"/>
  <c r="F10" i="6"/>
  <c r="D2" i="4"/>
  <c r="D11" i="4"/>
  <c r="DK11" i="4"/>
  <c r="D3" i="4"/>
  <c r="D64" i="10"/>
  <c r="AW10" i="6"/>
  <c r="AS10" i="7"/>
  <c r="AS10" i="6"/>
  <c r="AP10" i="7"/>
  <c r="AP10" i="6"/>
  <c r="B27" i="9"/>
  <c r="BL4" i="4"/>
  <c r="W10" i="7"/>
  <c r="B22" i="9"/>
  <c r="BL11" i="4"/>
  <c r="BL3" i="4"/>
  <c r="V10" i="7"/>
  <c r="BL2" i="4"/>
  <c r="V10" i="6"/>
  <c r="AN2" i="4"/>
  <c r="AN4" i="4"/>
  <c r="N10" i="6"/>
  <c r="B20" i="9"/>
  <c r="N10" i="7"/>
  <c r="AN3" i="4"/>
  <c r="BC4" i="4"/>
  <c r="S10" i="7"/>
  <c r="S10" i="6"/>
  <c r="BC3" i="4"/>
  <c r="T10" i="7"/>
  <c r="W10" i="6"/>
  <c r="F72" i="10"/>
  <c r="AY10" i="7"/>
  <c r="AY10" i="6"/>
  <c r="BA10" i="7"/>
  <c r="BA10" i="6"/>
  <c r="DK2" i="4"/>
  <c r="DE11" i="4"/>
  <c r="DE4" i="4"/>
  <c r="AL10" i="7"/>
  <c r="AK10" i="6"/>
  <c r="DE2" i="4"/>
  <c r="AK10" i="7"/>
  <c r="Z10" i="7"/>
  <c r="BX2" i="4"/>
  <c r="B23" i="9"/>
  <c r="BX11" i="4"/>
  <c r="BX3" i="4"/>
  <c r="BX4" i="4"/>
  <c r="Z10" i="6"/>
  <c r="AE10" i="6"/>
  <c r="CM2" i="4"/>
  <c r="AE10" i="7"/>
  <c r="CM3" i="4"/>
  <c r="CM11" i="4"/>
  <c r="AC10" i="7"/>
  <c r="Y10" i="7"/>
  <c r="BU2" i="4"/>
  <c r="BU3" i="4"/>
  <c r="Y10" i="6"/>
  <c r="DK4" i="4"/>
  <c r="CG3" i="4"/>
  <c r="CV3" i="4"/>
  <c r="E8" i="10"/>
  <c r="E12" i="10"/>
  <c r="E67" i="10"/>
  <c r="E20" i="10"/>
  <c r="E19" i="10"/>
  <c r="E10" i="10"/>
  <c r="E16" i="10"/>
  <c r="E15" i="10"/>
  <c r="E18" i="10"/>
  <c r="E7" i="10"/>
  <c r="E21" i="10"/>
  <c r="FD11" i="4"/>
  <c r="E17" i="10"/>
  <c r="B29" i="9"/>
  <c r="AX10" i="7"/>
  <c r="AX1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Aurelie Rouzaut</author>
  </authors>
  <commentList>
    <comment ref="DW7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Aurelie Rouzaut:</t>
        </r>
        <r>
          <rPr>
            <sz val="9"/>
            <color indexed="81"/>
            <rFont val="Tahoma"/>
            <family val="2"/>
          </rPr>
          <t xml:space="preserve">
Chiffres issus du pgm:SIVAS/JCLRECAP, année 2019,trim 1 avec mention de l'état 10213</t>
        </r>
      </text>
    </comment>
    <comment ref="DZ7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Aurelie Rouzaut:</t>
        </r>
        <r>
          <rPr>
            <sz val="9"/>
            <color indexed="81"/>
            <rFont val="Tahoma"/>
            <family val="2"/>
          </rPr>
          <t xml:space="preserve">
Chiffre issus du pgm SIVAS/JCLRECAP pr la période du 2T2019, état 10213</t>
        </r>
      </text>
    </comment>
    <comment ref="EC7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Aurelie Rouzaut:</t>
        </r>
        <r>
          <rPr>
            <sz val="9"/>
            <color indexed="81"/>
            <rFont val="Tahoma"/>
            <family val="2"/>
          </rPr>
          <t xml:space="preserve">
Chiffres issus du prog SIVAS/JCLRECAP,état 10213, 3T2019</t>
        </r>
      </text>
    </comment>
    <comment ref="EF79" authorId="0" shapeId="0" xr:uid="{00000000-0006-0000-0000-000004000000}">
      <text>
        <r>
          <rPr>
            <sz val="9"/>
            <color indexed="81"/>
            <rFont val="Tahoma"/>
            <family val="2"/>
          </rPr>
          <t>Chiffres issus du prog SIVAS/JCLRECAP,état 10213</t>
        </r>
      </text>
    </comment>
    <comment ref="EI79" authorId="0" shapeId="0" xr:uid="{00000000-0006-0000-0000-000005000000}">
      <text>
        <r>
          <rPr>
            <sz val="9"/>
            <color indexed="81"/>
            <rFont val="Tahoma"/>
            <family val="2"/>
          </rPr>
          <t>Chiffres issus du prog SIVAS/JCLRECAP,état 10213</t>
        </r>
      </text>
    </comment>
    <comment ref="EU79" authorId="0" shapeId="0" xr:uid="{00000000-0006-0000-0000-000006000000}">
      <text>
        <r>
          <rPr>
            <sz val="9"/>
            <color indexed="81"/>
            <rFont val="Tahoma"/>
            <family val="2"/>
          </rPr>
          <t>Chiffres issus du prog SIVAS/JCLRECAP,état 10213</t>
        </r>
      </text>
    </comment>
    <comment ref="A8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Aurelie Rouzaut: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W8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Aurelie Rouzaut:</t>
        </r>
        <r>
          <rPr>
            <sz val="9"/>
            <color indexed="81"/>
            <rFont val="Tahoma"/>
            <family val="2"/>
          </rPr>
          <t xml:space="preserve">
Chiffres issus du pgm SIVAS/JCLRECAP, état 10262, année 2019 trim 1</t>
        </r>
      </text>
    </comment>
    <comment ref="DZ8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Aurelie Rouzaut:</t>
        </r>
        <r>
          <rPr>
            <sz val="9"/>
            <color indexed="81"/>
            <rFont val="Tahoma"/>
            <family val="2"/>
          </rPr>
          <t xml:space="preserve">
Chiffres issus du pgm SIVAS/JCLRECAP, état 10262, période: 2T2019</t>
        </r>
      </text>
    </comment>
    <comment ref="EC8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Aurelie Rouzaut:</t>
        </r>
        <r>
          <rPr>
            <sz val="9"/>
            <color indexed="81"/>
            <rFont val="Tahoma"/>
            <family val="2"/>
          </rPr>
          <t xml:space="preserve">
Chiffres issus du pgm SIVAS/JCLRECAP, état 10262, période: 3T2019
</t>
        </r>
      </text>
    </comment>
    <comment ref="EF86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Chiffres issus du pgm SIVAS/JCLRECAP, état 10262
</t>
        </r>
      </text>
    </comment>
    <comment ref="EI86" authorId="0" shapeId="0" xr:uid="{00000000-0006-0000-0000-00000C000000}">
      <text>
        <r>
          <rPr>
            <sz val="9"/>
            <color indexed="81"/>
            <rFont val="Tahoma"/>
            <family val="2"/>
          </rPr>
          <t xml:space="preserve">Chiffres issus du pgm SIVAS/JCLRECAP, état 10262
</t>
        </r>
      </text>
    </comment>
    <comment ref="EU86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Chiffres issus du pgm SIVAS/JCLRECAP, état 10262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FABRENA</author>
  </authors>
  <commentList>
    <comment ref="N17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FABRENA:</t>
        </r>
        <r>
          <rPr>
            <sz val="8"/>
            <color indexed="81"/>
            <rFont val="Tahoma"/>
            <family val="2"/>
          </rPr>
          <t xml:space="preserve">
forte évolution mais petits effectifs.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Ompressath Madivanane</author>
  </authors>
  <commentList>
    <comment ref="AM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Ompressath Madivanane:</t>
        </r>
        <r>
          <rPr>
            <sz val="9"/>
            <color indexed="81"/>
            <rFont val="Tahoma"/>
            <family val="2"/>
          </rPr>
          <t xml:space="preserve">
chiffres erroné car hors lura</t>
        </r>
      </text>
    </comment>
  </commentList>
</comments>
</file>

<file path=xl/sharedStrings.xml><?xml version="1.0" encoding="utf-8"?>
<sst xmlns="http://schemas.openxmlformats.org/spreadsheetml/2006/main" count="1276" uniqueCount="452">
  <si>
    <t>Hommes</t>
  </si>
  <si>
    <t>Femmes</t>
  </si>
  <si>
    <t>Droits directs seuls</t>
  </si>
  <si>
    <t>Droits dérivés seuls</t>
  </si>
  <si>
    <t>Droits directs et droits dérivés</t>
  </si>
  <si>
    <t>Ensemble</t>
  </si>
  <si>
    <t>Majoration pour conjoint à charge</t>
  </si>
  <si>
    <t>Majoration forfaitaire pour charge d'enfant</t>
  </si>
  <si>
    <t>Majoration pour tierce personne</t>
  </si>
  <si>
    <t>Allocation supplémentaire du FSV</t>
  </si>
  <si>
    <t>Majoration L814-2</t>
  </si>
  <si>
    <t>Allocation aux personnes agées ASPA</t>
  </si>
  <si>
    <t xml:space="preserve">Age moyen des pensionnés SA </t>
  </si>
  <si>
    <t>Durée de carrière SA parmi les droits directs</t>
  </si>
  <si>
    <t>Nombre moyen de trimestres salariés</t>
  </si>
  <si>
    <t>Situation au 31/12/2008</t>
  </si>
  <si>
    <t>Les bénéficiaires de compléments de pension</t>
  </si>
  <si>
    <t>Les retraites du Régime des Salariés Agricoles</t>
  </si>
  <si>
    <t>Bonification pour enfants</t>
  </si>
  <si>
    <t xml:space="preserve">Elements démographiques et financiers </t>
  </si>
  <si>
    <t>Situation au 31/03/2009</t>
  </si>
  <si>
    <t>Situation au 30/06/2009</t>
  </si>
  <si>
    <t>Situation au 30/09/2009</t>
  </si>
  <si>
    <t>Situation au 31/12/2009</t>
  </si>
  <si>
    <t>Situation au 31/12/2010</t>
  </si>
  <si>
    <t>Situation au 31/03/2010</t>
  </si>
  <si>
    <t>Situation au 30/06/2010</t>
  </si>
  <si>
    <t>Situation au 31/09/2010</t>
  </si>
  <si>
    <t>(Montants DP,DR et avantages complémentaires)</t>
  </si>
  <si>
    <t>(Montants Droits Propres, Droits Dérivés et avantages complémentaires)</t>
  </si>
  <si>
    <r>
      <t>Pensions moyennes annuelles par type de droits avec carrière complète de DP</t>
    </r>
    <r>
      <rPr>
        <sz val="9"/>
        <rFont val="Arial"/>
        <family val="2"/>
      </rPr>
      <t xml:space="preserve"> </t>
    </r>
  </si>
  <si>
    <t xml:space="preserve">Pensions moyennes annuelles par type de droits </t>
  </si>
  <si>
    <t>Droits personnels seuls</t>
  </si>
  <si>
    <t>Situation au 31/03/2011</t>
  </si>
  <si>
    <t>Situation au 30/06/2011</t>
  </si>
  <si>
    <t>changer titres</t>
  </si>
  <si>
    <t>coef de revalorisation des pensions</t>
  </si>
  <si>
    <t xml:space="preserve">Evolution annuelle pour l'ensemble </t>
  </si>
  <si>
    <t>4 T2008</t>
  </si>
  <si>
    <t>1 T 2009</t>
  </si>
  <si>
    <t>2 T 2009</t>
  </si>
  <si>
    <t>3 T 2009</t>
  </si>
  <si>
    <t>4 T 2009</t>
  </si>
  <si>
    <t>1 T 2010</t>
  </si>
  <si>
    <t>2 T 2010</t>
  </si>
  <si>
    <t>3 T 2010</t>
  </si>
  <si>
    <t>4 T 2010</t>
  </si>
  <si>
    <t>1 T 2011</t>
  </si>
  <si>
    <t>2 T 2011</t>
  </si>
  <si>
    <t>Différence</t>
  </si>
  <si>
    <t xml:space="preserve">différence en point </t>
  </si>
  <si>
    <t>$G $D</t>
  </si>
  <si>
    <t>$J $G</t>
  </si>
  <si>
    <t>$M $J</t>
  </si>
  <si>
    <t>$P $M</t>
  </si>
  <si>
    <t>$S $G</t>
  </si>
  <si>
    <t>$S $P</t>
  </si>
  <si>
    <t>$V $S</t>
  </si>
  <si>
    <t>$Y $V</t>
  </si>
  <si>
    <t>$AB $Y</t>
  </si>
  <si>
    <t>$AE $AB</t>
  </si>
  <si>
    <t>$AH $AE</t>
  </si>
  <si>
    <t>$P $D</t>
  </si>
  <si>
    <t>$V $J</t>
  </si>
  <si>
    <t>$Y $M</t>
  </si>
  <si>
    <t>$AB $P</t>
  </si>
  <si>
    <t>$AE $S</t>
  </si>
  <si>
    <t>$AH $V</t>
  </si>
  <si>
    <t>modifier dans formule  $xx en $x+3</t>
  </si>
  <si>
    <t>copier dernière colonne et changer date</t>
  </si>
  <si>
    <t>Effectifs</t>
  </si>
  <si>
    <t>reval</t>
  </si>
  <si>
    <t>différence en points par rapport au montant moyen</t>
  </si>
  <si>
    <t>Situation au 30/09/2011</t>
  </si>
  <si>
    <t>3 T 2011</t>
  </si>
  <si>
    <t>$AK $Y</t>
  </si>
  <si>
    <t>$AK $AH</t>
  </si>
  <si>
    <t>Attrib DP hors VFU (prg VFU et indic fin)</t>
  </si>
  <si>
    <t>% des 60 ans dans les attributions</t>
  </si>
  <si>
    <t>Attrib DP y c VFU( Int 10262)</t>
  </si>
  <si>
    <t>Attrib DP y c VFU( Int 10262) 60 ans</t>
  </si>
  <si>
    <t>Tableau 2 : Les bénéficiaires d'avantages complémentaires</t>
  </si>
  <si>
    <t>Situation au 31/12/2011</t>
  </si>
  <si>
    <t>4 T 2011</t>
  </si>
  <si>
    <t>$AN $AB</t>
  </si>
  <si>
    <t>$AN $AK</t>
  </si>
  <si>
    <t>Année</t>
  </si>
  <si>
    <t>Nouveaux retraités SA</t>
  </si>
  <si>
    <t>DR</t>
  </si>
  <si>
    <t>Nvx retraités SA de DP</t>
  </si>
  <si>
    <t>2T2010</t>
  </si>
  <si>
    <t>1T2010</t>
  </si>
  <si>
    <t>3T2010</t>
  </si>
  <si>
    <t>4T2010</t>
  </si>
  <si>
    <t>1T2011</t>
  </si>
  <si>
    <t>2T2011</t>
  </si>
  <si>
    <t>3T2011</t>
  </si>
  <si>
    <t>4T2011</t>
  </si>
  <si>
    <t>int 10213</t>
  </si>
  <si>
    <t>int 10262</t>
  </si>
  <si>
    <t>4T2008</t>
  </si>
  <si>
    <t>1T2009</t>
  </si>
  <si>
    <t>2T2009</t>
  </si>
  <si>
    <t>3T2009</t>
  </si>
  <si>
    <t>4T2009</t>
  </si>
  <si>
    <t>Situation au 31/03/2012</t>
  </si>
  <si>
    <t>1 T 2012</t>
  </si>
  <si>
    <t>$AQ $AN</t>
  </si>
  <si>
    <t>1T2012</t>
  </si>
  <si>
    <t>Situation au 30/06/2012</t>
  </si>
  <si>
    <t>$AQ $AE</t>
  </si>
  <si>
    <t>2 T 2012</t>
  </si>
  <si>
    <t>$AT $AH</t>
  </si>
  <si>
    <t>Voir REVAL</t>
  </si>
  <si>
    <t>$AT $AQ</t>
  </si>
  <si>
    <t>1T 2009</t>
  </si>
  <si>
    <t>1T 2010</t>
  </si>
  <si>
    <t>2T 2010</t>
  </si>
  <si>
    <t>3T 2010</t>
  </si>
  <si>
    <t>4T 2010</t>
  </si>
  <si>
    <t>1T 2011</t>
  </si>
  <si>
    <t>2T 2011</t>
  </si>
  <si>
    <t>3T 2011</t>
  </si>
  <si>
    <t>4T 2011</t>
  </si>
  <si>
    <t>1T 2012</t>
  </si>
  <si>
    <t>2T 2012</t>
  </si>
  <si>
    <t>Ensemble des retraités de droits propres</t>
  </si>
  <si>
    <t>Ensemble des retraités SA</t>
  </si>
  <si>
    <t>4T 2009</t>
  </si>
  <si>
    <t>4T 2008</t>
  </si>
  <si>
    <t>2T 2009</t>
  </si>
  <si>
    <t>3T 2009</t>
  </si>
  <si>
    <t>2T2012</t>
  </si>
  <si>
    <r>
      <t xml:space="preserve">Droits personnels seuls </t>
    </r>
    <r>
      <rPr>
        <sz val="9"/>
        <rFont val="Arial"/>
        <family val="2"/>
      </rPr>
      <t>*</t>
    </r>
  </si>
  <si>
    <t>Situation au 30/09/2012</t>
  </si>
  <si>
    <t>3 T 2012</t>
  </si>
  <si>
    <t>$AW $AK</t>
  </si>
  <si>
    <t>$AW $AT</t>
  </si>
  <si>
    <t>Situation au 31/12/2012</t>
  </si>
  <si>
    <t>Attributions (DP+DR) Int10262</t>
  </si>
  <si>
    <t>$AZ $AN</t>
  </si>
  <si>
    <t>4 T 2012</t>
  </si>
  <si>
    <t>4T 2012</t>
  </si>
  <si>
    <t>$AZ $AW</t>
  </si>
  <si>
    <t>Situation au 31/03/2013</t>
  </si>
  <si>
    <t>1 T 2013</t>
  </si>
  <si>
    <t>1T 2013</t>
  </si>
  <si>
    <t>$BC $AQ</t>
  </si>
  <si>
    <t>$BC $AZ</t>
  </si>
  <si>
    <t>Situation au 31/06/2013</t>
  </si>
  <si>
    <t>2 T 2013</t>
  </si>
  <si>
    <t>2T 2013</t>
  </si>
  <si>
    <t>$BF $AT</t>
  </si>
  <si>
    <t>$BF $BC</t>
  </si>
  <si>
    <t>Nombre de pensionnés SA par type de droits</t>
  </si>
  <si>
    <t>Age moyen des pensionnés SA par type de droits</t>
  </si>
  <si>
    <t>Durée moyenne de carrière SA parmi les droits directs</t>
  </si>
  <si>
    <t>Situation au 31/09/2013</t>
  </si>
  <si>
    <t>*Suppression des VFU courant 2T 2013</t>
  </si>
  <si>
    <t>3 T 2013</t>
  </si>
  <si>
    <t>3T 2013</t>
  </si>
  <si>
    <t>$BI $AW</t>
  </si>
  <si>
    <t>$BI $BF</t>
  </si>
  <si>
    <t>Situation au 31/12/2013</t>
  </si>
  <si>
    <t>4 T 2013</t>
  </si>
  <si>
    <t>4T 2013</t>
  </si>
  <si>
    <t>$BL $AZ</t>
  </si>
  <si>
    <t>$BL $BI</t>
  </si>
  <si>
    <t>1 T 2014</t>
  </si>
  <si>
    <t>1T 2014</t>
  </si>
  <si>
    <t>$BO $BC</t>
  </si>
  <si>
    <t>$BO $BL</t>
  </si>
  <si>
    <t>2 T 2014</t>
  </si>
  <si>
    <t>2T 2014</t>
  </si>
  <si>
    <t>Situation au 30/06/2014</t>
  </si>
  <si>
    <t>$BR $BF</t>
  </si>
  <si>
    <t>$BR $BO</t>
  </si>
  <si>
    <t>Situation au 30/09/2014</t>
  </si>
  <si>
    <t>3 T 2014</t>
  </si>
  <si>
    <t>$BU $BI</t>
  </si>
  <si>
    <t>Situation au 31/03/2014</t>
  </si>
  <si>
    <t>$BU $BR</t>
  </si>
  <si>
    <t>3T2012</t>
  </si>
  <si>
    <t>4T2012</t>
  </si>
  <si>
    <t>1T2013</t>
  </si>
  <si>
    <t>2T2013</t>
  </si>
  <si>
    <t>3T2013</t>
  </si>
  <si>
    <t>4T2013</t>
  </si>
  <si>
    <t>1T2014</t>
  </si>
  <si>
    <t>2T2014</t>
  </si>
  <si>
    <t>3T2014</t>
  </si>
  <si>
    <t>Situation au 31/12/2014</t>
  </si>
  <si>
    <t>3T 2014</t>
  </si>
  <si>
    <t>4 T 2014</t>
  </si>
  <si>
    <t>4T 2014</t>
  </si>
  <si>
    <t>$BX $BL</t>
  </si>
  <si>
    <t>$BX $BU</t>
  </si>
  <si>
    <t>Situation au 31/03/2015</t>
  </si>
  <si>
    <t>1 T 2015</t>
  </si>
  <si>
    <t>1T 2015</t>
  </si>
  <si>
    <t>$CA $BO</t>
  </si>
  <si>
    <t>$CA $BX</t>
  </si>
  <si>
    <t>Situation au 30/06/2015</t>
  </si>
  <si>
    <t>2 T 2015</t>
  </si>
  <si>
    <t>2T 2015</t>
  </si>
  <si>
    <t>Situation au 30/09/2015</t>
  </si>
  <si>
    <t>3 T 2015</t>
  </si>
  <si>
    <t>3T 2015</t>
  </si>
  <si>
    <t>$CG$BU</t>
  </si>
  <si>
    <t>Situation au 31/12/2015</t>
  </si>
  <si>
    <t>4 T 2015</t>
  </si>
  <si>
    <t>4T 2015</t>
  </si>
  <si>
    <t>$CJ$BX</t>
  </si>
  <si>
    <t>$CJ $CG</t>
  </si>
  <si>
    <t>Situation au 31/03/2016</t>
  </si>
  <si>
    <t>Attrib DP et DR ( Int 10213)</t>
  </si>
  <si>
    <t>Attrib DP y compris VFU</t>
  </si>
  <si>
    <t>Attrib DP hors VFU</t>
  </si>
  <si>
    <t>EDI</t>
  </si>
  <si>
    <t>1 T 2016</t>
  </si>
  <si>
    <t>1T 2016</t>
  </si>
  <si>
    <t>$CM$CA</t>
  </si>
  <si>
    <t>$CM $CJ</t>
  </si>
  <si>
    <t>Situation au 30/06/2016</t>
  </si>
  <si>
    <t>2 T 2016</t>
  </si>
  <si>
    <t>2T 2016</t>
  </si>
  <si>
    <t>Attrib DP+DR 60 ans</t>
  </si>
  <si>
    <t>Situation au 30/09/2016</t>
  </si>
  <si>
    <t>3 T 2016</t>
  </si>
  <si>
    <t>$CS$CG</t>
  </si>
  <si>
    <t>$CS $CM</t>
  </si>
  <si>
    <t>$CG$BR</t>
  </si>
  <si>
    <t>$CG $CA</t>
  </si>
  <si>
    <t>$CG $CG</t>
  </si>
  <si>
    <t>$CS $CP</t>
  </si>
  <si>
    <t>4 T 2016</t>
  </si>
  <si>
    <t>$CV$CJ</t>
  </si>
  <si>
    <t>$CV $CS</t>
  </si>
  <si>
    <t>Situation au 31/12/2016</t>
  </si>
  <si>
    <t>Situation au 31/03/2017</t>
  </si>
  <si>
    <t>1 T 2017</t>
  </si>
  <si>
    <t>$CY$CM</t>
  </si>
  <si>
    <t>$CY $CV</t>
  </si>
  <si>
    <t xml:space="preserve"> </t>
  </si>
  <si>
    <t>Nombre de retraités anticipés</t>
  </si>
  <si>
    <t>Durée moyenne de carrière SA parmi les droits personnels (polypensionnés)</t>
  </si>
  <si>
    <t>Pensions moyennes annuelles des polypensionnés</t>
  </si>
  <si>
    <t>Situation au 30/06/2017</t>
  </si>
  <si>
    <t>2 T 2017</t>
  </si>
  <si>
    <t>$DB$CP</t>
  </si>
  <si>
    <t>$DB $CY</t>
  </si>
  <si>
    <t>3 T 2017</t>
  </si>
  <si>
    <t>$DE$CS</t>
  </si>
  <si>
    <t>$DE $DB</t>
  </si>
  <si>
    <t>Situation au 30/09/2017</t>
  </si>
  <si>
    <t>Situation au 31/12/2017</t>
  </si>
  <si>
    <t>4 T 2017</t>
  </si>
  <si>
    <t>$DH$CV</t>
  </si>
  <si>
    <t>$DH $DE</t>
  </si>
  <si>
    <t>Situation au 31/03/2018</t>
  </si>
  <si>
    <t>1 T 2018</t>
  </si>
  <si>
    <t>$DK$CY</t>
  </si>
  <si>
    <t>$DK $DH</t>
  </si>
  <si>
    <t>1T 2018</t>
  </si>
  <si>
    <t>Part en %</t>
  </si>
  <si>
    <t>Rapport F/H</t>
  </si>
  <si>
    <t>Tous salariés</t>
  </si>
  <si>
    <t>Pensions moyennes annuelles tous salariés DP</t>
  </si>
  <si>
    <t>Situation au 30/06/2018</t>
  </si>
  <si>
    <t>2 T 2018</t>
  </si>
  <si>
    <t>$DN$DB</t>
  </si>
  <si>
    <t>2T 2018</t>
  </si>
  <si>
    <t>$DN $DK</t>
  </si>
  <si>
    <t>Situation au 30/09/2018</t>
  </si>
  <si>
    <t>3 T 2018</t>
  </si>
  <si>
    <t>3T 2018</t>
  </si>
  <si>
    <t>Situation au 31/12/2018</t>
  </si>
  <si>
    <t>4T 2018</t>
  </si>
  <si>
    <t>4 T 2018</t>
  </si>
  <si>
    <t>Situation au 31/03/2019</t>
  </si>
  <si>
    <t>1T 2019</t>
  </si>
  <si>
    <t>1 T 2019</t>
  </si>
  <si>
    <t>$DT $DQ</t>
  </si>
  <si>
    <t>$DQ $DN</t>
  </si>
  <si>
    <t>$DW $DT</t>
  </si>
  <si>
    <t>$DQ $DE</t>
  </si>
  <si>
    <t>$DT $DH</t>
  </si>
  <si>
    <t>$DW $DK</t>
  </si>
  <si>
    <t>Tableau 1 : Nombre de pensionnés SA par type de droits</t>
  </si>
  <si>
    <t>Tableau 3 : Pensions moyennes annuelles par type de droits</t>
  </si>
  <si>
    <t xml:space="preserve">Tableau 4 : Age moyen des pensionnés SA par type de droits </t>
  </si>
  <si>
    <t>Droits de réversion seuls</t>
  </si>
  <si>
    <t>Tableau 6 : Durée moyenne de carrière SA parmi les droits personnels</t>
  </si>
  <si>
    <t>Droits personnels et droits de réversion</t>
  </si>
  <si>
    <t>Tableau 8 : Pensions moyennes annuelles par type de droits avec carrière complète de droits personnels</t>
  </si>
  <si>
    <t>Montants droits personnels, droits de réversion et avantages complémentaires</t>
  </si>
  <si>
    <t>Tableau 9 : Nombre de pensionnés ayant bénéficié d'un départ anticipé à la retraite</t>
  </si>
  <si>
    <t>Nombre moyen de trimestres tous salariés</t>
  </si>
  <si>
    <t>Tableau 10 : Durée moyenne de carrière de salarié agricole parmi les droits personnels</t>
  </si>
  <si>
    <t>Tableau 11 : Pensions moyennes annuelles des droits personnels</t>
  </si>
  <si>
    <t>modifier Date dans titre</t>
  </si>
  <si>
    <t>modifier Dans formule col B C D F G H !xx en !x+3</t>
  </si>
  <si>
    <t>Les retraites du régime des Salariés Agricoles (SA)</t>
  </si>
  <si>
    <t>Situation au 30/06/2019</t>
  </si>
  <si>
    <t>2T 2019</t>
  </si>
  <si>
    <t>2 T 2019</t>
  </si>
  <si>
    <t>Nombre d'individus</t>
  </si>
  <si>
    <t>Nombre de droits</t>
  </si>
  <si>
    <t>Situation au 30/09/2019</t>
  </si>
  <si>
    <t>3T 2019</t>
  </si>
  <si>
    <t>3 T 2019</t>
  </si>
  <si>
    <t>$DZ $DW</t>
  </si>
  <si>
    <t>$EC $DZ</t>
  </si>
  <si>
    <t>$DZ $DN</t>
  </si>
  <si>
    <t>$EC $DQ</t>
  </si>
  <si>
    <t>4 T 2019</t>
  </si>
  <si>
    <t>Situation au 31/12/2019</t>
  </si>
  <si>
    <t>4T 2019</t>
  </si>
  <si>
    <t>Situation au 31/03/2020</t>
  </si>
  <si>
    <t>1T 2020</t>
  </si>
  <si>
    <t>$EF $EC</t>
  </si>
  <si>
    <t>$EI $EF</t>
  </si>
  <si>
    <t>$EI $DW</t>
  </si>
  <si>
    <t>Situation au 30/06/2020</t>
  </si>
  <si>
    <t>2T 2020</t>
  </si>
  <si>
    <t>1 T 2020</t>
  </si>
  <si>
    <t>2 T 2020</t>
  </si>
  <si>
    <t>3T 2020</t>
  </si>
  <si>
    <t>3 T 2020</t>
  </si>
  <si>
    <t>Situation au 30/09/2020</t>
  </si>
  <si>
    <t>$EF $DT</t>
  </si>
  <si>
    <t>$EL $DZ</t>
  </si>
  <si>
    <t>$EO $EC</t>
  </si>
  <si>
    <t>Situation au 31/12/2020</t>
  </si>
  <si>
    <t>4T 2020</t>
  </si>
  <si>
    <t>4 T 2020</t>
  </si>
  <si>
    <t>Situation au 31/03/2021</t>
  </si>
  <si>
    <t>$EL $EI</t>
  </si>
  <si>
    <t>$EO $EL</t>
  </si>
  <si>
    <t>$ER $EO</t>
  </si>
  <si>
    <t>1T 2021</t>
  </si>
  <si>
    <t>$EU $ER</t>
  </si>
  <si>
    <t>$ER $EF</t>
  </si>
  <si>
    <t>$EU $EI</t>
  </si>
  <si>
    <t>Situation au 30/06/2021</t>
  </si>
  <si>
    <t>2T 2021</t>
  </si>
  <si>
    <t>à mettre à jour</t>
  </si>
  <si>
    <t>$EX $EL</t>
  </si>
  <si>
    <t>1 T 2021</t>
  </si>
  <si>
    <t>2 T 2021</t>
  </si>
  <si>
    <t>Situation au 30/09/2021</t>
  </si>
  <si>
    <t>$EX $EU</t>
  </si>
  <si>
    <t>$FA $EX</t>
  </si>
  <si>
    <t>$FA $EO</t>
  </si>
  <si>
    <t>Situation au 31/12/2021</t>
  </si>
  <si>
    <t>3T 2021</t>
  </si>
  <si>
    <t>4T 2021</t>
  </si>
  <si>
    <t>$FD $FA</t>
  </si>
  <si>
    <t>3 T 2021</t>
  </si>
  <si>
    <t>Situation au 31/03/2022</t>
  </si>
  <si>
    <t>1T 2022</t>
  </si>
  <si>
    <t>$FG $FD</t>
  </si>
  <si>
    <t>$FD $ER</t>
  </si>
  <si>
    <t>$FG $EU</t>
  </si>
  <si>
    <t>Situation au 30/06/2022</t>
  </si>
  <si>
    <t>2T 2022</t>
  </si>
  <si>
    <t>$FJ $FG</t>
  </si>
  <si>
    <t>$FJ $EX</t>
  </si>
  <si>
    <t>$FM $FJ</t>
  </si>
  <si>
    <t>$FM $FA</t>
  </si>
  <si>
    <t>Situation au 30/09/2022</t>
  </si>
  <si>
    <t>3T 2022</t>
  </si>
  <si>
    <t>Situation au 31/12/2022</t>
  </si>
  <si>
    <t>Nouvelle méthode d'extraction</t>
  </si>
  <si>
    <t>Nouvelle méthode d'extraction
avec carrière complète DP SA</t>
  </si>
  <si>
    <t>4T 2022</t>
  </si>
  <si>
    <t>avec carrière complète de DP SA</t>
  </si>
  <si>
    <r>
      <t xml:space="preserve">Part de retraités ayant validés des trimestres dans un autre régime parmi les droits directs </t>
    </r>
    <r>
      <rPr>
        <sz val="9"/>
        <rFont val="Arial"/>
        <family val="2"/>
      </rPr>
      <t>(trimestres SA &lt; trimestres nécessaires à l'ouverture du droit)</t>
    </r>
  </si>
  <si>
    <t>Pensions moyennes annuelles des retraités ayant validés des trimestres dans un autre régime</t>
  </si>
  <si>
    <t>Durée moyenne de carrière SA parmi les droits personnels (retraités ayant validés des trimestres dans un autre régime)</t>
  </si>
  <si>
    <r>
      <t xml:space="preserve">Part de retraités ayant validés des trimestres dans un autre régime parmi les droits directs </t>
    </r>
    <r>
      <rPr>
        <sz val="9"/>
        <rFont val="Arial"/>
        <family val="2"/>
      </rPr>
      <t>((trimestres SA &lt; trimestres nécessaires à l'ouverture du droit)</t>
    </r>
  </si>
  <si>
    <t>Part</t>
  </si>
  <si>
    <t>Nombre moyen de trimestres salariés ayant validés des trimestres dans un autre régime</t>
  </si>
  <si>
    <t>Retraités ayant validés des trimestres dans un autre régime</t>
  </si>
  <si>
    <t>Tableau 5 : Part de retraités ayant validés des trimestres dans un autre régime parmi les droits personnels (trimestres SA &lt; trimestres nécessaires à l'ouverture du droit)</t>
  </si>
  <si>
    <t>Situation au 31/03/2023</t>
  </si>
  <si>
    <t>1T 2023</t>
  </si>
  <si>
    <t>$FP $FM</t>
  </si>
  <si>
    <t>$FS $FP</t>
  </si>
  <si>
    <t>$FP $FD</t>
  </si>
  <si>
    <t>$FS $FG</t>
  </si>
  <si>
    <r>
      <t xml:space="preserve">Nombre de pensionnés par type de droits avec carrière complète de DP </t>
    </r>
    <r>
      <rPr>
        <sz val="9"/>
        <rFont val="Arial"/>
        <family val="2"/>
      </rPr>
      <t>(nombre de trimestres SA &gt;= 150 jusqu'au 3T 2021, ensuite carrière complète)</t>
    </r>
  </si>
  <si>
    <r>
      <t xml:space="preserve">Nombre de pensionnés par type de droits avec carrière complète de DP </t>
    </r>
    <r>
      <rPr>
        <sz val="9"/>
        <rFont val="Arial"/>
        <family val="2"/>
      </rPr>
      <t>(trimestres SA &gt;= 150 jusqu'au 3T 2021, ensuite carrière complète)</t>
    </r>
  </si>
  <si>
    <t>Tableau 7 : Nombre de pensionnés par type de droits avec carrière complète de droits personnels (nombre de trimestres validés au régime des salariés agricoles &gt;= 150 trimestres jusqu'au 3T 2021, ensuite carrière complète)</t>
  </si>
  <si>
    <t>2T 2023</t>
  </si>
  <si>
    <t>$FV $FS</t>
  </si>
  <si>
    <t>$FV $FJ</t>
  </si>
  <si>
    <t>Situation au 30/09/2023</t>
  </si>
  <si>
    <t>Situation au 30/06/2023</t>
  </si>
  <si>
    <t>3T 2023</t>
  </si>
  <si>
    <t>$FY $FV</t>
  </si>
  <si>
    <t>$FY $FM</t>
  </si>
  <si>
    <t>Toute carrière - Nombre de pensionnés SA par type de droits</t>
  </si>
  <si>
    <t>Droits directs (=droits propres)</t>
  </si>
  <si>
    <t>Droits dérivés (=droits de réversion)</t>
  </si>
  <si>
    <t xml:space="preserve">Toute carrière - Pensions moyennes annuelles par type de droits </t>
  </si>
  <si>
    <r>
      <t xml:space="preserve">Carrière complete - Nombre de pensionnés par type de droits avec carrière complète de DP </t>
    </r>
    <r>
      <rPr>
        <sz val="9"/>
        <rFont val="Arial"/>
        <family val="2"/>
      </rPr>
      <t>(nombre de trimestres SA &gt;= 150 jusqu'au 3T 2021, ensuite carrière complète)</t>
    </r>
  </si>
  <si>
    <r>
      <t>Carrière complète - Pensions moyennes annuelles par type de droits avec carrière complète de DP</t>
    </r>
    <r>
      <rPr>
        <sz val="9"/>
        <rFont val="Arial"/>
        <family val="2"/>
      </rPr>
      <t xml:space="preserve"> </t>
    </r>
  </si>
  <si>
    <t>4T 2023</t>
  </si>
  <si>
    <t>Situation au 31/12/2023</t>
  </si>
  <si>
    <t>$GB $FY</t>
  </si>
  <si>
    <t>$GB $FP</t>
  </si>
  <si>
    <t>!FZ</t>
  </si>
  <si>
    <t>!GA</t>
  </si>
  <si>
    <t>!GB</t>
  </si>
  <si>
    <t>Situation au 31/03/2024</t>
  </si>
  <si>
    <t>$GE $GB</t>
  </si>
  <si>
    <t>1T 2024</t>
  </si>
  <si>
    <t>$GE $FS</t>
  </si>
  <si>
    <t>Situation au 30/06/2024</t>
  </si>
  <si>
    <t>$GH $GE</t>
  </si>
  <si>
    <t>2T 2024</t>
  </si>
  <si>
    <t>$GH $FV</t>
  </si>
  <si>
    <t>Situation au 30/09/2024</t>
  </si>
  <si>
    <t>3T 2024</t>
  </si>
  <si>
    <t>$GK $GH</t>
  </si>
  <si>
    <t>$GK $FY</t>
  </si>
  <si>
    <t>Situation au 31/12/2024</t>
  </si>
  <si>
    <t>Eléments démographiques et financiers de l'ensemble des retraités au 31 décembre 2024</t>
  </si>
  <si>
    <t>Situation en 2024 - T4</t>
  </si>
  <si>
    <t>Evolution T4 - 2024 / T4 - 2023</t>
  </si>
  <si>
    <t>$GN $GK</t>
  </si>
  <si>
    <t>4T 2024</t>
  </si>
  <si>
    <t>$GN $GB</t>
  </si>
  <si>
    <t>!GL</t>
  </si>
  <si>
    <t>!GM</t>
  </si>
  <si>
    <t>!GN</t>
  </si>
  <si>
    <t>clerc.marie-laure@ccmsa.msa.fr</t>
  </si>
  <si>
    <t>Réalisé par Marie-Laure CLERC :</t>
  </si>
  <si>
    <t>Service "Retraite"</t>
  </si>
  <si>
    <t>odiot.sebastien@ccmsa.msa.fr</t>
  </si>
  <si>
    <t>joubert.nadia@ccmsa.msa.fr</t>
  </si>
  <si>
    <t>Nadia JOUBERT</t>
  </si>
  <si>
    <r>
      <t>Directrice de la publication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:</t>
    </r>
  </si>
  <si>
    <t>DIRECTION DELEGUEE AUX POLITIQUES SOCIALES</t>
  </si>
  <si>
    <t>au 31 décembre 2024</t>
  </si>
  <si>
    <t>Les retraites du régime des salariés agricoles</t>
  </si>
  <si>
    <t>Tableau de bord</t>
  </si>
  <si>
    <t>Septembre 2025</t>
  </si>
  <si>
    <t>Direction des Statistiques et de la Science des données</t>
  </si>
  <si>
    <t>Département Analyses et prévisions des prestations sociales</t>
  </si>
  <si>
    <t>hengel.audrey@ccmsa.msa.fr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</si>
</sst>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_-* #,##0\ &quot;€&quot;_-;\-* #,##0\ &quot;€&quot;_-;_-* &quot;-&quot;??\ &quot;€&quot;_-;_-@_-"/>
    <numFmt numFmtId="167" formatCode="#,##0.0"/>
    <numFmt numFmtId="168" formatCode="0.00\p\t"/>
    <numFmt numFmtId="169" formatCode="0.0"/>
    <numFmt numFmtId="170" formatCode="_-* #,##0\ _€_-;\-* #,##0\ _€_-;_-* &quot;-&quot;??\ _€_-;_-@_-"/>
    <numFmt numFmtId="171" formatCode="0.0\p\t"/>
    <numFmt numFmtId="172" formatCode="#,##0\ &quot;€&quot;"/>
  </numFmts>
  <fonts count="4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i/>
      <sz val="9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10"/>
      <color indexed="12"/>
      <name val="Arial"/>
      <family val="2"/>
    </font>
    <font>
      <i/>
      <sz val="9"/>
      <color indexed="1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i/>
      <sz val="9"/>
      <color rgb="FFFF000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3333FF"/>
      <name val="Arial"/>
      <family val="2"/>
    </font>
    <font>
      <b/>
      <sz val="9"/>
      <color rgb="FF3333FF"/>
      <name val="Arial"/>
      <family val="2"/>
    </font>
    <font>
      <b/>
      <sz val="10"/>
      <color rgb="FF3333FF"/>
      <name val="Arial"/>
      <family val="2"/>
    </font>
    <font>
      <sz val="9"/>
      <color rgb="FF3333FF"/>
      <name val="Arial"/>
      <family val="2"/>
    </font>
    <font>
      <sz val="14"/>
      <color rgb="FF336600"/>
      <name val="Arial"/>
      <family val="2"/>
    </font>
    <font>
      <b/>
      <sz val="9"/>
      <color rgb="FF336600"/>
      <name val="Arial"/>
      <family val="2"/>
    </font>
    <font>
      <b/>
      <sz val="10"/>
      <color rgb="FF336600"/>
      <name val="Arial"/>
      <family val="2"/>
    </font>
    <font>
      <sz val="9"/>
      <color rgb="FF336600"/>
      <name val="Arial"/>
      <family val="2"/>
    </font>
    <font>
      <u/>
      <sz val="10"/>
      <color theme="10"/>
      <name val="Arial"/>
      <family val="2"/>
    </font>
    <font>
      <u/>
      <sz val="16"/>
      <color theme="10"/>
      <name val="Arial"/>
      <family val="2"/>
    </font>
    <font>
      <u/>
      <sz val="12"/>
      <color theme="1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24"/>
      <color rgb="FF008000"/>
      <name val="Arial"/>
      <family val="2"/>
    </font>
    <font>
      <b/>
      <sz val="14"/>
      <color rgb="FF0070C0"/>
      <name val="Arial"/>
      <family val="2"/>
    </font>
    <font>
      <sz val="14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 style="thick">
        <color rgb="FF0070C0"/>
      </left>
      <right/>
      <top style="thick">
        <color rgb="FF0070C0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494">
    <xf numFmtId="0" fontId="0" fillId="0" borderId="0" xfId="0"/>
    <xf numFmtId="0" fontId="3" fillId="0" borderId="0" xfId="0" applyFont="1" applyBorder="1"/>
    <xf numFmtId="0" fontId="4" fillId="0" borderId="0" xfId="0" applyFont="1" applyFill="1" applyBorder="1" applyAlignment="1">
      <alignment horizontal="right"/>
    </xf>
    <xf numFmtId="0" fontId="5" fillId="0" borderId="0" xfId="0" applyFont="1" applyBorder="1"/>
    <xf numFmtId="0" fontId="6" fillId="0" borderId="0" xfId="0" applyFont="1"/>
    <xf numFmtId="0" fontId="6" fillId="0" borderId="4" xfId="0" applyFont="1" applyBorder="1"/>
    <xf numFmtId="0" fontId="6" fillId="0" borderId="10" xfId="0" applyFont="1" applyBorder="1"/>
    <xf numFmtId="3" fontId="6" fillId="0" borderId="11" xfId="0" applyNumberFormat="1" applyFont="1" applyBorder="1"/>
    <xf numFmtId="3" fontId="6" fillId="0" borderId="12" xfId="0" applyNumberFormat="1" applyFont="1" applyBorder="1"/>
    <xf numFmtId="3" fontId="6" fillId="0" borderId="13" xfId="0" applyNumberFormat="1" applyFont="1" applyBorder="1"/>
    <xf numFmtId="0" fontId="6" fillId="0" borderId="14" xfId="0" applyFont="1" applyBorder="1"/>
    <xf numFmtId="3" fontId="6" fillId="0" borderId="1" xfId="0" applyNumberFormat="1" applyFont="1" applyBorder="1"/>
    <xf numFmtId="3" fontId="6" fillId="0" borderId="2" xfId="0" applyNumberFormat="1" applyFont="1" applyBorder="1"/>
    <xf numFmtId="3" fontId="6" fillId="0" borderId="3" xfId="0" applyNumberFormat="1" applyFont="1" applyBorder="1"/>
    <xf numFmtId="0" fontId="6" fillId="0" borderId="0" xfId="0" applyFont="1" applyBorder="1"/>
    <xf numFmtId="3" fontId="6" fillId="0" borderId="0" xfId="0" applyNumberFormat="1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6" fontId="6" fillId="0" borderId="11" xfId="1" applyNumberFormat="1" applyFont="1" applyBorder="1"/>
    <xf numFmtId="166" fontId="6" fillId="0" borderId="12" xfId="1" applyNumberFormat="1" applyFont="1" applyBorder="1"/>
    <xf numFmtId="166" fontId="6" fillId="0" borderId="15" xfId="1" applyNumberFormat="1" applyFont="1" applyBorder="1"/>
    <xf numFmtId="166" fontId="6" fillId="0" borderId="1" xfId="1" applyNumberFormat="1" applyFont="1" applyBorder="1"/>
    <xf numFmtId="166" fontId="6" fillId="0" borderId="2" xfId="1" applyNumberFormat="1" applyFont="1" applyBorder="1"/>
    <xf numFmtId="166" fontId="6" fillId="0" borderId="16" xfId="1" applyNumberFormat="1" applyFont="1" applyBorder="1"/>
    <xf numFmtId="166" fontId="6" fillId="0" borderId="0" xfId="1" applyNumberFormat="1" applyFont="1" applyBorder="1"/>
    <xf numFmtId="167" fontId="6" fillId="0" borderId="11" xfId="0" applyNumberFormat="1" applyFont="1" applyBorder="1" applyAlignment="1">
      <alignment horizontal="center"/>
    </xf>
    <xf numFmtId="167" fontId="6" fillId="0" borderId="12" xfId="0" applyNumberFormat="1" applyFont="1" applyBorder="1" applyAlignment="1">
      <alignment horizontal="center"/>
    </xf>
    <xf numFmtId="167" fontId="6" fillId="0" borderId="15" xfId="0" applyNumberFormat="1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167" fontId="6" fillId="0" borderId="16" xfId="0" applyNumberFormat="1" applyFont="1" applyBorder="1" applyAlignment="1">
      <alignment horizontal="center"/>
    </xf>
    <xf numFmtId="0" fontId="6" fillId="0" borderId="17" xfId="0" applyFont="1" applyBorder="1"/>
    <xf numFmtId="0" fontId="5" fillId="0" borderId="0" xfId="0" applyFont="1"/>
    <xf numFmtId="165" fontId="6" fillId="0" borderId="0" xfId="3" applyNumberFormat="1" applyFont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10" fontId="5" fillId="0" borderId="0" xfId="3" applyNumberFormat="1" applyFont="1" applyBorder="1"/>
    <xf numFmtId="166" fontId="6" fillId="0" borderId="13" xfId="1" applyNumberFormat="1" applyFont="1" applyBorder="1"/>
    <xf numFmtId="166" fontId="6" fillId="0" borderId="3" xfId="1" applyNumberFormat="1" applyFont="1" applyBorder="1"/>
    <xf numFmtId="167" fontId="6" fillId="0" borderId="13" xfId="0" applyNumberFormat="1" applyFont="1" applyBorder="1" applyAlignment="1">
      <alignment horizontal="center"/>
    </xf>
    <xf numFmtId="167" fontId="6" fillId="0" borderId="3" xfId="0" applyNumberFormat="1" applyFont="1" applyBorder="1" applyAlignment="1">
      <alignment horizontal="center"/>
    </xf>
    <xf numFmtId="0" fontId="6" fillId="0" borderId="23" xfId="0" applyFont="1" applyBorder="1"/>
    <xf numFmtId="10" fontId="6" fillId="0" borderId="1" xfId="3" applyNumberFormat="1" applyFont="1" applyBorder="1"/>
    <xf numFmtId="10" fontId="6" fillId="0" borderId="2" xfId="3" applyNumberFormat="1" applyFont="1" applyBorder="1"/>
    <xf numFmtId="10" fontId="6" fillId="0" borderId="3" xfId="3" applyNumberFormat="1" applyFont="1" applyBorder="1"/>
    <xf numFmtId="10" fontId="6" fillId="0" borderId="16" xfId="3" applyNumberFormat="1" applyFont="1" applyBorder="1"/>
    <xf numFmtId="2" fontId="6" fillId="0" borderId="0" xfId="0" applyNumberFormat="1" applyFont="1" applyBorder="1"/>
    <xf numFmtId="4" fontId="6" fillId="0" borderId="1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4" fontId="6" fillId="0" borderId="16" xfId="0" applyNumberFormat="1" applyFont="1" applyBorder="1" applyAlignment="1">
      <alignment horizontal="center"/>
    </xf>
    <xf numFmtId="10" fontId="5" fillId="0" borderId="0" xfId="3" applyNumberFormat="1" applyFont="1"/>
    <xf numFmtId="2" fontId="6" fillId="0" borderId="0" xfId="0" applyNumberFormat="1" applyFont="1"/>
    <xf numFmtId="169" fontId="6" fillId="0" borderId="0" xfId="0" applyNumberFormat="1" applyFont="1"/>
    <xf numFmtId="0" fontId="8" fillId="2" borderId="0" xfId="0" applyFont="1" applyFill="1"/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10" fontId="6" fillId="0" borderId="0" xfId="3" applyNumberFormat="1" applyFont="1" applyBorder="1" applyAlignment="1">
      <alignment horizontal="center"/>
    </xf>
    <xf numFmtId="169" fontId="6" fillId="0" borderId="0" xfId="3" applyNumberFormat="1" applyFont="1" applyBorder="1" applyAlignment="1">
      <alignment horizontal="center"/>
    </xf>
    <xf numFmtId="168" fontId="6" fillId="0" borderId="0" xfId="3" applyNumberFormat="1" applyFont="1" applyBorder="1" applyAlignment="1">
      <alignment horizontal="center"/>
    </xf>
    <xf numFmtId="10" fontId="6" fillId="0" borderId="0" xfId="3" applyNumberFormat="1" applyFont="1" applyBorder="1"/>
    <xf numFmtId="165" fontId="5" fillId="0" borderId="0" xfId="3" applyNumberFormat="1" applyFont="1" applyBorder="1"/>
    <xf numFmtId="166" fontId="6" fillId="0" borderId="0" xfId="0" applyNumberFormat="1" applyFont="1"/>
    <xf numFmtId="0" fontId="9" fillId="0" borderId="0" xfId="0" applyFont="1" applyBorder="1"/>
    <xf numFmtId="0" fontId="6" fillId="0" borderId="12" xfId="0" applyFont="1" applyBorder="1"/>
    <xf numFmtId="3" fontId="6" fillId="0" borderId="0" xfId="0" applyNumberFormat="1" applyFont="1"/>
    <xf numFmtId="165" fontId="6" fillId="0" borderId="12" xfId="3" applyNumberFormat="1" applyFont="1" applyBorder="1"/>
    <xf numFmtId="169" fontId="6" fillId="0" borderId="12" xfId="3" applyNumberFormat="1" applyFont="1" applyBorder="1"/>
    <xf numFmtId="2" fontId="6" fillId="0" borderId="12" xfId="3" applyNumberFormat="1" applyFont="1" applyBorder="1"/>
    <xf numFmtId="0" fontId="10" fillId="0" borderId="0" xfId="0" applyFont="1" applyBorder="1"/>
    <xf numFmtId="0" fontId="11" fillId="0" borderId="0" xfId="0" applyFont="1"/>
    <xf numFmtId="0" fontId="11" fillId="2" borderId="0" xfId="0" applyFont="1" applyFill="1"/>
    <xf numFmtId="165" fontId="6" fillId="3" borderId="12" xfId="3" applyNumberFormat="1" applyFont="1" applyFill="1" applyBorder="1"/>
    <xf numFmtId="10" fontId="6" fillId="0" borderId="12" xfId="3" applyNumberFormat="1" applyFont="1" applyBorder="1"/>
    <xf numFmtId="0" fontId="10" fillId="0" borderId="0" xfId="0" applyFont="1"/>
    <xf numFmtId="0" fontId="5" fillId="3" borderId="0" xfId="0" applyFont="1" applyFill="1"/>
    <xf numFmtId="0" fontId="9" fillId="3" borderId="0" xfId="0" applyFont="1" applyFill="1" applyBorder="1"/>
    <xf numFmtId="4" fontId="6" fillId="0" borderId="0" xfId="0" applyNumberFormat="1" applyFont="1"/>
    <xf numFmtId="3" fontId="0" fillId="0" borderId="0" xfId="0" applyNumberFormat="1"/>
    <xf numFmtId="3" fontId="12" fillId="0" borderId="0" xfId="0" applyNumberFormat="1" applyFont="1"/>
    <xf numFmtId="165" fontId="6" fillId="4" borderId="12" xfId="3" applyNumberFormat="1" applyFont="1" applyFill="1" applyBorder="1"/>
    <xf numFmtId="1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70" fontId="0" fillId="0" borderId="0" xfId="2" applyNumberFormat="1" applyFont="1"/>
    <xf numFmtId="170" fontId="0" fillId="0" borderId="0" xfId="0" applyNumberFormat="1"/>
    <xf numFmtId="9" fontId="0" fillId="0" borderId="0" xfId="3" applyFont="1"/>
    <xf numFmtId="165" fontId="0" fillId="0" borderId="0" xfId="3" applyNumberFormat="1" applyFont="1"/>
    <xf numFmtId="0" fontId="15" fillId="0" borderId="0" xfId="0" applyFont="1"/>
    <xf numFmtId="2" fontId="15" fillId="0" borderId="0" xfId="0" applyNumberFormat="1" applyFont="1"/>
    <xf numFmtId="0" fontId="16" fillId="0" borderId="0" xfId="0" applyFont="1"/>
    <xf numFmtId="0" fontId="17" fillId="0" borderId="0" xfId="0" applyFont="1"/>
    <xf numFmtId="3" fontId="11" fillId="0" borderId="0" xfId="0" applyNumberFormat="1" applyFont="1"/>
    <xf numFmtId="0" fontId="6" fillId="2" borderId="0" xfId="0" applyFont="1" applyFill="1"/>
    <xf numFmtId="0" fontId="9" fillId="0" borderId="0" xfId="0" applyFont="1"/>
    <xf numFmtId="2" fontId="11" fillId="0" borderId="0" xfId="0" applyNumberFormat="1" applyFont="1"/>
    <xf numFmtId="0" fontId="18" fillId="0" borderId="0" xfId="0" applyFont="1"/>
    <xf numFmtId="3" fontId="10" fillId="0" borderId="0" xfId="0" applyNumberFormat="1" applyFont="1" applyBorder="1"/>
    <xf numFmtId="3" fontId="10" fillId="0" borderId="0" xfId="0" applyNumberFormat="1" applyFont="1"/>
    <xf numFmtId="165" fontId="10" fillId="0" borderId="0" xfId="3" applyNumberFormat="1" applyFont="1"/>
    <xf numFmtId="170" fontId="0" fillId="0" borderId="0" xfId="2" applyNumberFormat="1" applyFont="1" applyAlignment="1">
      <alignment horizontal="center"/>
    </xf>
    <xf numFmtId="0" fontId="0" fillId="0" borderId="12" xfId="0" applyBorder="1" applyAlignment="1">
      <alignment horizontal="center"/>
    </xf>
    <xf numFmtId="170" fontId="0" fillId="0" borderId="12" xfId="2" applyNumberFormat="1" applyFont="1" applyBorder="1" applyAlignment="1">
      <alignment horizontal="center"/>
    </xf>
    <xf numFmtId="165" fontId="0" fillId="0" borderId="12" xfId="3" applyNumberFormat="1" applyFont="1" applyBorder="1" applyAlignment="1">
      <alignment horizontal="center"/>
    </xf>
    <xf numFmtId="0" fontId="0" fillId="0" borderId="12" xfId="0" applyBorder="1"/>
    <xf numFmtId="0" fontId="10" fillId="0" borderId="0" xfId="0" applyFont="1" applyFill="1"/>
    <xf numFmtId="0" fontId="19" fillId="0" borderId="0" xfId="0" applyFont="1"/>
    <xf numFmtId="3" fontId="20" fillId="0" borderId="3" xfId="0" applyNumberFormat="1" applyFont="1" applyBorder="1"/>
    <xf numFmtId="0" fontId="22" fillId="0" borderId="0" xfId="0" applyFont="1" applyBorder="1"/>
    <xf numFmtId="0" fontId="23" fillId="0" borderId="0" xfId="0" applyFont="1"/>
    <xf numFmtId="3" fontId="19" fillId="0" borderId="0" xfId="0" applyNumberFormat="1" applyFont="1"/>
    <xf numFmtId="0" fontId="1" fillId="0" borderId="0" xfId="0" applyFont="1"/>
    <xf numFmtId="0" fontId="21" fillId="0" borderId="0" xfId="0" applyFont="1" applyBorder="1" applyAlignment="1">
      <alignment horizontal="center"/>
    </xf>
    <xf numFmtId="0" fontId="10" fillId="5" borderId="0" xfId="0" applyFont="1" applyFill="1"/>
    <xf numFmtId="3" fontId="10" fillId="5" borderId="0" xfId="0" applyNumberFormat="1" applyFont="1" applyFill="1" applyBorder="1"/>
    <xf numFmtId="3" fontId="10" fillId="5" borderId="0" xfId="0" applyNumberFormat="1" applyFont="1" applyFill="1"/>
    <xf numFmtId="165" fontId="10" fillId="5" borderId="0" xfId="3" applyNumberFormat="1" applyFont="1" applyFill="1"/>
    <xf numFmtId="165" fontId="6" fillId="6" borderId="12" xfId="3" applyNumberFormat="1" applyFont="1" applyFill="1" applyBorder="1"/>
    <xf numFmtId="3" fontId="1" fillId="0" borderId="0" xfId="0" applyNumberFormat="1" applyFont="1"/>
    <xf numFmtId="3" fontId="0" fillId="0" borderId="0" xfId="3" applyNumberFormat="1" applyFont="1"/>
    <xf numFmtId="0" fontId="1" fillId="0" borderId="40" xfId="0" applyFont="1" applyFill="1" applyBorder="1" applyAlignment="1">
      <alignment horizontal="center"/>
    </xf>
    <xf numFmtId="0" fontId="6" fillId="0" borderId="0" xfId="0" applyFont="1" applyFill="1"/>
    <xf numFmtId="165" fontId="6" fillId="0" borderId="0" xfId="3" applyNumberFormat="1" applyFont="1" applyFill="1"/>
    <xf numFmtId="0" fontId="5" fillId="0" borderId="0" xfId="0" applyFont="1" applyFill="1" applyBorder="1"/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3" fontId="6" fillId="0" borderId="11" xfId="0" applyNumberFormat="1" applyFont="1" applyFill="1" applyBorder="1"/>
    <xf numFmtId="3" fontId="6" fillId="0" borderId="12" xfId="0" applyNumberFormat="1" applyFont="1" applyFill="1" applyBorder="1"/>
    <xf numFmtId="3" fontId="6" fillId="0" borderId="13" xfId="0" applyNumberFormat="1" applyFont="1" applyFill="1" applyBorder="1"/>
    <xf numFmtId="3" fontId="6" fillId="0" borderId="1" xfId="0" applyNumberFormat="1" applyFont="1" applyFill="1" applyBorder="1"/>
    <xf numFmtId="3" fontId="6" fillId="0" borderId="2" xfId="0" applyNumberFormat="1" applyFont="1" applyFill="1" applyBorder="1"/>
    <xf numFmtId="3" fontId="6" fillId="0" borderId="3" xfId="0" applyNumberFormat="1" applyFont="1" applyFill="1" applyBorder="1"/>
    <xf numFmtId="10" fontId="5" fillId="0" borderId="0" xfId="3" applyNumberFormat="1" applyFont="1" applyFill="1" applyBorder="1"/>
    <xf numFmtId="10" fontId="6" fillId="0" borderId="0" xfId="3" applyNumberFormat="1" applyFont="1" applyFill="1" applyBorder="1"/>
    <xf numFmtId="3" fontId="6" fillId="0" borderId="0" xfId="0" applyNumberFormat="1" applyFont="1" applyFill="1"/>
    <xf numFmtId="166" fontId="6" fillId="0" borderId="11" xfId="1" applyNumberFormat="1" applyFont="1" applyFill="1" applyBorder="1"/>
    <xf numFmtId="166" fontId="6" fillId="0" borderId="12" xfId="1" applyNumberFormat="1" applyFont="1" applyFill="1" applyBorder="1"/>
    <xf numFmtId="166" fontId="6" fillId="0" borderId="13" xfId="1" applyNumberFormat="1" applyFont="1" applyFill="1" applyBorder="1"/>
    <xf numFmtId="166" fontId="6" fillId="0" borderId="1" xfId="1" applyNumberFormat="1" applyFont="1" applyFill="1" applyBorder="1"/>
    <xf numFmtId="166" fontId="6" fillId="0" borderId="2" xfId="1" applyNumberFormat="1" applyFont="1" applyFill="1" applyBorder="1"/>
    <xf numFmtId="166" fontId="6" fillId="0" borderId="3" xfId="1" applyNumberFormat="1" applyFont="1" applyFill="1" applyBorder="1"/>
    <xf numFmtId="167" fontId="6" fillId="0" borderId="11" xfId="0" applyNumberFormat="1" applyFont="1" applyFill="1" applyBorder="1" applyAlignment="1">
      <alignment horizontal="center"/>
    </xf>
    <xf numFmtId="167" fontId="6" fillId="0" borderId="12" xfId="0" applyNumberFormat="1" applyFont="1" applyFill="1" applyBorder="1" applyAlignment="1">
      <alignment horizontal="center"/>
    </xf>
    <xf numFmtId="167" fontId="6" fillId="0" borderId="13" xfId="0" applyNumberFormat="1" applyFont="1" applyFill="1" applyBorder="1" applyAlignment="1">
      <alignment horizontal="center"/>
    </xf>
    <xf numFmtId="167" fontId="6" fillId="0" borderId="1" xfId="0" applyNumberFormat="1" applyFont="1" applyFill="1" applyBorder="1" applyAlignment="1">
      <alignment horizontal="center"/>
    </xf>
    <xf numFmtId="167" fontId="6" fillId="0" borderId="2" xfId="0" applyNumberFormat="1" applyFont="1" applyFill="1" applyBorder="1" applyAlignment="1">
      <alignment horizontal="center"/>
    </xf>
    <xf numFmtId="167" fontId="6" fillId="0" borderId="3" xfId="0" applyNumberFormat="1" applyFont="1" applyFill="1" applyBorder="1" applyAlignment="1">
      <alignment horizontal="center"/>
    </xf>
    <xf numFmtId="10" fontId="6" fillId="0" borderId="1" xfId="3" applyNumberFormat="1" applyFont="1" applyFill="1" applyBorder="1"/>
    <xf numFmtId="10" fontId="6" fillId="0" borderId="2" xfId="3" applyNumberFormat="1" applyFont="1" applyFill="1" applyBorder="1"/>
    <xf numFmtId="10" fontId="6" fillId="0" borderId="3" xfId="3" applyNumberFormat="1" applyFont="1" applyFill="1" applyBorder="1"/>
    <xf numFmtId="2" fontId="6" fillId="0" borderId="0" xfId="0" applyNumberFormat="1" applyFont="1" applyFill="1" applyBorder="1"/>
    <xf numFmtId="2" fontId="6" fillId="0" borderId="0" xfId="0" applyNumberFormat="1" applyFont="1" applyFill="1"/>
    <xf numFmtId="4" fontId="6" fillId="0" borderId="1" xfId="0" applyNumberFormat="1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center"/>
    </xf>
    <xf numFmtId="4" fontId="6" fillId="0" borderId="3" xfId="0" applyNumberFormat="1" applyFont="1" applyFill="1" applyBorder="1" applyAlignment="1">
      <alignment horizontal="center"/>
    </xf>
    <xf numFmtId="165" fontId="5" fillId="0" borderId="0" xfId="3" applyNumberFormat="1" applyFont="1" applyFill="1" applyBorder="1"/>
    <xf numFmtId="10" fontId="5" fillId="0" borderId="0" xfId="3" applyNumberFormat="1" applyFont="1" applyFill="1"/>
    <xf numFmtId="3" fontId="10" fillId="0" borderId="0" xfId="0" applyNumberFormat="1" applyFont="1" applyFill="1" applyBorder="1"/>
    <xf numFmtId="3" fontId="10" fillId="0" borderId="0" xfId="0" applyNumberFormat="1" applyFont="1" applyFill="1"/>
    <xf numFmtId="165" fontId="10" fillId="0" borderId="0" xfId="3" applyNumberFormat="1" applyFont="1" applyFill="1"/>
    <xf numFmtId="0" fontId="23" fillId="0" borderId="0" xfId="0" applyFont="1" applyFill="1"/>
    <xf numFmtId="0" fontId="5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6" fillId="0" borderId="14" xfId="0" applyNumberFormat="1" applyFont="1" applyBorder="1" applyAlignment="1"/>
    <xf numFmtId="3" fontId="6" fillId="0" borderId="43" xfId="0" applyNumberFormat="1" applyFont="1" applyBorder="1" applyAlignment="1"/>
    <xf numFmtId="3" fontId="6" fillId="0" borderId="31" xfId="0" applyNumberFormat="1" applyFont="1" applyBorder="1" applyAlignment="1"/>
    <xf numFmtId="4" fontId="6" fillId="0" borderId="14" xfId="0" applyNumberFormat="1" applyFont="1" applyBorder="1" applyAlignment="1"/>
    <xf numFmtId="4" fontId="6" fillId="0" borderId="43" xfId="0" applyNumberFormat="1" applyFont="1" applyBorder="1" applyAlignment="1"/>
    <xf numFmtId="4" fontId="6" fillId="0" borderId="31" xfId="0" applyNumberFormat="1" applyFont="1" applyBorder="1" applyAlignment="1"/>
    <xf numFmtId="165" fontId="6" fillId="0" borderId="12" xfId="0" applyNumberFormat="1" applyFont="1" applyBorder="1"/>
    <xf numFmtId="0" fontId="1" fillId="0" borderId="12" xfId="0" applyFont="1" applyBorder="1"/>
    <xf numFmtId="166" fontId="6" fillId="0" borderId="31" xfId="4" applyNumberFormat="1" applyFont="1" applyBorder="1" applyAlignment="1"/>
    <xf numFmtId="1" fontId="6" fillId="0" borderId="0" xfId="0" applyNumberFormat="1" applyFont="1" applyFill="1"/>
    <xf numFmtId="167" fontId="6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justify"/>
    </xf>
    <xf numFmtId="3" fontId="6" fillId="0" borderId="0" xfId="0" applyNumberFormat="1" applyFont="1" applyBorder="1" applyAlignment="1"/>
    <xf numFmtId="166" fontId="6" fillId="0" borderId="0" xfId="4" applyNumberFormat="1" applyFont="1" applyBorder="1" applyAlignment="1"/>
    <xf numFmtId="3" fontId="6" fillId="0" borderId="42" xfId="0" applyNumberFormat="1" applyFont="1" applyFill="1" applyBorder="1"/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3" fontId="6" fillId="0" borderId="31" xfId="0" applyNumberFormat="1" applyFont="1" applyFill="1" applyBorder="1" applyAlignment="1"/>
    <xf numFmtId="4" fontId="6" fillId="0" borderId="31" xfId="0" applyNumberFormat="1" applyFont="1" applyFill="1" applyBorder="1" applyAlignment="1"/>
    <xf numFmtId="3" fontId="6" fillId="0" borderId="0" xfId="0" applyNumberFormat="1" applyFont="1" applyFill="1" applyBorder="1" applyAlignment="1">
      <alignment horizontal="center"/>
    </xf>
    <xf numFmtId="166" fontId="6" fillId="0" borderId="31" xfId="4" applyNumberFormat="1" applyFont="1" applyFill="1" applyBorder="1" applyAlignment="1"/>
    <xf numFmtId="3" fontId="6" fillId="0" borderId="14" xfId="0" applyNumberFormat="1" applyFont="1" applyFill="1" applyBorder="1" applyAlignment="1"/>
    <xf numFmtId="3" fontId="6" fillId="0" borderId="43" xfId="0" applyNumberFormat="1" applyFont="1" applyFill="1" applyBorder="1" applyAlignment="1"/>
    <xf numFmtId="4" fontId="6" fillId="0" borderId="14" xfId="0" applyNumberFormat="1" applyFont="1" applyFill="1" applyBorder="1" applyAlignment="1"/>
    <xf numFmtId="4" fontId="6" fillId="0" borderId="43" xfId="0" applyNumberFormat="1" applyFont="1" applyFill="1" applyBorder="1" applyAlignment="1"/>
    <xf numFmtId="0" fontId="6" fillId="0" borderId="12" xfId="0" applyFont="1" applyFill="1" applyBorder="1"/>
    <xf numFmtId="164" fontId="6" fillId="0" borderId="0" xfId="2" applyFont="1" applyFill="1"/>
    <xf numFmtId="0" fontId="6" fillId="5" borderId="0" xfId="0" applyFont="1" applyFill="1"/>
    <xf numFmtId="0" fontId="6" fillId="5" borderId="1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3" fontId="6" fillId="5" borderId="11" xfId="0" applyNumberFormat="1" applyFont="1" applyFill="1" applyBorder="1"/>
    <xf numFmtId="3" fontId="6" fillId="5" borderId="12" xfId="0" applyNumberFormat="1" applyFont="1" applyFill="1" applyBorder="1"/>
    <xf numFmtId="3" fontId="6" fillId="5" borderId="13" xfId="0" applyNumberFormat="1" applyFont="1" applyFill="1" applyBorder="1"/>
    <xf numFmtId="3" fontId="6" fillId="5" borderId="1" xfId="0" applyNumberFormat="1" applyFont="1" applyFill="1" applyBorder="1"/>
    <xf numFmtId="3" fontId="6" fillId="5" borderId="2" xfId="0" applyNumberFormat="1" applyFont="1" applyFill="1" applyBorder="1"/>
    <xf numFmtId="3" fontId="6" fillId="5" borderId="3" xfId="0" applyNumberFormat="1" applyFont="1" applyFill="1" applyBorder="1"/>
    <xf numFmtId="166" fontId="6" fillId="5" borderId="11" xfId="1" applyNumberFormat="1" applyFont="1" applyFill="1" applyBorder="1"/>
    <xf numFmtId="166" fontId="6" fillId="5" borderId="12" xfId="1" applyNumberFormat="1" applyFont="1" applyFill="1" applyBorder="1"/>
    <xf numFmtId="166" fontId="6" fillId="5" borderId="13" xfId="1" applyNumberFormat="1" applyFont="1" applyFill="1" applyBorder="1"/>
    <xf numFmtId="166" fontId="6" fillId="5" borderId="1" xfId="1" applyNumberFormat="1" applyFont="1" applyFill="1" applyBorder="1"/>
    <xf numFmtId="166" fontId="6" fillId="5" borderId="2" xfId="1" applyNumberFormat="1" applyFont="1" applyFill="1" applyBorder="1"/>
    <xf numFmtId="166" fontId="6" fillId="5" borderId="3" xfId="1" applyNumberFormat="1" applyFont="1" applyFill="1" applyBorder="1"/>
    <xf numFmtId="167" fontId="6" fillId="5" borderId="11" xfId="0" applyNumberFormat="1" applyFont="1" applyFill="1" applyBorder="1" applyAlignment="1">
      <alignment horizontal="center"/>
    </xf>
    <xf numFmtId="167" fontId="6" fillId="5" borderId="12" xfId="0" applyNumberFormat="1" applyFont="1" applyFill="1" applyBorder="1" applyAlignment="1">
      <alignment horizontal="center"/>
    </xf>
    <xf numFmtId="167" fontId="6" fillId="5" borderId="13" xfId="0" applyNumberFormat="1" applyFont="1" applyFill="1" applyBorder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167" fontId="6" fillId="5" borderId="2" xfId="0" applyNumberFormat="1" applyFont="1" applyFill="1" applyBorder="1" applyAlignment="1">
      <alignment horizontal="center"/>
    </xf>
    <xf numFmtId="167" fontId="6" fillId="5" borderId="3" xfId="0" applyNumberFormat="1" applyFont="1" applyFill="1" applyBorder="1" applyAlignment="1">
      <alignment horizontal="center"/>
    </xf>
    <xf numFmtId="10" fontId="6" fillId="5" borderId="1" xfId="3" applyNumberFormat="1" applyFont="1" applyFill="1" applyBorder="1"/>
    <xf numFmtId="10" fontId="6" fillId="5" borderId="2" xfId="3" applyNumberFormat="1" applyFont="1" applyFill="1" applyBorder="1"/>
    <xf numFmtId="10" fontId="6" fillId="5" borderId="3" xfId="3" applyNumberFormat="1" applyFont="1" applyFill="1" applyBorder="1"/>
    <xf numFmtId="2" fontId="6" fillId="5" borderId="0" xfId="0" applyNumberFormat="1" applyFont="1" applyFill="1" applyBorder="1"/>
    <xf numFmtId="2" fontId="6" fillId="5" borderId="0" xfId="0" applyNumberFormat="1" applyFont="1" applyFill="1"/>
    <xf numFmtId="4" fontId="6" fillId="5" borderId="1" xfId="0" applyNumberFormat="1" applyFont="1" applyFill="1" applyBorder="1" applyAlignment="1">
      <alignment horizontal="center"/>
    </xf>
    <xf numFmtId="4" fontId="6" fillId="5" borderId="2" xfId="0" applyNumberFormat="1" applyFont="1" applyFill="1" applyBorder="1" applyAlignment="1">
      <alignment horizontal="center"/>
    </xf>
    <xf numFmtId="4" fontId="6" fillId="5" borderId="3" xfId="0" applyNumberFormat="1" applyFont="1" applyFill="1" applyBorder="1" applyAlignment="1">
      <alignment horizontal="center"/>
    </xf>
    <xf numFmtId="10" fontId="5" fillId="5" borderId="0" xfId="3" applyNumberFormat="1" applyFont="1" applyFill="1"/>
    <xf numFmtId="1" fontId="6" fillId="5" borderId="0" xfId="0" applyNumberFormat="1" applyFont="1" applyFill="1"/>
    <xf numFmtId="3" fontId="6" fillId="5" borderId="14" xfId="0" applyNumberFormat="1" applyFont="1" applyFill="1" applyBorder="1" applyAlignment="1"/>
    <xf numFmtId="3" fontId="6" fillId="5" borderId="43" xfId="0" applyNumberFormat="1" applyFont="1" applyFill="1" applyBorder="1" applyAlignment="1"/>
    <xf numFmtId="3" fontId="6" fillId="5" borderId="31" xfId="0" applyNumberFormat="1" applyFont="1" applyFill="1" applyBorder="1" applyAlignment="1"/>
    <xf numFmtId="4" fontId="6" fillId="5" borderId="14" xfId="0" applyNumberFormat="1" applyFont="1" applyFill="1" applyBorder="1" applyAlignment="1"/>
    <xf numFmtId="4" fontId="6" fillId="5" borderId="43" xfId="0" applyNumberFormat="1" applyFont="1" applyFill="1" applyBorder="1" applyAlignment="1"/>
    <xf numFmtId="4" fontId="6" fillId="5" borderId="31" xfId="0" applyNumberFormat="1" applyFont="1" applyFill="1" applyBorder="1" applyAlignment="1"/>
    <xf numFmtId="166" fontId="6" fillId="5" borderId="31" xfId="4" applyNumberFormat="1" applyFont="1" applyFill="1" applyBorder="1" applyAlignment="1"/>
    <xf numFmtId="3" fontId="6" fillId="5" borderId="0" xfId="0" applyNumberFormat="1" applyFont="1" applyFill="1" applyBorder="1" applyAlignment="1">
      <alignment horizontal="center"/>
    </xf>
    <xf numFmtId="165" fontId="6" fillId="5" borderId="0" xfId="3" applyNumberFormat="1" applyFont="1" applyFill="1"/>
    <xf numFmtId="3" fontId="6" fillId="5" borderId="0" xfId="0" applyNumberFormat="1" applyFont="1" applyFill="1"/>
    <xf numFmtId="0" fontId="6" fillId="7" borderId="0" xfId="0" applyFont="1" applyFill="1"/>
    <xf numFmtId="0" fontId="11" fillId="7" borderId="0" xfId="0" applyFont="1" applyFill="1"/>
    <xf numFmtId="0" fontId="19" fillId="7" borderId="0" xfId="0" applyFont="1" applyFill="1"/>
    <xf numFmtId="3" fontId="6" fillId="7" borderId="0" xfId="0" applyNumberFormat="1" applyFont="1" applyFill="1"/>
    <xf numFmtId="0" fontId="27" fillId="7" borderId="0" xfId="0" applyFont="1" applyFill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7" borderId="0" xfId="0" applyFont="1" applyFill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6" fillId="6" borderId="0" xfId="0" applyFont="1" applyFill="1"/>
    <xf numFmtId="0" fontId="19" fillId="6" borderId="0" xfId="0" applyFont="1" applyFill="1"/>
    <xf numFmtId="0" fontId="5" fillId="6" borderId="0" xfId="0" applyFont="1" applyFill="1"/>
    <xf numFmtId="0" fontId="6" fillId="6" borderId="12" xfId="0" applyFont="1" applyFill="1" applyBorder="1"/>
    <xf numFmtId="169" fontId="6" fillId="6" borderId="12" xfId="3" applyNumberFormat="1" applyFont="1" applyFill="1" applyBorder="1"/>
    <xf numFmtId="2" fontId="6" fillId="6" borderId="12" xfId="3" applyNumberFormat="1" applyFont="1" applyFill="1" applyBorder="1"/>
    <xf numFmtId="165" fontId="6" fillId="6" borderId="12" xfId="0" applyNumberFormat="1" applyFont="1" applyFill="1" applyBorder="1"/>
    <xf numFmtId="0" fontId="19" fillId="0" borderId="0" xfId="0" applyFont="1" applyFill="1"/>
    <xf numFmtId="0" fontId="5" fillId="0" borderId="0" xfId="0" applyFont="1" applyFill="1"/>
    <xf numFmtId="165" fontId="6" fillId="0" borderId="12" xfId="3" applyNumberFormat="1" applyFont="1" applyFill="1" applyBorder="1"/>
    <xf numFmtId="169" fontId="6" fillId="0" borderId="12" xfId="3" applyNumberFormat="1" applyFont="1" applyFill="1" applyBorder="1"/>
    <xf numFmtId="2" fontId="6" fillId="0" borderId="12" xfId="3" applyNumberFormat="1" applyFont="1" applyFill="1" applyBorder="1"/>
    <xf numFmtId="165" fontId="6" fillId="0" borderId="12" xfId="0" applyNumberFormat="1" applyFont="1" applyFill="1" applyBorder="1"/>
    <xf numFmtId="165" fontId="6" fillId="5" borderId="0" xfId="0" applyNumberFormat="1" applyFont="1" applyFill="1"/>
    <xf numFmtId="0" fontId="19" fillId="0" borderId="57" xfId="0" applyFont="1" applyFill="1" applyBorder="1" applyAlignment="1">
      <alignment horizontal="center"/>
    </xf>
    <xf numFmtId="0" fontId="21" fillId="0" borderId="5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Fill="1"/>
    <xf numFmtId="0" fontId="1" fillId="2" borderId="0" xfId="0" applyFont="1" applyFill="1"/>
    <xf numFmtId="0" fontId="19" fillId="5" borderId="0" xfId="0" applyFont="1" applyFill="1"/>
    <xf numFmtId="0" fontId="5" fillId="5" borderId="0" xfId="0" applyFont="1" applyFill="1"/>
    <xf numFmtId="0" fontId="6" fillId="5" borderId="12" xfId="0" applyFont="1" applyFill="1" applyBorder="1"/>
    <xf numFmtId="165" fontId="6" fillId="5" borderId="12" xfId="3" applyNumberFormat="1" applyFont="1" applyFill="1" applyBorder="1"/>
    <xf numFmtId="169" fontId="6" fillId="5" borderId="12" xfId="3" applyNumberFormat="1" applyFont="1" applyFill="1" applyBorder="1"/>
    <xf numFmtId="2" fontId="6" fillId="5" borderId="12" xfId="3" applyNumberFormat="1" applyFont="1" applyFill="1" applyBorder="1"/>
    <xf numFmtId="0" fontId="6" fillId="8" borderId="0" xfId="0" applyFont="1" applyFill="1"/>
    <xf numFmtId="10" fontId="6" fillId="8" borderId="1" xfId="3" applyNumberFormat="1" applyFont="1" applyFill="1" applyBorder="1"/>
    <xf numFmtId="3" fontId="6" fillId="8" borderId="11" xfId="0" applyNumberFormat="1" applyFont="1" applyFill="1" applyBorder="1"/>
    <xf numFmtId="3" fontId="6" fillId="8" borderId="12" xfId="0" applyNumberFormat="1" applyFont="1" applyFill="1" applyBorder="1"/>
    <xf numFmtId="3" fontId="6" fillId="8" borderId="13" xfId="0" applyNumberFormat="1" applyFont="1" applyFill="1" applyBorder="1"/>
    <xf numFmtId="3" fontId="6" fillId="8" borderId="1" xfId="0" applyNumberFormat="1" applyFont="1" applyFill="1" applyBorder="1"/>
    <xf numFmtId="3" fontId="6" fillId="8" borderId="2" xfId="0" applyNumberFormat="1" applyFont="1" applyFill="1" applyBorder="1"/>
    <xf numFmtId="3" fontId="6" fillId="8" borderId="3" xfId="0" applyNumberFormat="1" applyFont="1" applyFill="1" applyBorder="1"/>
    <xf numFmtId="10" fontId="5" fillId="8" borderId="0" xfId="3" applyNumberFormat="1" applyFont="1" applyFill="1"/>
    <xf numFmtId="166" fontId="6" fillId="8" borderId="11" xfId="1" applyNumberFormat="1" applyFont="1" applyFill="1" applyBorder="1"/>
    <xf numFmtId="166" fontId="6" fillId="8" borderId="12" xfId="1" applyNumberFormat="1" applyFont="1" applyFill="1" applyBorder="1"/>
    <xf numFmtId="166" fontId="6" fillId="8" borderId="13" xfId="1" applyNumberFormat="1" applyFont="1" applyFill="1" applyBorder="1"/>
    <xf numFmtId="166" fontId="6" fillId="8" borderId="1" xfId="1" applyNumberFormat="1" applyFont="1" applyFill="1" applyBorder="1"/>
    <xf numFmtId="166" fontId="6" fillId="8" borderId="2" xfId="1" applyNumberFormat="1" applyFont="1" applyFill="1" applyBorder="1"/>
    <xf numFmtId="166" fontId="6" fillId="8" borderId="3" xfId="1" applyNumberFormat="1" applyFont="1" applyFill="1" applyBorder="1"/>
    <xf numFmtId="1" fontId="6" fillId="8" borderId="0" xfId="0" applyNumberFormat="1" applyFont="1" applyFill="1"/>
    <xf numFmtId="4" fontId="6" fillId="8" borderId="31" xfId="0" applyNumberFormat="1" applyFont="1" applyFill="1" applyBorder="1" applyAlignment="1"/>
    <xf numFmtId="166" fontId="6" fillId="8" borderId="31" xfId="4" applyNumberFormat="1" applyFont="1" applyFill="1" applyBorder="1" applyAlignment="1"/>
    <xf numFmtId="3" fontId="6" fillId="0" borderId="0" xfId="0" applyNumberFormat="1" applyFont="1" applyFill="1" applyBorder="1"/>
    <xf numFmtId="0" fontId="6" fillId="0" borderId="0" xfId="0" applyFont="1" applyFill="1" applyBorder="1"/>
    <xf numFmtId="2" fontId="6" fillId="8" borderId="12" xfId="3" applyNumberFormat="1" applyFont="1" applyFill="1" applyBorder="1"/>
    <xf numFmtId="0" fontId="5" fillId="8" borderId="0" xfId="0" applyFont="1" applyFill="1"/>
    <xf numFmtId="165" fontId="6" fillId="8" borderId="12" xfId="3" applyNumberFormat="1" applyFont="1" applyFill="1" applyBorder="1"/>
    <xf numFmtId="165" fontId="6" fillId="8" borderId="12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3" fontId="6" fillId="0" borderId="37" xfId="0" applyNumberFormat="1" applyFont="1" applyFill="1" applyBorder="1"/>
    <xf numFmtId="3" fontId="6" fillId="0" borderId="5" xfId="0" applyNumberFormat="1" applyFont="1" applyFill="1" applyBorder="1"/>
    <xf numFmtId="3" fontId="6" fillId="0" borderId="18" xfId="0" applyNumberFormat="1" applyFont="1" applyFill="1" applyBorder="1"/>
    <xf numFmtId="165" fontId="6" fillId="0" borderId="20" xfId="3" applyNumberFormat="1" applyFont="1" applyFill="1" applyBorder="1" applyAlignment="1">
      <alignment horizontal="center"/>
    </xf>
    <xf numFmtId="165" fontId="6" fillId="0" borderId="48" xfId="3" applyNumberFormat="1" applyFont="1" applyFill="1" applyBorder="1" applyAlignment="1">
      <alignment horizontal="center"/>
    </xf>
    <xf numFmtId="9" fontId="6" fillId="0" borderId="49" xfId="3" applyNumberFormat="1" applyFont="1" applyFill="1" applyBorder="1" applyAlignment="1">
      <alignment horizontal="center"/>
    </xf>
    <xf numFmtId="165" fontId="6" fillId="0" borderId="5" xfId="3" applyNumberFormat="1" applyFont="1" applyFill="1" applyBorder="1" applyAlignment="1">
      <alignment horizontal="center"/>
    </xf>
    <xf numFmtId="165" fontId="6" fillId="0" borderId="8" xfId="3" applyNumberFormat="1" applyFont="1" applyFill="1" applyBorder="1" applyAlignment="1">
      <alignment horizontal="center"/>
    </xf>
    <xf numFmtId="165" fontId="6" fillId="0" borderId="9" xfId="3" applyNumberFormat="1" applyFont="1" applyFill="1" applyBorder="1" applyAlignment="1">
      <alignment horizontal="center"/>
    </xf>
    <xf numFmtId="165" fontId="6" fillId="0" borderId="1" xfId="3" applyNumberFormat="1" applyFont="1" applyFill="1" applyBorder="1" applyAlignment="1">
      <alignment horizontal="center"/>
    </xf>
    <xf numFmtId="165" fontId="6" fillId="0" borderId="30" xfId="3" applyNumberFormat="1" applyFont="1" applyFill="1" applyBorder="1" applyAlignment="1">
      <alignment horizontal="center"/>
    </xf>
    <xf numFmtId="165" fontId="6" fillId="0" borderId="31" xfId="3" applyNumberFormat="1" applyFont="1" applyFill="1" applyBorder="1" applyAlignment="1">
      <alignment horizontal="center"/>
    </xf>
    <xf numFmtId="3" fontId="6" fillId="0" borderId="20" xfId="0" applyNumberFormat="1" applyFont="1" applyFill="1" applyBorder="1"/>
    <xf numFmtId="3" fontId="6" fillId="0" borderId="48" xfId="0" applyNumberFormat="1" applyFont="1" applyFill="1" applyBorder="1"/>
    <xf numFmtId="3" fontId="6" fillId="0" borderId="49" xfId="0" applyNumberFormat="1" applyFont="1" applyFill="1" applyBorder="1"/>
    <xf numFmtId="165" fontId="6" fillId="0" borderId="49" xfId="3" applyNumberFormat="1" applyFont="1" applyFill="1" applyBorder="1" applyAlignment="1">
      <alignment horizontal="center"/>
    </xf>
    <xf numFmtId="165" fontId="6" fillId="0" borderId="6" xfId="3" applyNumberFormat="1" applyFont="1" applyFill="1" applyBorder="1" applyAlignment="1">
      <alignment horizontal="center"/>
    </xf>
    <xf numFmtId="165" fontId="6" fillId="0" borderId="7" xfId="3" applyNumberFormat="1" applyFont="1" applyFill="1" applyBorder="1" applyAlignment="1">
      <alignment horizontal="center"/>
    </xf>
    <xf numFmtId="165" fontId="6" fillId="0" borderId="2" xfId="3" applyNumberFormat="1" applyFont="1" applyFill="1" applyBorder="1" applyAlignment="1">
      <alignment horizontal="center"/>
    </xf>
    <xf numFmtId="165" fontId="6" fillId="0" borderId="3" xfId="3" applyNumberFormat="1" applyFont="1" applyFill="1" applyBorder="1" applyAlignment="1">
      <alignment horizontal="center"/>
    </xf>
    <xf numFmtId="166" fontId="6" fillId="0" borderId="37" xfId="1" applyNumberFormat="1" applyFont="1" applyFill="1" applyBorder="1"/>
    <xf numFmtId="166" fontId="6" fillId="0" borderId="4" xfId="1" applyNumberFormat="1" applyFont="1" applyFill="1" applyBorder="1"/>
    <xf numFmtId="166" fontId="6" fillId="0" borderId="5" xfId="1" applyNumberFormat="1" applyFont="1" applyFill="1" applyBorder="1"/>
    <xf numFmtId="166" fontId="6" fillId="0" borderId="50" xfId="1" applyNumberFormat="1" applyFont="1" applyFill="1" applyBorder="1"/>
    <xf numFmtId="166" fontId="6" fillId="0" borderId="18" xfId="1" applyNumberFormat="1" applyFont="1" applyFill="1" applyBorder="1"/>
    <xf numFmtId="166" fontId="6" fillId="0" borderId="51" xfId="1" applyNumberFormat="1" applyFont="1" applyFill="1" applyBorder="1"/>
    <xf numFmtId="165" fontId="6" fillId="0" borderId="33" xfId="3" applyNumberFormat="1" applyFont="1" applyFill="1" applyBorder="1" applyAlignment="1">
      <alignment horizontal="center"/>
    </xf>
    <xf numFmtId="165" fontId="6" fillId="0" borderId="29" xfId="3" applyNumberFormat="1" applyFont="1" applyFill="1" applyBorder="1" applyAlignment="1">
      <alignment horizontal="center"/>
    </xf>
    <xf numFmtId="165" fontId="6" fillId="0" borderId="47" xfId="3" applyNumberFormat="1" applyFont="1" applyFill="1" applyBorder="1" applyAlignment="1">
      <alignment horizontal="center"/>
    </xf>
    <xf numFmtId="165" fontId="6" fillId="0" borderId="19" xfId="3" applyNumberFormat="1" applyFont="1" applyFill="1" applyBorder="1" applyAlignment="1">
      <alignment horizontal="center"/>
    </xf>
    <xf numFmtId="166" fontId="6" fillId="0" borderId="0" xfId="1" applyNumberFormat="1" applyFont="1" applyFill="1" applyBorder="1"/>
    <xf numFmtId="167" fontId="6" fillId="0" borderId="5" xfId="0" applyNumberFormat="1" applyFont="1" applyFill="1" applyBorder="1" applyAlignment="1">
      <alignment horizontal="center"/>
    </xf>
    <xf numFmtId="169" fontId="6" fillId="0" borderId="8" xfId="3" applyNumberFormat="1" applyFont="1" applyFill="1" applyBorder="1" applyAlignment="1">
      <alignment horizontal="center"/>
    </xf>
    <xf numFmtId="169" fontId="6" fillId="0" borderId="6" xfId="3" applyNumberFormat="1" applyFont="1" applyFill="1" applyBorder="1" applyAlignment="1">
      <alignment horizontal="center"/>
    </xf>
    <xf numFmtId="169" fontId="6" fillId="0" borderId="33" xfId="3" applyNumberFormat="1" applyFont="1" applyFill="1" applyBorder="1" applyAlignment="1">
      <alignment horizontal="center"/>
    </xf>
    <xf numFmtId="169" fontId="6" fillId="0" borderId="29" xfId="3" applyNumberFormat="1" applyFont="1" applyFill="1" applyBorder="1" applyAlignment="1">
      <alignment horizontal="center"/>
    </xf>
    <xf numFmtId="169" fontId="6" fillId="0" borderId="30" xfId="3" applyNumberFormat="1" applyFont="1" applyFill="1" applyBorder="1" applyAlignment="1">
      <alignment horizontal="center"/>
    </xf>
    <xf numFmtId="169" fontId="6" fillId="0" borderId="2" xfId="3" applyNumberFormat="1" applyFont="1" applyFill="1" applyBorder="1" applyAlignment="1">
      <alignment horizontal="center"/>
    </xf>
    <xf numFmtId="169" fontId="6" fillId="0" borderId="3" xfId="3" applyNumberFormat="1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165" fontId="6" fillId="0" borderId="18" xfId="3" applyNumberFormat="1" applyFont="1" applyFill="1" applyBorder="1" applyAlignment="1">
      <alignment horizontal="center"/>
    </xf>
    <xf numFmtId="171" fontId="6" fillId="0" borderId="24" xfId="3" applyNumberFormat="1" applyFont="1" applyFill="1" applyBorder="1" applyAlignment="1">
      <alignment horizontal="center"/>
    </xf>
    <xf numFmtId="171" fontId="6" fillId="0" borderId="25" xfId="3" applyNumberFormat="1" applyFont="1" applyFill="1" applyBorder="1" applyAlignment="1">
      <alignment horizontal="center"/>
    </xf>
    <xf numFmtId="171" fontId="6" fillId="0" borderId="26" xfId="3" applyNumberFormat="1" applyFont="1" applyFill="1" applyBorder="1" applyAlignment="1">
      <alignment horizontal="center"/>
    </xf>
    <xf numFmtId="167" fontId="6" fillId="0" borderId="18" xfId="0" applyNumberFormat="1" applyFont="1" applyFill="1" applyBorder="1" applyAlignment="1">
      <alignment horizontal="center"/>
    </xf>
    <xf numFmtId="169" fontId="6" fillId="0" borderId="32" xfId="3" applyNumberFormat="1" applyFont="1" applyFill="1" applyBorder="1" applyAlignment="1">
      <alignment horizontal="center"/>
    </xf>
    <xf numFmtId="169" fontId="6" fillId="0" borderId="25" xfId="3" applyNumberFormat="1" applyFont="1" applyFill="1" applyBorder="1" applyAlignment="1">
      <alignment horizontal="center"/>
    </xf>
    <xf numFmtId="169" fontId="6" fillId="0" borderId="26" xfId="3" applyNumberFormat="1" applyFont="1" applyFill="1" applyBorder="1" applyAlignment="1">
      <alignment horizontal="center"/>
    </xf>
    <xf numFmtId="0" fontId="6" fillId="0" borderId="54" xfId="0" applyFont="1" applyFill="1" applyBorder="1" applyAlignment="1">
      <alignment horizontal="center"/>
    </xf>
    <xf numFmtId="0" fontId="6" fillId="0" borderId="52" xfId="0" applyFont="1" applyFill="1" applyBorder="1" applyAlignment="1">
      <alignment horizontal="center"/>
    </xf>
    <xf numFmtId="165" fontId="6" fillId="0" borderId="53" xfId="3" applyNumberFormat="1" applyFont="1" applyFill="1" applyBorder="1" applyAlignment="1">
      <alignment horizontal="center"/>
    </xf>
    <xf numFmtId="165" fontId="6" fillId="0" borderId="34" xfId="3" applyNumberFormat="1" applyFont="1" applyFill="1" applyBorder="1" applyAlignment="1">
      <alignment horizontal="center"/>
    </xf>
    <xf numFmtId="165" fontId="6" fillId="0" borderId="46" xfId="3" applyNumberFormat="1" applyFont="1" applyFill="1" applyBorder="1" applyAlignment="1">
      <alignment horizontal="center"/>
    </xf>
    <xf numFmtId="165" fontId="6" fillId="0" borderId="28" xfId="3" applyNumberFormat="1" applyFont="1" applyFill="1" applyBorder="1" applyAlignment="1">
      <alignment horizontal="center"/>
    </xf>
    <xf numFmtId="165" fontId="6" fillId="0" borderId="21" xfId="3" applyNumberFormat="1" applyFont="1" applyFill="1" applyBorder="1" applyAlignment="1">
      <alignment horizontal="center"/>
    </xf>
    <xf numFmtId="165" fontId="6" fillId="0" borderId="22" xfId="3" applyNumberFormat="1" applyFont="1" applyFill="1" applyBorder="1" applyAlignment="1">
      <alignment horizontal="center"/>
    </xf>
    <xf numFmtId="0" fontId="3" fillId="0" borderId="0" xfId="0" applyFont="1" applyFill="1" applyBorder="1"/>
    <xf numFmtId="166" fontId="3" fillId="0" borderId="0" xfId="0" applyNumberFormat="1" applyFont="1" applyFill="1" applyBorder="1"/>
    <xf numFmtId="172" fontId="1" fillId="0" borderId="0" xfId="0" applyNumberFormat="1" applyFont="1" applyFill="1"/>
    <xf numFmtId="0" fontId="6" fillId="0" borderId="12" xfId="0" applyFont="1" applyFill="1" applyBorder="1" applyAlignment="1">
      <alignment horizontal="center"/>
    </xf>
    <xf numFmtId="166" fontId="6" fillId="9" borderId="11" xfId="1" applyNumberFormat="1" applyFont="1" applyFill="1" applyBorder="1"/>
    <xf numFmtId="166" fontId="6" fillId="9" borderId="12" xfId="1" applyNumberFormat="1" applyFont="1" applyFill="1" applyBorder="1"/>
    <xf numFmtId="166" fontId="6" fillId="9" borderId="13" xfId="1" applyNumberFormat="1" applyFont="1" applyFill="1" applyBorder="1"/>
    <xf numFmtId="166" fontId="6" fillId="9" borderId="2" xfId="1" applyNumberFormat="1" applyFont="1" applyFill="1" applyBorder="1"/>
    <xf numFmtId="167" fontId="6" fillId="9" borderId="11" xfId="0" applyNumberFormat="1" applyFont="1" applyFill="1" applyBorder="1" applyAlignment="1">
      <alignment horizontal="center"/>
    </xf>
    <xf numFmtId="167" fontId="6" fillId="9" borderId="12" xfId="0" applyNumberFormat="1" applyFont="1" applyFill="1" applyBorder="1" applyAlignment="1">
      <alignment horizontal="center"/>
    </xf>
    <xf numFmtId="167" fontId="6" fillId="9" borderId="13" xfId="0" applyNumberFormat="1" applyFont="1" applyFill="1" applyBorder="1" applyAlignment="1">
      <alignment horizontal="center"/>
    </xf>
    <xf numFmtId="167" fontId="6" fillId="9" borderId="1" xfId="0" applyNumberFormat="1" applyFont="1" applyFill="1" applyBorder="1" applyAlignment="1">
      <alignment horizontal="center"/>
    </xf>
    <xf numFmtId="167" fontId="6" fillId="9" borderId="2" xfId="0" applyNumberFormat="1" applyFont="1" applyFill="1" applyBorder="1" applyAlignment="1">
      <alignment horizontal="center"/>
    </xf>
    <xf numFmtId="167" fontId="6" fillId="9" borderId="3" xfId="0" applyNumberFormat="1" applyFont="1" applyFill="1" applyBorder="1" applyAlignment="1">
      <alignment horizontal="center"/>
    </xf>
    <xf numFmtId="4" fontId="6" fillId="9" borderId="1" xfId="0" applyNumberFormat="1" applyFont="1" applyFill="1" applyBorder="1" applyAlignment="1">
      <alignment horizontal="center"/>
    </xf>
    <xf numFmtId="4" fontId="6" fillId="9" borderId="2" xfId="0" applyNumberFormat="1" applyFont="1" applyFill="1" applyBorder="1" applyAlignment="1">
      <alignment horizontal="center"/>
    </xf>
    <xf numFmtId="4" fontId="6" fillId="9" borderId="3" xfId="0" applyNumberFormat="1" applyFont="1" applyFill="1" applyBorder="1" applyAlignment="1">
      <alignment horizontal="center"/>
    </xf>
    <xf numFmtId="3" fontId="6" fillId="9" borderId="14" xfId="0" applyNumberFormat="1" applyFont="1" applyFill="1" applyBorder="1" applyAlignment="1"/>
    <xf numFmtId="3" fontId="6" fillId="9" borderId="43" xfId="0" applyNumberFormat="1" applyFont="1" applyFill="1" applyBorder="1" applyAlignment="1"/>
    <xf numFmtId="166" fontId="6" fillId="9" borderId="31" xfId="4" applyNumberFormat="1" applyFont="1" applyFill="1" applyBorder="1" applyAlignment="1"/>
    <xf numFmtId="0" fontId="6" fillId="0" borderId="12" xfId="0" applyFont="1" applyFill="1" applyBorder="1" applyAlignment="1">
      <alignment horizontal="center"/>
    </xf>
    <xf numFmtId="172" fontId="1" fillId="0" borderId="0" xfId="0" applyNumberFormat="1" applyFont="1"/>
    <xf numFmtId="0" fontId="6" fillId="0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3" fontId="6" fillId="5" borderId="22" xfId="0" applyNumberFormat="1" applyFont="1" applyFill="1" applyBorder="1"/>
    <xf numFmtId="0" fontId="6" fillId="10" borderId="0" xfId="0" applyFont="1" applyFill="1"/>
    <xf numFmtId="0" fontId="11" fillId="10" borderId="0" xfId="0" applyFont="1" applyFill="1"/>
    <xf numFmtId="0" fontId="19" fillId="10" borderId="0" xfId="0" applyFont="1" applyFill="1"/>
    <xf numFmtId="0" fontId="6" fillId="0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7" borderId="0" xfId="0" applyFont="1" applyFill="1" applyBorder="1"/>
    <xf numFmtId="0" fontId="6" fillId="7" borderId="59" xfId="0" applyFont="1" applyFill="1" applyBorder="1"/>
    <xf numFmtId="3" fontId="6" fillId="5" borderId="0" xfId="0" applyNumberFormat="1" applyFont="1" applyFill="1" applyBorder="1"/>
    <xf numFmtId="3" fontId="6" fillId="5" borderId="59" xfId="0" applyNumberFormat="1" applyFont="1" applyFill="1" applyBorder="1"/>
    <xf numFmtId="0" fontId="6" fillId="5" borderId="0" xfId="0" applyFont="1" applyFill="1" applyBorder="1"/>
    <xf numFmtId="165" fontId="6" fillId="5" borderId="59" xfId="3" applyNumberFormat="1" applyFont="1" applyFill="1" applyBorder="1"/>
    <xf numFmtId="0" fontId="6" fillId="5" borderId="59" xfId="0" applyFont="1" applyFill="1" applyBorder="1"/>
    <xf numFmtId="0" fontId="6" fillId="0" borderId="59" xfId="0" applyFont="1" applyFill="1" applyBorder="1"/>
    <xf numFmtId="0" fontId="0" fillId="7" borderId="0" xfId="0" applyFill="1"/>
    <xf numFmtId="0" fontId="0" fillId="0" borderId="60" xfId="0" applyBorder="1"/>
    <xf numFmtId="0" fontId="36" fillId="0" borderId="61" xfId="5" applyFont="1" applyBorder="1" applyAlignment="1">
      <alignment horizontal="left" vertical="center"/>
    </xf>
    <xf numFmtId="0" fontId="37" fillId="0" borderId="61" xfId="5" applyFont="1" applyBorder="1" applyAlignment="1">
      <alignment horizontal="left" vertical="center"/>
    </xf>
    <xf numFmtId="0" fontId="35" fillId="0" borderId="62" xfId="5" applyBorder="1" applyAlignment="1">
      <alignment vertical="center"/>
    </xf>
    <xf numFmtId="0" fontId="0" fillId="0" borderId="63" xfId="0" applyBorder="1"/>
    <xf numFmtId="0" fontId="38" fillId="0" borderId="0" xfId="0" applyFont="1"/>
    <xf numFmtId="0" fontId="39" fillId="0" borderId="0" xfId="0" applyFont="1"/>
    <xf numFmtId="0" fontId="40" fillId="0" borderId="0" xfId="0" applyFont="1" applyAlignment="1">
      <alignment vertical="center"/>
    </xf>
    <xf numFmtId="0" fontId="40" fillId="0" borderId="64" xfId="0" applyFont="1" applyBorder="1" applyAlignment="1">
      <alignment vertical="center"/>
    </xf>
    <xf numFmtId="0" fontId="40" fillId="0" borderId="64" xfId="0" applyFont="1" applyBorder="1" applyAlignment="1">
      <alignment horizontal="justify" vertical="center"/>
    </xf>
    <xf numFmtId="0" fontId="36" fillId="0" borderId="0" xfId="5" applyFont="1" applyBorder="1" applyAlignment="1">
      <alignment horizontal="left" vertical="center"/>
    </xf>
    <xf numFmtId="0" fontId="37" fillId="0" borderId="0" xfId="5" applyFont="1" applyBorder="1" applyAlignment="1">
      <alignment horizontal="left" vertical="center"/>
    </xf>
    <xf numFmtId="0" fontId="37" fillId="0" borderId="64" xfId="5" applyFont="1" applyBorder="1" applyAlignment="1">
      <alignment vertical="center"/>
    </xf>
    <xf numFmtId="0" fontId="41" fillId="0" borderId="64" xfId="0" applyFont="1" applyBorder="1" applyAlignment="1">
      <alignment vertical="center"/>
    </xf>
    <xf numFmtId="0" fontId="39" fillId="0" borderId="64" xfId="0" applyFont="1" applyBorder="1"/>
    <xf numFmtId="0" fontId="0" fillId="0" borderId="64" xfId="0" applyBorder="1"/>
    <xf numFmtId="17" fontId="45" fillId="0" borderId="65" xfId="0" quotePrefix="1" applyNumberFormat="1" applyFont="1" applyBorder="1" applyAlignment="1">
      <alignment horizontal="right"/>
    </xf>
    <xf numFmtId="0" fontId="0" fillId="0" borderId="66" xfId="0" applyBorder="1"/>
    <xf numFmtId="0" fontId="0" fillId="0" borderId="67" xfId="0" applyBorder="1"/>
    <xf numFmtId="0" fontId="44" fillId="0" borderId="64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63" xfId="0" applyFont="1" applyBorder="1" applyAlignment="1">
      <alignment horizontal="center" vertical="center"/>
    </xf>
    <xf numFmtId="0" fontId="44" fillId="0" borderId="64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5" fillId="0" borderId="64" xfId="5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6" fillId="8" borderId="58" xfId="0" applyFont="1" applyFill="1" applyBorder="1" applyAlignment="1">
      <alignment horizontal="center" wrapText="1"/>
    </xf>
    <xf numFmtId="0" fontId="6" fillId="8" borderId="0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/>
    </xf>
    <xf numFmtId="0" fontId="5" fillId="0" borderId="44" xfId="0" applyFont="1" applyBorder="1" applyAlignment="1">
      <alignment horizontal="justify" vertical="center"/>
    </xf>
    <xf numFmtId="0" fontId="5" fillId="0" borderId="45" xfId="0" applyFont="1" applyBorder="1" applyAlignment="1">
      <alignment horizontal="justify" vertical="center"/>
    </xf>
    <xf numFmtId="0" fontId="5" fillId="0" borderId="17" xfId="0" applyFont="1" applyBorder="1" applyAlignment="1">
      <alignment horizontal="justify"/>
    </xf>
    <xf numFmtId="0" fontId="5" fillId="0" borderId="44" xfId="0" applyFont="1" applyBorder="1" applyAlignment="1">
      <alignment horizontal="justify"/>
    </xf>
    <xf numFmtId="0" fontId="5" fillId="0" borderId="45" xfId="0" applyFont="1" applyBorder="1" applyAlignment="1">
      <alignment horizontal="justify"/>
    </xf>
    <xf numFmtId="0" fontId="5" fillId="0" borderId="17" xfId="0" applyFont="1" applyBorder="1" applyAlignment="1">
      <alignment horizontal="left"/>
    </xf>
    <xf numFmtId="0" fontId="5" fillId="0" borderId="44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17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44" xfId="0" applyFont="1" applyBorder="1" applyAlignment="1">
      <alignment horizontal="justify" vertical="center" wrapText="1"/>
    </xf>
    <xf numFmtId="0" fontId="5" fillId="0" borderId="45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6" fillId="0" borderId="39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3" fontId="6" fillId="0" borderId="54" xfId="0" applyNumberFormat="1" applyFont="1" applyFill="1" applyBorder="1" applyAlignment="1">
      <alignment horizontal="center"/>
    </xf>
    <xf numFmtId="3" fontId="6" fillId="0" borderId="55" xfId="0" applyNumberFormat="1" applyFont="1" applyFill="1" applyBorder="1" applyAlignment="1">
      <alignment horizontal="center"/>
    </xf>
    <xf numFmtId="165" fontId="6" fillId="0" borderId="12" xfId="3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/>
    </xf>
    <xf numFmtId="165" fontId="6" fillId="0" borderId="15" xfId="3" applyNumberFormat="1" applyFont="1" applyFill="1" applyBorder="1" applyAlignment="1">
      <alignment horizontal="center"/>
    </xf>
    <xf numFmtId="165" fontId="6" fillId="0" borderId="41" xfId="3" applyNumberFormat="1" applyFont="1" applyFill="1" applyBorder="1" applyAlignment="1">
      <alignment horizontal="center"/>
    </xf>
    <xf numFmtId="165" fontId="6" fillId="0" borderId="46" xfId="3" applyNumberFormat="1" applyFont="1" applyFill="1" applyBorder="1" applyAlignment="1">
      <alignment horizontal="center"/>
    </xf>
    <xf numFmtId="172" fontId="6" fillId="0" borderId="56" xfId="0" applyNumberFormat="1" applyFont="1" applyFill="1" applyBorder="1" applyAlignment="1">
      <alignment horizontal="center"/>
    </xf>
    <xf numFmtId="172" fontId="6" fillId="0" borderId="0" xfId="0" applyNumberFormat="1" applyFont="1" applyFill="1" applyBorder="1" applyAlignment="1">
      <alignment horizontal="center"/>
    </xf>
    <xf numFmtId="169" fontId="6" fillId="0" borderId="15" xfId="3" applyNumberFormat="1" applyFont="1" applyFill="1" applyBorder="1" applyAlignment="1">
      <alignment horizontal="center"/>
    </xf>
    <xf numFmtId="169" fontId="6" fillId="0" borderId="41" xfId="3" applyNumberFormat="1" applyFont="1" applyFill="1" applyBorder="1" applyAlignment="1">
      <alignment horizontal="center"/>
    </xf>
    <xf numFmtId="169" fontId="6" fillId="0" borderId="46" xfId="3" applyNumberFormat="1" applyFont="1" applyFill="1" applyBorder="1" applyAlignment="1">
      <alignment horizontal="center"/>
    </xf>
    <xf numFmtId="167" fontId="6" fillId="0" borderId="56" xfId="0" applyNumberFormat="1" applyFont="1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center"/>
    </xf>
    <xf numFmtId="172" fontId="6" fillId="0" borderId="54" xfId="0" applyNumberFormat="1" applyFont="1" applyFill="1" applyBorder="1" applyAlignment="1">
      <alignment horizontal="center"/>
    </xf>
    <xf numFmtId="172" fontId="6" fillId="0" borderId="55" xfId="0" applyNumberFormat="1" applyFont="1" applyFill="1" applyBorder="1" applyAlignment="1">
      <alignment horizontal="center"/>
    </xf>
    <xf numFmtId="167" fontId="6" fillId="0" borderId="54" xfId="0" applyNumberFormat="1" applyFont="1" applyFill="1" applyBorder="1" applyAlignment="1">
      <alignment horizontal="center"/>
    </xf>
    <xf numFmtId="167" fontId="6" fillId="0" borderId="55" xfId="0" applyNumberFormat="1" applyFont="1" applyFill="1" applyBorder="1" applyAlignment="1">
      <alignment horizontal="center"/>
    </xf>
    <xf numFmtId="0" fontId="46" fillId="0" borderId="0" xfId="0" applyFont="1" applyAlignment="1">
      <alignment horizontal="left" vertical="center" readingOrder="1"/>
    </xf>
  </cellXfs>
  <cellStyles count="6">
    <cellStyle name="Euro" xfId="1" xr:uid="{00000000-0005-0000-0000-000000000000}"/>
    <cellStyle name="Lien hypertexte" xfId="5" builtinId="8"/>
    <cellStyle name="Milliers" xfId="2" builtinId="3"/>
    <cellStyle name="Monétaire" xfId="4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FFCCCC"/>
      <color rgb="FF33660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76" Type="http://schemas.openxmlformats.org/officeDocument/2006/relationships/externalLink" Target="externalLinks/externalLink70.xml"/><Relationship Id="rId84" Type="http://schemas.openxmlformats.org/officeDocument/2006/relationships/externalLink" Target="externalLinks/externalLink78.xml"/><Relationship Id="rId89" Type="http://schemas.openxmlformats.org/officeDocument/2006/relationships/externalLink" Target="externalLinks/externalLink83.xml"/><Relationship Id="rId97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externalLink" Target="externalLinks/externalLink8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66" Type="http://schemas.openxmlformats.org/officeDocument/2006/relationships/externalLink" Target="externalLinks/externalLink60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87" Type="http://schemas.openxmlformats.org/officeDocument/2006/relationships/externalLink" Target="externalLinks/externalLink8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90" Type="http://schemas.openxmlformats.org/officeDocument/2006/relationships/externalLink" Target="externalLinks/externalLink84.xml"/><Relationship Id="rId95" Type="http://schemas.openxmlformats.org/officeDocument/2006/relationships/theme" Target="theme/theme1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77" Type="http://schemas.openxmlformats.org/officeDocument/2006/relationships/externalLink" Target="externalLinks/externalLink71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4.xml"/><Relationship Id="rId85" Type="http://schemas.openxmlformats.org/officeDocument/2006/relationships/externalLink" Target="externalLinks/externalLink79.xml"/><Relationship Id="rId93" Type="http://schemas.openxmlformats.org/officeDocument/2006/relationships/externalLink" Target="externalLinks/externalLink87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externalLink" Target="externalLinks/externalLink6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83" Type="http://schemas.openxmlformats.org/officeDocument/2006/relationships/externalLink" Target="externalLinks/externalLink77.xml"/><Relationship Id="rId88" Type="http://schemas.openxmlformats.org/officeDocument/2006/relationships/externalLink" Target="externalLinks/externalLink82.xml"/><Relationship Id="rId91" Type="http://schemas.openxmlformats.org/officeDocument/2006/relationships/externalLink" Target="externalLinks/externalLink85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81" Type="http://schemas.openxmlformats.org/officeDocument/2006/relationships/externalLink" Target="externalLinks/externalLink75.xml"/><Relationship Id="rId86" Type="http://schemas.openxmlformats.org/officeDocument/2006/relationships/externalLink" Target="externalLinks/externalLink80.xml"/><Relationship Id="rId94" Type="http://schemas.openxmlformats.org/officeDocument/2006/relationships/externalLink" Target="externalLinks/externalLink8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tendance!$A$1</c:f>
              <c:strCache>
                <c:ptCount val="1"/>
                <c:pt idx="0">
                  <c:v>Retraites SA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tendance!$A$5:$A$33</c:f>
              <c:numCache>
                <c:formatCode>General</c:formatCode>
                <c:ptCount val="29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tendance!$B$4:$B$33</c:f>
              <c:numCache>
                <c:formatCode>_-* #\ ##0\ _€_-;\-* #\ ##0\ _€_-;_-* "-"??\ _€_-;_-@_-</c:formatCode>
                <c:ptCount val="30"/>
                <c:pt idx="0">
                  <c:v>805000</c:v>
                </c:pt>
                <c:pt idx="1">
                  <c:v>1025914</c:v>
                </c:pt>
                <c:pt idx="2">
                  <c:v>1315144</c:v>
                </c:pt>
                <c:pt idx="3">
                  <c:v>1784595</c:v>
                </c:pt>
                <c:pt idx="4">
                  <c:v>2112442</c:v>
                </c:pt>
                <c:pt idx="5">
                  <c:v>2278824</c:v>
                </c:pt>
                <c:pt idx="6">
                  <c:v>2292176</c:v>
                </c:pt>
                <c:pt idx="7">
                  <c:v>2302166</c:v>
                </c:pt>
                <c:pt idx="8">
                  <c:v>2311276</c:v>
                </c:pt>
                <c:pt idx="9">
                  <c:v>2341333</c:v>
                </c:pt>
                <c:pt idx="10">
                  <c:v>2369113</c:v>
                </c:pt>
                <c:pt idx="11">
                  <c:v>2412941</c:v>
                </c:pt>
                <c:pt idx="12">
                  <c:v>2457406</c:v>
                </c:pt>
                <c:pt idx="13">
                  <c:v>2501653</c:v>
                </c:pt>
                <c:pt idx="14">
                  <c:v>2509526</c:v>
                </c:pt>
                <c:pt idx="15">
                  <c:v>2520973</c:v>
                </c:pt>
                <c:pt idx="16">
                  <c:v>2514936</c:v>
                </c:pt>
                <c:pt idx="17">
                  <c:v>2492472</c:v>
                </c:pt>
                <c:pt idx="18">
                  <c:v>2495126</c:v>
                </c:pt>
                <c:pt idx="19">
                  <c:v>2503516</c:v>
                </c:pt>
                <c:pt idx="20">
                  <c:v>2507737</c:v>
                </c:pt>
                <c:pt idx="21">
                  <c:v>2519377</c:v>
                </c:pt>
                <c:pt idx="22">
                  <c:v>2509483</c:v>
                </c:pt>
                <c:pt idx="23">
                  <c:v>2472685</c:v>
                </c:pt>
                <c:pt idx="24">
                  <c:v>2430021</c:v>
                </c:pt>
                <c:pt idx="25">
                  <c:v>2370893</c:v>
                </c:pt>
                <c:pt idx="26">
                  <c:v>2317633</c:v>
                </c:pt>
                <c:pt idx="27">
                  <c:v>2269648</c:v>
                </c:pt>
                <c:pt idx="28">
                  <c:v>2230077</c:v>
                </c:pt>
                <c:pt idx="29">
                  <c:v>2182388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B-4252-AC8E-876E8B728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359176"/>
        <c:axId val="440882592"/>
      </c:lineChart>
      <c:catAx>
        <c:axId val="536359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0882592"/>
        <c:crosses val="autoZero"/>
        <c:auto val="1"/>
        <c:lblAlgn val="ctr"/>
        <c:lblOffset val="100"/>
        <c:noMultiLvlLbl val="0"/>
      </c:catAx>
      <c:valAx>
        <c:axId val="44088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6359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442913</xdr:colOff>
      <xdr:row>6</xdr:row>
      <xdr:rowOff>31750</xdr:rowOff>
    </xdr:from>
    <xdr:to>
      <xdr:col>13</xdr:col>
      <xdr:colOff>114300</xdr:colOff>
      <xdr:row>28</xdr:row>
      <xdr:rowOff>139700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08_4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1_3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1_4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2_1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2_2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2_3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2_4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3_1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3_2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3_3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3_4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09_1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4_1T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4_2T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4_3T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4_4T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5_1T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5_2T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5_3T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5_4T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6_1T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6_2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09_3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6_3T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6_4T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7_1T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7_2T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7_3T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7_4T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8_1T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8_2T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8_3T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8_4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09_4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9_1T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9_2T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9_3T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9_4T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20_1T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20_2T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20_3T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20_4T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21_1T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21_2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0_1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21_3T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21_4T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22_1T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22_2T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22_3T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22_4T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23_1T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23_2T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23_3T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23_4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0_3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24_1T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24_2T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24_3T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24_4T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09_2T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0_2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21_fichiers/SAS_SA_2021_4T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Editions_CMSA/salaries/Archives%202017/TR99-3-2017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Editions_CMSA/salaries/Archives%202017/TR99-4-2017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msa.int.msanet\partage\21-STATISTIQUES\02_STATS_RETRAITE_FAMILLE_ASS_ORPA\01_RETRAITE\03_COMMUN\03%20Diffusion\Editions_CMSA\salaries\TR99-1-201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0_4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msa.int.msanet\partage\21-STATISTIQUES\02_STATS_RETRAITE_FAMILLE_ASS_ORPA\01_RETRAITE\03_COMMUN\03%20Diffusion\Editions_CMSA\salaries\TR99-2-2018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msa.int.msanet\partage\21-STATISTIQUES\02_STATS_RETRAITE_FAMILLE_ASS_ORPA\01_RETRAITE\03_COMMUN\03%20Diffusion\Editions_CMSA\salaries\TR99-3-2018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msa.int.msanet\partage\21-STATISTIQUES\02_STATS_RETRAITE_FAMILLE_ASS_ORPA\01_RETRAITE\03_COMMUN\03%20Diffusion\Editions_CMSA\salaries\TR99-4-2018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msa.int.msanet\partage\21-STATISTIQUES\02_STATS_RETRAITE_FAMILLE_ASS_ORPA\01_RETRAITE\03_COMMUN\03%20Diffusion\Editions_CMSA\salaries\TR99-1-2019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Editions_CMSA/salaries/TR99-2-2021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Editions_CMSA/salaries/TR99-3-202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Editions_CMSA/salaries/TR99-3-2022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Editions_CMSA/salaries/TR99-1-2023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Editions_CMSA/salaries/TR99-2-2023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Editions_CMSA/salaries/TR99-3-20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1_1T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Editions_CMSA/salaries/TR99-4-2023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Editions_CMSA/salaries/TR99-1-2024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Editions_CMSA/salaries/TR99-2-2024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Editions_CMSA/salaries/TR99-3-2024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Editions_CMSA/salaries/TR99-4-2024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Editions_CMSA/salaries/TR99-4-202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Editions_CMSA/salaries/Archives%202022/TR99-1-2022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Editions_CMSA/salaries/TR99-2-202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msa.int.msanet\partage\STATISTIQUES\PRESTATIONS_VEILLESSE_AT_FAMILLE\COMMUN\PVieil\Tableau%20de%20Bord\STOCK\Demande_Evolution_SA_NSA_depuis_1970\Retraites_NSA_SA_1970_2010_wor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2_STATS_RETRAITE_FAMILLE_ASS_ORPA/01_RETRAITE/03_COMMUN/03%20Diffusion/Tableau%20de%20Bord/STOCK/SA/suivi_trimestriel/Sorties_SAS/SAS_SA_2011_2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4T2008"/>
    </sheetNames>
    <sheetDataSet>
      <sheetData sheetId="0" refreshError="1">
        <row r="4">
          <cell r="A4">
            <v>1266442</v>
          </cell>
          <cell r="B4">
            <v>10395</v>
          </cell>
          <cell r="C4">
            <v>15761</v>
          </cell>
        </row>
        <row r="14">
          <cell r="A14">
            <v>506652</v>
          </cell>
          <cell r="B14">
            <v>556455</v>
          </cell>
          <cell r="C14">
            <v>145947</v>
          </cell>
        </row>
        <row r="24">
          <cell r="A24">
            <v>1773094</v>
          </cell>
          <cell r="B24">
            <v>566850</v>
          </cell>
          <cell r="C24">
            <v>161708</v>
          </cell>
        </row>
        <row r="46">
          <cell r="F46">
            <v>74.015000000000001</v>
          </cell>
        </row>
        <row r="47">
          <cell r="F47">
            <v>72.536000000000001</v>
          </cell>
        </row>
        <row r="48">
          <cell r="F48">
            <v>77.112799999999993</v>
          </cell>
        </row>
        <row r="49">
          <cell r="F49">
            <v>79.179400000000001</v>
          </cell>
        </row>
        <row r="51">
          <cell r="F51">
            <v>72.617199999999997</v>
          </cell>
        </row>
        <row r="52">
          <cell r="F52">
            <v>75.500100000000003</v>
          </cell>
        </row>
        <row r="53">
          <cell r="F53">
            <v>72.523300000000006</v>
          </cell>
        </row>
        <row r="54">
          <cell r="F54">
            <v>74.379199999999997</v>
          </cell>
        </row>
        <row r="55">
          <cell r="F55">
            <v>78.983099999999993</v>
          </cell>
        </row>
        <row r="57">
          <cell r="F57">
            <v>72.567999999999998</v>
          </cell>
        </row>
        <row r="58">
          <cell r="F58">
            <v>77.163399999999996</v>
          </cell>
        </row>
        <row r="59">
          <cell r="F59">
            <v>79.200599999999994</v>
          </cell>
        </row>
        <row r="84">
          <cell r="G84">
            <v>2165.8000000000002</v>
          </cell>
        </row>
        <row r="85">
          <cell r="G85">
            <v>2279.7199999999998</v>
          </cell>
        </row>
        <row r="86">
          <cell r="G86">
            <v>1418.88</v>
          </cell>
        </row>
        <row r="87">
          <cell r="G87">
            <v>3566.56</v>
          </cell>
        </row>
        <row r="89">
          <cell r="G89">
            <v>2433.6</v>
          </cell>
        </row>
        <row r="90">
          <cell r="G90">
            <v>1881.32</v>
          </cell>
        </row>
        <row r="91">
          <cell r="G91">
            <v>2424.7199999999998</v>
          </cell>
        </row>
        <row r="92">
          <cell r="G92">
            <v>827.04</v>
          </cell>
        </row>
        <row r="93">
          <cell r="G93">
            <v>4207.84</v>
          </cell>
        </row>
        <row r="95">
          <cell r="G95">
            <v>1916.36</v>
          </cell>
        </row>
        <row r="96">
          <cell r="G96">
            <v>1429.84</v>
          </cell>
        </row>
        <row r="97">
          <cell r="G97">
            <v>3497.52</v>
          </cell>
        </row>
        <row r="115">
          <cell r="D115">
            <v>0.89620103639758375</v>
          </cell>
          <cell r="E115">
            <v>0.83217412570310589</v>
          </cell>
          <cell r="F115">
            <v>0.87461579485942476</v>
          </cell>
        </row>
        <row r="124">
          <cell r="D124">
            <v>37.285499999999999</v>
          </cell>
        </row>
        <row r="125">
          <cell r="D125">
            <v>40.112099999999998</v>
          </cell>
        </row>
        <row r="126">
          <cell r="D126">
            <v>31.727799999999998</v>
          </cell>
        </row>
        <row r="148">
          <cell r="D148">
            <v>93541</v>
          </cell>
          <cell r="H148">
            <v>11087.64</v>
          </cell>
        </row>
        <row r="149">
          <cell r="D149">
            <v>90366</v>
          </cell>
          <cell r="H149">
            <v>11111.2</v>
          </cell>
        </row>
        <row r="150">
          <cell r="D150">
            <v>3175</v>
          </cell>
          <cell r="H150">
            <v>10417.56</v>
          </cell>
        </row>
        <row r="151">
          <cell r="D151">
            <v>72651</v>
          </cell>
          <cell r="H151">
            <v>10849.64</v>
          </cell>
        </row>
        <row r="152">
          <cell r="D152">
            <v>20890</v>
          </cell>
          <cell r="H152">
            <v>11915.44</v>
          </cell>
        </row>
        <row r="153">
          <cell r="D153">
            <v>70804</v>
          </cell>
          <cell r="H153">
            <v>10869.96</v>
          </cell>
        </row>
        <row r="154">
          <cell r="D154">
            <v>1847</v>
          </cell>
          <cell r="H154">
            <v>10070.36</v>
          </cell>
        </row>
        <row r="155">
          <cell r="D155">
            <v>19562</v>
          </cell>
          <cell r="H155">
            <v>11984.32</v>
          </cell>
        </row>
        <row r="156">
          <cell r="D156">
            <v>1328</v>
          </cell>
          <cell r="H156">
            <v>10900.44</v>
          </cell>
        </row>
        <row r="166">
          <cell r="A166">
            <v>14204</v>
          </cell>
          <cell r="B166">
            <v>596339</v>
          </cell>
          <cell r="C166">
            <v>7</v>
          </cell>
          <cell r="D166">
            <v>684</v>
          </cell>
          <cell r="E166">
            <v>12672</v>
          </cell>
          <cell r="F166">
            <v>6515</v>
          </cell>
          <cell r="G166">
            <v>1067</v>
          </cell>
        </row>
        <row r="176">
          <cell r="A176">
            <v>88</v>
          </cell>
          <cell r="B176">
            <v>635223</v>
          </cell>
          <cell r="C176">
            <v>162</v>
          </cell>
          <cell r="D176">
            <v>251</v>
          </cell>
          <cell r="E176">
            <v>8118</v>
          </cell>
          <cell r="F176">
            <v>2988</v>
          </cell>
          <cell r="G176">
            <v>275</v>
          </cell>
        </row>
        <row r="186">
          <cell r="A186">
            <v>14292</v>
          </cell>
          <cell r="B186">
            <v>1231562</v>
          </cell>
          <cell r="C186">
            <v>169</v>
          </cell>
          <cell r="D186">
            <v>935</v>
          </cell>
          <cell r="E186">
            <v>20790</v>
          </cell>
          <cell r="F186">
            <v>9503</v>
          </cell>
          <cell r="G186">
            <v>1342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1_3T"/>
    </sheetNames>
    <sheetDataSet>
      <sheetData sheetId="0">
        <row r="4">
          <cell r="A4">
            <v>1240842</v>
          </cell>
          <cell r="B4">
            <v>12180</v>
          </cell>
          <cell r="C4">
            <v>17084</v>
          </cell>
        </row>
        <row r="14">
          <cell r="A14">
            <v>533574</v>
          </cell>
          <cell r="B14">
            <v>569847</v>
          </cell>
          <cell r="C14">
            <v>146837</v>
          </cell>
        </row>
        <row r="24">
          <cell r="A24">
            <v>1774416</v>
          </cell>
          <cell r="B24">
            <v>582027</v>
          </cell>
          <cell r="C24">
            <v>163921</v>
          </cell>
        </row>
        <row r="46">
          <cell r="F46">
            <v>74.805000000000007</v>
          </cell>
        </row>
        <row r="47">
          <cell r="F47">
            <v>73.182900000000004</v>
          </cell>
        </row>
        <row r="48">
          <cell r="F48">
            <v>78.222700000000003</v>
          </cell>
        </row>
        <row r="49">
          <cell r="F49">
            <v>80.308300000000003</v>
          </cell>
        </row>
        <row r="50">
          <cell r="F50">
            <v>73.389399999999995</v>
          </cell>
        </row>
        <row r="51">
          <cell r="F51">
            <v>76.250900000000001</v>
          </cell>
        </row>
        <row r="52">
          <cell r="F52">
            <v>73.282600000000002</v>
          </cell>
        </row>
        <row r="53">
          <cell r="F53">
            <v>75.037300000000002</v>
          </cell>
        </row>
        <row r="54">
          <cell r="F54">
            <v>80.058099999999996</v>
          </cell>
        </row>
        <row r="55">
          <cell r="F55">
            <v>72.9499</v>
          </cell>
        </row>
        <row r="56">
          <cell r="F56">
            <v>78.289599999999993</v>
          </cell>
        </row>
        <row r="57">
          <cell r="F57">
            <v>80.337400000000002</v>
          </cell>
        </row>
        <row r="80">
          <cell r="G80">
            <v>2247.3200000000002</v>
          </cell>
        </row>
        <row r="81">
          <cell r="G81">
            <v>2395.56</v>
          </cell>
        </row>
        <row r="82">
          <cell r="G82">
            <v>1400.96</v>
          </cell>
        </row>
        <row r="83">
          <cell r="G83">
            <v>3638.04</v>
          </cell>
        </row>
        <row r="84">
          <cell r="G84">
            <v>2548.7600000000002</v>
          </cell>
        </row>
        <row r="85">
          <cell r="G85">
            <v>1939.4</v>
          </cell>
        </row>
        <row r="86">
          <cell r="G86">
            <v>2542.56</v>
          </cell>
        </row>
        <row r="87">
          <cell r="G87">
            <v>801.48</v>
          </cell>
        </row>
        <row r="88">
          <cell r="G88">
            <v>4231.84</v>
          </cell>
        </row>
        <row r="89">
          <cell r="G89">
            <v>2051.8000000000002</v>
          </cell>
        </row>
        <row r="90">
          <cell r="G90">
            <v>1413.56</v>
          </cell>
        </row>
        <row r="91">
          <cell r="G91">
            <v>3569.2</v>
          </cell>
        </row>
        <row r="108">
          <cell r="D108">
            <v>0.91465232509326511</v>
          </cell>
          <cell r="E108">
            <v>0.86387891581251497</v>
          </cell>
          <cell r="F108">
            <v>0.89689004196494182</v>
          </cell>
        </row>
        <row r="117">
          <cell r="D117">
            <v>37.2104</v>
          </cell>
        </row>
        <row r="118">
          <cell r="D118">
            <v>39.941800000000001</v>
          </cell>
        </row>
        <row r="119">
          <cell r="D119">
            <v>32.134099999999997</v>
          </cell>
        </row>
        <row r="141">
          <cell r="D141">
            <v>89664</v>
          </cell>
          <cell r="H141">
            <v>11863.24</v>
          </cell>
        </row>
        <row r="142">
          <cell r="D142">
            <v>86744</v>
          </cell>
          <cell r="H142">
            <v>11894.64</v>
          </cell>
        </row>
        <row r="143">
          <cell r="D143">
            <v>2920</v>
          </cell>
          <cell r="H143">
            <v>10930.84</v>
          </cell>
        </row>
        <row r="144">
          <cell r="D144">
            <v>67416</v>
          </cell>
          <cell r="H144">
            <v>11613.48</v>
          </cell>
        </row>
        <row r="145">
          <cell r="D145">
            <v>22248</v>
          </cell>
          <cell r="H145">
            <v>12620</v>
          </cell>
        </row>
        <row r="146">
          <cell r="D146">
            <v>65700</v>
          </cell>
          <cell r="H146">
            <v>11642.28</v>
          </cell>
        </row>
        <row r="147">
          <cell r="D147">
            <v>1716</v>
          </cell>
          <cell r="H147">
            <v>10511.2</v>
          </cell>
        </row>
        <row r="148">
          <cell r="D148">
            <v>21044</v>
          </cell>
          <cell r="H148">
            <v>12682.4</v>
          </cell>
        </row>
        <row r="149">
          <cell r="D149">
            <v>1204</v>
          </cell>
          <cell r="H149">
            <v>11528.88</v>
          </cell>
        </row>
        <row r="159">
          <cell r="A159">
            <v>11690</v>
          </cell>
          <cell r="B159">
            <v>575379</v>
          </cell>
          <cell r="C159">
            <v>7</v>
          </cell>
          <cell r="D159">
            <v>631</v>
          </cell>
          <cell r="E159">
            <v>9341</v>
          </cell>
          <cell r="F159">
            <v>5205</v>
          </cell>
          <cell r="G159">
            <v>2876</v>
          </cell>
        </row>
        <row r="169">
          <cell r="A169">
            <v>66</v>
          </cell>
          <cell r="B169">
            <v>646896</v>
          </cell>
          <cell r="C169">
            <v>160</v>
          </cell>
          <cell r="D169">
            <v>250</v>
          </cell>
          <cell r="E169">
            <v>6156</v>
          </cell>
          <cell r="F169">
            <v>2449</v>
          </cell>
          <cell r="G169">
            <v>716</v>
          </cell>
        </row>
        <row r="179">
          <cell r="A179">
            <v>11756</v>
          </cell>
          <cell r="B179">
            <v>1222275</v>
          </cell>
          <cell r="C179">
            <v>167</v>
          </cell>
          <cell r="D179">
            <v>881</v>
          </cell>
          <cell r="E179">
            <v>15497</v>
          </cell>
          <cell r="F179">
            <v>7654</v>
          </cell>
          <cell r="G179">
            <v>3592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1_4T"/>
    </sheetNames>
    <sheetDataSet>
      <sheetData sheetId="0">
        <row r="4">
          <cell r="A4">
            <v>1234127</v>
          </cell>
          <cell r="B4">
            <v>12340</v>
          </cell>
          <cell r="C4">
            <v>17160</v>
          </cell>
        </row>
        <row r="14">
          <cell r="A14">
            <v>532812</v>
          </cell>
          <cell r="B14">
            <v>571805</v>
          </cell>
          <cell r="C14">
            <v>146692</v>
          </cell>
        </row>
        <row r="24">
          <cell r="A24">
            <v>1766939</v>
          </cell>
          <cell r="B24">
            <v>584145</v>
          </cell>
          <cell r="C24">
            <v>163852</v>
          </cell>
        </row>
        <row r="46">
          <cell r="F46">
            <v>74.7346</v>
          </cell>
        </row>
        <row r="47">
          <cell r="F47">
            <v>73.100899999999996</v>
          </cell>
        </row>
        <row r="48">
          <cell r="F48">
            <v>78.128600000000006</v>
          </cell>
        </row>
        <row r="49">
          <cell r="F49">
            <v>80.253200000000007</v>
          </cell>
        </row>
        <row r="50">
          <cell r="F50">
            <v>73.316299999999998</v>
          </cell>
        </row>
        <row r="51">
          <cell r="F51">
            <v>76.166899999999998</v>
          </cell>
        </row>
        <row r="52">
          <cell r="F52">
            <v>73.2072</v>
          </cell>
        </row>
        <row r="53">
          <cell r="F53">
            <v>74.930599999999998</v>
          </cell>
        </row>
        <row r="54">
          <cell r="F54">
            <v>80.003100000000003</v>
          </cell>
        </row>
        <row r="55">
          <cell r="F55">
            <v>72.854600000000005</v>
          </cell>
        </row>
        <row r="56">
          <cell r="F56">
            <v>78.197599999999994</v>
          </cell>
        </row>
        <row r="57">
          <cell r="F57">
            <v>80.282499999999999</v>
          </cell>
        </row>
        <row r="80">
          <cell r="G80">
            <v>2236.2800000000002</v>
          </cell>
        </row>
        <row r="81">
          <cell r="G81">
            <v>2390.7600000000002</v>
          </cell>
        </row>
        <row r="82">
          <cell r="G82">
            <v>1381.8</v>
          </cell>
        </row>
        <row r="83">
          <cell r="G83">
            <v>3616.88</v>
          </cell>
        </row>
        <row r="84">
          <cell r="G84">
            <v>2543.44</v>
          </cell>
        </row>
        <row r="85">
          <cell r="G85">
            <v>1926.08</v>
          </cell>
        </row>
        <row r="86">
          <cell r="G86">
            <v>2538.2399999999998</v>
          </cell>
        </row>
        <row r="87">
          <cell r="G87">
            <v>789.88</v>
          </cell>
        </row>
        <row r="88">
          <cell r="G88">
            <v>4179.84</v>
          </cell>
        </row>
        <row r="89">
          <cell r="G89">
            <v>2049.16</v>
          </cell>
        </row>
        <row r="90">
          <cell r="G90">
            <v>1394.56</v>
          </cell>
        </row>
        <row r="91">
          <cell r="G91">
            <v>3551</v>
          </cell>
        </row>
        <row r="108">
          <cell r="D108">
            <v>0.91772796291856473</v>
          </cell>
          <cell r="E108">
            <v>0.86884478686063715</v>
          </cell>
          <cell r="F108">
            <v>0.90052491603156226</v>
          </cell>
        </row>
        <row r="117">
          <cell r="D117">
            <v>37.164499999999997</v>
          </cell>
        </row>
        <row r="118">
          <cell r="D118">
            <v>39.877499999999998</v>
          </cell>
        </row>
        <row r="119">
          <cell r="D119">
            <v>32.168399999999998</v>
          </cell>
        </row>
        <row r="141">
          <cell r="D141">
            <v>89641</v>
          </cell>
          <cell r="H141">
            <v>11910.76</v>
          </cell>
        </row>
        <row r="142">
          <cell r="D142">
            <v>86744</v>
          </cell>
          <cell r="H142">
            <v>11943.04</v>
          </cell>
        </row>
        <row r="143">
          <cell r="D143">
            <v>2897</v>
          </cell>
          <cell r="H143">
            <v>10945.08</v>
          </cell>
        </row>
        <row r="144">
          <cell r="D144">
            <v>67080</v>
          </cell>
          <cell r="H144">
            <v>11663.48</v>
          </cell>
        </row>
        <row r="145">
          <cell r="D145">
            <v>22561</v>
          </cell>
          <cell r="H145">
            <v>12646.04</v>
          </cell>
        </row>
        <row r="146">
          <cell r="D146">
            <v>65387</v>
          </cell>
          <cell r="H146">
            <v>11693.2</v>
          </cell>
        </row>
        <row r="147">
          <cell r="D147">
            <v>1693</v>
          </cell>
          <cell r="H147">
            <v>10514.96</v>
          </cell>
        </row>
        <row r="148">
          <cell r="D148">
            <v>21357</v>
          </cell>
          <cell r="H148">
            <v>12707.84</v>
          </cell>
        </row>
        <row r="149">
          <cell r="D149">
            <v>1204</v>
          </cell>
          <cell r="H149">
            <v>11549.88</v>
          </cell>
        </row>
        <row r="159">
          <cell r="A159">
            <v>11416</v>
          </cell>
          <cell r="B159">
            <v>571771</v>
          </cell>
          <cell r="C159">
            <v>7</v>
          </cell>
          <cell r="D159">
            <v>625</v>
          </cell>
          <cell r="E159">
            <v>9112</v>
          </cell>
          <cell r="F159">
            <v>5127</v>
          </cell>
          <cell r="G159">
            <v>2974</v>
          </cell>
        </row>
        <row r="169">
          <cell r="A169">
            <v>60</v>
          </cell>
          <cell r="B169">
            <v>646608</v>
          </cell>
          <cell r="C169">
            <v>133</v>
          </cell>
          <cell r="D169">
            <v>250</v>
          </cell>
          <cell r="E169">
            <v>6010</v>
          </cell>
          <cell r="F169">
            <v>2405</v>
          </cell>
          <cell r="G169">
            <v>736</v>
          </cell>
        </row>
        <row r="179">
          <cell r="A179">
            <v>11476</v>
          </cell>
          <cell r="B179">
            <v>1218379</v>
          </cell>
          <cell r="C179">
            <v>140</v>
          </cell>
          <cell r="D179">
            <v>875</v>
          </cell>
          <cell r="E179">
            <v>15122</v>
          </cell>
          <cell r="F179">
            <v>7532</v>
          </cell>
          <cell r="G179">
            <v>3710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0612-17H07S59-PROGRAM-TdB_STO"/>
    </sheetNames>
    <sheetDataSet>
      <sheetData sheetId="0">
        <row r="4">
          <cell r="A4">
            <v>1228338</v>
          </cell>
          <cell r="B4">
            <v>12485</v>
          </cell>
          <cell r="C4">
            <v>17166</v>
          </cell>
        </row>
        <row r="14">
          <cell r="A14">
            <v>532985</v>
          </cell>
          <cell r="B14">
            <v>572122</v>
          </cell>
          <cell r="C14">
            <v>146237</v>
          </cell>
        </row>
        <row r="24">
          <cell r="A24">
            <v>1761323</v>
          </cell>
          <cell r="B24">
            <v>584607</v>
          </cell>
          <cell r="C24">
            <v>163403</v>
          </cell>
        </row>
        <row r="46">
          <cell r="F46">
            <v>74.819199999999995</v>
          </cell>
        </row>
        <row r="47">
          <cell r="F47">
            <v>73.178799999999995</v>
          </cell>
        </row>
        <row r="48">
          <cell r="F48">
            <v>78.217699999999994</v>
          </cell>
        </row>
        <row r="49">
          <cell r="F49">
            <v>80.342699999999994</v>
          </cell>
        </row>
        <row r="50">
          <cell r="F50">
            <v>73.402600000000007</v>
          </cell>
        </row>
        <row r="51">
          <cell r="F51">
            <v>76.243399999999994</v>
          </cell>
        </row>
        <row r="52">
          <cell r="F52">
            <v>73.292900000000003</v>
          </cell>
        </row>
        <row r="53">
          <cell r="F53">
            <v>74.990300000000005</v>
          </cell>
        </row>
        <row r="54">
          <cell r="F54">
            <v>80.096599999999995</v>
          </cell>
        </row>
        <row r="55">
          <cell r="F55">
            <v>72.915899999999993</v>
          </cell>
        </row>
        <row r="56">
          <cell r="F56">
            <v>78.2881</v>
          </cell>
        </row>
        <row r="57">
          <cell r="F57">
            <v>80.371600000000001</v>
          </cell>
        </row>
        <row r="80">
          <cell r="G80">
            <v>2235.92</v>
          </cell>
        </row>
        <row r="81">
          <cell r="G81">
            <v>2394.92</v>
          </cell>
        </row>
        <row r="82">
          <cell r="G82">
            <v>1373.76</v>
          </cell>
        </row>
        <row r="83">
          <cell r="G83">
            <v>3606.24</v>
          </cell>
        </row>
        <row r="84">
          <cell r="G84">
            <v>2546.1999999999998</v>
          </cell>
        </row>
        <row r="85">
          <cell r="G85">
            <v>1923.96</v>
          </cell>
        </row>
        <row r="86">
          <cell r="G86">
            <v>2541.4</v>
          </cell>
        </row>
        <row r="87">
          <cell r="G87">
            <v>786.84</v>
          </cell>
        </row>
        <row r="88">
          <cell r="G88">
            <v>4167.3999999999996</v>
          </cell>
        </row>
        <row r="89">
          <cell r="G89">
            <v>2057.36</v>
          </cell>
        </row>
        <row r="90">
          <cell r="G90">
            <v>1386.56</v>
          </cell>
        </row>
        <row r="91">
          <cell r="G91">
            <v>3540.32</v>
          </cell>
        </row>
        <row r="108">
          <cell r="D108">
            <v>0.91946698310898156</v>
          </cell>
          <cell r="E108">
            <v>0.87187577295909358</v>
          </cell>
          <cell r="F108">
            <v>0.90267269766750735</v>
          </cell>
        </row>
        <row r="117">
          <cell r="D117">
            <v>37.226799999999997</v>
          </cell>
        </row>
        <row r="118">
          <cell r="D118">
            <v>39.923400000000001</v>
          </cell>
        </row>
        <row r="119">
          <cell r="D119">
            <v>32.281799999999997</v>
          </cell>
        </row>
        <row r="141">
          <cell r="D141">
            <v>90145</v>
          </cell>
          <cell r="H141">
            <v>11943.96</v>
          </cell>
        </row>
        <row r="142">
          <cell r="D142">
            <v>87251</v>
          </cell>
          <cell r="H142">
            <v>11976.76</v>
          </cell>
        </row>
        <row r="143">
          <cell r="D143">
            <v>2894</v>
          </cell>
          <cell r="H143">
            <v>10954.96</v>
          </cell>
        </row>
        <row r="144">
          <cell r="D144">
            <v>67252</v>
          </cell>
          <cell r="H144">
            <v>11694.04</v>
          </cell>
        </row>
        <row r="145">
          <cell r="D145">
            <v>22893</v>
          </cell>
          <cell r="H145">
            <v>12678.04</v>
          </cell>
        </row>
        <row r="146">
          <cell r="D146">
            <v>65552</v>
          </cell>
          <cell r="H146">
            <v>11724.64</v>
          </cell>
        </row>
        <row r="147">
          <cell r="D147">
            <v>1700</v>
          </cell>
          <cell r="H147">
            <v>10514.88</v>
          </cell>
        </row>
        <row r="148">
          <cell r="D148">
            <v>21699</v>
          </cell>
          <cell r="H148">
            <v>12738.4</v>
          </cell>
        </row>
        <row r="149">
          <cell r="D149">
            <v>1194</v>
          </cell>
          <cell r="H149">
            <v>11581.52</v>
          </cell>
        </row>
        <row r="159">
          <cell r="A159">
            <v>11124</v>
          </cell>
          <cell r="B159">
            <v>568581</v>
          </cell>
          <cell r="C159">
            <v>8</v>
          </cell>
          <cell r="D159">
            <v>623</v>
          </cell>
          <cell r="E159">
            <v>8919</v>
          </cell>
          <cell r="F159">
            <v>5011</v>
          </cell>
          <cell r="G159">
            <v>3083</v>
          </cell>
        </row>
        <row r="169">
          <cell r="A169">
            <v>58</v>
          </cell>
          <cell r="B169">
            <v>645728</v>
          </cell>
          <cell r="C169">
            <v>144</v>
          </cell>
          <cell r="D169">
            <v>243</v>
          </cell>
          <cell r="E169">
            <v>5817</v>
          </cell>
          <cell r="F169">
            <v>2349</v>
          </cell>
          <cell r="G169">
            <v>753</v>
          </cell>
        </row>
        <row r="179">
          <cell r="A179">
            <v>11182</v>
          </cell>
          <cell r="B179">
            <v>1214309</v>
          </cell>
          <cell r="C179">
            <v>152</v>
          </cell>
          <cell r="D179">
            <v>866</v>
          </cell>
          <cell r="E179">
            <v>14736</v>
          </cell>
          <cell r="F179">
            <v>7360</v>
          </cell>
          <cell r="G179">
            <v>3836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2_2T"/>
      <sheetName val="SAS_SA_2012_T"/>
      <sheetName val="SAS_SA_2012_3T"/>
      <sheetName val="SAS_SA_2012_4T"/>
    </sheetNames>
    <sheetDataSet>
      <sheetData sheetId="0">
        <row r="4">
          <cell r="A4">
            <v>1222692</v>
          </cell>
          <cell r="B4">
            <v>12587</v>
          </cell>
          <cell r="C4">
            <v>17179</v>
          </cell>
        </row>
        <row r="14">
          <cell r="A14">
            <v>533293</v>
          </cell>
          <cell r="B14">
            <v>571665</v>
          </cell>
          <cell r="C14">
            <v>145793</v>
          </cell>
        </row>
        <row r="24">
          <cell r="A24">
            <v>1755985</v>
          </cell>
          <cell r="B24">
            <v>584252</v>
          </cell>
          <cell r="C24">
            <v>162972</v>
          </cell>
        </row>
        <row r="46">
          <cell r="F46">
            <v>74.888300000000001</v>
          </cell>
        </row>
        <row r="47">
          <cell r="F47">
            <v>73.240499999999997</v>
          </cell>
        </row>
        <row r="48">
          <cell r="F48">
            <v>78.293999999999997</v>
          </cell>
        </row>
        <row r="49">
          <cell r="F49">
            <v>80.433499999999995</v>
          </cell>
        </row>
        <row r="50">
          <cell r="F50">
            <v>73.466899999999995</v>
          </cell>
        </row>
        <row r="51">
          <cell r="F51">
            <v>76.311599999999999</v>
          </cell>
        </row>
        <row r="52">
          <cell r="F52">
            <v>73.356399999999994</v>
          </cell>
        </row>
        <row r="53">
          <cell r="F53">
            <v>75.026499999999999</v>
          </cell>
        </row>
        <row r="54">
          <cell r="F54">
            <v>80.188299999999998</v>
          </cell>
        </row>
        <row r="55">
          <cell r="F55">
            <v>72.974599999999995</v>
          </cell>
        </row>
        <row r="56">
          <cell r="F56">
            <v>78.365899999999996</v>
          </cell>
        </row>
        <row r="57">
          <cell r="F57">
            <v>80.462400000000002</v>
          </cell>
        </row>
        <row r="80">
          <cell r="G80">
            <v>2284.52</v>
          </cell>
        </row>
        <row r="81">
          <cell r="G81">
            <v>2451.7600000000002</v>
          </cell>
        </row>
        <row r="82">
          <cell r="G82">
            <v>1394.32</v>
          </cell>
        </row>
        <row r="83">
          <cell r="G83">
            <v>3674.28</v>
          </cell>
        </row>
        <row r="84">
          <cell r="G84">
            <v>2605.8000000000002</v>
          </cell>
        </row>
        <row r="85">
          <cell r="G85">
            <v>1962.84</v>
          </cell>
        </row>
        <row r="86">
          <cell r="G86">
            <v>2601.4</v>
          </cell>
        </row>
        <row r="87">
          <cell r="G87">
            <v>792.68</v>
          </cell>
        </row>
        <row r="88">
          <cell r="G88">
            <v>4246.68</v>
          </cell>
        </row>
        <row r="89">
          <cell r="G89">
            <v>2108.6799999999998</v>
          </cell>
        </row>
        <row r="90">
          <cell r="G90">
            <v>1407.6</v>
          </cell>
        </row>
        <row r="91">
          <cell r="G91">
            <v>3606.8</v>
          </cell>
        </row>
        <row r="108">
          <cell r="D108">
            <v>0.92126247803213057</v>
          </cell>
          <cell r="E108">
            <v>0.87480230547889937</v>
          </cell>
          <cell r="F108">
            <v>0.90482121277339722</v>
          </cell>
        </row>
        <row r="117">
          <cell r="D117">
            <v>37.218000000000004</v>
          </cell>
        </row>
        <row r="118">
          <cell r="D118">
            <v>39.9011</v>
          </cell>
        </row>
        <row r="119">
          <cell r="D119">
            <v>32.319000000000003</v>
          </cell>
        </row>
        <row r="141">
          <cell r="D141">
            <v>90359</v>
          </cell>
          <cell r="H141">
            <v>12230.52</v>
          </cell>
        </row>
        <row r="142">
          <cell r="D142">
            <v>87472</v>
          </cell>
          <cell r="H142">
            <v>12264.68</v>
          </cell>
        </row>
        <row r="143">
          <cell r="D143">
            <v>2887</v>
          </cell>
          <cell r="H143">
            <v>11195.76</v>
          </cell>
        </row>
        <row r="144">
          <cell r="D144">
            <v>67227</v>
          </cell>
          <cell r="H144">
            <v>11976.68</v>
          </cell>
        </row>
        <row r="145">
          <cell r="D145">
            <v>23132</v>
          </cell>
          <cell r="H145">
            <v>12968.2</v>
          </cell>
        </row>
        <row r="146">
          <cell r="D146">
            <v>65527</v>
          </cell>
          <cell r="H146">
            <v>12008.64</v>
          </cell>
        </row>
        <row r="147">
          <cell r="D147">
            <v>1700</v>
          </cell>
          <cell r="H147">
            <v>10745.16</v>
          </cell>
        </row>
        <row r="148">
          <cell r="D148">
            <v>21945</v>
          </cell>
          <cell r="H148">
            <v>13029.16</v>
          </cell>
        </row>
        <row r="149">
          <cell r="D149">
            <v>1187</v>
          </cell>
          <cell r="H149">
            <v>11841.12</v>
          </cell>
        </row>
        <row r="159">
          <cell r="A159">
            <v>10766</v>
          </cell>
          <cell r="B159">
            <v>565239</v>
          </cell>
          <cell r="C159">
            <v>8</v>
          </cell>
          <cell r="D159">
            <v>613</v>
          </cell>
          <cell r="E159">
            <v>8674</v>
          </cell>
          <cell r="F159">
            <v>4920</v>
          </cell>
          <cell r="G159">
            <v>3140</v>
          </cell>
        </row>
        <row r="169">
          <cell r="A169">
            <v>59</v>
          </cell>
          <cell r="B169">
            <v>644399</v>
          </cell>
          <cell r="C169">
            <v>135</v>
          </cell>
          <cell r="D169">
            <v>242</v>
          </cell>
          <cell r="E169">
            <v>5646</v>
          </cell>
          <cell r="F169">
            <v>2302</v>
          </cell>
          <cell r="G169">
            <v>773</v>
          </cell>
        </row>
        <row r="179">
          <cell r="A179">
            <v>10825</v>
          </cell>
          <cell r="B179">
            <v>1209638</v>
          </cell>
          <cell r="C179">
            <v>143</v>
          </cell>
          <cell r="D179">
            <v>855</v>
          </cell>
          <cell r="E179">
            <v>14320</v>
          </cell>
          <cell r="F179">
            <v>7222</v>
          </cell>
          <cell r="G179">
            <v>3913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105-09H31S06-PROGRAM-TdB_STO"/>
    </sheetNames>
    <sheetDataSet>
      <sheetData sheetId="0">
        <row r="4">
          <cell r="A4">
            <v>1216110</v>
          </cell>
          <cell r="B4">
            <v>12743</v>
          </cell>
          <cell r="C4">
            <v>17251</v>
          </cell>
        </row>
        <row r="14">
          <cell r="A14">
            <v>533872</v>
          </cell>
          <cell r="B14">
            <v>572765</v>
          </cell>
          <cell r="C14">
            <v>145730</v>
          </cell>
        </row>
        <row r="24">
          <cell r="A24">
            <v>1749982</v>
          </cell>
          <cell r="B24">
            <v>585508</v>
          </cell>
          <cell r="C24">
            <v>162981</v>
          </cell>
        </row>
        <row r="46">
          <cell r="F46">
            <v>74.9726</v>
          </cell>
        </row>
        <row r="47">
          <cell r="F47">
            <v>73.316299999999998</v>
          </cell>
        </row>
        <row r="48">
          <cell r="F48">
            <v>78.376599999999996</v>
          </cell>
        </row>
        <row r="49">
          <cell r="F49">
            <v>80.527699999999996</v>
          </cell>
        </row>
        <row r="50">
          <cell r="F50">
            <v>73.551400000000001</v>
          </cell>
        </row>
        <row r="51">
          <cell r="F51">
            <v>76.386700000000005</v>
          </cell>
        </row>
        <row r="52">
          <cell r="F52">
            <v>73.439300000000003</v>
          </cell>
        </row>
        <row r="53">
          <cell r="F53">
            <v>75.116900000000001</v>
          </cell>
        </row>
        <row r="54">
          <cell r="F54">
            <v>80.298699999999997</v>
          </cell>
        </row>
        <row r="55">
          <cell r="F55">
            <v>73.036199999999994</v>
          </cell>
        </row>
        <row r="56">
          <cell r="F56">
            <v>78.449100000000001</v>
          </cell>
        </row>
        <row r="57">
          <cell r="F57">
            <v>80.5548</v>
          </cell>
        </row>
        <row r="80">
          <cell r="G80">
            <v>2282.64</v>
          </cell>
        </row>
        <row r="81">
          <cell r="G81">
            <v>2454.04</v>
          </cell>
        </row>
        <row r="82">
          <cell r="G82">
            <v>1385.96</v>
          </cell>
        </row>
        <row r="83">
          <cell r="G83">
            <v>3663.96</v>
          </cell>
        </row>
        <row r="84">
          <cell r="G84">
            <v>2607.44</v>
          </cell>
        </row>
        <row r="85">
          <cell r="G85">
            <v>1959.48</v>
          </cell>
        </row>
        <row r="86">
          <cell r="G86">
            <v>2603.52</v>
          </cell>
        </row>
        <row r="87">
          <cell r="G87">
            <v>788.88</v>
          </cell>
        </row>
        <row r="88">
          <cell r="G88">
            <v>4226.88</v>
          </cell>
        </row>
        <row r="89">
          <cell r="G89">
            <v>2113.52</v>
          </cell>
        </row>
        <row r="90">
          <cell r="G90">
            <v>1399.24</v>
          </cell>
        </row>
        <row r="91">
          <cell r="G91">
            <v>3597.32</v>
          </cell>
        </row>
        <row r="108">
          <cell r="D108">
            <v>0.92275341708273806</v>
          </cell>
          <cell r="E108">
            <v>0.87752135092025263</v>
          </cell>
          <cell r="F108">
            <v>0.90668430775793296</v>
          </cell>
        </row>
        <row r="117">
          <cell r="D117">
            <v>37.1494</v>
          </cell>
        </row>
        <row r="118">
          <cell r="D118">
            <v>39.850099999999998</v>
          </cell>
        </row>
        <row r="119">
          <cell r="D119">
            <v>32.248100000000001</v>
          </cell>
        </row>
        <row r="141">
          <cell r="D141">
            <v>90234</v>
          </cell>
          <cell r="H141">
            <v>12255.12</v>
          </cell>
        </row>
        <row r="142">
          <cell r="D142">
            <v>87350</v>
          </cell>
          <cell r="H142">
            <v>12289.48</v>
          </cell>
        </row>
        <row r="143">
          <cell r="D143">
            <v>2884</v>
          </cell>
          <cell r="H143">
            <v>11214.24</v>
          </cell>
        </row>
        <row r="144">
          <cell r="D144">
            <v>67031</v>
          </cell>
          <cell r="H144">
            <v>12003.68</v>
          </cell>
        </row>
        <row r="145">
          <cell r="D145">
            <v>23203</v>
          </cell>
          <cell r="H145">
            <v>12981.52</v>
          </cell>
        </row>
        <row r="146">
          <cell r="D146">
            <v>65336</v>
          </cell>
          <cell r="H146">
            <v>12036.36</v>
          </cell>
        </row>
        <row r="147">
          <cell r="D147">
            <v>1695</v>
          </cell>
          <cell r="H147">
            <v>10743.84</v>
          </cell>
        </row>
        <row r="148">
          <cell r="D148">
            <v>22014</v>
          </cell>
          <cell r="H148">
            <v>13040.76</v>
          </cell>
        </row>
        <row r="149">
          <cell r="D149">
            <v>1189</v>
          </cell>
          <cell r="H149">
            <v>11884.8</v>
          </cell>
        </row>
        <row r="159">
          <cell r="A159">
            <v>10431</v>
          </cell>
          <cell r="B159">
            <v>561602</v>
          </cell>
          <cell r="C159">
            <v>8</v>
          </cell>
          <cell r="D159">
            <v>608</v>
          </cell>
          <cell r="E159">
            <v>8431</v>
          </cell>
          <cell r="F159">
            <v>4775</v>
          </cell>
          <cell r="G159">
            <v>3157</v>
          </cell>
        </row>
        <row r="169">
          <cell r="A169">
            <v>58</v>
          </cell>
          <cell r="B169">
            <v>644197</v>
          </cell>
          <cell r="C169">
            <v>139</v>
          </cell>
          <cell r="D169">
            <v>239</v>
          </cell>
          <cell r="E169">
            <v>5523</v>
          </cell>
          <cell r="F169">
            <v>2267</v>
          </cell>
          <cell r="G169">
            <v>770</v>
          </cell>
        </row>
        <row r="179">
          <cell r="A179">
            <v>10489</v>
          </cell>
          <cell r="B179">
            <v>1205799</v>
          </cell>
          <cell r="C179">
            <v>147</v>
          </cell>
          <cell r="D179">
            <v>847</v>
          </cell>
          <cell r="E179">
            <v>13954</v>
          </cell>
          <cell r="F179">
            <v>7042</v>
          </cell>
          <cell r="G179">
            <v>3927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2_4T"/>
    </sheetNames>
    <sheetDataSet>
      <sheetData sheetId="0">
        <row r="4">
          <cell r="A4">
            <v>1209559</v>
          </cell>
          <cell r="B4">
            <v>12894</v>
          </cell>
          <cell r="C4">
            <v>17347</v>
          </cell>
        </row>
        <row r="14">
          <cell r="A14">
            <v>533404</v>
          </cell>
          <cell r="B14">
            <v>573664</v>
          </cell>
          <cell r="C14">
            <v>145604</v>
          </cell>
        </row>
        <row r="24">
          <cell r="A24">
            <v>1742963</v>
          </cell>
          <cell r="B24">
            <v>586558</v>
          </cell>
          <cell r="C24">
            <v>162951</v>
          </cell>
        </row>
        <row r="46">
          <cell r="F46">
            <v>75.063599999999994</v>
          </cell>
        </row>
        <row r="47">
          <cell r="F47">
            <v>73.403400000000005</v>
          </cell>
        </row>
        <row r="48">
          <cell r="F48">
            <v>78.451499999999996</v>
          </cell>
        </row>
        <row r="49">
          <cell r="F49">
            <v>80.625799999999998</v>
          </cell>
        </row>
        <row r="50">
          <cell r="F50">
            <v>73.638900000000007</v>
          </cell>
        </row>
        <row r="51">
          <cell r="F51">
            <v>76.473600000000005</v>
          </cell>
        </row>
        <row r="52">
          <cell r="F52">
            <v>73.525700000000001</v>
          </cell>
        </row>
        <row r="53">
          <cell r="F53">
            <v>75.145099999999999</v>
          </cell>
        </row>
        <row r="54">
          <cell r="F54">
            <v>80.4114</v>
          </cell>
        </row>
        <row r="55">
          <cell r="F55">
            <v>73.126099999999994</v>
          </cell>
        </row>
        <row r="56">
          <cell r="F56">
            <v>78.525800000000004</v>
          </cell>
        </row>
        <row r="57">
          <cell r="F57">
            <v>80.651399999999995</v>
          </cell>
        </row>
        <row r="80">
          <cell r="G80">
            <v>2282.92</v>
          </cell>
        </row>
        <row r="81">
          <cell r="G81">
            <v>2458.6</v>
          </cell>
        </row>
        <row r="82">
          <cell r="G82">
            <v>1378.6</v>
          </cell>
        </row>
        <row r="83">
          <cell r="G83">
            <v>3659.12</v>
          </cell>
        </row>
        <row r="84">
          <cell r="G84">
            <v>2612.16</v>
          </cell>
        </row>
        <row r="85">
          <cell r="G85">
            <v>1957.08</v>
          </cell>
        </row>
        <row r="86">
          <cell r="G86">
            <v>2608.4</v>
          </cell>
        </row>
        <row r="87">
          <cell r="G87">
            <v>783.92</v>
          </cell>
        </row>
        <row r="88">
          <cell r="G88">
            <v>4231.8</v>
          </cell>
        </row>
        <row r="89">
          <cell r="G89">
            <v>2118.92</v>
          </cell>
        </row>
        <row r="90">
          <cell r="G90">
            <v>1392</v>
          </cell>
        </row>
        <row r="91">
          <cell r="G91">
            <v>3590.84</v>
          </cell>
        </row>
        <row r="108">
          <cell r="D108">
            <v>0.92387040404394416</v>
          </cell>
          <cell r="E108">
            <v>0.87964070268869143</v>
          </cell>
          <cell r="F108">
            <v>0.90811332941220302</v>
          </cell>
        </row>
        <row r="117">
          <cell r="D117">
            <v>37.226799999999997</v>
          </cell>
        </row>
        <row r="118">
          <cell r="D118">
            <v>39.927</v>
          </cell>
        </row>
        <row r="119">
          <cell r="D119">
            <v>32.347700000000003</v>
          </cell>
        </row>
        <row r="141">
          <cell r="D141">
            <v>90786</v>
          </cell>
          <cell r="H141">
            <v>12285.36</v>
          </cell>
        </row>
        <row r="142">
          <cell r="D142">
            <v>87890</v>
          </cell>
          <cell r="H142">
            <v>12320.36</v>
          </cell>
        </row>
        <row r="143">
          <cell r="D143">
            <v>2896</v>
          </cell>
          <cell r="H143">
            <v>11223.44</v>
          </cell>
        </row>
        <row r="144">
          <cell r="D144">
            <v>67246</v>
          </cell>
          <cell r="H144">
            <v>12033.12</v>
          </cell>
        </row>
        <row r="145">
          <cell r="D145">
            <v>23540</v>
          </cell>
          <cell r="H145">
            <v>13005.92</v>
          </cell>
        </row>
        <row r="146">
          <cell r="D146">
            <v>65544</v>
          </cell>
          <cell r="H146">
            <v>12066.4</v>
          </cell>
        </row>
        <row r="147">
          <cell r="D147">
            <v>1702</v>
          </cell>
          <cell r="H147">
            <v>10752.12</v>
          </cell>
        </row>
        <row r="148">
          <cell r="D148">
            <v>22346</v>
          </cell>
          <cell r="H148">
            <v>13065.24</v>
          </cell>
        </row>
        <row r="149">
          <cell r="D149">
            <v>1194</v>
          </cell>
          <cell r="H149">
            <v>11895.28</v>
          </cell>
        </row>
        <row r="159">
          <cell r="A159">
            <v>10159</v>
          </cell>
          <cell r="B159">
            <v>558281</v>
          </cell>
          <cell r="C159">
            <v>8</v>
          </cell>
          <cell r="D159">
            <v>607</v>
          </cell>
          <cell r="E159">
            <v>8225</v>
          </cell>
          <cell r="F159">
            <v>4668</v>
          </cell>
          <cell r="G159">
            <v>3243</v>
          </cell>
        </row>
        <row r="169">
          <cell r="A169">
            <v>61</v>
          </cell>
          <cell r="B169">
            <v>643782</v>
          </cell>
          <cell r="C169">
            <v>119</v>
          </cell>
          <cell r="D169">
            <v>237</v>
          </cell>
          <cell r="E169">
            <v>5383</v>
          </cell>
          <cell r="F169">
            <v>2231</v>
          </cell>
          <cell r="G169">
            <v>795</v>
          </cell>
        </row>
        <row r="179">
          <cell r="A179">
            <v>10220</v>
          </cell>
          <cell r="B179">
            <v>1202063</v>
          </cell>
          <cell r="C179">
            <v>127</v>
          </cell>
          <cell r="D179">
            <v>844</v>
          </cell>
          <cell r="E179">
            <v>13608</v>
          </cell>
          <cell r="F179">
            <v>6899</v>
          </cell>
          <cell r="G179">
            <v>4038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3_1T"/>
      <sheetName val="SAS_SA_2013_T"/>
      <sheetName val="SAS_SA_2013_2T"/>
    </sheetNames>
    <sheetDataSet>
      <sheetData sheetId="0">
        <row r="4">
          <cell r="A4">
            <v>1207225</v>
          </cell>
          <cell r="B4">
            <v>13030</v>
          </cell>
          <cell r="C4">
            <v>17297</v>
          </cell>
        </row>
        <row r="14">
          <cell r="A14">
            <v>535595</v>
          </cell>
          <cell r="B14">
            <v>572217</v>
          </cell>
          <cell r="C14">
            <v>145062</v>
          </cell>
        </row>
        <row r="24">
          <cell r="A24">
            <v>1742820</v>
          </cell>
          <cell r="B24">
            <v>585247</v>
          </cell>
          <cell r="C24">
            <v>162359</v>
          </cell>
        </row>
        <row r="46">
          <cell r="F46">
            <v>75.127300000000005</v>
          </cell>
        </row>
        <row r="47">
          <cell r="F47">
            <v>73.455299999999994</v>
          </cell>
        </row>
        <row r="48">
          <cell r="F48">
            <v>78.556799999999996</v>
          </cell>
        </row>
        <row r="49">
          <cell r="F49">
            <v>80.713700000000003</v>
          </cell>
        </row>
        <row r="50">
          <cell r="F50">
            <v>73.699799999999996</v>
          </cell>
        </row>
        <row r="51">
          <cell r="F51">
            <v>76.537400000000005</v>
          </cell>
        </row>
        <row r="52">
          <cell r="F52">
            <v>73.585700000000003</v>
          </cell>
        </row>
        <row r="53">
          <cell r="F53">
            <v>75.256900000000002</v>
          </cell>
        </row>
        <row r="54">
          <cell r="F54">
            <v>80.488</v>
          </cell>
        </row>
        <row r="55">
          <cell r="F55">
            <v>73.161299999999997</v>
          </cell>
        </row>
        <row r="56">
          <cell r="F56">
            <v>78.631900000000002</v>
          </cell>
        </row>
        <row r="57">
          <cell r="F57">
            <v>80.740600000000001</v>
          </cell>
        </row>
        <row r="80">
          <cell r="G80">
            <v>2286.8000000000002</v>
          </cell>
        </row>
        <row r="81">
          <cell r="G81">
            <v>2467.7600000000002</v>
          </cell>
        </row>
        <row r="82">
          <cell r="G82">
            <v>1371.08</v>
          </cell>
        </row>
        <row r="83">
          <cell r="G83">
            <v>3645.44</v>
          </cell>
        </row>
        <row r="84">
          <cell r="G84">
            <v>2619.52</v>
          </cell>
        </row>
        <row r="85">
          <cell r="G85">
            <v>1958.16</v>
          </cell>
        </row>
        <row r="86">
          <cell r="G86">
            <v>2616.6</v>
          </cell>
        </row>
        <row r="87">
          <cell r="G87">
            <v>783.72</v>
          </cell>
        </row>
        <row r="88">
          <cell r="G88">
            <v>4206.32</v>
          </cell>
        </row>
        <row r="89">
          <cell r="G89">
            <v>2132.2399999999998</v>
          </cell>
        </row>
        <row r="90">
          <cell r="G90">
            <v>1384.44</v>
          </cell>
        </row>
        <row r="91">
          <cell r="G91">
            <v>3578.56</v>
          </cell>
        </row>
        <row r="108">
          <cell r="D108">
            <v>0.92541126050200562</v>
          </cell>
          <cell r="E108">
            <v>0.88260780136634098</v>
          </cell>
          <cell r="F108">
            <v>0.91011915946961386</v>
          </cell>
        </row>
        <row r="117">
          <cell r="D117">
            <v>37.2956</v>
          </cell>
        </row>
        <row r="118">
          <cell r="D118">
            <v>39.979700000000001</v>
          </cell>
        </row>
        <row r="119">
          <cell r="D119">
            <v>32.4666</v>
          </cell>
        </row>
        <row r="141">
          <cell r="D141">
            <v>91848</v>
          </cell>
          <cell r="H141">
            <v>12328.04</v>
          </cell>
        </row>
        <row r="142">
          <cell r="D142">
            <v>88984</v>
          </cell>
          <cell r="H142">
            <v>12362.96</v>
          </cell>
        </row>
        <row r="143">
          <cell r="D143">
            <v>2864</v>
          </cell>
          <cell r="H143">
            <v>11243.08</v>
          </cell>
        </row>
        <row r="144">
          <cell r="D144">
            <v>67757</v>
          </cell>
          <cell r="H144">
            <v>12075.52</v>
          </cell>
        </row>
        <row r="145">
          <cell r="D145">
            <v>24091</v>
          </cell>
          <cell r="H145">
            <v>13038.2</v>
          </cell>
        </row>
        <row r="146">
          <cell r="D146">
            <v>66083</v>
          </cell>
          <cell r="H146">
            <v>12108.72</v>
          </cell>
        </row>
        <row r="147">
          <cell r="D147">
            <v>1674</v>
          </cell>
          <cell r="H147">
            <v>10766.16</v>
          </cell>
        </row>
        <row r="148">
          <cell r="D148">
            <v>22901</v>
          </cell>
          <cell r="H148">
            <v>13096.64</v>
          </cell>
        </row>
        <row r="149">
          <cell r="D149">
            <v>1190</v>
          </cell>
          <cell r="H149">
            <v>11914</v>
          </cell>
        </row>
        <row r="159">
          <cell r="A159">
            <v>9873</v>
          </cell>
          <cell r="B159">
            <v>556186</v>
          </cell>
          <cell r="C159">
            <v>11</v>
          </cell>
          <cell r="D159">
            <v>604</v>
          </cell>
          <cell r="E159">
            <v>8013</v>
          </cell>
          <cell r="F159">
            <v>4570</v>
          </cell>
          <cell r="G159">
            <v>3348</v>
          </cell>
        </row>
        <row r="169">
          <cell r="A169">
            <v>56</v>
          </cell>
          <cell r="B169">
            <v>642510</v>
          </cell>
          <cell r="C169">
            <v>129</v>
          </cell>
          <cell r="D169">
            <v>234</v>
          </cell>
          <cell r="E169">
            <v>5230</v>
          </cell>
          <cell r="F169">
            <v>2189</v>
          </cell>
          <cell r="G169">
            <v>825</v>
          </cell>
        </row>
        <row r="179">
          <cell r="A179">
            <v>9929</v>
          </cell>
          <cell r="B179">
            <v>1198696</v>
          </cell>
          <cell r="C179">
            <v>140</v>
          </cell>
          <cell r="D179">
            <v>838</v>
          </cell>
          <cell r="E179">
            <v>13243</v>
          </cell>
          <cell r="F179">
            <v>6759</v>
          </cell>
          <cell r="G179">
            <v>4173</v>
          </cell>
        </row>
      </sheetData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3_2T"/>
    </sheetNames>
    <sheetDataSet>
      <sheetData sheetId="0">
        <row r="4">
          <cell r="A4">
            <v>1200377</v>
          </cell>
          <cell r="B4">
            <v>13105</v>
          </cell>
          <cell r="C4">
            <v>17294</v>
          </cell>
        </row>
        <row r="14">
          <cell r="A14">
            <v>535846</v>
          </cell>
          <cell r="B14">
            <v>570890</v>
          </cell>
          <cell r="C14">
            <v>144270</v>
          </cell>
        </row>
        <row r="24">
          <cell r="A24">
            <v>1736223</v>
          </cell>
          <cell r="B24">
            <v>583995</v>
          </cell>
          <cell r="C24">
            <v>161564</v>
          </cell>
        </row>
        <row r="46">
          <cell r="F46">
            <v>75.191400000000002</v>
          </cell>
        </row>
        <row r="47">
          <cell r="F47">
            <v>73.511700000000005</v>
          </cell>
        </row>
        <row r="48">
          <cell r="F48">
            <v>78.633300000000006</v>
          </cell>
        </row>
        <row r="49">
          <cell r="F49">
            <v>80.800200000000004</v>
          </cell>
        </row>
        <row r="50">
          <cell r="F50">
            <v>73.761700000000005</v>
          </cell>
        </row>
        <row r="51">
          <cell r="F51">
            <v>76.597899999999996</v>
          </cell>
        </row>
        <row r="52">
          <cell r="F52">
            <v>73.646699999999996</v>
          </cell>
        </row>
        <row r="53">
          <cell r="F53">
            <v>75.285799999999995</v>
          </cell>
        </row>
        <row r="54">
          <cell r="F54">
            <v>80.585099999999997</v>
          </cell>
        </row>
        <row r="55">
          <cell r="F55">
            <v>73.209199999999996</v>
          </cell>
        </row>
        <row r="56">
          <cell r="F56">
            <v>78.710099999999997</v>
          </cell>
        </row>
        <row r="57">
          <cell r="F57">
            <v>80.825999999999993</v>
          </cell>
        </row>
        <row r="80">
          <cell r="G80">
            <v>2318.1999999999998</v>
          </cell>
        </row>
        <row r="81">
          <cell r="G81">
            <v>2506.8000000000002</v>
          </cell>
        </row>
        <row r="82">
          <cell r="G82">
            <v>1380</v>
          </cell>
        </row>
        <row r="83">
          <cell r="G83">
            <v>3682.24</v>
          </cell>
        </row>
        <row r="84">
          <cell r="G84">
            <v>2658.88</v>
          </cell>
        </row>
        <row r="85">
          <cell r="G85">
            <v>1983</v>
          </cell>
        </row>
        <row r="86">
          <cell r="G86">
            <v>2656.44</v>
          </cell>
        </row>
        <row r="87">
          <cell r="G87">
            <v>787.88</v>
          </cell>
        </row>
        <row r="88">
          <cell r="G88">
            <v>4246.4399999999996</v>
          </cell>
        </row>
        <row r="89">
          <cell r="G89">
            <v>2171.64</v>
          </cell>
        </row>
        <row r="90">
          <cell r="G90">
            <v>1393.6</v>
          </cell>
        </row>
        <row r="91">
          <cell r="G91">
            <v>3614.6</v>
          </cell>
        </row>
        <row r="108">
          <cell r="D108">
            <v>0.92694526294350876</v>
          </cell>
          <cell r="E108">
            <v>0.88549465673098982</v>
          </cell>
          <cell r="F108">
            <v>0.91209062780590411</v>
          </cell>
        </row>
        <row r="117">
          <cell r="D117">
            <v>37.377899999999997</v>
          </cell>
        </row>
        <row r="118">
          <cell r="D118">
            <v>40.0488</v>
          </cell>
        </row>
        <row r="119">
          <cell r="D119">
            <v>32.595799999999997</v>
          </cell>
        </row>
        <row r="141">
          <cell r="D141">
            <v>92466</v>
          </cell>
          <cell r="H141">
            <v>12529.24</v>
          </cell>
        </row>
        <row r="142">
          <cell r="D142">
            <v>89622</v>
          </cell>
          <cell r="H142">
            <v>12565.36</v>
          </cell>
        </row>
        <row r="143">
          <cell r="D143">
            <v>2844</v>
          </cell>
          <cell r="H143">
            <v>11391.84</v>
          </cell>
        </row>
        <row r="144">
          <cell r="D144">
            <v>67956</v>
          </cell>
          <cell r="H144">
            <v>12276.12</v>
          </cell>
        </row>
        <row r="145">
          <cell r="D145">
            <v>24510</v>
          </cell>
          <cell r="H145">
            <v>13231.08</v>
          </cell>
        </row>
        <row r="146">
          <cell r="D146">
            <v>66293</v>
          </cell>
          <cell r="H146">
            <v>12310.16</v>
          </cell>
        </row>
        <row r="147">
          <cell r="D147">
            <v>1663</v>
          </cell>
          <cell r="H147">
            <v>10919.68</v>
          </cell>
        </row>
        <row r="148">
          <cell r="D148">
            <v>23329</v>
          </cell>
          <cell r="H148">
            <v>13290.52</v>
          </cell>
        </row>
        <row r="149">
          <cell r="D149">
            <v>1181</v>
          </cell>
          <cell r="H149">
            <v>12056.68</v>
          </cell>
        </row>
        <row r="159">
          <cell r="A159">
            <v>9527</v>
          </cell>
          <cell r="B159">
            <v>552249</v>
          </cell>
          <cell r="C159">
            <v>11</v>
          </cell>
          <cell r="D159">
            <v>596</v>
          </cell>
          <cell r="E159">
            <v>7768</v>
          </cell>
          <cell r="F159">
            <v>4478</v>
          </cell>
          <cell r="G159">
            <v>3414</v>
          </cell>
        </row>
        <row r="169">
          <cell r="A169">
            <v>52</v>
          </cell>
          <cell r="B169">
            <v>640532</v>
          </cell>
          <cell r="C169">
            <v>120</v>
          </cell>
          <cell r="D169">
            <v>235</v>
          </cell>
          <cell r="E169">
            <v>5077</v>
          </cell>
          <cell r="F169">
            <v>2135</v>
          </cell>
          <cell r="G169">
            <v>833</v>
          </cell>
        </row>
        <row r="179">
          <cell r="A179">
            <v>9579</v>
          </cell>
          <cell r="B179">
            <v>1192781</v>
          </cell>
          <cell r="C179">
            <v>131</v>
          </cell>
          <cell r="D179">
            <v>831</v>
          </cell>
          <cell r="E179">
            <v>12845</v>
          </cell>
          <cell r="F179">
            <v>6613</v>
          </cell>
          <cell r="G179">
            <v>4247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3_3T"/>
    </sheetNames>
    <sheetDataSet>
      <sheetData sheetId="0">
        <row r="4">
          <cell r="A4">
            <v>1201724</v>
          </cell>
          <cell r="B4">
            <v>13238</v>
          </cell>
          <cell r="C4">
            <v>17339</v>
          </cell>
        </row>
        <row r="14">
          <cell r="A14">
            <v>541809</v>
          </cell>
          <cell r="B14">
            <v>570980</v>
          </cell>
          <cell r="C14">
            <v>144234</v>
          </cell>
        </row>
        <row r="24">
          <cell r="A24">
            <v>1743533</v>
          </cell>
          <cell r="B24">
            <v>584218</v>
          </cell>
          <cell r="C24">
            <v>161573</v>
          </cell>
        </row>
        <row r="46">
          <cell r="F46">
            <v>75.190200000000004</v>
          </cell>
        </row>
        <row r="47">
          <cell r="F47">
            <v>73.485299999999995</v>
          </cell>
        </row>
        <row r="48">
          <cell r="F48">
            <v>78.710400000000007</v>
          </cell>
        </row>
        <row r="49">
          <cell r="F49">
            <v>80.858999999999995</v>
          </cell>
        </row>
        <row r="50">
          <cell r="F50">
            <v>73.754999999999995</v>
          </cell>
        </row>
        <row r="51">
          <cell r="F51">
            <v>76.597200000000001</v>
          </cell>
        </row>
        <row r="52">
          <cell r="F52">
            <v>73.638199999999998</v>
          </cell>
        </row>
        <row r="53">
          <cell r="F53">
            <v>75.356800000000007</v>
          </cell>
        </row>
        <row r="54">
          <cell r="F54">
            <v>80.624799999999993</v>
          </cell>
        </row>
        <row r="55">
          <cell r="F55">
            <v>73.146199999999993</v>
          </cell>
        </row>
        <row r="56">
          <cell r="F56">
            <v>78.788200000000003</v>
          </cell>
        </row>
        <row r="57">
          <cell r="F57">
            <v>80.887200000000007</v>
          </cell>
        </row>
        <row r="80">
          <cell r="G80">
            <v>2304.44</v>
          </cell>
        </row>
        <row r="81">
          <cell r="G81">
            <v>2490.3200000000002</v>
          </cell>
        </row>
        <row r="82">
          <cell r="G82">
            <v>1372</v>
          </cell>
        </row>
        <row r="83">
          <cell r="G83">
            <v>3670.12</v>
          </cell>
        </row>
        <row r="84">
          <cell r="G84">
            <v>2645.2</v>
          </cell>
        </row>
        <row r="85">
          <cell r="G85">
            <v>1970.36</v>
          </cell>
        </row>
        <row r="86">
          <cell r="G86">
            <v>2642.84</v>
          </cell>
        </row>
        <row r="87">
          <cell r="G87">
            <v>782.36</v>
          </cell>
        </row>
        <row r="88">
          <cell r="G88">
            <v>4231.84</v>
          </cell>
        </row>
        <row r="89">
          <cell r="G89">
            <v>2152.04</v>
          </cell>
        </row>
        <row r="90">
          <cell r="G90">
            <v>1385.68</v>
          </cell>
        </row>
        <row r="91">
          <cell r="G91">
            <v>3602.56</v>
          </cell>
        </row>
        <row r="108">
          <cell r="D108">
            <v>0.92867847729951747</v>
          </cell>
          <cell r="E108">
            <v>0.88888888888888884</v>
          </cell>
          <cell r="F108">
            <v>0.91435012768325108</v>
          </cell>
        </row>
        <row r="117">
          <cell r="D117">
            <v>37.283200000000001</v>
          </cell>
        </row>
        <row r="118">
          <cell r="D118">
            <v>39.956600000000002</v>
          </cell>
        </row>
        <row r="119">
          <cell r="D119">
            <v>32.532600000000002</v>
          </cell>
        </row>
        <row r="141">
          <cell r="D141">
            <v>93395</v>
          </cell>
          <cell r="H141">
            <v>12571.24</v>
          </cell>
        </row>
        <row r="142">
          <cell r="D142">
            <v>90552</v>
          </cell>
          <cell r="H142">
            <v>12607.56</v>
          </cell>
        </row>
        <row r="143">
          <cell r="D143">
            <v>2843</v>
          </cell>
          <cell r="H143">
            <v>11414.2</v>
          </cell>
        </row>
        <row r="144">
          <cell r="D144">
            <v>68373</v>
          </cell>
          <cell r="H144">
            <v>12317.84</v>
          </cell>
        </row>
        <row r="145">
          <cell r="D145">
            <v>25022</v>
          </cell>
          <cell r="H145">
            <v>13263.6</v>
          </cell>
        </row>
        <row r="146">
          <cell r="D146">
            <v>66714</v>
          </cell>
          <cell r="H146">
            <v>12352.4</v>
          </cell>
        </row>
        <row r="147">
          <cell r="D147">
            <v>1659</v>
          </cell>
          <cell r="H147">
            <v>10928.08</v>
          </cell>
        </row>
        <row r="148">
          <cell r="D148">
            <v>23838</v>
          </cell>
          <cell r="H148">
            <v>13321.64</v>
          </cell>
        </row>
        <row r="149">
          <cell r="D149">
            <v>1184</v>
          </cell>
          <cell r="H149">
            <v>12095.36</v>
          </cell>
        </row>
        <row r="159">
          <cell r="A159">
            <v>9338</v>
          </cell>
          <cell r="B159">
            <v>551428</v>
          </cell>
          <cell r="C159">
            <v>11</v>
          </cell>
          <cell r="D159">
            <v>598</v>
          </cell>
          <cell r="E159">
            <v>7585</v>
          </cell>
          <cell r="F159">
            <v>4393</v>
          </cell>
          <cell r="G159">
            <v>3497</v>
          </cell>
        </row>
        <row r="169">
          <cell r="A169">
            <v>53</v>
          </cell>
          <cell r="B169">
            <v>641861</v>
          </cell>
          <cell r="C169">
            <v>123</v>
          </cell>
          <cell r="D169">
            <v>235</v>
          </cell>
          <cell r="E169">
            <v>4958</v>
          </cell>
          <cell r="F169">
            <v>2096</v>
          </cell>
          <cell r="G169">
            <v>843</v>
          </cell>
        </row>
        <row r="179">
          <cell r="A179">
            <v>9391</v>
          </cell>
          <cell r="B179">
            <v>1193289</v>
          </cell>
          <cell r="C179">
            <v>134</v>
          </cell>
          <cell r="D179">
            <v>833</v>
          </cell>
          <cell r="E179">
            <v>12543</v>
          </cell>
          <cell r="F179">
            <v>6489</v>
          </cell>
          <cell r="G179">
            <v>4340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3_4T"/>
    </sheetNames>
    <sheetDataSet>
      <sheetData sheetId="0">
        <row r="4">
          <cell r="A4">
            <v>1201868</v>
          </cell>
          <cell r="B4">
            <v>13446</v>
          </cell>
          <cell r="C4">
            <v>17392</v>
          </cell>
        </row>
        <row r="14">
          <cell r="A14">
            <v>545658</v>
          </cell>
          <cell r="B14">
            <v>572477</v>
          </cell>
          <cell r="C14">
            <v>144285</v>
          </cell>
        </row>
        <row r="24">
          <cell r="A24">
            <v>1747526</v>
          </cell>
          <cell r="B24">
            <v>585923</v>
          </cell>
          <cell r="C24">
            <v>161677</v>
          </cell>
        </row>
        <row r="46">
          <cell r="F46">
            <v>75.212400000000002</v>
          </cell>
        </row>
        <row r="47">
          <cell r="F47">
            <v>73.491</v>
          </cell>
        </row>
        <row r="48">
          <cell r="F48">
            <v>78.770300000000006</v>
          </cell>
        </row>
        <row r="49">
          <cell r="F49">
            <v>80.924300000000002</v>
          </cell>
        </row>
        <row r="50">
          <cell r="F50">
            <v>73.771799999999999</v>
          </cell>
        </row>
        <row r="51">
          <cell r="F51">
            <v>76.619100000000003</v>
          </cell>
        </row>
        <row r="52">
          <cell r="F52">
            <v>73.653599999999997</v>
          </cell>
        </row>
        <row r="53">
          <cell r="F53">
            <v>75.410799999999995</v>
          </cell>
        </row>
        <row r="54">
          <cell r="F54">
            <v>80.668599999999998</v>
          </cell>
        </row>
        <row r="55">
          <cell r="F55">
            <v>73.132900000000006</v>
          </cell>
        </row>
        <row r="56">
          <cell r="F56">
            <v>78.849199999999996</v>
          </cell>
        </row>
        <row r="57">
          <cell r="F57">
            <v>80.955100000000002</v>
          </cell>
        </row>
        <row r="80">
          <cell r="G80">
            <v>2295.64</v>
          </cell>
        </row>
        <row r="81">
          <cell r="G81">
            <v>2482.16</v>
          </cell>
        </row>
        <row r="82">
          <cell r="G82">
            <v>1363.36</v>
          </cell>
        </row>
        <row r="83">
          <cell r="G83">
            <v>3657.96</v>
          </cell>
        </row>
        <row r="84">
          <cell r="G84">
            <v>2637.36</v>
          </cell>
        </row>
        <row r="85">
          <cell r="G85">
            <v>1961.92</v>
          </cell>
        </row>
        <row r="86">
          <cell r="G86">
            <v>2635.28</v>
          </cell>
        </row>
        <row r="87">
          <cell r="G87">
            <v>780.56</v>
          </cell>
        </row>
        <row r="88">
          <cell r="G88">
            <v>4215.72</v>
          </cell>
        </row>
        <row r="89">
          <cell r="G89">
            <v>2144.88</v>
          </cell>
        </row>
        <row r="90">
          <cell r="G90">
            <v>1377.08</v>
          </cell>
        </row>
        <row r="91">
          <cell r="G91">
            <v>3590.72</v>
          </cell>
        </row>
        <row r="108">
          <cell r="D108">
            <v>0.92999669474628688</v>
          </cell>
          <cell r="E108">
            <v>0.89149800270171553</v>
          </cell>
          <cell r="F108">
            <v>0.91608435561854873</v>
          </cell>
        </row>
        <row r="117">
          <cell r="D117">
            <v>37.1738</v>
          </cell>
        </row>
        <row r="118">
          <cell r="D118">
            <v>39.8446</v>
          </cell>
        </row>
        <row r="119">
          <cell r="D119">
            <v>32.453800000000001</v>
          </cell>
        </row>
        <row r="141">
          <cell r="D141">
            <v>93838</v>
          </cell>
          <cell r="H141">
            <v>12603.84</v>
          </cell>
        </row>
        <row r="142">
          <cell r="D142">
            <v>90989</v>
          </cell>
          <cell r="H142">
            <v>12640.8</v>
          </cell>
        </row>
        <row r="143">
          <cell r="D143">
            <v>2849</v>
          </cell>
          <cell r="H143">
            <v>11423.8</v>
          </cell>
        </row>
        <row r="144">
          <cell r="D144">
            <v>68541</v>
          </cell>
          <cell r="H144">
            <v>12351.2</v>
          </cell>
        </row>
        <row r="145">
          <cell r="D145">
            <v>25297</v>
          </cell>
          <cell r="H145">
            <v>13288.4</v>
          </cell>
        </row>
        <row r="146">
          <cell r="D146">
            <v>66870</v>
          </cell>
          <cell r="H146">
            <v>12386.6</v>
          </cell>
        </row>
        <row r="147">
          <cell r="D147">
            <v>1671</v>
          </cell>
          <cell r="H147">
            <v>10934.44</v>
          </cell>
        </row>
        <row r="148">
          <cell r="D148">
            <v>24119</v>
          </cell>
          <cell r="H148">
            <v>13345.56</v>
          </cell>
        </row>
        <row r="149">
          <cell r="D149">
            <v>1178</v>
          </cell>
          <cell r="H149">
            <v>12117.96</v>
          </cell>
        </row>
        <row r="159">
          <cell r="A159">
            <v>9120</v>
          </cell>
          <cell r="B159">
            <v>550364</v>
          </cell>
          <cell r="C159">
            <v>9</v>
          </cell>
          <cell r="D159">
            <v>594</v>
          </cell>
          <cell r="E159">
            <v>7398</v>
          </cell>
          <cell r="F159">
            <v>4335</v>
          </cell>
          <cell r="G159">
            <v>3570</v>
          </cell>
        </row>
        <row r="169">
          <cell r="A169">
            <v>50</v>
          </cell>
          <cell r="B169">
            <v>643143</v>
          </cell>
          <cell r="C169">
            <v>106</v>
          </cell>
          <cell r="D169">
            <v>235</v>
          </cell>
          <cell r="E169">
            <v>4848</v>
          </cell>
          <cell r="F169">
            <v>2058</v>
          </cell>
          <cell r="G169">
            <v>865</v>
          </cell>
        </row>
        <row r="179">
          <cell r="A179">
            <v>9170</v>
          </cell>
          <cell r="B179">
            <v>1193507</v>
          </cell>
          <cell r="C179">
            <v>115</v>
          </cell>
          <cell r="D179">
            <v>829</v>
          </cell>
          <cell r="E179">
            <v>12246</v>
          </cell>
          <cell r="F179">
            <v>6393</v>
          </cell>
          <cell r="G179">
            <v>4435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1T2009"/>
    </sheetNames>
    <sheetDataSet>
      <sheetData sheetId="0">
        <row r="4">
          <cell r="A4">
            <v>1265378</v>
          </cell>
          <cell r="B4">
            <v>10515</v>
          </cell>
          <cell r="C4">
            <v>15829</v>
          </cell>
        </row>
        <row r="14">
          <cell r="A14">
            <v>509564</v>
          </cell>
          <cell r="B14">
            <v>557077</v>
          </cell>
          <cell r="C14">
            <v>145843</v>
          </cell>
        </row>
        <row r="24">
          <cell r="A24">
            <v>1774942</v>
          </cell>
          <cell r="B24">
            <v>567592</v>
          </cell>
          <cell r="C24">
            <v>161672</v>
          </cell>
        </row>
        <row r="46">
          <cell r="F46">
            <v>74.0702</v>
          </cell>
        </row>
        <row r="47">
          <cell r="F47">
            <v>72.584100000000007</v>
          </cell>
        </row>
        <row r="48">
          <cell r="F48">
            <v>77.234099999999998</v>
          </cell>
        </row>
        <row r="49">
          <cell r="F49">
            <v>79.281199999999998</v>
          </cell>
        </row>
        <row r="51">
          <cell r="F51">
            <v>72.687299999999993</v>
          </cell>
        </row>
        <row r="52">
          <cell r="F52">
            <v>75.543400000000005</v>
          </cell>
        </row>
        <row r="53">
          <cell r="F53">
            <v>72.593199999999996</v>
          </cell>
        </row>
        <row r="54">
          <cell r="F54">
            <v>74.406000000000006</v>
          </cell>
        </row>
        <row r="55">
          <cell r="F55">
            <v>79.073700000000002</v>
          </cell>
        </row>
        <row r="57">
          <cell r="F57">
            <v>72.561499999999995</v>
          </cell>
        </row>
        <row r="58">
          <cell r="F58">
            <v>77.287400000000005</v>
          </cell>
        </row>
        <row r="59">
          <cell r="F59">
            <v>79.303700000000006</v>
          </cell>
        </row>
        <row r="84">
          <cell r="G84">
            <v>2175.92</v>
          </cell>
        </row>
        <row r="85">
          <cell r="G85">
            <v>2289.56</v>
          </cell>
        </row>
        <row r="86">
          <cell r="G86">
            <v>1423.88</v>
          </cell>
        </row>
        <row r="87">
          <cell r="G87">
            <v>3568.32</v>
          </cell>
        </row>
        <row r="89">
          <cell r="G89">
            <v>2443.56</v>
          </cell>
        </row>
        <row r="90">
          <cell r="G90">
            <v>1890.8</v>
          </cell>
        </row>
        <row r="91">
          <cell r="G91">
            <v>2435</v>
          </cell>
        </row>
        <row r="92">
          <cell r="G92">
            <v>830.16</v>
          </cell>
        </row>
        <row r="93">
          <cell r="G93">
            <v>4198.8</v>
          </cell>
        </row>
        <row r="95">
          <cell r="G95">
            <v>1928.44</v>
          </cell>
        </row>
        <row r="96">
          <cell r="G96">
            <v>1435.08</v>
          </cell>
        </row>
        <row r="97">
          <cell r="G97">
            <v>3499.88</v>
          </cell>
        </row>
        <row r="115">
          <cell r="D115">
            <v>0.8966210821185302</v>
          </cell>
          <cell r="E115">
            <v>0.83257527788161523</v>
          </cell>
          <cell r="F115">
            <v>0.87494616893196064</v>
          </cell>
        </row>
        <row r="124">
          <cell r="D124">
            <v>37.419800000000002</v>
          </cell>
        </row>
        <row r="125">
          <cell r="D125">
            <v>40.264400000000002</v>
          </cell>
        </row>
        <row r="126">
          <cell r="D126">
            <v>31.859200000000001</v>
          </cell>
        </row>
        <row r="148">
          <cell r="D148">
            <v>86088</v>
          </cell>
          <cell r="H148">
            <v>11114.36</v>
          </cell>
        </row>
        <row r="149">
          <cell r="D149">
            <v>83190</v>
          </cell>
          <cell r="H149">
            <v>11138.04</v>
          </cell>
        </row>
        <row r="150">
          <cell r="D150">
            <v>2898</v>
          </cell>
          <cell r="H150">
            <v>10434.280000000001</v>
          </cell>
        </row>
        <row r="151">
          <cell r="D151">
            <v>66626</v>
          </cell>
          <cell r="H151">
            <v>10872.44</v>
          </cell>
        </row>
        <row r="152">
          <cell r="D152">
            <v>19462</v>
          </cell>
          <cell r="H152">
            <v>11942.6</v>
          </cell>
        </row>
        <row r="153">
          <cell r="D153">
            <v>64939</v>
          </cell>
          <cell r="H153">
            <v>10893.52</v>
          </cell>
        </row>
        <row r="154">
          <cell r="D154">
            <v>1687</v>
          </cell>
          <cell r="H154">
            <v>10060.76</v>
          </cell>
        </row>
        <row r="155">
          <cell r="D155">
            <v>18251</v>
          </cell>
          <cell r="H155">
            <v>12008.16</v>
          </cell>
        </row>
        <row r="156">
          <cell r="D156">
            <v>1211</v>
          </cell>
          <cell r="H156">
            <v>10954.56</v>
          </cell>
        </row>
        <row r="166">
          <cell r="A166">
            <v>13948</v>
          </cell>
          <cell r="B166">
            <v>595341</v>
          </cell>
          <cell r="C166">
            <v>8</v>
          </cell>
          <cell r="D166">
            <v>666</v>
          </cell>
          <cell r="E166">
            <v>12305</v>
          </cell>
          <cell r="F166">
            <v>6353</v>
          </cell>
          <cell r="G166">
            <v>1279</v>
          </cell>
        </row>
        <row r="176">
          <cell r="A176">
            <v>83</v>
          </cell>
          <cell r="B176">
            <v>636136</v>
          </cell>
          <cell r="C176">
            <v>183</v>
          </cell>
          <cell r="D176">
            <v>252</v>
          </cell>
          <cell r="E176">
            <v>7861</v>
          </cell>
          <cell r="F176">
            <v>2924</v>
          </cell>
          <cell r="G176">
            <v>303</v>
          </cell>
        </row>
        <row r="186">
          <cell r="A186">
            <v>14031</v>
          </cell>
          <cell r="B186">
            <v>1231477</v>
          </cell>
          <cell r="C186">
            <v>191</v>
          </cell>
          <cell r="D186">
            <v>918</v>
          </cell>
          <cell r="E186">
            <v>20166</v>
          </cell>
          <cell r="F186">
            <v>9277</v>
          </cell>
          <cell r="G186">
            <v>1582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4_1T"/>
    </sheetNames>
    <sheetDataSet>
      <sheetData sheetId="0">
        <row r="4">
          <cell r="A4">
            <v>1200903</v>
          </cell>
          <cell r="B4">
            <v>13659</v>
          </cell>
          <cell r="C4">
            <v>17409</v>
          </cell>
        </row>
        <row r="14">
          <cell r="A14">
            <v>547761</v>
          </cell>
          <cell r="B14">
            <v>572468</v>
          </cell>
          <cell r="C14">
            <v>144002</v>
          </cell>
        </row>
        <row r="24">
          <cell r="A24">
            <v>1748664</v>
          </cell>
          <cell r="B24">
            <v>586127</v>
          </cell>
          <cell r="C24">
            <v>161411</v>
          </cell>
        </row>
        <row r="46">
          <cell r="F46">
            <v>75.273600000000002</v>
          </cell>
        </row>
        <row r="47">
          <cell r="F47">
            <v>73.543300000000002</v>
          </cell>
        </row>
        <row r="48">
          <cell r="F48">
            <v>78.856200000000001</v>
          </cell>
        </row>
        <row r="49">
          <cell r="F49">
            <v>81.009600000000006</v>
          </cell>
        </row>
        <row r="50">
          <cell r="F50">
            <v>73.829499999999996</v>
          </cell>
        </row>
        <row r="51">
          <cell r="F51">
            <v>76.680899999999994</v>
          </cell>
        </row>
        <row r="52">
          <cell r="F52">
            <v>73.710400000000007</v>
          </cell>
        </row>
        <row r="53">
          <cell r="F53">
            <v>75.455600000000004</v>
          </cell>
        </row>
        <row r="54">
          <cell r="F54">
            <v>80.7624</v>
          </cell>
        </row>
        <row r="55">
          <cell r="F55">
            <v>73.176900000000003</v>
          </cell>
        </row>
        <row r="56">
          <cell r="F56">
            <v>78.937399999999997</v>
          </cell>
        </row>
        <row r="57">
          <cell r="F57">
            <v>81.039500000000004</v>
          </cell>
        </row>
        <row r="80">
          <cell r="G80">
            <v>2291.56</v>
          </cell>
        </row>
        <row r="81">
          <cell r="G81">
            <v>2480.48</v>
          </cell>
        </row>
        <row r="82">
          <cell r="G82">
            <v>1354.52</v>
          </cell>
        </row>
        <row r="83">
          <cell r="G83">
            <v>3647.36</v>
          </cell>
        </row>
        <row r="84">
          <cell r="G84">
            <v>2635.16</v>
          </cell>
        </row>
        <row r="85">
          <cell r="G85">
            <v>1956.72</v>
          </cell>
        </row>
        <row r="86">
          <cell r="G86">
            <v>2633.6</v>
          </cell>
        </row>
        <row r="87">
          <cell r="G87">
            <v>774.08</v>
          </cell>
        </row>
        <row r="88">
          <cell r="G88">
            <v>4201.68</v>
          </cell>
        </row>
        <row r="89">
          <cell r="G89">
            <v>2144.7600000000002</v>
          </cell>
        </row>
        <row r="90">
          <cell r="G90">
            <v>1368.36</v>
          </cell>
        </row>
        <row r="91">
          <cell r="G91">
            <v>3580.32</v>
          </cell>
        </row>
        <row r="108">
          <cell r="D108">
            <v>0.9312143515543112</v>
          </cell>
          <cell r="E108">
            <v>0.89422380531779411</v>
          </cell>
          <cell r="F108">
            <v>0.91781784370657893</v>
          </cell>
        </row>
        <row r="117">
          <cell r="D117">
            <v>37.117699999999999</v>
          </cell>
        </row>
        <row r="118">
          <cell r="D118">
            <v>39.782499999999999</v>
          </cell>
        </row>
        <row r="119">
          <cell r="D119">
            <v>32.424300000000002</v>
          </cell>
        </row>
        <row r="141">
          <cell r="D141">
            <v>94487</v>
          </cell>
          <cell r="H141">
            <v>12638.12</v>
          </cell>
        </row>
        <row r="142">
          <cell r="D142">
            <v>91658</v>
          </cell>
          <cell r="H142">
            <v>12675.16</v>
          </cell>
        </row>
        <row r="143">
          <cell r="D143">
            <v>2829</v>
          </cell>
          <cell r="H143">
            <v>11438.16</v>
          </cell>
        </row>
        <row r="144">
          <cell r="D144">
            <v>68887</v>
          </cell>
          <cell r="H144">
            <v>12385.08</v>
          </cell>
        </row>
        <row r="145">
          <cell r="D145">
            <v>25600</v>
          </cell>
          <cell r="H145">
            <v>13318.92</v>
          </cell>
        </row>
        <row r="146">
          <cell r="D146">
            <v>67229</v>
          </cell>
          <cell r="H146">
            <v>12420.68</v>
          </cell>
        </row>
        <row r="147">
          <cell r="D147">
            <v>1658</v>
          </cell>
          <cell r="H147">
            <v>10942.56</v>
          </cell>
        </row>
        <row r="148">
          <cell r="D148">
            <v>24429</v>
          </cell>
          <cell r="H148">
            <v>13375.44</v>
          </cell>
        </row>
        <row r="149">
          <cell r="D149">
            <v>1171</v>
          </cell>
          <cell r="H149">
            <v>12139.92</v>
          </cell>
        </row>
        <row r="159">
          <cell r="A159">
            <v>8880</v>
          </cell>
          <cell r="B159">
            <v>549083</v>
          </cell>
          <cell r="C159">
            <v>10</v>
          </cell>
          <cell r="D159">
            <v>586</v>
          </cell>
          <cell r="E159">
            <v>7196</v>
          </cell>
          <cell r="F159">
            <v>4261</v>
          </cell>
          <cell r="G159">
            <v>3672</v>
          </cell>
        </row>
        <row r="169">
          <cell r="A169">
            <v>48</v>
          </cell>
          <cell r="B169">
            <v>642486</v>
          </cell>
          <cell r="C169">
            <v>118</v>
          </cell>
          <cell r="D169">
            <v>234</v>
          </cell>
          <cell r="E169">
            <v>4728</v>
          </cell>
          <cell r="F169">
            <v>2032</v>
          </cell>
          <cell r="G169">
            <v>887</v>
          </cell>
        </row>
        <row r="179">
          <cell r="A179">
            <v>8928</v>
          </cell>
          <cell r="B179">
            <v>1191569</v>
          </cell>
          <cell r="C179">
            <v>128</v>
          </cell>
          <cell r="D179">
            <v>820</v>
          </cell>
          <cell r="E179">
            <v>11924</v>
          </cell>
          <cell r="F179">
            <v>6293</v>
          </cell>
          <cell r="G179">
            <v>4559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4_2T"/>
    </sheetNames>
    <sheetDataSet>
      <sheetData sheetId="0">
        <row r="4">
          <cell r="A4">
            <v>1198949</v>
          </cell>
          <cell r="B4">
            <v>13745</v>
          </cell>
          <cell r="C4">
            <v>17389</v>
          </cell>
        </row>
        <row r="14">
          <cell r="A14">
            <v>550498</v>
          </cell>
          <cell r="B14">
            <v>570668</v>
          </cell>
          <cell r="C14">
            <v>143552</v>
          </cell>
        </row>
        <row r="24">
          <cell r="A24">
            <v>1749447</v>
          </cell>
          <cell r="B24">
            <v>584413</v>
          </cell>
          <cell r="C24">
            <v>160941</v>
          </cell>
        </row>
        <row r="46">
          <cell r="F46">
            <v>75.317800000000005</v>
          </cell>
        </row>
        <row r="47">
          <cell r="F47">
            <v>73.575299999999999</v>
          </cell>
        </row>
        <row r="48">
          <cell r="F48">
            <v>78.941199999999995</v>
          </cell>
        </row>
        <row r="49">
          <cell r="F49">
            <v>81.101500000000001</v>
          </cell>
        </row>
        <row r="50">
          <cell r="F50">
            <v>73.866</v>
          </cell>
        </row>
        <row r="51">
          <cell r="F51">
            <v>76.729799999999997</v>
          </cell>
        </row>
        <row r="52">
          <cell r="F52">
            <v>73.746099999999998</v>
          </cell>
        </row>
        <row r="53">
          <cell r="F53">
            <v>75.514799999999994</v>
          </cell>
        </row>
        <row r="54">
          <cell r="F54">
            <v>80.832599999999999</v>
          </cell>
        </row>
        <row r="55">
          <cell r="F55">
            <v>73.203299999999999</v>
          </cell>
        </row>
        <row r="56">
          <cell r="F56">
            <v>79.023700000000005</v>
          </cell>
        </row>
        <row r="57">
          <cell r="F57">
            <v>81.134100000000004</v>
          </cell>
        </row>
        <row r="80">
          <cell r="G80">
            <v>2290.52</v>
          </cell>
        </row>
        <row r="81">
          <cell r="G81">
            <v>2481.7600000000002</v>
          </cell>
        </row>
        <row r="82">
          <cell r="G82">
            <v>1347.04</v>
          </cell>
        </row>
        <row r="83">
          <cell r="G83">
            <v>3637.84</v>
          </cell>
        </row>
        <row r="84">
          <cell r="G84">
            <v>2635.04</v>
          </cell>
        </row>
        <row r="85">
          <cell r="G85">
            <v>1955.44</v>
          </cell>
        </row>
        <row r="86">
          <cell r="G86">
            <v>2634.08</v>
          </cell>
        </row>
        <row r="87">
          <cell r="G87">
            <v>768.48</v>
          </cell>
        </row>
        <row r="88">
          <cell r="G88">
            <v>4177.32</v>
          </cell>
        </row>
        <row r="89">
          <cell r="G89">
            <v>2150.04</v>
          </cell>
        </row>
        <row r="90">
          <cell r="G90">
            <v>1360.96</v>
          </cell>
        </row>
        <row r="91">
          <cell r="G91">
            <v>3572.48</v>
          </cell>
        </row>
        <row r="108">
          <cell r="D108">
            <v>0.93258349371767479</v>
          </cell>
          <cell r="E108">
            <v>0.89685305868978549</v>
          </cell>
          <cell r="F108">
            <v>0.91960271944756777</v>
          </cell>
        </row>
        <row r="117">
          <cell r="D117">
            <v>37.101399999999998</v>
          </cell>
        </row>
        <row r="118">
          <cell r="D118">
            <v>39.747199999999999</v>
          </cell>
        </row>
        <row r="119">
          <cell r="D119">
            <v>32.464599999999997</v>
          </cell>
        </row>
        <row r="141">
          <cell r="D141">
            <v>95321</v>
          </cell>
          <cell r="H141">
            <v>12674.64</v>
          </cell>
        </row>
        <row r="142">
          <cell r="D142">
            <v>92506</v>
          </cell>
          <cell r="H142">
            <v>12711.72</v>
          </cell>
        </row>
        <row r="143">
          <cell r="D143">
            <v>2815</v>
          </cell>
          <cell r="H143">
            <v>11455.76</v>
          </cell>
        </row>
        <row r="144">
          <cell r="D144">
            <v>69203</v>
          </cell>
          <cell r="H144">
            <v>12422.48</v>
          </cell>
        </row>
        <row r="145">
          <cell r="D145">
            <v>26118</v>
          </cell>
          <cell r="H145">
            <v>13342.76</v>
          </cell>
        </row>
        <row r="146">
          <cell r="D146">
            <v>67560</v>
          </cell>
          <cell r="H146">
            <v>12458.28</v>
          </cell>
        </row>
        <row r="147">
          <cell r="D147">
            <v>1643</v>
          </cell>
          <cell r="H147">
            <v>10949.88</v>
          </cell>
        </row>
        <row r="148">
          <cell r="D148">
            <v>24946</v>
          </cell>
          <cell r="H148">
            <v>13398.08</v>
          </cell>
        </row>
        <row r="149">
          <cell r="D149">
            <v>1172</v>
          </cell>
          <cell r="H149">
            <v>12164.92</v>
          </cell>
        </row>
        <row r="159">
          <cell r="A159">
            <v>8575</v>
          </cell>
          <cell r="B159">
            <v>547033</v>
          </cell>
          <cell r="C159">
            <v>10</v>
          </cell>
          <cell r="D159">
            <v>593</v>
          </cell>
          <cell r="E159">
            <v>6964</v>
          </cell>
          <cell r="F159">
            <v>4159</v>
          </cell>
          <cell r="G159">
            <v>3740</v>
          </cell>
        </row>
        <row r="169">
          <cell r="A169">
            <v>47</v>
          </cell>
          <cell r="B169">
            <v>641103</v>
          </cell>
          <cell r="C169">
            <v>131</v>
          </cell>
          <cell r="D169">
            <v>235</v>
          </cell>
          <cell r="E169">
            <v>4589</v>
          </cell>
          <cell r="F169">
            <v>1985</v>
          </cell>
          <cell r="G169">
            <v>903</v>
          </cell>
        </row>
        <row r="179">
          <cell r="A179">
            <v>8622</v>
          </cell>
          <cell r="B179">
            <v>1188136</v>
          </cell>
          <cell r="C179">
            <v>141</v>
          </cell>
          <cell r="D179">
            <v>828</v>
          </cell>
          <cell r="E179">
            <v>11553</v>
          </cell>
          <cell r="F179">
            <v>6144</v>
          </cell>
          <cell r="G179">
            <v>4643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4_3T"/>
      <sheetName val="Feuil1"/>
    </sheetNames>
    <sheetDataSet>
      <sheetData sheetId="0">
        <row r="4">
          <cell r="A4">
            <v>1199545</v>
          </cell>
          <cell r="B4">
            <v>13784</v>
          </cell>
          <cell r="C4">
            <v>17349</v>
          </cell>
        </row>
        <row r="14">
          <cell r="A14">
            <v>555053</v>
          </cell>
          <cell r="B14">
            <v>569716</v>
          </cell>
          <cell r="C14">
            <v>143122</v>
          </cell>
        </row>
        <row r="24">
          <cell r="A24">
            <v>1754598</v>
          </cell>
          <cell r="B24">
            <v>583500</v>
          </cell>
          <cell r="C24">
            <v>160471</v>
          </cell>
        </row>
        <row r="46">
          <cell r="F46">
            <v>75.335599999999999</v>
          </cell>
        </row>
        <row r="47">
          <cell r="F47">
            <v>73.571200000000005</v>
          </cell>
        </row>
        <row r="48">
          <cell r="F48">
            <v>79.033900000000003</v>
          </cell>
        </row>
        <row r="49">
          <cell r="F49">
            <v>81.180800000000005</v>
          </cell>
        </row>
        <row r="50">
          <cell r="F50">
            <v>73.869699999999995</v>
          </cell>
        </row>
        <row r="51">
          <cell r="F51">
            <v>76.758600000000001</v>
          </cell>
        </row>
        <row r="52">
          <cell r="F52">
            <v>73.748199999999997</v>
          </cell>
        </row>
        <row r="53">
          <cell r="F53">
            <v>75.593100000000007</v>
          </cell>
        </row>
        <row r="54">
          <cell r="F54">
            <v>80.900999999999996</v>
          </cell>
        </row>
        <row r="55">
          <cell r="F55">
            <v>73.188699999999997</v>
          </cell>
        </row>
        <row r="56">
          <cell r="F56">
            <v>79.117099999999994</v>
          </cell>
        </row>
        <row r="57">
          <cell r="F57">
            <v>81.214699999999993</v>
          </cell>
        </row>
        <row r="80">
          <cell r="G80">
            <v>2287.44</v>
          </cell>
        </row>
        <row r="81">
          <cell r="G81">
            <v>2479.88</v>
          </cell>
        </row>
        <row r="82">
          <cell r="G82">
            <v>1340.28</v>
          </cell>
        </row>
        <row r="83">
          <cell r="G83">
            <v>3627.4</v>
          </cell>
        </row>
        <row r="84">
          <cell r="G84">
            <v>2632.6</v>
          </cell>
        </row>
        <row r="85">
          <cell r="G85">
            <v>1952.44</v>
          </cell>
        </row>
        <row r="86">
          <cell r="G86">
            <v>2631.84</v>
          </cell>
        </row>
        <row r="87">
          <cell r="G87">
            <v>763.52</v>
          </cell>
        </row>
        <row r="88">
          <cell r="G88">
            <v>4170.76</v>
          </cell>
        </row>
        <row r="89">
          <cell r="G89">
            <v>2151.56</v>
          </cell>
        </row>
        <row r="90">
          <cell r="G90">
            <v>1354.2</v>
          </cell>
        </row>
        <row r="91">
          <cell r="G91">
            <v>3561.52</v>
          </cell>
        </row>
        <row r="108">
          <cell r="D108">
            <v>0.93401051519180611</v>
          </cell>
          <cell r="E108">
            <v>0.89967242606669218</v>
          </cell>
          <cell r="F108">
            <v>0.92149212378248513</v>
          </cell>
        </row>
        <row r="117">
          <cell r="D117">
            <v>37.043799999999997</v>
          </cell>
        </row>
        <row r="118">
          <cell r="D118">
            <v>39.673699999999997</v>
          </cell>
        </row>
        <row r="119">
          <cell r="D119">
            <v>32.46</v>
          </cell>
        </row>
        <row r="141">
          <cell r="D141">
            <v>96262</v>
          </cell>
          <cell r="H141">
            <v>12710.36</v>
          </cell>
        </row>
        <row r="142">
          <cell r="D142">
            <v>93462</v>
          </cell>
          <cell r="H142">
            <v>12747.4</v>
          </cell>
        </row>
        <row r="143">
          <cell r="D143">
            <v>2800</v>
          </cell>
          <cell r="H143">
            <v>11474.8</v>
          </cell>
        </row>
        <row r="144">
          <cell r="D144">
            <v>69660</v>
          </cell>
          <cell r="H144">
            <v>12459.52</v>
          </cell>
        </row>
        <row r="145">
          <cell r="D145">
            <v>26602</v>
          </cell>
          <cell r="H145">
            <v>13367.28</v>
          </cell>
        </row>
        <row r="146">
          <cell r="D146">
            <v>68024</v>
          </cell>
          <cell r="H146">
            <v>12495.52</v>
          </cell>
        </row>
        <row r="147">
          <cell r="D147">
            <v>1636</v>
          </cell>
          <cell r="H147">
            <v>10962.24</v>
          </cell>
        </row>
        <row r="148">
          <cell r="D148">
            <v>25438</v>
          </cell>
          <cell r="H148">
            <v>13420.92</v>
          </cell>
        </row>
        <row r="149">
          <cell r="D149">
            <v>1164</v>
          </cell>
          <cell r="H149">
            <v>12195.2</v>
          </cell>
        </row>
        <row r="159">
          <cell r="A159">
            <v>8351</v>
          </cell>
          <cell r="B159">
            <v>545846</v>
          </cell>
          <cell r="C159">
            <v>9</v>
          </cell>
          <cell r="D159">
            <v>588</v>
          </cell>
          <cell r="E159">
            <v>6789</v>
          </cell>
          <cell r="F159">
            <v>4072</v>
          </cell>
          <cell r="G159">
            <v>3783</v>
          </cell>
        </row>
        <row r="169">
          <cell r="A169">
            <v>46</v>
          </cell>
          <cell r="B169">
            <v>641035</v>
          </cell>
          <cell r="C169">
            <v>131</v>
          </cell>
          <cell r="D169">
            <v>238</v>
          </cell>
          <cell r="E169">
            <v>4473</v>
          </cell>
          <cell r="F169">
            <v>1941</v>
          </cell>
          <cell r="G169">
            <v>925</v>
          </cell>
        </row>
        <row r="179">
          <cell r="A179">
            <v>8397</v>
          </cell>
          <cell r="B179">
            <v>1186881</v>
          </cell>
          <cell r="C179">
            <v>140</v>
          </cell>
          <cell r="D179">
            <v>826</v>
          </cell>
          <cell r="E179">
            <v>11262</v>
          </cell>
          <cell r="F179">
            <v>6013</v>
          </cell>
          <cell r="G179">
            <v>4708</v>
          </cell>
        </row>
      </sheetData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4_4T"/>
    </sheetNames>
    <sheetDataSet>
      <sheetData sheetId="0">
        <row r="4">
          <cell r="A4">
            <v>1200406</v>
          </cell>
          <cell r="B4">
            <v>13912</v>
          </cell>
          <cell r="C4">
            <v>17365</v>
          </cell>
        </row>
        <row r="14">
          <cell r="A14">
            <v>559461</v>
          </cell>
          <cell r="B14">
            <v>569585</v>
          </cell>
          <cell r="C14">
            <v>142787</v>
          </cell>
        </row>
        <row r="24">
          <cell r="A24">
            <v>1759867</v>
          </cell>
          <cell r="B24">
            <v>583497</v>
          </cell>
          <cell r="C24">
            <v>160152</v>
          </cell>
        </row>
        <row r="46">
          <cell r="F46">
            <v>75.3</v>
          </cell>
        </row>
        <row r="47">
          <cell r="F47">
            <v>73.599999999999994</v>
          </cell>
        </row>
        <row r="48">
          <cell r="F48">
            <v>79.099999999999994</v>
          </cell>
        </row>
        <row r="49">
          <cell r="F49">
            <v>81.3</v>
          </cell>
        </row>
        <row r="50">
          <cell r="F50">
            <v>73.900000000000006</v>
          </cell>
        </row>
        <row r="51">
          <cell r="F51">
            <v>76.8</v>
          </cell>
        </row>
        <row r="52">
          <cell r="F52">
            <v>73.8</v>
          </cell>
        </row>
        <row r="53">
          <cell r="F53">
            <v>75.7</v>
          </cell>
        </row>
        <row r="54">
          <cell r="F54">
            <v>81</v>
          </cell>
        </row>
        <row r="55">
          <cell r="F55">
            <v>73.2</v>
          </cell>
        </row>
        <row r="56">
          <cell r="F56">
            <v>79.2</v>
          </cell>
        </row>
        <row r="57">
          <cell r="F57">
            <v>81.3</v>
          </cell>
        </row>
        <row r="80">
          <cell r="G80">
            <v>2283.6</v>
          </cell>
        </row>
        <row r="81">
          <cell r="G81">
            <v>2477.3000000000002</v>
          </cell>
        </row>
        <row r="82">
          <cell r="G82">
            <v>1332.9</v>
          </cell>
        </row>
        <row r="83">
          <cell r="G83">
            <v>3618.1</v>
          </cell>
        </row>
        <row r="84">
          <cell r="G84">
            <v>2630.3</v>
          </cell>
        </row>
        <row r="85">
          <cell r="G85">
            <v>1947.8</v>
          </cell>
        </row>
        <row r="86">
          <cell r="G86">
            <v>2630</v>
          </cell>
        </row>
        <row r="87">
          <cell r="G87">
            <v>758.64</v>
          </cell>
        </row>
        <row r="88">
          <cell r="G88">
            <v>4153.2</v>
          </cell>
        </row>
        <row r="89">
          <cell r="G89">
            <v>2149.8000000000002</v>
          </cell>
        </row>
        <row r="90">
          <cell r="G90">
            <v>1347</v>
          </cell>
        </row>
        <row r="91">
          <cell r="G91">
            <v>3553</v>
          </cell>
        </row>
        <row r="108">
          <cell r="D108">
            <v>0.93537999999999999</v>
          </cell>
          <cell r="E108">
            <v>0.90244999999999997</v>
          </cell>
          <cell r="F108">
            <v>0.92334000000000005</v>
          </cell>
        </row>
        <row r="117">
          <cell r="D117">
            <v>36.967199999999998</v>
          </cell>
        </row>
        <row r="118">
          <cell r="D118">
            <v>39.594999999999999</v>
          </cell>
        </row>
        <row r="119">
          <cell r="D119">
            <v>32.410200000000003</v>
          </cell>
        </row>
        <row r="141">
          <cell r="D141">
            <v>96998</v>
          </cell>
          <cell r="H141">
            <v>12738.92</v>
          </cell>
        </row>
        <row r="142">
          <cell r="D142">
            <v>94196</v>
          </cell>
          <cell r="H142">
            <v>12776.04</v>
          </cell>
        </row>
        <row r="143">
          <cell r="D143">
            <v>2802</v>
          </cell>
          <cell r="H143">
            <v>11490.32</v>
          </cell>
        </row>
        <row r="144">
          <cell r="D144">
            <v>70017</v>
          </cell>
          <cell r="H144">
            <v>12492.64</v>
          </cell>
        </row>
        <row r="145">
          <cell r="D145">
            <v>26981</v>
          </cell>
          <cell r="H145">
            <v>13377.92</v>
          </cell>
        </row>
        <row r="146">
          <cell r="D146">
            <v>68388</v>
          </cell>
          <cell r="H146">
            <v>12528.6</v>
          </cell>
        </row>
        <row r="147">
          <cell r="D147">
            <v>1629</v>
          </cell>
          <cell r="H147">
            <v>10983.92</v>
          </cell>
        </row>
        <row r="148">
          <cell r="D148">
            <v>25808</v>
          </cell>
          <cell r="H148">
            <v>13431.76</v>
          </cell>
        </row>
        <row r="149">
          <cell r="D149">
            <v>1173</v>
          </cell>
          <cell r="H149">
            <v>12193.6</v>
          </cell>
        </row>
        <row r="159">
          <cell r="A159">
            <v>8080</v>
          </cell>
          <cell r="B159">
            <v>544785</v>
          </cell>
          <cell r="C159">
            <v>7</v>
          </cell>
          <cell r="D159">
            <v>591</v>
          </cell>
          <cell r="E159">
            <v>6642</v>
          </cell>
          <cell r="F159">
            <v>3974</v>
          </cell>
          <cell r="G159">
            <v>3843</v>
          </cell>
        </row>
        <row r="169">
          <cell r="A169">
            <v>45</v>
          </cell>
          <cell r="B169">
            <v>641475</v>
          </cell>
          <cell r="C169">
            <v>105</v>
          </cell>
          <cell r="D169">
            <v>240</v>
          </cell>
          <cell r="E169">
            <v>4379</v>
          </cell>
          <cell r="F169">
            <v>1908</v>
          </cell>
          <cell r="G169">
            <v>955</v>
          </cell>
        </row>
        <row r="179">
          <cell r="A179">
            <v>8125</v>
          </cell>
          <cell r="B179">
            <v>1186260</v>
          </cell>
          <cell r="C179">
            <v>112</v>
          </cell>
          <cell r="D179">
            <v>831</v>
          </cell>
          <cell r="E179">
            <v>11021</v>
          </cell>
          <cell r="F179">
            <v>5882</v>
          </cell>
          <cell r="G179">
            <v>4798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5_1T"/>
    </sheetNames>
    <sheetDataSet>
      <sheetData sheetId="0">
        <row r="4">
          <cell r="A4">
            <v>1201690</v>
          </cell>
          <cell r="B4">
            <v>13971</v>
          </cell>
          <cell r="C4">
            <v>17317</v>
          </cell>
        </row>
        <row r="14">
          <cell r="A14">
            <v>564648</v>
          </cell>
          <cell r="B14">
            <v>568087</v>
          </cell>
          <cell r="C14">
            <v>142189</v>
          </cell>
        </row>
        <row r="24">
          <cell r="A24">
            <v>1766338</v>
          </cell>
          <cell r="B24">
            <v>582058</v>
          </cell>
          <cell r="C24">
            <v>159506</v>
          </cell>
        </row>
        <row r="46">
          <cell r="F46">
            <v>75.400000000000006</v>
          </cell>
        </row>
        <row r="47">
          <cell r="F47">
            <v>73.599999999999994</v>
          </cell>
        </row>
        <row r="48">
          <cell r="F48">
            <v>79.2</v>
          </cell>
        </row>
        <row r="49">
          <cell r="F49">
            <v>81.3</v>
          </cell>
        </row>
        <row r="50">
          <cell r="F50">
            <v>73.900000000000006</v>
          </cell>
        </row>
        <row r="51">
          <cell r="F51">
            <v>76.8</v>
          </cell>
        </row>
        <row r="52">
          <cell r="F52">
            <v>73.8</v>
          </cell>
        </row>
        <row r="53">
          <cell r="F53">
            <v>75.7</v>
          </cell>
        </row>
        <row r="54">
          <cell r="F54">
            <v>81</v>
          </cell>
        </row>
        <row r="55">
          <cell r="F55">
            <v>73.099999999999994</v>
          </cell>
        </row>
        <row r="56">
          <cell r="F56">
            <v>79.3</v>
          </cell>
        </row>
        <row r="57">
          <cell r="F57">
            <v>81.3</v>
          </cell>
        </row>
        <row r="80">
          <cell r="G80">
            <v>2281</v>
          </cell>
        </row>
        <row r="81">
          <cell r="G81">
            <v>2476.3000000000002</v>
          </cell>
        </row>
        <row r="82">
          <cell r="G82">
            <v>1325.2</v>
          </cell>
        </row>
        <row r="83">
          <cell r="G83">
            <v>3605.9</v>
          </cell>
        </row>
        <row r="84">
          <cell r="G84">
            <v>2629.1</v>
          </cell>
        </row>
        <row r="85">
          <cell r="G85">
            <v>1944.3</v>
          </cell>
        </row>
        <row r="86">
          <cell r="G86">
            <v>2629.2</v>
          </cell>
        </row>
        <row r="87">
          <cell r="G87">
            <v>755.44</v>
          </cell>
        </row>
        <row r="88">
          <cell r="G88">
            <v>4128.6000000000004</v>
          </cell>
        </row>
        <row r="89">
          <cell r="G89">
            <v>2150.6999999999998</v>
          </cell>
        </row>
        <row r="90">
          <cell r="G90">
            <v>1339.2</v>
          </cell>
        </row>
        <row r="91">
          <cell r="G91">
            <v>3542.2</v>
          </cell>
        </row>
        <row r="108">
          <cell r="D108">
            <v>0.93666000000000005</v>
          </cell>
          <cell r="E108">
            <v>0.90547</v>
          </cell>
          <cell r="F108">
            <v>0.92520999999999998</v>
          </cell>
        </row>
        <row r="117">
          <cell r="D117">
            <v>36.919899999999998</v>
          </cell>
        </row>
        <row r="118">
          <cell r="D118">
            <v>39.540599999999998</v>
          </cell>
        </row>
        <row r="119">
          <cell r="D119">
            <v>32.400199999999998</v>
          </cell>
        </row>
        <row r="141">
          <cell r="D141">
            <v>98102</v>
          </cell>
          <cell r="H141">
            <v>12774.72</v>
          </cell>
        </row>
        <row r="142">
          <cell r="D142">
            <v>95326</v>
          </cell>
          <cell r="H142">
            <v>12811.72</v>
          </cell>
        </row>
        <row r="143">
          <cell r="D143">
            <v>2776</v>
          </cell>
          <cell r="H143">
            <v>11503.2</v>
          </cell>
        </row>
        <row r="144">
          <cell r="D144">
            <v>70578</v>
          </cell>
          <cell r="H144">
            <v>12530.08</v>
          </cell>
        </row>
        <row r="145">
          <cell r="D145">
            <v>27524</v>
          </cell>
          <cell r="H145">
            <v>13402.04</v>
          </cell>
        </row>
        <row r="146">
          <cell r="D146">
            <v>68970</v>
          </cell>
          <cell r="H146">
            <v>12566.64</v>
          </cell>
        </row>
        <row r="147">
          <cell r="D147">
            <v>1608</v>
          </cell>
          <cell r="H147">
            <v>10962.2</v>
          </cell>
        </row>
        <row r="148">
          <cell r="D148">
            <v>26356</v>
          </cell>
          <cell r="H148">
            <v>13453.16</v>
          </cell>
        </row>
        <row r="149">
          <cell r="D149">
            <v>1168</v>
          </cell>
          <cell r="H149">
            <v>12248</v>
          </cell>
        </row>
        <row r="159">
          <cell r="A159">
            <v>7851</v>
          </cell>
          <cell r="B159">
            <v>543864</v>
          </cell>
          <cell r="C159">
            <v>8</v>
          </cell>
          <cell r="D159">
            <v>590</v>
          </cell>
          <cell r="E159">
            <v>6414</v>
          </cell>
          <cell r="F159">
            <v>3866</v>
          </cell>
          <cell r="G159">
            <v>3938</v>
          </cell>
        </row>
        <row r="169">
          <cell r="A169">
            <v>42</v>
          </cell>
          <cell r="B169">
            <v>640923</v>
          </cell>
          <cell r="C169">
            <v>121</v>
          </cell>
          <cell r="D169">
            <v>242</v>
          </cell>
          <cell r="E169">
            <v>4258</v>
          </cell>
          <cell r="F169">
            <v>1876</v>
          </cell>
          <cell r="G169">
            <v>979</v>
          </cell>
        </row>
        <row r="179">
          <cell r="A179">
            <v>7893</v>
          </cell>
          <cell r="B179">
            <v>1184787</v>
          </cell>
          <cell r="C179">
            <v>129</v>
          </cell>
          <cell r="D179">
            <v>832</v>
          </cell>
          <cell r="E179">
            <v>10672</v>
          </cell>
          <cell r="F179">
            <v>5742</v>
          </cell>
          <cell r="G179">
            <v>4917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5_2T"/>
    </sheetNames>
    <sheetDataSet>
      <sheetData sheetId="0">
        <row r="4">
          <cell r="A4">
            <v>1198151</v>
          </cell>
          <cell r="B4">
            <v>14086</v>
          </cell>
          <cell r="C4">
            <v>17310</v>
          </cell>
        </row>
        <row r="14">
          <cell r="A14">
            <v>566372</v>
          </cell>
          <cell r="B14">
            <v>566654</v>
          </cell>
          <cell r="C14">
            <v>141538</v>
          </cell>
        </row>
        <row r="24">
          <cell r="A24">
            <v>1764523</v>
          </cell>
          <cell r="B24">
            <v>580740</v>
          </cell>
          <cell r="C24">
            <v>158848</v>
          </cell>
        </row>
        <row r="46">
          <cell r="F46">
            <v>75.383600000000001</v>
          </cell>
        </row>
        <row r="47">
          <cell r="F47">
            <v>73.580500000000001</v>
          </cell>
        </row>
        <row r="48">
          <cell r="F48">
            <v>79.225999999999999</v>
          </cell>
        </row>
        <row r="49">
          <cell r="F49">
            <v>81.365600000000001</v>
          </cell>
        </row>
        <row r="50">
          <cell r="F50">
            <v>73.904300000000006</v>
          </cell>
        </row>
        <row r="51">
          <cell r="F51">
            <v>76.810699999999997</v>
          </cell>
        </row>
        <row r="52">
          <cell r="F52">
            <v>73.778599999999997</v>
          </cell>
        </row>
        <row r="53">
          <cell r="F53">
            <v>75.7821</v>
          </cell>
        </row>
        <row r="54">
          <cell r="F54">
            <v>81.075000000000003</v>
          </cell>
        </row>
        <row r="55">
          <cell r="F55">
            <v>73.161299999999997</v>
          </cell>
        </row>
        <row r="56">
          <cell r="F56">
            <v>79.311599999999999</v>
          </cell>
        </row>
        <row r="57">
          <cell r="F57">
            <v>81.401200000000003</v>
          </cell>
        </row>
        <row r="80">
          <cell r="G80">
            <v>2276.4</v>
          </cell>
        </row>
        <row r="81">
          <cell r="G81">
            <v>2474</v>
          </cell>
        </row>
        <row r="82">
          <cell r="G82">
            <v>1315.8</v>
          </cell>
        </row>
        <row r="83">
          <cell r="G83">
            <v>3593.2</v>
          </cell>
        </row>
        <row r="84">
          <cell r="G84">
            <v>2625.7</v>
          </cell>
        </row>
        <row r="85">
          <cell r="G85">
            <v>1939.4</v>
          </cell>
        </row>
        <row r="86">
          <cell r="G86">
            <v>2626.4</v>
          </cell>
        </row>
        <row r="87">
          <cell r="G87">
            <v>749.28</v>
          </cell>
        </row>
        <row r="88">
          <cell r="G88">
            <v>4103.3999999999996</v>
          </cell>
        </row>
        <row r="89">
          <cell r="G89">
            <v>2151.6</v>
          </cell>
        </row>
        <row r="90">
          <cell r="G90">
            <v>1329.9</v>
          </cell>
        </row>
        <row r="91">
          <cell r="G91">
            <v>3530.8</v>
          </cell>
        </row>
        <row r="108">
          <cell r="D108">
            <v>0.938168723348765</v>
          </cell>
          <cell r="E108">
            <v>0.90807330403545128</v>
          </cell>
          <cell r="F108">
            <v>0.92709203117444905</v>
          </cell>
        </row>
        <row r="117">
          <cell r="D117">
            <v>36.850099999999998</v>
          </cell>
        </row>
        <row r="118">
          <cell r="D118">
            <v>39.450699999999998</v>
          </cell>
        </row>
        <row r="119">
          <cell r="D119">
            <v>32.384900000000002</v>
          </cell>
        </row>
        <row r="141">
          <cell r="D141">
            <v>98483</v>
          </cell>
          <cell r="H141">
            <v>12808.16</v>
          </cell>
        </row>
        <row r="142">
          <cell r="D142">
            <v>95707</v>
          </cell>
          <cell r="H142">
            <v>12846</v>
          </cell>
        </row>
        <row r="143">
          <cell r="D143">
            <v>2776</v>
          </cell>
          <cell r="H143">
            <v>11504.44</v>
          </cell>
        </row>
        <row r="144">
          <cell r="D144">
            <v>70615</v>
          </cell>
          <cell r="H144">
            <v>12564.72</v>
          </cell>
        </row>
        <row r="145">
          <cell r="D145">
            <v>27868</v>
          </cell>
          <cell r="H145">
            <v>13425</v>
          </cell>
        </row>
        <row r="146">
          <cell r="D146">
            <v>69023</v>
          </cell>
          <cell r="H146">
            <v>12601.56</v>
          </cell>
        </row>
        <row r="147">
          <cell r="D147">
            <v>1592</v>
          </cell>
          <cell r="H147">
            <v>10968.6</v>
          </cell>
        </row>
        <row r="148">
          <cell r="D148">
            <v>26684</v>
          </cell>
          <cell r="H148">
            <v>13478.28</v>
          </cell>
        </row>
        <row r="149">
          <cell r="D149">
            <v>1184</v>
          </cell>
          <cell r="H149">
            <v>12224.92</v>
          </cell>
        </row>
        <row r="159">
          <cell r="A159">
            <v>7581</v>
          </cell>
          <cell r="B159">
            <v>541068</v>
          </cell>
          <cell r="C159">
            <v>6</v>
          </cell>
          <cell r="D159">
            <v>584</v>
          </cell>
          <cell r="E159">
            <v>6219</v>
          </cell>
          <cell r="F159">
            <v>3783</v>
          </cell>
          <cell r="G159">
            <v>4019</v>
          </cell>
        </row>
        <row r="169">
          <cell r="A169">
            <v>40</v>
          </cell>
          <cell r="B169">
            <v>639345</v>
          </cell>
          <cell r="C169">
            <v>125</v>
          </cell>
          <cell r="D169">
            <v>244</v>
          </cell>
          <cell r="E169">
            <v>4090</v>
          </cell>
          <cell r="F169">
            <v>1833</v>
          </cell>
          <cell r="G169">
            <v>1002</v>
          </cell>
        </row>
        <row r="179">
          <cell r="A179">
            <v>7621</v>
          </cell>
          <cell r="B179">
            <v>1180413</v>
          </cell>
          <cell r="C179">
            <v>131</v>
          </cell>
          <cell r="D179">
            <v>828</v>
          </cell>
          <cell r="E179">
            <v>10309</v>
          </cell>
          <cell r="F179">
            <v>5616</v>
          </cell>
          <cell r="G179">
            <v>5021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5_3T"/>
    </sheetNames>
    <sheetDataSet>
      <sheetData sheetId="0">
        <row r="4">
          <cell r="A4">
            <v>1196597</v>
          </cell>
          <cell r="B4">
            <v>14304</v>
          </cell>
          <cell r="C4">
            <v>17420</v>
          </cell>
        </row>
        <row r="14">
          <cell r="A14">
            <v>568599</v>
          </cell>
          <cell r="B14">
            <v>566886</v>
          </cell>
          <cell r="C14">
            <v>141368</v>
          </cell>
        </row>
        <row r="24">
          <cell r="A24">
            <v>1765196</v>
          </cell>
          <cell r="B24">
            <v>581190</v>
          </cell>
          <cell r="C24">
            <v>158788</v>
          </cell>
        </row>
        <row r="46">
          <cell r="F46">
            <v>75.400000000000006</v>
          </cell>
        </row>
        <row r="47">
          <cell r="F47">
            <v>73.599999999999994</v>
          </cell>
        </row>
        <row r="48">
          <cell r="F48">
            <v>79.3</v>
          </cell>
        </row>
        <row r="49">
          <cell r="F49">
            <v>81.400000000000006</v>
          </cell>
        </row>
        <row r="50">
          <cell r="F50">
            <v>73.900000000000006</v>
          </cell>
        </row>
        <row r="51">
          <cell r="F51">
            <v>76.900000000000006</v>
          </cell>
        </row>
        <row r="52">
          <cell r="F52">
            <v>73.8</v>
          </cell>
        </row>
        <row r="53">
          <cell r="F53">
            <v>75.900000000000006</v>
          </cell>
        </row>
        <row r="54">
          <cell r="F54">
            <v>81.2</v>
          </cell>
        </row>
        <row r="55">
          <cell r="F55">
            <v>73.2</v>
          </cell>
        </row>
        <row r="56">
          <cell r="F56">
            <v>79.400000000000006</v>
          </cell>
        </row>
        <row r="57">
          <cell r="F57">
            <v>81.5</v>
          </cell>
        </row>
        <row r="80">
          <cell r="G80">
            <v>2273.6999999999998</v>
          </cell>
        </row>
        <row r="81">
          <cell r="G81">
            <v>2473.9</v>
          </cell>
        </row>
        <row r="82">
          <cell r="G82">
            <v>1308.2</v>
          </cell>
        </row>
        <row r="83">
          <cell r="G83">
            <v>3582.6</v>
          </cell>
        </row>
        <row r="84">
          <cell r="G84">
            <v>2624.3</v>
          </cell>
        </row>
        <row r="85">
          <cell r="G85">
            <v>1936.5</v>
          </cell>
        </row>
        <row r="86">
          <cell r="G86">
            <v>2625.4</v>
          </cell>
        </row>
        <row r="87">
          <cell r="G87">
            <v>741.6</v>
          </cell>
        </row>
        <row r="88">
          <cell r="G88">
            <v>4095</v>
          </cell>
        </row>
        <row r="89">
          <cell r="G89">
            <v>2155</v>
          </cell>
        </row>
        <row r="90">
          <cell r="G90">
            <v>1322.5</v>
          </cell>
        </row>
        <row r="91">
          <cell r="G91">
            <v>3519.5</v>
          </cell>
        </row>
        <row r="108">
          <cell r="D108">
            <v>0.93932000000000004</v>
          </cell>
          <cell r="E108">
            <v>0.91022999999999998</v>
          </cell>
          <cell r="F108">
            <v>0.92859000000000003</v>
          </cell>
        </row>
        <row r="117">
          <cell r="D117">
            <v>36.799999999999997</v>
          </cell>
        </row>
        <row r="118">
          <cell r="D118">
            <v>39.4</v>
          </cell>
        </row>
        <row r="119">
          <cell r="D119">
            <v>32.4</v>
          </cell>
        </row>
        <row r="141">
          <cell r="D141">
            <v>99242</v>
          </cell>
          <cell r="H141">
            <v>12839.56</v>
          </cell>
        </row>
        <row r="142">
          <cell r="D142">
            <v>96448</v>
          </cell>
          <cell r="H142">
            <v>12878.32</v>
          </cell>
        </row>
        <row r="143">
          <cell r="D143">
            <v>2794</v>
          </cell>
          <cell r="H143">
            <v>11500.92</v>
          </cell>
        </row>
        <row r="144">
          <cell r="D144">
            <v>70936</v>
          </cell>
          <cell r="H144">
            <v>12599.08</v>
          </cell>
        </row>
        <row r="145">
          <cell r="D145">
            <v>28306</v>
          </cell>
          <cell r="H145">
            <v>13442.16</v>
          </cell>
        </row>
        <row r="146">
          <cell r="D146">
            <v>69327</v>
          </cell>
          <cell r="H146">
            <v>12636.36</v>
          </cell>
        </row>
        <row r="147">
          <cell r="D147">
            <v>1609</v>
          </cell>
          <cell r="H147">
            <v>10992.52</v>
          </cell>
        </row>
        <row r="148">
          <cell r="D148">
            <v>27121</v>
          </cell>
          <cell r="H148">
            <v>13496.84</v>
          </cell>
        </row>
        <row r="149">
          <cell r="D149">
            <v>1185</v>
          </cell>
          <cell r="H149">
            <v>12191.2</v>
          </cell>
        </row>
        <row r="159">
          <cell r="A159">
            <v>7375</v>
          </cell>
          <cell r="B159">
            <v>539154</v>
          </cell>
          <cell r="C159">
            <v>6</v>
          </cell>
          <cell r="D159">
            <v>570</v>
          </cell>
          <cell r="E159">
            <v>6034</v>
          </cell>
          <cell r="F159">
            <v>3658</v>
          </cell>
          <cell r="G159">
            <v>4107</v>
          </cell>
        </row>
        <row r="169">
          <cell r="A169">
            <v>36</v>
          </cell>
          <cell r="B169">
            <v>638597</v>
          </cell>
          <cell r="C169">
            <v>123</v>
          </cell>
          <cell r="D169">
            <v>240</v>
          </cell>
          <cell r="E169">
            <v>3969</v>
          </cell>
          <cell r="F169">
            <v>1771</v>
          </cell>
          <cell r="G169">
            <v>1028</v>
          </cell>
        </row>
        <row r="179">
          <cell r="A179">
            <v>7411</v>
          </cell>
          <cell r="B179">
            <v>1177751</v>
          </cell>
          <cell r="C179">
            <v>129</v>
          </cell>
          <cell r="D179">
            <v>810</v>
          </cell>
          <cell r="E179">
            <v>10003</v>
          </cell>
          <cell r="F179">
            <v>5429</v>
          </cell>
          <cell r="G179">
            <v>5135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5_4T"/>
    </sheetNames>
    <sheetDataSet>
      <sheetData sheetId="0">
        <row r="4">
          <cell r="A4">
            <v>1195587</v>
          </cell>
          <cell r="B4">
            <v>14451</v>
          </cell>
          <cell r="C4">
            <v>17451</v>
          </cell>
        </row>
        <row r="14">
          <cell r="A14">
            <v>572027</v>
          </cell>
          <cell r="B14">
            <v>567126</v>
          </cell>
          <cell r="C14">
            <v>141095</v>
          </cell>
        </row>
        <row r="24">
          <cell r="A24">
            <v>1767614</v>
          </cell>
          <cell r="B24">
            <v>581577</v>
          </cell>
          <cell r="C24">
            <v>158546</v>
          </cell>
        </row>
        <row r="46">
          <cell r="F46">
            <v>75.422499999999999</v>
          </cell>
        </row>
        <row r="47">
          <cell r="F47">
            <v>73.595100000000002</v>
          </cell>
        </row>
        <row r="48">
          <cell r="F48">
            <v>79.3249</v>
          </cell>
        </row>
        <row r="49">
          <cell r="F49">
            <v>81.480800000000002</v>
          </cell>
        </row>
        <row r="50">
          <cell r="F50">
            <v>73.929599999999994</v>
          </cell>
        </row>
        <row r="51">
          <cell r="F51">
            <v>76.853899999999996</v>
          </cell>
        </row>
        <row r="52">
          <cell r="F52">
            <v>73.8</v>
          </cell>
        </row>
        <row r="53">
          <cell r="F53">
            <v>75.894300000000001</v>
          </cell>
        </row>
        <row r="54">
          <cell r="F54">
            <v>81.177400000000006</v>
          </cell>
        </row>
        <row r="55">
          <cell r="F55">
            <v>73.166799999999995</v>
          </cell>
        </row>
        <row r="56">
          <cell r="F56">
            <v>79.412300000000002</v>
          </cell>
        </row>
        <row r="57">
          <cell r="F57">
            <v>81.518299999999996</v>
          </cell>
        </row>
        <row r="80">
          <cell r="G80">
            <v>2270.44</v>
          </cell>
        </row>
        <row r="81">
          <cell r="G81">
            <v>2472.56</v>
          </cell>
        </row>
        <row r="82">
          <cell r="G82">
            <v>1300.92</v>
          </cell>
        </row>
        <row r="83">
          <cell r="G83">
            <v>3573.48</v>
          </cell>
        </row>
        <row r="84">
          <cell r="G84">
            <v>2622.76</v>
          </cell>
        </row>
        <row r="85">
          <cell r="G85">
            <v>1932.64</v>
          </cell>
        </row>
        <row r="86">
          <cell r="G86">
            <v>2624.48</v>
          </cell>
        </row>
        <row r="87">
          <cell r="G87">
            <v>737.52</v>
          </cell>
        </row>
        <row r="88">
          <cell r="G88">
            <v>4065.48</v>
          </cell>
        </row>
        <row r="89">
          <cell r="G89">
            <v>2155.04</v>
          </cell>
        </row>
        <row r="90">
          <cell r="G90">
            <v>1315.28</v>
          </cell>
        </row>
        <row r="91">
          <cell r="G91">
            <v>3512.64</v>
          </cell>
        </row>
        <row r="108">
          <cell r="D108">
            <v>0.94048370795501568</v>
          </cell>
          <cell r="E108">
            <v>0.91283849824642094</v>
          </cell>
          <cell r="F108">
            <v>0.93024874893505671</v>
          </cell>
        </row>
        <row r="117">
          <cell r="D117">
            <v>36.749099999999999</v>
          </cell>
        </row>
        <row r="118">
          <cell r="D118">
            <v>39.320099999999996</v>
          </cell>
        </row>
        <row r="119">
          <cell r="D119">
            <v>32.375700000000002</v>
          </cell>
        </row>
        <row r="141">
          <cell r="D141">
            <v>99797</v>
          </cell>
          <cell r="H141">
            <v>12874.88</v>
          </cell>
        </row>
        <row r="142">
          <cell r="D142">
            <v>97019</v>
          </cell>
          <cell r="H142">
            <v>12913.08</v>
          </cell>
        </row>
        <row r="143">
          <cell r="D143">
            <v>2778</v>
          </cell>
          <cell r="H143">
            <v>11540.84</v>
          </cell>
        </row>
        <row r="144">
          <cell r="D144">
            <v>71128</v>
          </cell>
          <cell r="H144">
            <v>12638.52</v>
          </cell>
        </row>
        <row r="145">
          <cell r="D145">
            <v>28669</v>
          </cell>
          <cell r="H145">
            <v>13461.24</v>
          </cell>
        </row>
        <row r="146">
          <cell r="D146">
            <v>69544</v>
          </cell>
          <cell r="H146">
            <v>12675.52</v>
          </cell>
        </row>
        <row r="147">
          <cell r="D147">
            <v>1584</v>
          </cell>
          <cell r="H147">
            <v>11014.32</v>
          </cell>
        </row>
        <row r="148">
          <cell r="D148">
            <v>27475</v>
          </cell>
          <cell r="H148">
            <v>13514.36</v>
          </cell>
        </row>
        <row r="149">
          <cell r="D149">
            <v>1194</v>
          </cell>
          <cell r="H149">
            <v>12239.32</v>
          </cell>
        </row>
        <row r="159">
          <cell r="A159">
            <v>7155</v>
          </cell>
          <cell r="B159">
            <v>537347</v>
          </cell>
          <cell r="C159">
            <v>6</v>
          </cell>
          <cell r="D159">
            <v>565</v>
          </cell>
          <cell r="E159">
            <v>5878</v>
          </cell>
          <cell r="F159">
            <v>3594</v>
          </cell>
          <cell r="G159">
            <v>4194</v>
          </cell>
        </row>
        <row r="169">
          <cell r="A169">
            <v>35</v>
          </cell>
          <cell r="B169">
            <v>638785</v>
          </cell>
          <cell r="C169">
            <v>107</v>
          </cell>
          <cell r="D169">
            <v>237</v>
          </cell>
          <cell r="E169">
            <v>3873</v>
          </cell>
          <cell r="F169">
            <v>1737</v>
          </cell>
          <cell r="G169">
            <v>1054</v>
          </cell>
        </row>
        <row r="179">
          <cell r="A179">
            <v>7190</v>
          </cell>
          <cell r="B179">
            <v>1176132</v>
          </cell>
          <cell r="C179">
            <v>113</v>
          </cell>
          <cell r="D179">
            <v>802</v>
          </cell>
          <cell r="E179">
            <v>9751</v>
          </cell>
          <cell r="F179">
            <v>5331</v>
          </cell>
          <cell r="G179">
            <v>5248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6_1T"/>
    </sheetNames>
    <sheetDataSet>
      <sheetData sheetId="0">
        <row r="4">
          <cell r="A4">
            <v>1197316</v>
          </cell>
          <cell r="B4">
            <v>14631</v>
          </cell>
          <cell r="C4">
            <v>17446</v>
          </cell>
        </row>
        <row r="14">
          <cell r="A14">
            <v>577666</v>
          </cell>
          <cell r="B14">
            <v>566477</v>
          </cell>
          <cell r="C14">
            <v>140809</v>
          </cell>
        </row>
        <row r="24">
          <cell r="A24">
            <v>1774982</v>
          </cell>
          <cell r="B24">
            <v>581108</v>
          </cell>
          <cell r="C24">
            <v>158255</v>
          </cell>
        </row>
        <row r="46">
          <cell r="F46">
            <v>75.426599999999993</v>
          </cell>
        </row>
        <row r="47">
          <cell r="F47">
            <v>73.578599999999994</v>
          </cell>
        </row>
        <row r="48">
          <cell r="F48">
            <v>79.405900000000003</v>
          </cell>
        </row>
        <row r="49">
          <cell r="F49">
            <v>81.542000000000002</v>
          </cell>
        </row>
        <row r="50">
          <cell r="F50">
            <v>73.928799999999995</v>
          </cell>
        </row>
        <row r="51">
          <cell r="F51">
            <v>76.8596</v>
          </cell>
        </row>
        <row r="52">
          <cell r="F52">
            <v>73.798100000000005</v>
          </cell>
        </row>
        <row r="53">
          <cell r="F53">
            <v>75.892099999999999</v>
          </cell>
        </row>
        <row r="54">
          <cell r="F54">
            <v>81.253699999999995</v>
          </cell>
        </row>
        <row r="55">
          <cell r="F55">
            <v>73.123599999999996</v>
          </cell>
        </row>
        <row r="56">
          <cell r="F56">
            <v>79.496600000000001</v>
          </cell>
        </row>
        <row r="57">
          <cell r="F57">
            <v>81.577699999999993</v>
          </cell>
        </row>
        <row r="80">
          <cell r="G80">
            <v>2266.64</v>
          </cell>
        </row>
        <row r="81">
          <cell r="G81">
            <v>2470.16</v>
          </cell>
        </row>
        <row r="82">
          <cell r="G82">
            <v>1292.44</v>
          </cell>
        </row>
        <row r="83">
          <cell r="G83">
            <v>3560.96</v>
          </cell>
        </row>
        <row r="84">
          <cell r="G84">
            <v>2620.3200000000002</v>
          </cell>
        </row>
        <row r="85">
          <cell r="G85">
            <v>1928.24</v>
          </cell>
        </row>
        <row r="86">
          <cell r="G86">
            <v>2622.48</v>
          </cell>
        </row>
        <row r="87">
          <cell r="G87">
            <v>731.68</v>
          </cell>
        </row>
        <row r="88">
          <cell r="G88">
            <v>4055.72</v>
          </cell>
        </row>
        <row r="89">
          <cell r="G89">
            <v>2154.44</v>
          </cell>
        </row>
        <row r="90">
          <cell r="G90">
            <v>1306.92</v>
          </cell>
        </row>
        <row r="91">
          <cell r="G91">
            <v>3499.64</v>
          </cell>
        </row>
        <row r="108">
          <cell r="D108">
            <v>0.94179968224437549</v>
          </cell>
          <cell r="E108">
            <v>0.9154908993732489</v>
          </cell>
          <cell r="F108">
            <v>0.93202230249058959</v>
          </cell>
        </row>
        <row r="117">
          <cell r="D117">
            <v>36.677</v>
          </cell>
        </row>
        <row r="118">
          <cell r="D118">
            <v>39.2316</v>
          </cell>
        </row>
        <row r="119">
          <cell r="D119">
            <v>32.357599999999998</v>
          </cell>
        </row>
        <row r="141">
          <cell r="D141">
            <v>100787</v>
          </cell>
          <cell r="H141">
            <v>12909.64</v>
          </cell>
        </row>
        <row r="142">
          <cell r="D142">
            <v>98005</v>
          </cell>
          <cell r="H142">
            <v>12948.04</v>
          </cell>
        </row>
        <row r="143">
          <cell r="D143">
            <v>2782</v>
          </cell>
          <cell r="H143">
            <v>11556.92</v>
          </cell>
        </row>
        <row r="144">
          <cell r="D144">
            <v>71571</v>
          </cell>
          <cell r="H144">
            <v>12678.48</v>
          </cell>
        </row>
        <row r="145">
          <cell r="D145">
            <v>29216</v>
          </cell>
          <cell r="H145">
            <v>13476</v>
          </cell>
        </row>
        <row r="146">
          <cell r="D146">
            <v>69995</v>
          </cell>
          <cell r="H146">
            <v>12716</v>
          </cell>
        </row>
        <row r="147">
          <cell r="D147">
            <v>1576</v>
          </cell>
          <cell r="H147">
            <v>11011.76</v>
          </cell>
        </row>
        <row r="148">
          <cell r="D148">
            <v>28010</v>
          </cell>
          <cell r="H148">
            <v>13527.92</v>
          </cell>
        </row>
        <row r="149">
          <cell r="D149">
            <v>1206</v>
          </cell>
          <cell r="H149">
            <v>12269.36</v>
          </cell>
        </row>
        <row r="159">
          <cell r="A159">
            <v>6951</v>
          </cell>
          <cell r="B159">
            <v>536447</v>
          </cell>
          <cell r="C159">
            <v>6</v>
          </cell>
          <cell r="D159">
            <v>557</v>
          </cell>
          <cell r="E159">
            <v>5689</v>
          </cell>
          <cell r="F159">
            <v>3505</v>
          </cell>
          <cell r="G159">
            <v>4291</v>
          </cell>
        </row>
        <row r="169">
          <cell r="A169">
            <v>32</v>
          </cell>
          <cell r="B169">
            <v>639102</v>
          </cell>
          <cell r="C169">
            <v>112</v>
          </cell>
          <cell r="D169">
            <v>233</v>
          </cell>
          <cell r="E169">
            <v>3750</v>
          </cell>
          <cell r="F169">
            <v>1695</v>
          </cell>
          <cell r="G169">
            <v>1080</v>
          </cell>
        </row>
        <row r="179">
          <cell r="A179">
            <v>6983</v>
          </cell>
          <cell r="B179">
            <v>1175549</v>
          </cell>
          <cell r="C179">
            <v>118</v>
          </cell>
          <cell r="D179">
            <v>790</v>
          </cell>
          <cell r="E179">
            <v>9439</v>
          </cell>
          <cell r="F179">
            <v>5200</v>
          </cell>
          <cell r="G179">
            <v>5371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822-11H12S04-PROGRAM-TdB_STO"/>
    </sheetNames>
    <sheetDataSet>
      <sheetData sheetId="0">
        <row r="4">
          <cell r="A4">
            <v>1196694</v>
          </cell>
          <cell r="B4">
            <v>14711</v>
          </cell>
          <cell r="C4">
            <v>17432</v>
          </cell>
        </row>
        <row r="14">
          <cell r="A14">
            <v>581715</v>
          </cell>
          <cell r="B14">
            <v>565057</v>
          </cell>
          <cell r="C14">
            <v>140336</v>
          </cell>
        </row>
        <row r="24">
          <cell r="A24">
            <v>1778409</v>
          </cell>
          <cell r="B24">
            <v>579768</v>
          </cell>
          <cell r="C24">
            <v>157768</v>
          </cell>
        </row>
        <row r="46">
          <cell r="F46">
            <v>75.439899999999994</v>
          </cell>
        </row>
        <row r="47">
          <cell r="F47">
            <v>73.578500000000005</v>
          </cell>
        </row>
        <row r="48">
          <cell r="F48">
            <v>79.475499999999997</v>
          </cell>
        </row>
        <row r="49">
          <cell r="F49">
            <v>81.592500000000001</v>
          </cell>
        </row>
        <row r="50">
          <cell r="F50">
            <v>73.933899999999994</v>
          </cell>
        </row>
        <row r="51">
          <cell r="F51">
            <v>76.877899999999997</v>
          </cell>
        </row>
        <row r="52">
          <cell r="F52">
            <v>73.802199999999999</v>
          </cell>
        </row>
        <row r="53">
          <cell r="F53">
            <v>75.900999999999996</v>
          </cell>
        </row>
        <row r="54">
          <cell r="F54">
            <v>81.313500000000005</v>
          </cell>
        </row>
        <row r="55">
          <cell r="F55">
            <v>73.118499999999997</v>
          </cell>
        </row>
        <row r="56">
          <cell r="F56">
            <v>79.5685</v>
          </cell>
        </row>
        <row r="57">
          <cell r="F57">
            <v>81.627200000000002</v>
          </cell>
        </row>
        <row r="80">
          <cell r="G80">
            <v>2262.4</v>
          </cell>
        </row>
        <row r="81">
          <cell r="G81">
            <v>2467.1999999999998</v>
          </cell>
        </row>
        <row r="82">
          <cell r="G82">
            <v>1284.76</v>
          </cell>
        </row>
        <row r="83">
          <cell r="G83">
            <v>3546.76</v>
          </cell>
        </row>
        <row r="84">
          <cell r="G84">
            <v>2617.56</v>
          </cell>
        </row>
        <row r="85">
          <cell r="G85">
            <v>1923.32</v>
          </cell>
        </row>
        <row r="86">
          <cell r="G86">
            <v>2620.12</v>
          </cell>
        </row>
        <row r="87">
          <cell r="G87">
            <v>734.36</v>
          </cell>
        </row>
        <row r="88">
          <cell r="G88">
            <v>4031</v>
          </cell>
        </row>
        <row r="89">
          <cell r="G89">
            <v>2152.56</v>
          </cell>
        </row>
        <row r="90">
          <cell r="G90">
            <v>1299.1199999999999</v>
          </cell>
        </row>
        <row r="91">
          <cell r="G91">
            <v>3486.6</v>
          </cell>
        </row>
        <row r="108">
          <cell r="D108">
            <v>0.94320895122865245</v>
          </cell>
          <cell r="E108">
            <v>0.91787596843396924</v>
          </cell>
          <cell r="F108">
            <v>0.93376173769237003</v>
          </cell>
        </row>
        <row r="117">
          <cell r="D117">
            <v>36.620100000000001</v>
          </cell>
        </row>
        <row r="118">
          <cell r="D118">
            <v>39.166699999999999</v>
          </cell>
        </row>
        <row r="119">
          <cell r="D119">
            <v>32.338099999999997</v>
          </cell>
        </row>
        <row r="141">
          <cell r="D141">
            <v>101520</v>
          </cell>
          <cell r="H141">
            <v>12941.24</v>
          </cell>
        </row>
        <row r="142">
          <cell r="D142">
            <v>98741</v>
          </cell>
          <cell r="H142">
            <v>12980.16</v>
          </cell>
        </row>
        <row r="143">
          <cell r="D143">
            <v>2779</v>
          </cell>
          <cell r="H143">
            <v>11559.4</v>
          </cell>
        </row>
        <row r="144">
          <cell r="D144">
            <v>71892</v>
          </cell>
          <cell r="H144">
            <v>12713.76</v>
          </cell>
        </row>
        <row r="145">
          <cell r="D145">
            <v>29628</v>
          </cell>
          <cell r="H145">
            <v>13493.24</v>
          </cell>
        </row>
        <row r="146">
          <cell r="D146">
            <v>70321</v>
          </cell>
          <cell r="H146">
            <v>12751.36</v>
          </cell>
        </row>
        <row r="147">
          <cell r="D147">
            <v>1571</v>
          </cell>
          <cell r="H147">
            <v>11030.36</v>
          </cell>
        </row>
        <row r="148">
          <cell r="D148">
            <v>28420</v>
          </cell>
          <cell r="H148">
            <v>13546.2</v>
          </cell>
        </row>
        <row r="149">
          <cell r="D149">
            <v>1208</v>
          </cell>
          <cell r="H149">
            <v>12247.44</v>
          </cell>
        </row>
        <row r="159">
          <cell r="A159">
            <v>6720</v>
          </cell>
          <cell r="B159">
            <v>534457</v>
          </cell>
          <cell r="C159">
            <v>6</v>
          </cell>
          <cell r="D159">
            <v>544</v>
          </cell>
          <cell r="E159">
            <v>5515</v>
          </cell>
          <cell r="F159">
            <v>3398</v>
          </cell>
          <cell r="G159">
            <v>4402</v>
          </cell>
        </row>
        <row r="169">
          <cell r="A169">
            <v>32</v>
          </cell>
          <cell r="B169">
            <v>638265</v>
          </cell>
          <cell r="C169">
            <v>117</v>
          </cell>
          <cell r="D169">
            <v>233</v>
          </cell>
          <cell r="E169">
            <v>3637</v>
          </cell>
          <cell r="F169">
            <v>1650</v>
          </cell>
          <cell r="G169">
            <v>1104</v>
          </cell>
        </row>
        <row r="179">
          <cell r="A179">
            <v>6752</v>
          </cell>
          <cell r="B179">
            <v>1172722</v>
          </cell>
          <cell r="C179">
            <v>123</v>
          </cell>
          <cell r="D179">
            <v>777</v>
          </cell>
          <cell r="E179">
            <v>9152</v>
          </cell>
          <cell r="F179">
            <v>5048</v>
          </cell>
          <cell r="G179">
            <v>5506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3T2009"/>
    </sheetNames>
    <sheetDataSet>
      <sheetData sheetId="0" refreshError="1">
        <row r="4">
          <cell r="A4">
            <v>1258388</v>
          </cell>
          <cell r="B4">
            <v>10918</v>
          </cell>
          <cell r="C4">
            <v>16219</v>
          </cell>
        </row>
        <row r="14">
          <cell r="A14">
            <v>514368</v>
          </cell>
          <cell r="B14">
            <v>560702</v>
          </cell>
          <cell r="C14">
            <v>146461</v>
          </cell>
        </row>
        <row r="24">
          <cell r="A24">
            <v>1772756</v>
          </cell>
          <cell r="B24">
            <v>571620</v>
          </cell>
          <cell r="C24">
            <v>162680</v>
          </cell>
        </row>
        <row r="46">
          <cell r="F46">
            <v>74.197699999999998</v>
          </cell>
        </row>
        <row r="47">
          <cell r="F47">
            <v>72.686499999999995</v>
          </cell>
        </row>
        <row r="48">
          <cell r="F48">
            <v>77.388000000000005</v>
          </cell>
        </row>
        <row r="49">
          <cell r="F49">
            <v>79.4572</v>
          </cell>
        </row>
        <row r="51">
          <cell r="F51">
            <v>72.818899999999999</v>
          </cell>
        </row>
        <row r="52">
          <cell r="F52">
            <v>75.648799999999994</v>
          </cell>
        </row>
        <row r="53">
          <cell r="F53">
            <v>72.721999999999994</v>
          </cell>
        </row>
        <row r="54">
          <cell r="F54">
            <v>74.447100000000006</v>
          </cell>
        </row>
        <row r="55">
          <cell r="F55">
            <v>79.234499999999997</v>
          </cell>
        </row>
        <row r="57">
          <cell r="F57">
            <v>72.599699999999999</v>
          </cell>
        </row>
        <row r="58">
          <cell r="F58">
            <v>77.4452</v>
          </cell>
        </row>
        <row r="59">
          <cell r="F59">
            <v>79.481800000000007</v>
          </cell>
        </row>
        <row r="84">
          <cell r="G84">
            <v>2195.08</v>
          </cell>
        </row>
        <row r="85">
          <cell r="G85">
            <v>2316.56</v>
          </cell>
        </row>
        <row r="86">
          <cell r="G86">
            <v>1421.16</v>
          </cell>
        </row>
        <row r="87">
          <cell r="G87">
            <v>3590.8</v>
          </cell>
        </row>
        <row r="89">
          <cell r="G89">
            <v>2469.84</v>
          </cell>
        </row>
        <row r="90">
          <cell r="G90">
            <v>1905.92</v>
          </cell>
        </row>
        <row r="91">
          <cell r="G91">
            <v>2461.7199999999998</v>
          </cell>
        </row>
        <row r="92">
          <cell r="G92">
            <v>823.6</v>
          </cell>
        </row>
        <row r="93">
          <cell r="G93">
            <v>4207.16</v>
          </cell>
        </row>
        <row r="95">
          <cell r="G95">
            <v>1961.4</v>
          </cell>
        </row>
        <row r="96">
          <cell r="G96">
            <v>1432.8</v>
          </cell>
        </row>
        <row r="97">
          <cell r="G97">
            <v>3522.52</v>
          </cell>
        </row>
        <row r="115">
          <cell r="D115">
            <v>0.90087508845815278</v>
          </cell>
          <cell r="E115">
            <v>0.84002802570132351</v>
          </cell>
          <cell r="F115">
            <v>0.88009988447047593</v>
          </cell>
        </row>
        <row r="124">
          <cell r="D124">
            <v>37.350200000000001</v>
          </cell>
        </row>
        <row r="125">
          <cell r="D125">
            <v>40.180700000000002</v>
          </cell>
        </row>
        <row r="126">
          <cell r="D126">
            <v>31.890499999999999</v>
          </cell>
        </row>
        <row r="148">
          <cell r="D148">
            <v>86609</v>
          </cell>
          <cell r="H148">
            <v>11293.32</v>
          </cell>
        </row>
        <row r="149">
          <cell r="D149">
            <v>83700</v>
          </cell>
          <cell r="H149">
            <v>11318.52</v>
          </cell>
        </row>
        <row r="150">
          <cell r="D150">
            <v>2909</v>
          </cell>
          <cell r="H150">
            <v>10568.04</v>
          </cell>
        </row>
        <row r="151">
          <cell r="D151">
            <v>66570</v>
          </cell>
          <cell r="H151">
            <v>11046.36</v>
          </cell>
        </row>
        <row r="152">
          <cell r="D152">
            <v>20039</v>
          </cell>
          <cell r="H152">
            <v>12113.6</v>
          </cell>
        </row>
        <row r="153">
          <cell r="D153">
            <v>64873</v>
          </cell>
          <cell r="H153">
            <v>11069.24</v>
          </cell>
        </row>
        <row r="154">
          <cell r="D154">
            <v>1697</v>
          </cell>
          <cell r="H154">
            <v>10172.92</v>
          </cell>
        </row>
        <row r="155">
          <cell r="D155">
            <v>18827</v>
          </cell>
          <cell r="H155">
            <v>12177.48</v>
          </cell>
        </row>
        <row r="156">
          <cell r="D156">
            <v>1212</v>
          </cell>
          <cell r="H156">
            <v>11121.36</v>
          </cell>
        </row>
        <row r="166">
          <cell r="A166">
            <v>13522</v>
          </cell>
          <cell r="B166">
            <v>590447</v>
          </cell>
          <cell r="C166">
            <v>8</v>
          </cell>
          <cell r="D166">
            <v>670</v>
          </cell>
          <cell r="E166">
            <v>11648</v>
          </cell>
          <cell r="F166">
            <v>6125</v>
          </cell>
          <cell r="G166">
            <v>1590</v>
          </cell>
        </row>
        <row r="176">
          <cell r="A176">
            <v>73</v>
          </cell>
          <cell r="B176">
            <v>639391</v>
          </cell>
          <cell r="C176">
            <v>194</v>
          </cell>
          <cell r="D176">
            <v>247</v>
          </cell>
          <cell r="E176">
            <v>7501</v>
          </cell>
          <cell r="F176">
            <v>2817</v>
          </cell>
          <cell r="G176">
            <v>392</v>
          </cell>
        </row>
        <row r="186">
          <cell r="A186">
            <v>13595</v>
          </cell>
          <cell r="B186">
            <v>1229838</v>
          </cell>
          <cell r="C186">
            <v>202</v>
          </cell>
          <cell r="D186">
            <v>917</v>
          </cell>
          <cell r="E186">
            <v>19149</v>
          </cell>
          <cell r="F186">
            <v>8942</v>
          </cell>
          <cell r="G186">
            <v>1982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6_3T"/>
    </sheetNames>
    <sheetDataSet>
      <sheetData sheetId="0">
        <row r="4">
          <cell r="A4">
            <v>1197125</v>
          </cell>
          <cell r="B4">
            <v>14877</v>
          </cell>
          <cell r="C4">
            <v>17434</v>
          </cell>
        </row>
        <row r="14">
          <cell r="A14">
            <v>585983</v>
          </cell>
          <cell r="B14">
            <v>564688</v>
          </cell>
          <cell r="C14">
            <v>140129</v>
          </cell>
        </row>
        <row r="24">
          <cell r="A24">
            <v>1783108</v>
          </cell>
          <cell r="B24">
            <v>579565</v>
          </cell>
          <cell r="C24">
            <v>157563</v>
          </cell>
        </row>
        <row r="46">
          <cell r="F46">
            <v>75.4572</v>
          </cell>
        </row>
        <row r="47">
          <cell r="F47">
            <v>73.581199999999995</v>
          </cell>
        </row>
        <row r="48">
          <cell r="F48">
            <v>79.543300000000002</v>
          </cell>
        </row>
        <row r="49">
          <cell r="F49">
            <v>81.657499999999999</v>
          </cell>
        </row>
        <row r="50">
          <cell r="F50">
            <v>73.9405</v>
          </cell>
        </row>
        <row r="51">
          <cell r="F51">
            <v>76.901899999999998</v>
          </cell>
        </row>
        <row r="52">
          <cell r="F52">
            <v>73.806399999999996</v>
          </cell>
        </row>
        <row r="53">
          <cell r="F53">
            <v>76.000699999999995</v>
          </cell>
        </row>
        <row r="54">
          <cell r="F54">
            <v>81.389099999999999</v>
          </cell>
        </row>
        <row r="55">
          <cell r="F55">
            <v>73.121200000000002</v>
          </cell>
        </row>
        <row r="56">
          <cell r="F56">
            <v>79.636600000000001</v>
          </cell>
        </row>
        <row r="57">
          <cell r="F57">
            <v>81.690899999999999</v>
          </cell>
        </row>
        <row r="80">
          <cell r="G80">
            <v>2260.08</v>
          </cell>
        </row>
        <row r="81">
          <cell r="G81">
            <v>2466.96</v>
          </cell>
        </row>
        <row r="82">
          <cell r="G82">
            <v>1276.8800000000001</v>
          </cell>
        </row>
        <row r="83">
          <cell r="G83">
            <v>3535.2</v>
          </cell>
        </row>
        <row r="84">
          <cell r="G84">
            <v>2617.16</v>
          </cell>
        </row>
        <row r="85">
          <cell r="G85">
            <v>1920</v>
          </cell>
        </row>
        <row r="86">
          <cell r="G86">
            <v>2620.08</v>
          </cell>
        </row>
        <row r="87">
          <cell r="G87">
            <v>733.52</v>
          </cell>
        </row>
        <row r="88">
          <cell r="G88">
            <v>4021.88</v>
          </cell>
        </row>
        <row r="89">
          <cell r="G89">
            <v>2154.16</v>
          </cell>
        </row>
        <row r="90">
          <cell r="G90">
            <v>1291.2</v>
          </cell>
        </row>
        <row r="91">
          <cell r="G91">
            <v>3474.6</v>
          </cell>
        </row>
        <row r="108">
          <cell r="D108">
            <v>0.94431687289894606</v>
          </cell>
          <cell r="E108">
            <v>0.92008560780716764</v>
          </cell>
          <cell r="F108">
            <v>0.93525074574721834</v>
          </cell>
        </row>
        <row r="117">
          <cell r="D117">
            <v>36.583199999999998</v>
          </cell>
        </row>
        <row r="118">
          <cell r="D118">
            <v>39.122399999999999</v>
          </cell>
        </row>
        <row r="119">
          <cell r="D119">
            <v>32.335900000000002</v>
          </cell>
        </row>
        <row r="141">
          <cell r="D141">
            <v>102475</v>
          </cell>
          <cell r="H141">
            <v>12973.2</v>
          </cell>
        </row>
        <row r="142">
          <cell r="D142">
            <v>99700</v>
          </cell>
          <cell r="H142">
            <v>13012.12</v>
          </cell>
        </row>
        <row r="143">
          <cell r="D143">
            <v>2775</v>
          </cell>
          <cell r="H143">
            <v>11574.92</v>
          </cell>
        </row>
        <row r="144">
          <cell r="D144">
            <v>72355</v>
          </cell>
          <cell r="H144">
            <v>12749.48</v>
          </cell>
        </row>
        <row r="145">
          <cell r="D145">
            <v>30120</v>
          </cell>
          <cell r="H145">
            <v>13510.64</v>
          </cell>
        </row>
        <row r="146">
          <cell r="D146">
            <v>70786</v>
          </cell>
          <cell r="H146">
            <v>12787.32</v>
          </cell>
        </row>
        <row r="147">
          <cell r="D147">
            <v>1569</v>
          </cell>
          <cell r="H147">
            <v>11042.32</v>
          </cell>
        </row>
        <row r="148">
          <cell r="D148">
            <v>28914</v>
          </cell>
          <cell r="H148">
            <v>13562.48</v>
          </cell>
        </row>
        <row r="149">
          <cell r="D149">
            <v>1206</v>
          </cell>
          <cell r="H149">
            <v>12267.88</v>
          </cell>
        </row>
        <row r="159">
          <cell r="A159">
            <v>6485</v>
          </cell>
          <cell r="B159">
            <v>533014</v>
          </cell>
          <cell r="C159">
            <v>9</v>
          </cell>
          <cell r="D159">
            <v>546</v>
          </cell>
          <cell r="E159">
            <v>5346</v>
          </cell>
          <cell r="F159">
            <v>3302</v>
          </cell>
          <cell r="G159">
            <v>4498</v>
          </cell>
        </row>
        <row r="169">
          <cell r="A169">
            <v>32</v>
          </cell>
          <cell r="B169">
            <v>638323</v>
          </cell>
          <cell r="C169">
            <v>116</v>
          </cell>
          <cell r="D169">
            <v>230</v>
          </cell>
          <cell r="E169">
            <v>3533</v>
          </cell>
          <cell r="F169">
            <v>1606</v>
          </cell>
          <cell r="G169">
            <v>1124</v>
          </cell>
        </row>
        <row r="179">
          <cell r="A179">
            <v>6517</v>
          </cell>
          <cell r="B179">
            <v>1171337</v>
          </cell>
          <cell r="C179">
            <v>125</v>
          </cell>
          <cell r="D179">
            <v>776</v>
          </cell>
          <cell r="E179">
            <v>8879</v>
          </cell>
          <cell r="F179">
            <v>4908</v>
          </cell>
          <cell r="G179">
            <v>5622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6_4T"/>
    </sheetNames>
    <sheetDataSet>
      <sheetData sheetId="0">
        <row r="4">
          <cell r="A4">
            <v>1194864</v>
          </cell>
          <cell r="B4">
            <v>15092</v>
          </cell>
          <cell r="C4">
            <v>17500</v>
          </cell>
        </row>
        <row r="14">
          <cell r="A14">
            <v>586824</v>
          </cell>
          <cell r="B14">
            <v>565142</v>
          </cell>
          <cell r="C14">
            <v>139955</v>
          </cell>
        </row>
        <row r="24">
          <cell r="A24">
            <v>1781688</v>
          </cell>
          <cell r="B24">
            <v>580234</v>
          </cell>
          <cell r="C24">
            <v>157455</v>
          </cell>
        </row>
        <row r="46">
          <cell r="F46">
            <v>75.498699999999999</v>
          </cell>
        </row>
        <row r="47">
          <cell r="F47">
            <v>73.619</v>
          </cell>
        </row>
        <row r="48">
          <cell r="F48">
            <v>79.587699999999998</v>
          </cell>
        </row>
        <row r="49">
          <cell r="F49">
            <v>81.699799999999996</v>
          </cell>
        </row>
        <row r="50">
          <cell r="F50">
            <v>73.973799999999997</v>
          </cell>
        </row>
        <row r="51">
          <cell r="F51">
            <v>76.947500000000005</v>
          </cell>
        </row>
        <row r="52">
          <cell r="F52">
            <v>73.838800000000006</v>
          </cell>
        </row>
        <row r="53">
          <cell r="F53">
            <v>76.024900000000002</v>
          </cell>
        </row>
        <row r="54">
          <cell r="F54">
            <v>81.42</v>
          </cell>
        </row>
        <row r="55">
          <cell r="F55">
            <v>73.171400000000006</v>
          </cell>
        </row>
        <row r="56">
          <cell r="F56">
            <v>79.682900000000004</v>
          </cell>
        </row>
        <row r="57">
          <cell r="F57">
            <v>81.734800000000007</v>
          </cell>
        </row>
        <row r="80">
          <cell r="G80">
            <v>2256.44</v>
          </cell>
        </row>
        <row r="81">
          <cell r="G81">
            <v>2466</v>
          </cell>
        </row>
        <row r="82">
          <cell r="G82">
            <v>1268.6400000000001</v>
          </cell>
        </row>
        <row r="83">
          <cell r="G83">
            <v>3525.36</v>
          </cell>
        </row>
        <row r="84">
          <cell r="G84">
            <v>2615.1999999999998</v>
          </cell>
        </row>
        <row r="85">
          <cell r="G85">
            <v>1915.56</v>
          </cell>
        </row>
        <row r="86">
          <cell r="G86">
            <v>2618.8000000000002</v>
          </cell>
        </row>
        <row r="87">
          <cell r="G87">
            <v>719.96</v>
          </cell>
        </row>
        <row r="88">
          <cell r="G88">
            <v>4004.28</v>
          </cell>
        </row>
        <row r="89">
          <cell r="G89">
            <v>2154.88</v>
          </cell>
        </row>
        <row r="90">
          <cell r="G90">
            <v>1283.28</v>
          </cell>
        </row>
        <row r="91">
          <cell r="G91">
            <v>3465.44</v>
          </cell>
        </row>
        <row r="108">
          <cell r="D108">
            <v>0.94524961336220226</v>
          </cell>
          <cell r="E108">
            <v>0.92192821082960563</v>
          </cell>
          <cell r="F108">
            <v>0.93650903337661706</v>
          </cell>
        </row>
        <row r="117">
          <cell r="D117">
            <v>36.539200000000001</v>
          </cell>
        </row>
        <row r="118">
          <cell r="D118">
            <v>39.059899999999999</v>
          </cell>
        </row>
        <row r="119">
          <cell r="D119">
            <v>32.334200000000003</v>
          </cell>
        </row>
        <row r="141">
          <cell r="D141">
            <v>102837</v>
          </cell>
          <cell r="H141">
            <v>12993.52</v>
          </cell>
        </row>
        <row r="142">
          <cell r="D142">
            <v>100054</v>
          </cell>
          <cell r="H142">
            <v>13032.52</v>
          </cell>
        </row>
        <row r="143">
          <cell r="D143">
            <v>2783</v>
          </cell>
          <cell r="H143">
            <v>11591.28</v>
          </cell>
        </row>
        <row r="144">
          <cell r="D144">
            <v>72431</v>
          </cell>
          <cell r="H144">
            <v>12774.2</v>
          </cell>
        </row>
        <row r="145">
          <cell r="D145">
            <v>30406</v>
          </cell>
          <cell r="H145">
            <v>13515.92</v>
          </cell>
        </row>
        <row r="146">
          <cell r="D146">
            <v>70862</v>
          </cell>
          <cell r="H146">
            <v>12812.2</v>
          </cell>
        </row>
        <row r="147">
          <cell r="D147">
            <v>1569</v>
          </cell>
          <cell r="H147">
            <v>11058.48</v>
          </cell>
        </row>
        <row r="148">
          <cell r="D148">
            <v>29192</v>
          </cell>
          <cell r="H148">
            <v>13567.32</v>
          </cell>
        </row>
        <row r="149">
          <cell r="D149">
            <v>1214</v>
          </cell>
          <cell r="H149">
            <v>12279.88</v>
          </cell>
        </row>
        <row r="159">
          <cell r="A159">
            <v>6298</v>
          </cell>
          <cell r="B159">
            <v>530896</v>
          </cell>
          <cell r="C159">
            <v>7</v>
          </cell>
          <cell r="D159">
            <v>538</v>
          </cell>
          <cell r="E159">
            <v>5196</v>
          </cell>
          <cell r="F159">
            <v>3224</v>
          </cell>
          <cell r="G159">
            <v>4589</v>
          </cell>
        </row>
        <row r="169">
          <cell r="A169">
            <v>30</v>
          </cell>
          <cell r="B169">
            <v>637635</v>
          </cell>
          <cell r="C169">
            <v>90</v>
          </cell>
          <cell r="D169">
            <v>228</v>
          </cell>
          <cell r="E169">
            <v>3434</v>
          </cell>
          <cell r="F169">
            <v>1581</v>
          </cell>
          <cell r="G169">
            <v>1145</v>
          </cell>
        </row>
        <row r="179">
          <cell r="A179">
            <v>6328</v>
          </cell>
          <cell r="B179">
            <v>1168531</v>
          </cell>
          <cell r="C179">
            <v>97</v>
          </cell>
          <cell r="D179">
            <v>766</v>
          </cell>
          <cell r="E179">
            <v>8630</v>
          </cell>
          <cell r="F179">
            <v>4805</v>
          </cell>
          <cell r="G179">
            <v>5734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7_1T"/>
    </sheetNames>
    <sheetDataSet>
      <sheetData sheetId="0">
        <row r="4">
          <cell r="A4">
            <v>1192562</v>
          </cell>
          <cell r="B4">
            <v>15213</v>
          </cell>
          <cell r="C4">
            <v>17429</v>
          </cell>
        </row>
        <row r="14">
          <cell r="A14">
            <v>589076</v>
          </cell>
          <cell r="B14">
            <v>563029</v>
          </cell>
          <cell r="C14">
            <v>139166</v>
          </cell>
        </row>
        <row r="24">
          <cell r="A24">
            <v>1781638</v>
          </cell>
          <cell r="B24">
            <v>578242</v>
          </cell>
          <cell r="C24">
            <v>156595</v>
          </cell>
        </row>
        <row r="46">
          <cell r="F46">
            <v>75.506100000000004</v>
          </cell>
        </row>
        <row r="47">
          <cell r="F47">
            <v>73.621099999999998</v>
          </cell>
        </row>
        <row r="48">
          <cell r="F48">
            <v>79.626000000000005</v>
          </cell>
        </row>
        <row r="49">
          <cell r="F49">
            <v>81.739900000000006</v>
          </cell>
        </row>
        <row r="50">
          <cell r="F50">
            <v>73.978499999999997</v>
          </cell>
        </row>
        <row r="51">
          <cell r="F51">
            <v>76.955600000000004</v>
          </cell>
        </row>
        <row r="52">
          <cell r="F52">
            <v>73.843400000000003</v>
          </cell>
        </row>
        <row r="53">
          <cell r="F53">
            <v>76.019900000000007</v>
          </cell>
        </row>
        <row r="54">
          <cell r="F54">
            <v>81.441199999999995</v>
          </cell>
        </row>
        <row r="55">
          <cell r="F55">
            <v>73.171199999999999</v>
          </cell>
        </row>
        <row r="56">
          <cell r="F56">
            <v>79.723500000000001</v>
          </cell>
        </row>
        <row r="57">
          <cell r="F57">
            <v>81.7774</v>
          </cell>
        </row>
        <row r="80">
          <cell r="G80">
            <v>2253.36</v>
          </cell>
        </row>
        <row r="81">
          <cell r="G81">
            <v>2465.152</v>
          </cell>
        </row>
        <row r="82">
          <cell r="G82">
            <v>1260.3599999999999</v>
          </cell>
        </row>
        <row r="83">
          <cell r="G83">
            <v>3510.6840000000002</v>
          </cell>
        </row>
        <row r="84">
          <cell r="G84">
            <v>2612.9720000000002</v>
          </cell>
        </row>
        <row r="85">
          <cell r="G85">
            <v>1912.14</v>
          </cell>
        </row>
        <row r="86">
          <cell r="G86">
            <v>2617.0120000000002</v>
          </cell>
        </row>
        <row r="87">
          <cell r="G87">
            <v>720.93200000000002</v>
          </cell>
        </row>
        <row r="88">
          <cell r="G88">
            <v>3988.14</v>
          </cell>
        </row>
        <row r="89">
          <cell r="G89">
            <v>2157.7159999999999</v>
          </cell>
        </row>
        <row r="90">
          <cell r="G90">
            <v>1274.9359999999999</v>
          </cell>
        </row>
        <row r="91">
          <cell r="G91">
            <v>3450.8760000000002</v>
          </cell>
        </row>
        <row r="108">
          <cell r="C108">
            <v>0.94639963040497599</v>
          </cell>
          <cell r="D108">
            <v>0.92441108373775405</v>
          </cell>
          <cell r="E108">
            <v>0.93813819701523338</v>
          </cell>
        </row>
        <row r="117">
          <cell r="D117">
            <v>36.497700000000002</v>
          </cell>
        </row>
        <row r="118">
          <cell r="D118">
            <v>38.9938</v>
          </cell>
        </row>
        <row r="119">
          <cell r="D119">
            <v>32.350299999999997</v>
          </cell>
        </row>
        <row r="141">
          <cell r="D141">
            <v>103573</v>
          </cell>
          <cell r="H141">
            <v>13025.64</v>
          </cell>
        </row>
        <row r="142">
          <cell r="D142">
            <v>100814</v>
          </cell>
          <cell r="H142">
            <v>13064.88</v>
          </cell>
        </row>
        <row r="143">
          <cell r="D143">
            <v>2759</v>
          </cell>
          <cell r="H143">
            <v>11590.72</v>
          </cell>
        </row>
        <row r="144">
          <cell r="D144">
            <v>72733</v>
          </cell>
          <cell r="H144">
            <v>12813.24</v>
          </cell>
        </row>
        <row r="145">
          <cell r="D145">
            <v>30840</v>
          </cell>
          <cell r="H145">
            <v>13526.48</v>
          </cell>
        </row>
        <row r="146">
          <cell r="D146">
            <v>71185</v>
          </cell>
          <cell r="H146">
            <v>12851.52</v>
          </cell>
        </row>
        <row r="147">
          <cell r="D147">
            <v>1548</v>
          </cell>
          <cell r="H147">
            <v>11053.44</v>
          </cell>
        </row>
        <row r="148">
          <cell r="D148">
            <v>29629</v>
          </cell>
          <cell r="H148">
            <v>13577.52</v>
          </cell>
        </row>
        <row r="149">
          <cell r="D149">
            <v>1211</v>
          </cell>
          <cell r="H149">
            <v>12277.48</v>
          </cell>
        </row>
        <row r="159">
          <cell r="A159">
            <v>6046</v>
          </cell>
          <cell r="B159">
            <v>527978</v>
          </cell>
          <cell r="C159">
            <v>8</v>
          </cell>
          <cell r="D159">
            <v>525</v>
          </cell>
          <cell r="E159">
            <v>4999</v>
          </cell>
          <cell r="F159">
            <v>3130</v>
          </cell>
          <cell r="G159">
            <v>4588</v>
          </cell>
        </row>
        <row r="169">
          <cell r="A169">
            <v>29</v>
          </cell>
          <cell r="B169">
            <v>635314</v>
          </cell>
          <cell r="C169">
            <v>101</v>
          </cell>
          <cell r="D169">
            <v>223</v>
          </cell>
          <cell r="E169">
            <v>3316</v>
          </cell>
          <cell r="F169">
            <v>1553</v>
          </cell>
          <cell r="G169">
            <v>1174</v>
          </cell>
        </row>
        <row r="179">
          <cell r="A179">
            <v>6075</v>
          </cell>
          <cell r="B179">
            <v>1163292</v>
          </cell>
          <cell r="C179">
            <v>109</v>
          </cell>
          <cell r="D179">
            <v>748</v>
          </cell>
          <cell r="E179">
            <v>8315</v>
          </cell>
          <cell r="F179">
            <v>4683</v>
          </cell>
          <cell r="G179">
            <v>5762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7_2T"/>
    </sheetNames>
    <sheetDataSet>
      <sheetData sheetId="0">
        <row r="4">
          <cell r="A4">
            <v>1192271</v>
          </cell>
          <cell r="B4">
            <v>15305</v>
          </cell>
          <cell r="C4">
            <v>17380</v>
          </cell>
        </row>
        <row r="14">
          <cell r="A14">
            <v>592899</v>
          </cell>
          <cell r="B14">
            <v>560811</v>
          </cell>
          <cell r="C14">
            <v>138424</v>
          </cell>
        </row>
        <row r="24">
          <cell r="A24">
            <v>1785170</v>
          </cell>
          <cell r="B24">
            <v>576116</v>
          </cell>
          <cell r="C24">
            <v>155804</v>
          </cell>
        </row>
        <row r="46">
          <cell r="F46">
            <v>75.523300000000006</v>
          </cell>
        </row>
        <row r="47">
          <cell r="F47">
            <v>73.63</v>
          </cell>
        </row>
        <row r="48">
          <cell r="F48">
            <v>79.694800000000001</v>
          </cell>
        </row>
        <row r="49">
          <cell r="F49">
            <v>81.791899999999998</v>
          </cell>
        </row>
        <row r="50">
          <cell r="F50">
            <v>73.989599999999996</v>
          </cell>
        </row>
        <row r="51">
          <cell r="F51">
            <v>76.9773</v>
          </cell>
        </row>
        <row r="52">
          <cell r="F52">
            <v>73.852900000000005</v>
          </cell>
        </row>
        <row r="53">
          <cell r="F53">
            <v>76.119799999999998</v>
          </cell>
        </row>
        <row r="54">
          <cell r="F54">
            <v>81.493799999999993</v>
          </cell>
        </row>
        <row r="55">
          <cell r="F55">
            <v>73.181799999999996</v>
          </cell>
        </row>
        <row r="56">
          <cell r="F56">
            <v>79.792299999999997</v>
          </cell>
        </row>
        <row r="57">
          <cell r="F57">
            <v>81.829300000000003</v>
          </cell>
        </row>
        <row r="80">
          <cell r="G80">
            <v>2251.1840000000002</v>
          </cell>
        </row>
        <row r="81">
          <cell r="G81">
            <v>2464.404</v>
          </cell>
        </row>
        <row r="82">
          <cell r="G82">
            <v>1253.568</v>
          </cell>
        </row>
        <row r="83">
          <cell r="G83">
            <v>3497.26</v>
          </cell>
        </row>
        <row r="84">
          <cell r="G84">
            <v>2611.288</v>
          </cell>
        </row>
        <row r="85">
          <cell r="G85">
            <v>1909.7919999999999</v>
          </cell>
        </row>
        <row r="86">
          <cell r="G86">
            <v>2616.056</v>
          </cell>
        </row>
        <row r="87">
          <cell r="G87">
            <v>711.67200000000003</v>
          </cell>
        </row>
        <row r="88">
          <cell r="G88">
            <v>3957.2359999999999</v>
          </cell>
        </row>
        <row r="89">
          <cell r="G89">
            <v>2159.44</v>
          </cell>
        </row>
        <row r="90">
          <cell r="G90">
            <v>1268.356</v>
          </cell>
        </row>
        <row r="91">
          <cell r="G91">
            <v>3439.5</v>
          </cell>
        </row>
        <row r="108">
          <cell r="C108">
            <v>0.94758497198326108</v>
          </cell>
          <cell r="D108">
            <v>0.92654827200960499</v>
          </cell>
          <cell r="E108">
            <v>0.93965893441089954</v>
          </cell>
        </row>
        <row r="117">
          <cell r="D117">
            <v>36.450899999999997</v>
          </cell>
        </row>
        <row r="118">
          <cell r="D118">
            <v>38.921799999999998</v>
          </cell>
        </row>
        <row r="119">
          <cell r="D119">
            <v>32.363700000000001</v>
          </cell>
        </row>
        <row r="141">
          <cell r="D141">
            <v>104344</v>
          </cell>
          <cell r="H141">
            <v>13051.92</v>
          </cell>
        </row>
        <row r="142">
          <cell r="D142">
            <v>101594</v>
          </cell>
          <cell r="H142">
            <v>13091.52</v>
          </cell>
        </row>
        <row r="143">
          <cell r="D143">
            <v>2750</v>
          </cell>
          <cell r="H143">
            <v>11589.8</v>
          </cell>
        </row>
        <row r="144">
          <cell r="D144">
            <v>73072</v>
          </cell>
          <cell r="H144">
            <v>12844.44</v>
          </cell>
        </row>
        <row r="145">
          <cell r="D145">
            <v>31272</v>
          </cell>
          <cell r="H145">
            <v>13536.8</v>
          </cell>
        </row>
        <row r="146">
          <cell r="D146">
            <v>71544</v>
          </cell>
          <cell r="H146">
            <v>12882.68</v>
          </cell>
        </row>
        <row r="147">
          <cell r="D147">
            <v>1528</v>
          </cell>
          <cell r="H147">
            <v>11053.84</v>
          </cell>
        </row>
        <row r="148">
          <cell r="D148">
            <v>30050</v>
          </cell>
          <cell r="H148">
            <v>13588.72</v>
          </cell>
        </row>
        <row r="149">
          <cell r="D149">
            <v>1222</v>
          </cell>
          <cell r="H149">
            <v>12260</v>
          </cell>
        </row>
        <row r="159">
          <cell r="A159">
            <v>5848</v>
          </cell>
          <cell r="B159">
            <v>526121</v>
          </cell>
          <cell r="C159">
            <v>9</v>
          </cell>
          <cell r="D159">
            <v>520</v>
          </cell>
          <cell r="E159">
            <v>4840</v>
          </cell>
          <cell r="F159">
            <v>3053</v>
          </cell>
          <cell r="G159">
            <v>4635</v>
          </cell>
        </row>
        <row r="169">
          <cell r="A169">
            <v>28</v>
          </cell>
          <cell r="B169">
            <v>633889</v>
          </cell>
          <cell r="C169">
            <v>101</v>
          </cell>
          <cell r="D169">
            <v>222</v>
          </cell>
          <cell r="E169">
            <v>3220</v>
          </cell>
          <cell r="F169">
            <v>1520</v>
          </cell>
          <cell r="G169">
            <v>1174</v>
          </cell>
        </row>
        <row r="179">
          <cell r="A179">
            <v>5876</v>
          </cell>
          <cell r="B179">
            <v>1160010</v>
          </cell>
          <cell r="C179">
            <v>110</v>
          </cell>
          <cell r="D179">
            <v>742</v>
          </cell>
          <cell r="E179">
            <v>8060</v>
          </cell>
          <cell r="F179">
            <v>4573</v>
          </cell>
          <cell r="G179">
            <v>5809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7_3T"/>
    </sheetNames>
    <sheetDataSet>
      <sheetData sheetId="0">
        <row r="4">
          <cell r="A4">
            <v>1189037</v>
          </cell>
          <cell r="B4">
            <v>15435</v>
          </cell>
          <cell r="C4">
            <v>17363</v>
          </cell>
        </row>
        <row r="14">
          <cell r="A14">
            <v>594387</v>
          </cell>
          <cell r="B14">
            <v>559164</v>
          </cell>
          <cell r="C14">
            <v>137974</v>
          </cell>
        </row>
        <row r="24">
          <cell r="A24">
            <v>1783424</v>
          </cell>
          <cell r="B24">
            <v>574599</v>
          </cell>
          <cell r="C24">
            <v>155337</v>
          </cell>
        </row>
        <row r="46">
          <cell r="F46">
            <v>75.573999999999998</v>
          </cell>
        </row>
        <row r="47">
          <cell r="F47">
            <v>73.676500000000004</v>
          </cell>
        </row>
        <row r="48">
          <cell r="F48">
            <v>79.766400000000004</v>
          </cell>
        </row>
        <row r="49">
          <cell r="F49">
            <v>81.852400000000003</v>
          </cell>
        </row>
        <row r="50">
          <cell r="F50">
            <v>74.031499999999994</v>
          </cell>
        </row>
        <row r="51">
          <cell r="F51">
            <v>77.033299999999997</v>
          </cell>
        </row>
        <row r="52">
          <cell r="F52">
            <v>73.893799999999999</v>
          </cell>
        </row>
        <row r="53">
          <cell r="F53">
            <v>76.173000000000002</v>
          </cell>
        </row>
        <row r="54">
          <cell r="F54">
            <v>81.558099999999996</v>
          </cell>
        </row>
        <row r="55">
          <cell r="F55">
            <v>73.241699999999994</v>
          </cell>
        </row>
        <row r="56">
          <cell r="F56">
            <v>79.865600000000001</v>
          </cell>
        </row>
        <row r="57">
          <cell r="F57">
            <v>81.889399999999995</v>
          </cell>
        </row>
        <row r="80">
          <cell r="G80">
            <v>2261.7840000000001</v>
          </cell>
        </row>
        <row r="81">
          <cell r="G81">
            <v>2481.7399999999998</v>
          </cell>
        </row>
        <row r="82">
          <cell r="G82">
            <v>1248.068</v>
          </cell>
        </row>
        <row r="83">
          <cell r="G83">
            <v>3486.4279999999999</v>
          </cell>
        </row>
        <row r="84">
          <cell r="G84">
            <v>2627.1039999999998</v>
          </cell>
        </row>
        <row r="85">
          <cell r="G85">
            <v>1916.1679999999999</v>
          </cell>
        </row>
        <row r="86">
          <cell r="G86">
            <v>2632.8919999999998</v>
          </cell>
        </row>
        <row r="87">
          <cell r="G87">
            <v>708.92</v>
          </cell>
        </row>
        <row r="88">
          <cell r="G88">
            <v>3935.7640000000001</v>
          </cell>
        </row>
        <row r="89">
          <cell r="G89">
            <v>2179.36</v>
          </cell>
        </row>
        <row r="90">
          <cell r="G90">
            <v>1262.952</v>
          </cell>
        </row>
        <row r="91">
          <cell r="G91">
            <v>3429.8760000000002</v>
          </cell>
        </row>
        <row r="108">
          <cell r="C108">
            <v>0.94808103582619074</v>
          </cell>
          <cell r="D108">
            <v>0.92788701160553466</v>
          </cell>
          <cell r="E108">
            <v>0.94045297294118801</v>
          </cell>
        </row>
        <row r="117">
          <cell r="D117">
            <v>36.632800000000003</v>
          </cell>
        </row>
        <row r="118">
          <cell r="D118">
            <v>39.0871</v>
          </cell>
        </row>
        <row r="119">
          <cell r="D119">
            <v>32.5899</v>
          </cell>
        </row>
        <row r="141">
          <cell r="D141">
            <v>104450</v>
          </cell>
          <cell r="H141">
            <v>13073.64</v>
          </cell>
        </row>
        <row r="142">
          <cell r="D142">
            <v>101727</v>
          </cell>
          <cell r="H142">
            <v>13113.6</v>
          </cell>
        </row>
        <row r="143">
          <cell r="D143">
            <v>2723</v>
          </cell>
          <cell r="H143">
            <v>11581.52</v>
          </cell>
        </row>
        <row r="144">
          <cell r="D144">
            <v>73026</v>
          </cell>
          <cell r="H144">
            <v>12870.36</v>
          </cell>
        </row>
        <row r="145">
          <cell r="D145">
            <v>31424</v>
          </cell>
          <cell r="H145">
            <v>13546.08</v>
          </cell>
        </row>
        <row r="146">
          <cell r="D146">
            <v>71520</v>
          </cell>
          <cell r="H146">
            <v>12908.64</v>
          </cell>
        </row>
        <row r="147">
          <cell r="D147">
            <v>1506</v>
          </cell>
          <cell r="H147">
            <v>11051.8</v>
          </cell>
        </row>
        <row r="148">
          <cell r="D148">
            <v>30207</v>
          </cell>
          <cell r="H148">
            <v>13598.84</v>
          </cell>
        </row>
        <row r="149">
          <cell r="D149">
            <v>1217</v>
          </cell>
          <cell r="H149">
            <v>12237.04</v>
          </cell>
        </row>
        <row r="159">
          <cell r="A159">
            <v>5659</v>
          </cell>
          <cell r="B159">
            <v>523447</v>
          </cell>
          <cell r="C159">
            <v>9</v>
          </cell>
          <cell r="D159">
            <v>518</v>
          </cell>
          <cell r="E159">
            <v>4728</v>
          </cell>
          <cell r="F159">
            <v>2955</v>
          </cell>
          <cell r="G159">
            <v>4656</v>
          </cell>
        </row>
        <row r="169">
          <cell r="A169">
            <v>28</v>
          </cell>
          <cell r="B169">
            <v>632236</v>
          </cell>
          <cell r="C169">
            <v>108</v>
          </cell>
          <cell r="D169">
            <v>222</v>
          </cell>
          <cell r="E169">
            <v>3144</v>
          </cell>
          <cell r="F169">
            <v>1469</v>
          </cell>
          <cell r="G169">
            <v>1191</v>
          </cell>
        </row>
        <row r="179">
          <cell r="A179">
            <v>5687</v>
          </cell>
          <cell r="B179">
            <v>1155683</v>
          </cell>
          <cell r="C179">
            <v>117</v>
          </cell>
          <cell r="D179">
            <v>740</v>
          </cell>
          <cell r="E179">
            <v>7872</v>
          </cell>
          <cell r="F179">
            <v>4424</v>
          </cell>
          <cell r="G179">
            <v>5847</v>
          </cell>
        </row>
        <row r="189">
          <cell r="C189">
            <v>46147</v>
          </cell>
        </row>
        <row r="199">
          <cell r="C199">
            <v>34.910400000000003</v>
          </cell>
          <cell r="E199">
            <v>2421.2080000000001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7_4T"/>
    </sheetNames>
    <sheetDataSet>
      <sheetData sheetId="0">
        <row r="4">
          <cell r="A4">
            <v>1185096</v>
          </cell>
          <cell r="B4">
            <v>15633</v>
          </cell>
          <cell r="C4">
            <v>17386</v>
          </cell>
        </row>
        <row r="14">
          <cell r="A14">
            <v>594776</v>
          </cell>
          <cell r="B14">
            <v>558875</v>
          </cell>
          <cell r="C14">
            <v>137717</v>
          </cell>
        </row>
        <row r="24">
          <cell r="A24">
            <v>1779872</v>
          </cell>
          <cell r="B24">
            <v>574508</v>
          </cell>
          <cell r="C24">
            <v>155103</v>
          </cell>
        </row>
        <row r="46">
          <cell r="F46">
            <v>75.631900000000002</v>
          </cell>
        </row>
        <row r="47">
          <cell r="F47">
            <v>73.734200000000001</v>
          </cell>
        </row>
        <row r="48">
          <cell r="F48">
            <v>79.819900000000004</v>
          </cell>
        </row>
        <row r="49">
          <cell r="F49">
            <v>81.896299999999997</v>
          </cell>
        </row>
        <row r="50">
          <cell r="F50">
            <v>74.084999999999994</v>
          </cell>
        </row>
        <row r="51">
          <cell r="F51">
            <v>77.090999999999994</v>
          </cell>
        </row>
        <row r="52">
          <cell r="F52">
            <v>73.946299999999994</v>
          </cell>
        </row>
        <row r="53">
          <cell r="F53">
            <v>76.230800000000002</v>
          </cell>
        </row>
        <row r="54">
          <cell r="F54">
            <v>81.6126</v>
          </cell>
        </row>
        <row r="55">
          <cell r="F55">
            <v>73.311599999999999</v>
          </cell>
        </row>
        <row r="56">
          <cell r="F56">
            <v>79.920299999999997</v>
          </cell>
        </row>
        <row r="57">
          <cell r="F57">
            <v>81.932100000000005</v>
          </cell>
        </row>
        <row r="80">
          <cell r="G80">
            <v>2290.0839999999998</v>
          </cell>
        </row>
        <row r="81">
          <cell r="G81">
            <v>2519.808</v>
          </cell>
        </row>
        <row r="82">
          <cell r="G82">
            <v>1250.8240000000001</v>
          </cell>
        </row>
        <row r="83">
          <cell r="G83">
            <v>3503.576</v>
          </cell>
        </row>
        <row r="84">
          <cell r="G84">
            <v>2664.46</v>
          </cell>
        </row>
        <row r="85">
          <cell r="G85">
            <v>1936.94</v>
          </cell>
        </row>
        <row r="86">
          <cell r="G86">
            <v>2671.32</v>
          </cell>
        </row>
        <row r="87">
          <cell r="G87">
            <v>715.3</v>
          </cell>
        </row>
        <row r="88">
          <cell r="G88">
            <v>3949.5279999999998</v>
          </cell>
        </row>
        <row r="89">
          <cell r="G89">
            <v>2217.9119999999998</v>
          </cell>
        </row>
        <row r="90">
          <cell r="G90">
            <v>1265.8</v>
          </cell>
        </row>
        <row r="91">
          <cell r="G91">
            <v>3447.268</v>
          </cell>
        </row>
        <row r="108">
          <cell r="C108">
            <v>0.94841009793224584</v>
          </cell>
          <cell r="D108">
            <v>0.92888583068471009</v>
          </cell>
          <cell r="E108">
            <v>0.94101926694643712</v>
          </cell>
        </row>
        <row r="117">
          <cell r="D117">
            <v>36.877699999999997</v>
          </cell>
        </row>
        <row r="118">
          <cell r="D118">
            <v>39.305300000000003</v>
          </cell>
        </row>
        <row r="119">
          <cell r="D119">
            <v>32.892299999999999</v>
          </cell>
        </row>
        <row r="141">
          <cell r="D141">
            <v>104393</v>
          </cell>
          <cell r="H141">
            <v>13192.96</v>
          </cell>
        </row>
        <row r="142">
          <cell r="D142">
            <v>101694</v>
          </cell>
          <cell r="H142">
            <v>13232.96</v>
          </cell>
        </row>
        <row r="143">
          <cell r="D143">
            <v>2699</v>
          </cell>
          <cell r="H143">
            <v>11684.48</v>
          </cell>
        </row>
        <row r="144">
          <cell r="D144">
            <v>72911</v>
          </cell>
          <cell r="H144">
            <v>12989.96</v>
          </cell>
        </row>
        <row r="145">
          <cell r="D145">
            <v>31482</v>
          </cell>
          <cell r="H145">
            <v>13663</v>
          </cell>
        </row>
        <row r="146">
          <cell r="D146">
            <v>71415</v>
          </cell>
          <cell r="H146">
            <v>13028.08</v>
          </cell>
        </row>
        <row r="147">
          <cell r="D147">
            <v>1496</v>
          </cell>
          <cell r="H147">
            <v>11171.76</v>
          </cell>
        </row>
        <row r="148">
          <cell r="D148">
            <v>30279</v>
          </cell>
          <cell r="H148">
            <v>13716.28</v>
          </cell>
        </row>
        <row r="149">
          <cell r="D149">
            <v>1203</v>
          </cell>
          <cell r="H149">
            <v>12322.08</v>
          </cell>
        </row>
        <row r="159">
          <cell r="A159">
            <v>5409</v>
          </cell>
          <cell r="B159">
            <v>520763</v>
          </cell>
          <cell r="C159">
            <v>7</v>
          </cell>
          <cell r="D159">
            <v>515</v>
          </cell>
          <cell r="E159">
            <v>4580</v>
          </cell>
          <cell r="F159">
            <v>2859</v>
          </cell>
          <cell r="G159">
            <v>4753</v>
          </cell>
        </row>
        <row r="169">
          <cell r="A169">
            <v>25</v>
          </cell>
          <cell r="B169">
            <v>631009</v>
          </cell>
          <cell r="C169">
            <v>79</v>
          </cell>
          <cell r="D169">
            <v>230</v>
          </cell>
          <cell r="E169">
            <v>3067</v>
          </cell>
          <cell r="F169">
            <v>1443</v>
          </cell>
          <cell r="G169">
            <v>1235</v>
          </cell>
        </row>
        <row r="179">
          <cell r="A179">
            <v>5434</v>
          </cell>
          <cell r="B179">
            <v>1151772</v>
          </cell>
          <cell r="C179">
            <v>86</v>
          </cell>
          <cell r="D179">
            <v>745</v>
          </cell>
          <cell r="E179">
            <v>7647</v>
          </cell>
          <cell r="F179">
            <v>4302</v>
          </cell>
          <cell r="G179">
            <v>5988</v>
          </cell>
        </row>
        <row r="189">
          <cell r="C189">
            <v>42991</v>
          </cell>
        </row>
        <row r="199">
          <cell r="C199">
            <v>35.139800000000001</v>
          </cell>
          <cell r="E199">
            <v>2456.98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8_1T"/>
    </sheetNames>
    <sheetDataSet>
      <sheetData sheetId="0">
        <row r="4">
          <cell r="A4">
            <v>1179119</v>
          </cell>
          <cell r="B4">
            <v>15621</v>
          </cell>
          <cell r="C4">
            <v>17257</v>
          </cell>
        </row>
        <row r="14">
          <cell r="A14">
            <v>594643</v>
          </cell>
          <cell r="B14">
            <v>555775</v>
          </cell>
          <cell r="C14">
            <v>136801</v>
          </cell>
        </row>
        <row r="24">
          <cell r="A24">
            <v>1773762</v>
          </cell>
          <cell r="B24">
            <v>571396</v>
          </cell>
          <cell r="C24">
            <v>154058</v>
          </cell>
        </row>
        <row r="46">
          <cell r="F46">
            <v>75.705200000000005</v>
          </cell>
        </row>
        <row r="47">
          <cell r="F47">
            <v>73.810500000000005</v>
          </cell>
        </row>
        <row r="48">
          <cell r="F48">
            <v>79.904300000000006</v>
          </cell>
        </row>
        <row r="49">
          <cell r="F49">
            <v>81.945999999999998</v>
          </cell>
        </row>
        <row r="50">
          <cell r="F50">
            <v>74.164699999999996</v>
          </cell>
        </row>
        <row r="51">
          <cell r="F51">
            <v>77.155699999999996</v>
          </cell>
        </row>
        <row r="52">
          <cell r="F52">
            <v>74.026300000000006</v>
          </cell>
        </row>
        <row r="53">
          <cell r="F53">
            <v>76.326499999999996</v>
          </cell>
        </row>
        <row r="54">
          <cell r="F54">
            <v>81.663200000000003</v>
          </cell>
        </row>
        <row r="55">
          <cell r="F55">
            <v>73.3827</v>
          </cell>
        </row>
        <row r="56">
          <cell r="F56">
            <v>80.004900000000006</v>
          </cell>
        </row>
        <row r="57">
          <cell r="F57">
            <v>81.981700000000004</v>
          </cell>
        </row>
        <row r="80">
          <cell r="F80">
            <v>577.02</v>
          </cell>
        </row>
        <row r="81">
          <cell r="F81">
            <v>636.83399999999995</v>
          </cell>
        </row>
        <row r="82">
          <cell r="F82">
            <v>311.43099999999998</v>
          </cell>
        </row>
        <row r="83">
          <cell r="F83">
            <v>873.45799999999997</v>
          </cell>
        </row>
        <row r="84">
          <cell r="F84">
            <v>672.21699999999998</v>
          </cell>
        </row>
        <row r="85">
          <cell r="F85">
            <v>487.38400000000001</v>
          </cell>
        </row>
        <row r="86">
          <cell r="F86">
            <v>674.25400000000002</v>
          </cell>
        </row>
        <row r="87">
          <cell r="F87">
            <v>178.779</v>
          </cell>
        </row>
        <row r="88">
          <cell r="F88">
            <v>979.74599999999998</v>
          </cell>
        </row>
        <row r="89">
          <cell r="F89">
            <v>562.63300000000004</v>
          </cell>
        </row>
        <row r="90">
          <cell r="F90">
            <v>315.15899999999999</v>
          </cell>
        </row>
        <row r="91">
          <cell r="F91">
            <v>860.048</v>
          </cell>
        </row>
        <row r="106">
          <cell r="D106">
            <v>1134764</v>
          </cell>
          <cell r="E106">
            <v>680170</v>
          </cell>
          <cell r="F106">
            <v>1814934</v>
          </cell>
        </row>
        <row r="107">
          <cell r="D107">
            <v>1196360</v>
          </cell>
          <cell r="E107">
            <v>731401</v>
          </cell>
          <cell r="F107">
            <v>1927761</v>
          </cell>
        </row>
        <row r="117">
          <cell r="D117">
            <v>37.231499999999997</v>
          </cell>
        </row>
        <row r="118">
          <cell r="D118">
            <v>39.609400000000001</v>
          </cell>
        </row>
        <row r="119">
          <cell r="D119">
            <v>33.342100000000002</v>
          </cell>
        </row>
        <row r="141">
          <cell r="D141">
            <v>104236</v>
          </cell>
          <cell r="G141">
            <v>3304.24</v>
          </cell>
        </row>
        <row r="142">
          <cell r="D142">
            <v>101563</v>
          </cell>
          <cell r="G142">
            <v>3314.21</v>
          </cell>
        </row>
        <row r="143">
          <cell r="D143">
            <v>2673</v>
          </cell>
          <cell r="G143">
            <v>2925.42</v>
          </cell>
        </row>
        <row r="144">
          <cell r="D144">
            <v>72674</v>
          </cell>
          <cell r="G144">
            <v>3253.73</v>
          </cell>
        </row>
        <row r="145">
          <cell r="D145">
            <v>31562</v>
          </cell>
          <cell r="G145">
            <v>3420.54</v>
          </cell>
        </row>
        <row r="146">
          <cell r="D146">
            <v>71208</v>
          </cell>
          <cell r="G146">
            <v>3263.26</v>
          </cell>
        </row>
        <row r="147">
          <cell r="D147">
            <v>1466</v>
          </cell>
          <cell r="G147">
            <v>2790.55</v>
          </cell>
        </row>
        <row r="148">
          <cell r="D148">
            <v>30355</v>
          </cell>
          <cell r="G148">
            <v>3433.72</v>
          </cell>
        </row>
        <row r="149">
          <cell r="D149">
            <v>1207</v>
          </cell>
          <cell r="G149">
            <v>3089.23</v>
          </cell>
        </row>
        <row r="159">
          <cell r="A159">
            <v>5300</v>
          </cell>
          <cell r="B159">
            <v>517161</v>
          </cell>
          <cell r="C159">
            <v>9</v>
          </cell>
          <cell r="D159">
            <v>503</v>
          </cell>
          <cell r="E159">
            <v>4416</v>
          </cell>
          <cell r="F159">
            <v>2787</v>
          </cell>
          <cell r="G159">
            <v>4884</v>
          </cell>
        </row>
        <row r="169">
          <cell r="A169">
            <v>24</v>
          </cell>
          <cell r="B169">
            <v>627697</v>
          </cell>
          <cell r="C169">
            <v>82</v>
          </cell>
          <cell r="D169">
            <v>231</v>
          </cell>
          <cell r="E169">
            <v>2944</v>
          </cell>
          <cell r="F169">
            <v>1406</v>
          </cell>
          <cell r="G169">
            <v>1285</v>
          </cell>
        </row>
        <row r="179">
          <cell r="A179">
            <v>5324</v>
          </cell>
          <cell r="B179">
            <v>1144858</v>
          </cell>
          <cell r="C179">
            <v>91</v>
          </cell>
          <cell r="D179">
            <v>734</v>
          </cell>
          <cell r="E179">
            <v>7360</v>
          </cell>
          <cell r="F179">
            <v>4193</v>
          </cell>
          <cell r="G179">
            <v>6169</v>
          </cell>
        </row>
        <row r="189">
          <cell r="C189">
            <v>40358</v>
          </cell>
        </row>
        <row r="199">
          <cell r="C199">
            <v>35.459699999999998</v>
          </cell>
          <cell r="D199">
            <v>620.16499999999996</v>
          </cell>
        </row>
        <row r="209">
          <cell r="D209">
            <v>655.60299999999995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8_2T"/>
    </sheetNames>
    <sheetDataSet>
      <sheetData sheetId="0">
        <row r="4">
          <cell r="A4">
            <v>1170677</v>
          </cell>
          <cell r="B4">
            <v>15660</v>
          </cell>
          <cell r="C4">
            <v>17069</v>
          </cell>
        </row>
        <row r="14">
          <cell r="A14">
            <v>593771</v>
          </cell>
          <cell r="B14">
            <v>551916</v>
          </cell>
          <cell r="C14">
            <v>135581</v>
          </cell>
        </row>
        <row r="24">
          <cell r="A24">
            <v>1764448</v>
          </cell>
          <cell r="B24">
            <v>567576</v>
          </cell>
          <cell r="C24">
            <v>152650</v>
          </cell>
        </row>
        <row r="46">
          <cell r="F46">
            <v>75.7684</v>
          </cell>
        </row>
        <row r="47">
          <cell r="F47">
            <v>73.882999999999996</v>
          </cell>
        </row>
        <row r="48">
          <cell r="F48">
            <v>79.953199999999995</v>
          </cell>
        </row>
        <row r="49">
          <cell r="F49">
            <v>82.001199999999997</v>
          </cell>
        </row>
        <row r="50">
          <cell r="F50">
            <v>74.2316</v>
          </cell>
        </row>
        <row r="51">
          <cell r="F51">
            <v>77.211799999999997</v>
          </cell>
        </row>
        <row r="52">
          <cell r="F52">
            <v>74.093800000000002</v>
          </cell>
        </row>
        <row r="53">
          <cell r="F53">
            <v>76.381500000000003</v>
          </cell>
        </row>
        <row r="54">
          <cell r="F54">
            <v>81.705399999999997</v>
          </cell>
        </row>
        <row r="55">
          <cell r="F55">
            <v>73.467399999999998</v>
          </cell>
        </row>
        <row r="56">
          <cell r="F56">
            <v>80.054599999999994</v>
          </cell>
        </row>
        <row r="57">
          <cell r="F57">
            <v>82.038399999999996</v>
          </cell>
        </row>
        <row r="80">
          <cell r="F80">
            <v>581.14099999999996</v>
          </cell>
        </row>
        <row r="81">
          <cell r="F81">
            <v>643.27200000000005</v>
          </cell>
        </row>
        <row r="82">
          <cell r="F82">
            <v>309.92500000000001</v>
          </cell>
        </row>
        <row r="83">
          <cell r="F83">
            <v>871.45600000000002</v>
          </cell>
        </row>
        <row r="84">
          <cell r="F84">
            <v>678.32500000000005</v>
          </cell>
        </row>
        <row r="85">
          <cell r="F85">
            <v>489.86099999999999</v>
          </cell>
        </row>
        <row r="86">
          <cell r="F86">
            <v>680.70600000000002</v>
          </cell>
        </row>
        <row r="87">
          <cell r="F87">
            <v>179.34200000000001</v>
          </cell>
        </row>
        <row r="88">
          <cell r="F88">
            <v>972.79</v>
          </cell>
        </row>
        <row r="89">
          <cell r="F89">
            <v>569.46500000000003</v>
          </cell>
        </row>
        <row r="90">
          <cell r="F90">
            <v>313.63</v>
          </cell>
        </row>
        <row r="91">
          <cell r="F91">
            <v>858.69600000000003</v>
          </cell>
        </row>
        <row r="106">
          <cell r="D106">
            <v>1126883</v>
          </cell>
          <cell r="E106">
            <v>678851</v>
          </cell>
          <cell r="F106">
            <v>1805734</v>
          </cell>
        </row>
        <row r="107">
          <cell r="D107">
            <v>1187728</v>
          </cell>
          <cell r="E107">
            <v>729311</v>
          </cell>
          <cell r="F107">
            <v>1917039</v>
          </cell>
        </row>
        <row r="117">
          <cell r="D117">
            <v>37.512599999999999</v>
          </cell>
        </row>
        <row r="118">
          <cell r="D118">
            <v>39.853299999999997</v>
          </cell>
        </row>
        <row r="119">
          <cell r="D119">
            <v>33.700499999999998</v>
          </cell>
        </row>
        <row r="141">
          <cell r="D141">
            <v>103898</v>
          </cell>
          <cell r="G141">
            <v>3310.33</v>
          </cell>
        </row>
        <row r="142">
          <cell r="D142">
            <v>101261</v>
          </cell>
          <cell r="G142">
            <v>3320.43</v>
          </cell>
        </row>
        <row r="143">
          <cell r="D143">
            <v>2637</v>
          </cell>
          <cell r="G143">
            <v>2922.57</v>
          </cell>
        </row>
        <row r="144">
          <cell r="D144">
            <v>72308</v>
          </cell>
          <cell r="G144">
            <v>3261.3</v>
          </cell>
        </row>
        <row r="145">
          <cell r="D145">
            <v>31590</v>
          </cell>
          <cell r="G145">
            <v>3422.56</v>
          </cell>
        </row>
        <row r="146">
          <cell r="D146">
            <v>70880</v>
          </cell>
          <cell r="G146">
            <v>3270.91</v>
          </cell>
        </row>
        <row r="147">
          <cell r="D147">
            <v>1428</v>
          </cell>
          <cell r="G147">
            <v>2784.5</v>
          </cell>
        </row>
        <row r="148">
          <cell r="D148">
            <v>30381</v>
          </cell>
          <cell r="G148">
            <v>3435.97</v>
          </cell>
        </row>
        <row r="149">
          <cell r="D149">
            <v>1209</v>
          </cell>
          <cell r="G149">
            <v>3085.64</v>
          </cell>
        </row>
        <row r="159">
          <cell r="A159">
            <v>5095</v>
          </cell>
          <cell r="B159">
            <v>512255</v>
          </cell>
          <cell r="C159">
            <v>10</v>
          </cell>
          <cell r="D159">
            <v>505</v>
          </cell>
          <cell r="E159">
            <v>4276</v>
          </cell>
          <cell r="F159">
            <v>2713</v>
          </cell>
          <cell r="G159">
            <v>5042</v>
          </cell>
        </row>
        <row r="169">
          <cell r="A169">
            <v>23</v>
          </cell>
          <cell r="B169">
            <v>623456</v>
          </cell>
          <cell r="C169">
            <v>93</v>
          </cell>
          <cell r="D169">
            <v>231</v>
          </cell>
          <cell r="E169">
            <v>2848</v>
          </cell>
          <cell r="F169">
            <v>1360</v>
          </cell>
          <cell r="G169">
            <v>1335</v>
          </cell>
        </row>
        <row r="179">
          <cell r="A179">
            <v>5118</v>
          </cell>
          <cell r="B179">
            <v>1135711</v>
          </cell>
          <cell r="C179">
            <v>103</v>
          </cell>
          <cell r="D179">
            <v>736</v>
          </cell>
          <cell r="E179">
            <v>7124</v>
          </cell>
          <cell r="F179">
            <v>4073</v>
          </cell>
          <cell r="G179">
            <v>6377</v>
          </cell>
        </row>
        <row r="189">
          <cell r="C189">
            <v>35909</v>
          </cell>
        </row>
        <row r="199">
          <cell r="C199">
            <v>35.7089</v>
          </cell>
          <cell r="D199">
            <v>625.07000000000005</v>
          </cell>
        </row>
        <row r="209">
          <cell r="D209">
            <v>661.28300000000002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8_3T"/>
    </sheetNames>
    <sheetDataSet>
      <sheetData sheetId="0">
        <row r="4">
          <cell r="A4">
            <v>1165076</v>
          </cell>
          <cell r="B4">
            <v>15738</v>
          </cell>
          <cell r="C4">
            <v>17035</v>
          </cell>
        </row>
        <row r="14">
          <cell r="A14">
            <v>594198</v>
          </cell>
          <cell r="B14">
            <v>550462</v>
          </cell>
          <cell r="C14">
            <v>135102</v>
          </cell>
        </row>
        <row r="24">
          <cell r="A24">
            <v>1759274</v>
          </cell>
          <cell r="B24">
            <v>566200</v>
          </cell>
          <cell r="C24">
            <v>152137</v>
          </cell>
        </row>
        <row r="46">
          <cell r="F46">
            <v>75.845600000000005</v>
          </cell>
        </row>
        <row r="47">
          <cell r="F47">
            <v>73.960999999999999</v>
          </cell>
        </row>
        <row r="48">
          <cell r="F48">
            <v>80.029600000000002</v>
          </cell>
        </row>
        <row r="49">
          <cell r="F49">
            <v>82.068100000000001</v>
          </cell>
        </row>
        <row r="50">
          <cell r="F50">
            <v>74.308800000000005</v>
          </cell>
        </row>
        <row r="51">
          <cell r="F51">
            <v>77.284099999999995</v>
          </cell>
        </row>
        <row r="52">
          <cell r="F52">
            <v>74.170599999999993</v>
          </cell>
        </row>
        <row r="53">
          <cell r="F53">
            <v>76.466300000000004</v>
          </cell>
        </row>
        <row r="54">
          <cell r="F54">
            <v>81.768699999999995</v>
          </cell>
        </row>
        <row r="55">
          <cell r="F55">
            <v>73.5501</v>
          </cell>
        </row>
        <row r="56">
          <cell r="F56">
            <v>80.131500000000003</v>
          </cell>
        </row>
        <row r="57">
          <cell r="F57">
            <v>82.105900000000005</v>
          </cell>
        </row>
        <row r="80">
          <cell r="F80">
            <v>585.03</v>
          </cell>
        </row>
        <row r="81">
          <cell r="F81">
            <v>649.36</v>
          </cell>
        </row>
        <row r="82">
          <cell r="F82">
            <v>308.48599999999999</v>
          </cell>
        </row>
        <row r="83">
          <cell r="F83">
            <v>870.38</v>
          </cell>
        </row>
        <row r="84">
          <cell r="F84">
            <v>683.84400000000005</v>
          </cell>
        </row>
        <row r="85">
          <cell r="F85">
            <v>492.53800000000001</v>
          </cell>
        </row>
        <row r="86">
          <cell r="F86">
            <v>686.45100000000002</v>
          </cell>
        </row>
        <row r="87">
          <cell r="F87">
            <v>179.19499999999999</v>
          </cell>
        </row>
        <row r="88">
          <cell r="F88">
            <v>971.74900000000002</v>
          </cell>
        </row>
        <row r="89">
          <cell r="F89">
            <v>576.63300000000004</v>
          </cell>
        </row>
        <row r="90">
          <cell r="F90">
            <v>312.18299999999999</v>
          </cell>
        </row>
        <row r="91">
          <cell r="F91">
            <v>857.596</v>
          </cell>
        </row>
        <row r="106">
          <cell r="D106">
            <v>1121592</v>
          </cell>
          <cell r="E106">
            <v>679198</v>
          </cell>
          <cell r="F106">
            <v>1800790</v>
          </cell>
        </row>
        <row r="107">
          <cell r="D107">
            <v>1182098</v>
          </cell>
          <cell r="E107">
            <v>729256</v>
          </cell>
          <cell r="F107">
            <v>1911354</v>
          </cell>
        </row>
        <row r="117">
          <cell r="D117">
            <v>37.8324</v>
          </cell>
        </row>
        <row r="118">
          <cell r="D118">
            <v>40.128</v>
          </cell>
        </row>
        <row r="119">
          <cell r="D119">
            <v>34.111199999999997</v>
          </cell>
        </row>
        <row r="141">
          <cell r="D141">
            <v>103695</v>
          </cell>
          <cell r="G141">
            <v>3314.04</v>
          </cell>
        </row>
        <row r="142">
          <cell r="D142">
            <v>101074</v>
          </cell>
          <cell r="G142">
            <v>3324.17</v>
          </cell>
        </row>
        <row r="143">
          <cell r="D143">
            <v>2621</v>
          </cell>
          <cell r="G143">
            <v>2923.32</v>
          </cell>
        </row>
        <row r="144">
          <cell r="D144">
            <v>72068</v>
          </cell>
          <cell r="G144">
            <v>3265.96</v>
          </cell>
        </row>
        <row r="145">
          <cell r="D145">
            <v>31627</v>
          </cell>
          <cell r="G145">
            <v>3423.59</v>
          </cell>
        </row>
        <row r="146">
          <cell r="D146">
            <v>70653</v>
          </cell>
          <cell r="G146">
            <v>3275.55</v>
          </cell>
        </row>
        <row r="147">
          <cell r="D147">
            <v>1415</v>
          </cell>
          <cell r="G147">
            <v>2787.42</v>
          </cell>
        </row>
        <row r="148">
          <cell r="D148">
            <v>30421</v>
          </cell>
          <cell r="G148">
            <v>3437.1</v>
          </cell>
        </row>
        <row r="149">
          <cell r="D149">
            <v>1206</v>
          </cell>
          <cell r="G149">
            <v>3082.77</v>
          </cell>
        </row>
        <row r="159">
          <cell r="A159">
            <v>4909</v>
          </cell>
          <cell r="B159">
            <v>508651</v>
          </cell>
          <cell r="C159">
            <v>8</v>
          </cell>
          <cell r="D159">
            <v>500</v>
          </cell>
          <cell r="E159">
            <v>4163</v>
          </cell>
          <cell r="F159">
            <v>2637</v>
          </cell>
          <cell r="G159">
            <v>5238</v>
          </cell>
        </row>
        <row r="169">
          <cell r="A169">
            <v>21</v>
          </cell>
          <cell r="B169">
            <v>621484</v>
          </cell>
          <cell r="C169">
            <v>95</v>
          </cell>
          <cell r="D169">
            <v>230</v>
          </cell>
          <cell r="E169">
            <v>2787</v>
          </cell>
          <cell r="F169">
            <v>1332</v>
          </cell>
          <cell r="G169">
            <v>1404</v>
          </cell>
        </row>
        <row r="179">
          <cell r="A179">
            <v>4930</v>
          </cell>
          <cell r="B179">
            <v>1130135</v>
          </cell>
          <cell r="C179">
            <v>103</v>
          </cell>
          <cell r="D179">
            <v>730</v>
          </cell>
          <cell r="E179">
            <v>6950</v>
          </cell>
          <cell r="F179">
            <v>3969</v>
          </cell>
          <cell r="G179">
            <v>6642</v>
          </cell>
        </row>
        <row r="189">
          <cell r="C189">
            <v>31726</v>
          </cell>
        </row>
        <row r="199">
          <cell r="C199">
            <v>35.990600000000001</v>
          </cell>
          <cell r="D199">
            <v>630.21799999999996</v>
          </cell>
        </row>
        <row r="209">
          <cell r="D209">
            <v>666.78800000000001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0227-14H32S38-PROGRAM-TdB_STO"/>
    </sheetNames>
    <sheetDataSet>
      <sheetData sheetId="0">
        <row r="4">
          <cell r="A4">
            <v>1160847</v>
          </cell>
          <cell r="B4">
            <v>15879</v>
          </cell>
          <cell r="C4">
            <v>17040</v>
          </cell>
        </row>
        <row r="14">
          <cell r="A14">
            <v>594029</v>
          </cell>
          <cell r="B14">
            <v>550111</v>
          </cell>
          <cell r="C14">
            <v>134779</v>
          </cell>
        </row>
        <row r="24">
          <cell r="A24">
            <v>1754876</v>
          </cell>
          <cell r="B24">
            <v>565990</v>
          </cell>
          <cell r="C24">
            <v>151819</v>
          </cell>
        </row>
        <row r="46">
          <cell r="F46">
            <v>75.907499999999999</v>
          </cell>
        </row>
        <row r="47">
          <cell r="F47">
            <v>74.024199999999993</v>
          </cell>
        </row>
        <row r="48">
          <cell r="F48">
            <v>80.081199999999995</v>
          </cell>
        </row>
        <row r="49">
          <cell r="F49">
            <v>82.117999999999995</v>
          </cell>
        </row>
        <row r="50">
          <cell r="F50">
            <v>74.371600000000001</v>
          </cell>
        </row>
        <row r="51">
          <cell r="F51">
            <v>77.341099999999997</v>
          </cell>
        </row>
        <row r="52">
          <cell r="F52">
            <v>74.232299999999995</v>
          </cell>
        </row>
        <row r="53">
          <cell r="F53">
            <v>76.547899999999998</v>
          </cell>
        </row>
        <row r="54">
          <cell r="F54">
            <v>81.835400000000007</v>
          </cell>
        </row>
        <row r="55">
          <cell r="F55">
            <v>73.617400000000004</v>
          </cell>
        </row>
        <row r="56">
          <cell r="F56">
            <v>80.183199999999999</v>
          </cell>
        </row>
        <row r="57">
          <cell r="F57">
            <v>82.153700000000001</v>
          </cell>
        </row>
        <row r="80">
          <cell r="F80">
            <v>589.14099999999996</v>
          </cell>
        </row>
        <row r="81">
          <cell r="F81">
            <v>655.923</v>
          </cell>
        </row>
        <row r="82">
          <cell r="F82">
            <v>307.10500000000002</v>
          </cell>
        </row>
        <row r="83">
          <cell r="F83">
            <v>868.71299999999997</v>
          </cell>
        </row>
        <row r="84">
          <cell r="F84">
            <v>689.81200000000001</v>
          </cell>
        </row>
        <row r="85">
          <cell r="F85">
            <v>495.17099999999999</v>
          </cell>
        </row>
        <row r="86">
          <cell r="F86">
            <v>692.69299999999998</v>
          </cell>
        </row>
        <row r="87">
          <cell r="F87">
            <v>179.41</v>
          </cell>
        </row>
        <row r="88">
          <cell r="F88">
            <v>969.197</v>
          </cell>
        </row>
        <row r="89">
          <cell r="F89">
            <v>584.06700000000001</v>
          </cell>
        </row>
        <row r="90">
          <cell r="F90">
            <v>310.791</v>
          </cell>
        </row>
        <row r="91">
          <cell r="F91">
            <v>856.00699999999995</v>
          </cell>
        </row>
        <row r="106">
          <cell r="D106">
            <v>1117507</v>
          </cell>
          <cell r="E106">
            <v>678982</v>
          </cell>
          <cell r="F106">
            <v>1796489</v>
          </cell>
        </row>
        <row r="107">
          <cell r="D107">
            <v>1177872</v>
          </cell>
          <cell r="E107">
            <v>728765</v>
          </cell>
          <cell r="F107">
            <v>1906637</v>
          </cell>
        </row>
        <row r="117">
          <cell r="D117">
            <v>38.161900000000003</v>
          </cell>
        </row>
        <row r="118">
          <cell r="D118">
            <v>40.413400000000003</v>
          </cell>
        </row>
        <row r="119">
          <cell r="D119">
            <v>34.523000000000003</v>
          </cell>
        </row>
        <row r="141">
          <cell r="D141">
            <v>103593</v>
          </cell>
          <cell r="G141">
            <v>3318.5</v>
          </cell>
        </row>
        <row r="142">
          <cell r="D142">
            <v>100983</v>
          </cell>
          <cell r="G142">
            <v>3328.58</v>
          </cell>
        </row>
        <row r="143">
          <cell r="D143">
            <v>2610</v>
          </cell>
          <cell r="G143">
            <v>2928.33</v>
          </cell>
        </row>
        <row r="144">
          <cell r="D144">
            <v>71906</v>
          </cell>
          <cell r="G144">
            <v>3271.08</v>
          </cell>
        </row>
        <row r="145">
          <cell r="D145">
            <v>31687</v>
          </cell>
          <cell r="G145">
            <v>3426.11</v>
          </cell>
        </row>
        <row r="146">
          <cell r="D146">
            <v>70511</v>
          </cell>
          <cell r="G146">
            <v>3280.56</v>
          </cell>
        </row>
        <row r="147">
          <cell r="D147">
            <v>1395</v>
          </cell>
          <cell r="G147">
            <v>2791.98</v>
          </cell>
        </row>
        <row r="148">
          <cell r="D148">
            <v>30472</v>
          </cell>
          <cell r="G148">
            <v>3439.71</v>
          </cell>
        </row>
        <row r="149">
          <cell r="D149">
            <v>1215</v>
          </cell>
          <cell r="G149">
            <v>3084.89</v>
          </cell>
        </row>
        <row r="159">
          <cell r="A159">
            <v>4703</v>
          </cell>
          <cell r="B159">
            <v>505677</v>
          </cell>
          <cell r="C159">
            <v>9</v>
          </cell>
          <cell r="D159">
            <v>509</v>
          </cell>
          <cell r="E159">
            <v>4059</v>
          </cell>
          <cell r="F159">
            <v>2558</v>
          </cell>
          <cell r="G159">
            <v>5449</v>
          </cell>
        </row>
        <row r="169">
          <cell r="A169">
            <v>22</v>
          </cell>
          <cell r="B169">
            <v>620021</v>
          </cell>
          <cell r="C169">
            <v>78</v>
          </cell>
          <cell r="D169">
            <v>233</v>
          </cell>
          <cell r="E169">
            <v>2698</v>
          </cell>
          <cell r="F169">
            <v>1288</v>
          </cell>
          <cell r="G169">
            <v>1514</v>
          </cell>
        </row>
        <row r="179">
          <cell r="A179">
            <v>4725</v>
          </cell>
          <cell r="B179">
            <v>1125698</v>
          </cell>
          <cell r="C179">
            <v>87</v>
          </cell>
          <cell r="D179">
            <v>742</v>
          </cell>
          <cell r="E179">
            <v>6757</v>
          </cell>
          <cell r="F179">
            <v>3846</v>
          </cell>
          <cell r="G179">
            <v>6963</v>
          </cell>
        </row>
        <row r="189">
          <cell r="C189">
            <v>28634</v>
          </cell>
        </row>
        <row r="199">
          <cell r="C199">
            <v>36.275599999999997</v>
          </cell>
          <cell r="D199">
            <v>635.62</v>
          </cell>
        </row>
        <row r="209">
          <cell r="D209">
            <v>672.70699999999999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4T2009"/>
    </sheetNames>
    <sheetDataSet>
      <sheetData sheetId="0">
        <row r="4">
          <cell r="A4">
            <v>1255701</v>
          </cell>
          <cell r="B4">
            <v>11115</v>
          </cell>
          <cell r="C4">
            <v>16359</v>
          </cell>
        </row>
        <row r="14">
          <cell r="A14">
            <v>516300</v>
          </cell>
          <cell r="B14">
            <v>563227</v>
          </cell>
          <cell r="C14">
            <v>146824</v>
          </cell>
        </row>
        <row r="24">
          <cell r="A24">
            <v>1772001</v>
          </cell>
          <cell r="B24">
            <v>574342</v>
          </cell>
          <cell r="C24">
            <v>163183</v>
          </cell>
        </row>
        <row r="46">
          <cell r="F46">
            <v>74.258799999999994</v>
          </cell>
        </row>
        <row r="47">
          <cell r="F47">
            <v>72.738600000000005</v>
          </cell>
        </row>
        <row r="48">
          <cell r="F48">
            <v>77.452500000000001</v>
          </cell>
        </row>
        <row r="49">
          <cell r="F49">
            <v>79.527500000000003</v>
          </cell>
        </row>
        <row r="51">
          <cell r="F51">
            <v>72.880399999999995</v>
          </cell>
        </row>
        <row r="52">
          <cell r="F52">
            <v>75.700999999999993</v>
          </cell>
        </row>
        <row r="53">
          <cell r="F53">
            <v>72.782399999999996</v>
          </cell>
        </row>
        <row r="54">
          <cell r="F54">
            <v>74.483800000000002</v>
          </cell>
        </row>
        <row r="55">
          <cell r="F55">
            <v>79.315100000000001</v>
          </cell>
        </row>
        <row r="57">
          <cell r="F57">
            <v>72.632000000000005</v>
          </cell>
        </row>
        <row r="58">
          <cell r="F58">
            <v>77.511099999999999</v>
          </cell>
        </row>
        <row r="59">
          <cell r="F59">
            <v>79.551199999999994</v>
          </cell>
        </row>
        <row r="84">
          <cell r="G84">
            <v>2189.88</v>
          </cell>
        </row>
        <row r="85">
          <cell r="G85">
            <v>2314.12</v>
          </cell>
        </row>
        <row r="86">
          <cell r="G86">
            <v>1411.16</v>
          </cell>
        </row>
        <row r="87">
          <cell r="G87">
            <v>3581.76</v>
          </cell>
        </row>
        <row r="89">
          <cell r="G89">
            <v>2467.44</v>
          </cell>
        </row>
        <row r="90">
          <cell r="G90">
            <v>1899.48</v>
          </cell>
        </row>
        <row r="91">
          <cell r="G91">
            <v>2459.4</v>
          </cell>
        </row>
        <row r="92">
          <cell r="G92">
            <v>819.04</v>
          </cell>
        </row>
        <row r="93">
          <cell r="G93">
            <v>4202.4399999999996</v>
          </cell>
        </row>
        <row r="95">
          <cell r="G95">
            <v>1960.8</v>
          </cell>
        </row>
        <row r="96">
          <cell r="G96">
            <v>1422.84</v>
          </cell>
        </row>
        <row r="97">
          <cell r="G97">
            <v>3512.56</v>
          </cell>
        </row>
        <row r="115">
          <cell r="D115">
            <v>0.90271219137925474</v>
          </cell>
          <cell r="E115">
            <v>0.84311422035158412</v>
          </cell>
          <cell r="F115">
            <v>0.88229026283805567</v>
          </cell>
        </row>
        <row r="124">
          <cell r="D124">
            <v>37.3127</v>
          </cell>
        </row>
        <row r="125">
          <cell r="D125">
            <v>40.128599999999999</v>
          </cell>
        </row>
        <row r="126">
          <cell r="D126">
            <v>31.911000000000001</v>
          </cell>
        </row>
        <row r="148">
          <cell r="D148">
            <v>86870</v>
          </cell>
          <cell r="H148">
            <v>11314.68</v>
          </cell>
        </row>
        <row r="149">
          <cell r="D149">
            <v>83960</v>
          </cell>
          <cell r="H149">
            <v>11339.96</v>
          </cell>
        </row>
        <row r="150">
          <cell r="D150">
            <v>2910</v>
          </cell>
          <cell r="H150">
            <v>10585.12</v>
          </cell>
        </row>
        <row r="151">
          <cell r="D151">
            <v>66629</v>
          </cell>
          <cell r="H151">
            <v>11069.28</v>
          </cell>
        </row>
        <row r="152">
          <cell r="D152">
            <v>20241</v>
          </cell>
          <cell r="H152">
            <v>12122.4</v>
          </cell>
        </row>
        <row r="153">
          <cell r="D153">
            <v>64929</v>
          </cell>
          <cell r="H153">
            <v>11092.52</v>
          </cell>
        </row>
        <row r="154">
          <cell r="D154">
            <v>1700</v>
          </cell>
          <cell r="H154">
            <v>10182.799999999999</v>
          </cell>
        </row>
        <row r="155">
          <cell r="D155">
            <v>19031</v>
          </cell>
          <cell r="H155">
            <v>12184.2</v>
          </cell>
        </row>
        <row r="156">
          <cell r="D156">
            <v>1210</v>
          </cell>
          <cell r="H156">
            <v>11150.36</v>
          </cell>
        </row>
        <row r="166">
          <cell r="A166">
            <v>13339</v>
          </cell>
          <cell r="B166">
            <v>588361</v>
          </cell>
          <cell r="C166">
            <v>4</v>
          </cell>
          <cell r="D166">
            <v>672</v>
          </cell>
          <cell r="E166">
            <v>11344</v>
          </cell>
          <cell r="F166">
            <v>5993</v>
          </cell>
          <cell r="G166">
            <v>1730</v>
          </cell>
        </row>
        <row r="176">
          <cell r="A176">
            <v>74</v>
          </cell>
          <cell r="B176">
            <v>641118</v>
          </cell>
          <cell r="C176">
            <v>170</v>
          </cell>
          <cell r="D176">
            <v>253</v>
          </cell>
          <cell r="E176">
            <v>7320</v>
          </cell>
          <cell r="F176">
            <v>2788</v>
          </cell>
          <cell r="G176">
            <v>447</v>
          </cell>
        </row>
        <row r="186">
          <cell r="A186">
            <v>13413</v>
          </cell>
          <cell r="B186">
            <v>1229479</v>
          </cell>
          <cell r="C186">
            <v>174</v>
          </cell>
          <cell r="D186">
            <v>925</v>
          </cell>
          <cell r="E186">
            <v>18664</v>
          </cell>
          <cell r="F186">
            <v>8781</v>
          </cell>
          <cell r="G186">
            <v>2177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9_1T"/>
    </sheetNames>
    <sheetDataSet>
      <sheetData sheetId="0">
        <row r="4">
          <cell r="A4">
            <v>1153128</v>
          </cell>
          <cell r="B4">
            <v>15978</v>
          </cell>
          <cell r="C4">
            <v>16941</v>
          </cell>
        </row>
        <row r="14">
          <cell r="A14">
            <v>593063</v>
          </cell>
          <cell r="B14">
            <v>547744</v>
          </cell>
          <cell r="C14">
            <v>133924</v>
          </cell>
        </row>
        <row r="24">
          <cell r="A24">
            <v>1746191</v>
          </cell>
          <cell r="B24">
            <v>563722</v>
          </cell>
          <cell r="C24">
            <v>150865</v>
          </cell>
        </row>
        <row r="46">
          <cell r="F46">
            <v>75.975800000000007</v>
          </cell>
        </row>
        <row r="47">
          <cell r="F47">
            <v>74.096500000000006</v>
          </cell>
        </row>
        <row r="48">
          <cell r="F48">
            <v>80.138999999999996</v>
          </cell>
        </row>
        <row r="49">
          <cell r="F49">
            <v>82.171999999999997</v>
          </cell>
        </row>
        <row r="50">
          <cell r="F50">
            <v>74.447000000000003</v>
          </cell>
        </row>
        <row r="51">
          <cell r="F51">
            <v>77.398300000000006</v>
          </cell>
        </row>
        <row r="52">
          <cell r="F52">
            <v>74.307699999999997</v>
          </cell>
        </row>
        <row r="53">
          <cell r="F53">
            <v>76.616799999999998</v>
          </cell>
        </row>
        <row r="54">
          <cell r="F54">
            <v>81.885400000000004</v>
          </cell>
        </row>
        <row r="55">
          <cell r="F55">
            <v>73.686000000000007</v>
          </cell>
        </row>
        <row r="56">
          <cell r="F56">
            <v>80.241799999999998</v>
          </cell>
        </row>
        <row r="57">
          <cell r="F57">
            <v>82.208299999999994</v>
          </cell>
        </row>
        <row r="80">
          <cell r="F80">
            <v>596.63699999999994</v>
          </cell>
        </row>
        <row r="81">
          <cell r="F81">
            <v>666.61099999999999</v>
          </cell>
        </row>
        <row r="82">
          <cell r="F82">
            <v>306.76</v>
          </cell>
        </row>
        <row r="83">
          <cell r="F83">
            <v>869.92600000000004</v>
          </cell>
        </row>
        <row r="84">
          <cell r="F84">
            <v>700.23500000000001</v>
          </cell>
        </row>
        <row r="85">
          <cell r="F85">
            <v>500.24299999999999</v>
          </cell>
        </row>
        <row r="86">
          <cell r="F86">
            <v>703.46299999999997</v>
          </cell>
        </row>
        <row r="87">
          <cell r="F87">
            <v>181.10599999999999</v>
          </cell>
        </row>
        <row r="88">
          <cell r="F88">
            <v>970.19799999999998</v>
          </cell>
        </row>
        <row r="89">
          <cell r="F89">
            <v>594.95699999999999</v>
          </cell>
        </row>
        <row r="90">
          <cell r="F90">
            <v>310.42599999999999</v>
          </cell>
        </row>
        <row r="91">
          <cell r="F91">
            <v>857.23900000000003</v>
          </cell>
        </row>
        <row r="106">
          <cell r="D106">
            <v>1109845</v>
          </cell>
          <cell r="E106">
            <v>677650</v>
          </cell>
          <cell r="F106">
            <v>1787495</v>
          </cell>
        </row>
        <row r="107">
          <cell r="D107">
            <v>1170050</v>
          </cell>
          <cell r="E107">
            <v>726945</v>
          </cell>
          <cell r="F107">
            <v>1896995</v>
          </cell>
        </row>
        <row r="117">
          <cell r="D117">
            <v>38.567300000000003</v>
          </cell>
        </row>
        <row r="118">
          <cell r="D118">
            <v>40.774700000000003</v>
          </cell>
        </row>
        <row r="119">
          <cell r="D119">
            <v>35.014499999999998</v>
          </cell>
        </row>
        <row r="141">
          <cell r="D141">
            <v>103367</v>
          </cell>
          <cell r="G141">
            <v>3334.53</v>
          </cell>
        </row>
        <row r="142">
          <cell r="D142">
            <v>100773</v>
          </cell>
          <cell r="G142">
            <v>3344.8</v>
          </cell>
        </row>
        <row r="143">
          <cell r="D143">
            <v>2594</v>
          </cell>
          <cell r="G143">
            <v>2935.79</v>
          </cell>
        </row>
        <row r="144">
          <cell r="D144">
            <v>71636</v>
          </cell>
          <cell r="G144">
            <v>3288.38</v>
          </cell>
        </row>
        <row r="145">
          <cell r="D145">
            <v>31731</v>
          </cell>
          <cell r="G145">
            <v>3438.72</v>
          </cell>
        </row>
        <row r="146">
          <cell r="D146">
            <v>70267</v>
          </cell>
          <cell r="G146">
            <v>3297.92</v>
          </cell>
        </row>
        <row r="147">
          <cell r="D147">
            <v>1369</v>
          </cell>
          <cell r="G147">
            <v>2798.92</v>
          </cell>
        </row>
        <row r="148">
          <cell r="D148">
            <v>30506</v>
          </cell>
          <cell r="G148">
            <v>3452.78</v>
          </cell>
        </row>
        <row r="149">
          <cell r="D149">
            <v>1225</v>
          </cell>
          <cell r="G149">
            <v>3088.75</v>
          </cell>
        </row>
        <row r="159">
          <cell r="A159">
            <v>4604</v>
          </cell>
          <cell r="B159">
            <v>501226</v>
          </cell>
          <cell r="C159">
            <v>12</v>
          </cell>
          <cell r="D159">
            <v>506</v>
          </cell>
          <cell r="E159">
            <v>3909</v>
          </cell>
          <cell r="F159">
            <v>2517</v>
          </cell>
          <cell r="G159">
            <v>5665</v>
          </cell>
        </row>
        <row r="169">
          <cell r="A169">
            <v>20</v>
          </cell>
          <cell r="B169">
            <v>616796</v>
          </cell>
          <cell r="C169">
            <v>87</v>
          </cell>
          <cell r="D169">
            <v>231</v>
          </cell>
          <cell r="E169">
            <v>2595</v>
          </cell>
          <cell r="F169">
            <v>1269</v>
          </cell>
          <cell r="G169">
            <v>1659</v>
          </cell>
        </row>
        <row r="179">
          <cell r="A179">
            <v>4624</v>
          </cell>
          <cell r="B179">
            <v>1118022</v>
          </cell>
          <cell r="C179">
            <v>99</v>
          </cell>
          <cell r="D179">
            <v>737</v>
          </cell>
          <cell r="E179">
            <v>6504</v>
          </cell>
          <cell r="F179">
            <v>3786</v>
          </cell>
          <cell r="G179">
            <v>7324</v>
          </cell>
        </row>
        <row r="189">
          <cell r="C189">
            <v>26204</v>
          </cell>
        </row>
        <row r="199">
          <cell r="C199">
            <v>36.633400000000002</v>
          </cell>
          <cell r="D199">
            <v>644.37800000000004</v>
          </cell>
        </row>
        <row r="209">
          <cell r="D209">
            <v>682.61199999999997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9_2T"/>
    </sheetNames>
    <sheetDataSet>
      <sheetData sheetId="0">
        <row r="4">
          <cell r="A4">
            <v>1144093</v>
          </cell>
          <cell r="B4">
            <v>15931</v>
          </cell>
          <cell r="C4">
            <v>16852</v>
          </cell>
        </row>
        <row r="14">
          <cell r="A14">
            <v>590605</v>
          </cell>
          <cell r="B14">
            <v>544499</v>
          </cell>
          <cell r="C14">
            <v>132781</v>
          </cell>
        </row>
        <row r="24">
          <cell r="A24">
            <v>1734698</v>
          </cell>
          <cell r="B24">
            <v>560430</v>
          </cell>
          <cell r="C24">
            <v>149633</v>
          </cell>
        </row>
        <row r="46">
          <cell r="F46">
            <v>76.055700000000002</v>
          </cell>
        </row>
        <row r="47">
          <cell r="F47">
            <v>74.183199999999999</v>
          </cell>
        </row>
        <row r="48">
          <cell r="F48">
            <v>80.201499999999996</v>
          </cell>
        </row>
        <row r="49">
          <cell r="F49">
            <v>82.238100000000003</v>
          </cell>
        </row>
        <row r="50">
          <cell r="F50">
            <v>74.525599999999997</v>
          </cell>
        </row>
        <row r="51">
          <cell r="F51">
            <v>77.476100000000002</v>
          </cell>
        </row>
        <row r="52">
          <cell r="F52">
            <v>74.386200000000002</v>
          </cell>
        </row>
        <row r="53">
          <cell r="F53">
            <v>76.687200000000004</v>
          </cell>
        </row>
        <row r="54">
          <cell r="F54">
            <v>81.946799999999996</v>
          </cell>
        </row>
        <row r="55">
          <cell r="F55">
            <v>73.789900000000003</v>
          </cell>
        </row>
        <row r="56">
          <cell r="F56">
            <v>80.304299999999998</v>
          </cell>
        </row>
        <row r="57">
          <cell r="F57">
            <v>82.275099999999995</v>
          </cell>
        </row>
        <row r="80">
          <cell r="F80">
            <v>601.45699999999999</v>
          </cell>
        </row>
        <row r="81">
          <cell r="F81">
            <v>673.94200000000001</v>
          </cell>
        </row>
        <row r="82">
          <cell r="F82">
            <v>305.589</v>
          </cell>
        </row>
        <row r="83">
          <cell r="F83">
            <v>869.34299999999996</v>
          </cell>
        </row>
        <row r="84">
          <cell r="F84">
            <v>706.46400000000006</v>
          </cell>
        </row>
        <row r="85">
          <cell r="F85">
            <v>503.98500000000001</v>
          </cell>
        </row>
        <row r="86">
          <cell r="F86">
            <v>709.93100000000004</v>
          </cell>
        </row>
        <row r="87">
          <cell r="F87">
            <v>182.21899999999999</v>
          </cell>
        </row>
        <row r="88">
          <cell r="F88">
            <v>966.73</v>
          </cell>
        </row>
        <row r="89">
          <cell r="F89">
            <v>604.22400000000005</v>
          </cell>
        </row>
        <row r="90">
          <cell r="F90">
            <v>309.19799999999998</v>
          </cell>
        </row>
        <row r="91">
          <cell r="F91">
            <v>856.98099999999999</v>
          </cell>
        </row>
        <row r="106">
          <cell r="C106">
            <v>1101261</v>
          </cell>
          <cell r="D106">
            <v>674269</v>
          </cell>
          <cell r="E106">
            <v>1775530</v>
          </cell>
        </row>
        <row r="107">
          <cell r="C107">
            <v>1160930</v>
          </cell>
          <cell r="D107">
            <v>723334</v>
          </cell>
          <cell r="E107">
            <v>1884264</v>
          </cell>
        </row>
        <row r="117">
          <cell r="D117">
            <v>38.9285</v>
          </cell>
        </row>
        <row r="118">
          <cell r="D118">
            <v>41.059199999999997</v>
          </cell>
        </row>
        <row r="119">
          <cell r="D119">
            <v>35.508699999999997</v>
          </cell>
        </row>
        <row r="141">
          <cell r="D141">
            <v>103016</v>
          </cell>
          <cell r="G141">
            <v>3339.22</v>
          </cell>
        </row>
        <row r="142">
          <cell r="D142">
            <v>100448</v>
          </cell>
          <cell r="G142">
            <v>3349.58</v>
          </cell>
        </row>
        <row r="143">
          <cell r="D143">
            <v>2568</v>
          </cell>
          <cell r="G143">
            <v>2933.97</v>
          </cell>
        </row>
        <row r="144">
          <cell r="D144">
            <v>71279</v>
          </cell>
          <cell r="G144">
            <v>3294.15</v>
          </cell>
        </row>
        <row r="145">
          <cell r="D145">
            <v>31737</v>
          </cell>
          <cell r="G145">
            <v>3440.45</v>
          </cell>
        </row>
        <row r="146">
          <cell r="D146">
            <v>69923</v>
          </cell>
          <cell r="G146">
            <v>3303.7</v>
          </cell>
        </row>
        <row r="147">
          <cell r="D147">
            <v>1356</v>
          </cell>
          <cell r="G147">
            <v>2801.59</v>
          </cell>
        </row>
        <row r="148">
          <cell r="D148">
            <v>30525</v>
          </cell>
          <cell r="G148">
            <v>3454.68</v>
          </cell>
        </row>
        <row r="149">
          <cell r="D149">
            <v>1212</v>
          </cell>
          <cell r="G149">
            <v>3082.07</v>
          </cell>
        </row>
        <row r="159">
          <cell r="A159">
            <v>4375</v>
          </cell>
          <cell r="B159">
            <v>496319</v>
          </cell>
          <cell r="C159">
            <v>12</v>
          </cell>
          <cell r="D159">
            <v>504</v>
          </cell>
          <cell r="E159">
            <v>3788</v>
          </cell>
          <cell r="F159">
            <v>2416</v>
          </cell>
          <cell r="G159">
            <v>5996</v>
          </cell>
        </row>
        <row r="169">
          <cell r="A169">
            <v>18</v>
          </cell>
          <cell r="B169">
            <v>612761</v>
          </cell>
          <cell r="C169">
            <v>89</v>
          </cell>
          <cell r="D169">
            <v>229</v>
          </cell>
          <cell r="E169">
            <v>2529</v>
          </cell>
          <cell r="F169">
            <v>1246</v>
          </cell>
          <cell r="G169">
            <v>1795</v>
          </cell>
        </row>
        <row r="179">
          <cell r="A179">
            <v>4393</v>
          </cell>
          <cell r="B179">
            <v>1109080</v>
          </cell>
          <cell r="C179">
            <v>101</v>
          </cell>
          <cell r="D179">
            <v>733</v>
          </cell>
          <cell r="E179">
            <v>6317</v>
          </cell>
          <cell r="F179">
            <v>3662</v>
          </cell>
          <cell r="G179">
            <v>7791</v>
          </cell>
        </row>
        <row r="189">
          <cell r="C189">
            <v>22291</v>
          </cell>
        </row>
        <row r="199">
          <cell r="C199">
            <v>36.940800000000003</v>
          </cell>
          <cell r="D199">
            <v>650.39499999999998</v>
          </cell>
        </row>
        <row r="209">
          <cell r="D209">
            <v>689.27300000000002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9_3T"/>
    </sheetNames>
    <sheetDataSet>
      <sheetData sheetId="0">
        <row r="4">
          <cell r="A4">
            <v>1135073</v>
          </cell>
          <cell r="B4">
            <v>15898</v>
          </cell>
          <cell r="C4">
            <v>16825</v>
          </cell>
        </row>
        <row r="14">
          <cell r="A14">
            <v>588646</v>
          </cell>
          <cell r="B14">
            <v>541518</v>
          </cell>
          <cell r="C14">
            <v>132091</v>
          </cell>
        </row>
        <row r="24">
          <cell r="A24">
            <v>1723719</v>
          </cell>
          <cell r="B24">
            <v>557416</v>
          </cell>
          <cell r="C24">
            <v>148916</v>
          </cell>
        </row>
        <row r="46">
          <cell r="F46">
            <v>76.142099999999999</v>
          </cell>
        </row>
        <row r="47">
          <cell r="F47">
            <v>74.274100000000004</v>
          </cell>
        </row>
        <row r="48">
          <cell r="F48">
            <v>80.274199999999993</v>
          </cell>
        </row>
        <row r="49">
          <cell r="F49">
            <v>82.297600000000003</v>
          </cell>
        </row>
        <row r="50">
          <cell r="F50">
            <v>74.616200000000006</v>
          </cell>
        </row>
        <row r="51">
          <cell r="F51">
            <v>77.553700000000006</v>
          </cell>
        </row>
        <row r="52">
          <cell r="F52">
            <v>74.475800000000007</v>
          </cell>
        </row>
        <row r="53">
          <cell r="F53">
            <v>76.818100000000001</v>
          </cell>
        </row>
        <row r="54">
          <cell r="F54">
            <v>82.007999999999996</v>
          </cell>
        </row>
        <row r="55">
          <cell r="F55">
            <v>73.885099999999994</v>
          </cell>
        </row>
        <row r="56">
          <cell r="F56">
            <v>80.375699999999995</v>
          </cell>
        </row>
        <row r="57">
          <cell r="F57">
            <v>82.334500000000006</v>
          </cell>
        </row>
        <row r="80">
          <cell r="F80">
            <v>607.53099999999995</v>
          </cell>
        </row>
        <row r="81">
          <cell r="F81">
            <v>682.81899999999996</v>
          </cell>
        </row>
        <row r="82">
          <cell r="F82">
            <v>305.17899999999997</v>
          </cell>
        </row>
        <row r="83">
          <cell r="F83">
            <v>867.89099999999996</v>
          </cell>
        </row>
        <row r="84">
          <cell r="F84">
            <v>714.49800000000005</v>
          </cell>
        </row>
        <row r="85">
          <cell r="F85">
            <v>508.56700000000001</v>
          </cell>
        </row>
        <row r="86">
          <cell r="F86">
            <v>718.22199999999998</v>
          </cell>
        </row>
        <row r="87">
          <cell r="F87">
            <v>185.01599999999999</v>
          </cell>
        </row>
        <row r="88">
          <cell r="F88">
            <v>963.59500000000003</v>
          </cell>
        </row>
        <row r="89">
          <cell r="F89">
            <v>614.55100000000004</v>
          </cell>
        </row>
        <row r="90">
          <cell r="F90">
            <v>308.70699999999999</v>
          </cell>
        </row>
        <row r="91">
          <cell r="F91">
            <v>855.69799999999998</v>
          </cell>
        </row>
        <row r="106">
          <cell r="D106">
            <v>1092444</v>
          </cell>
          <cell r="E106">
            <v>671695</v>
          </cell>
          <cell r="F106">
            <v>1764139</v>
          </cell>
        </row>
        <row r="107">
          <cell r="D107">
            <v>1151874</v>
          </cell>
          <cell r="E107">
            <v>720689</v>
          </cell>
          <cell r="F107">
            <v>1872563</v>
          </cell>
        </row>
        <row r="117">
          <cell r="D117">
            <v>39.383699999999997</v>
          </cell>
        </row>
        <row r="118">
          <cell r="D118">
            <v>41.459600000000002</v>
          </cell>
        </row>
        <row r="119">
          <cell r="D119">
            <v>36.065800000000003</v>
          </cell>
        </row>
        <row r="141">
          <cell r="D141">
            <v>102802</v>
          </cell>
          <cell r="G141">
            <v>3343.21</v>
          </cell>
        </row>
        <row r="142">
          <cell r="D142">
            <v>100248</v>
          </cell>
          <cell r="G142">
            <v>3353.49</v>
          </cell>
        </row>
        <row r="143">
          <cell r="D143">
            <v>2554</v>
          </cell>
          <cell r="G143">
            <v>2939.63</v>
          </cell>
        </row>
        <row r="144">
          <cell r="D144">
            <v>71046</v>
          </cell>
          <cell r="G144">
            <v>3298.73</v>
          </cell>
        </row>
        <row r="145">
          <cell r="D145">
            <v>31756</v>
          </cell>
          <cell r="G145">
            <v>3442.72</v>
          </cell>
        </row>
        <row r="146">
          <cell r="D146">
            <v>69706</v>
          </cell>
          <cell r="G146">
            <v>3308.14</v>
          </cell>
        </row>
        <row r="147">
          <cell r="D147">
            <v>1340</v>
          </cell>
          <cell r="G147">
            <v>2809.04</v>
          </cell>
        </row>
        <row r="148">
          <cell r="D148">
            <v>30542</v>
          </cell>
          <cell r="G148">
            <v>3456.99</v>
          </cell>
        </row>
        <row r="149">
          <cell r="D149">
            <v>1214</v>
          </cell>
          <cell r="G149">
            <v>3083.78</v>
          </cell>
        </row>
        <row r="159">
          <cell r="A159">
            <v>4226</v>
          </cell>
          <cell r="B159">
            <v>491654</v>
          </cell>
          <cell r="C159">
            <v>11</v>
          </cell>
          <cell r="D159">
            <v>506</v>
          </cell>
          <cell r="E159">
            <v>3678</v>
          </cell>
          <cell r="F159">
            <v>2339</v>
          </cell>
          <cell r="G159">
            <v>6268</v>
          </cell>
        </row>
        <row r="169">
          <cell r="A169">
            <v>18</v>
          </cell>
          <cell r="B169">
            <v>609359</v>
          </cell>
          <cell r="C169">
            <v>90</v>
          </cell>
          <cell r="D169">
            <v>229</v>
          </cell>
          <cell r="E169">
            <v>2454</v>
          </cell>
          <cell r="F169">
            <v>1210</v>
          </cell>
          <cell r="G169">
            <v>1935</v>
          </cell>
        </row>
        <row r="179">
          <cell r="A179">
            <v>4244</v>
          </cell>
          <cell r="B179">
            <v>1101013</v>
          </cell>
          <cell r="C179">
            <v>101</v>
          </cell>
          <cell r="D179">
            <v>735</v>
          </cell>
          <cell r="E179">
            <v>6132</v>
          </cell>
          <cell r="F179">
            <v>3549</v>
          </cell>
          <cell r="G179">
            <v>8203</v>
          </cell>
        </row>
        <row r="189">
          <cell r="C189">
            <v>19782</v>
          </cell>
        </row>
        <row r="199">
          <cell r="C199">
            <v>37.335700000000003</v>
          </cell>
          <cell r="D199">
            <v>657.68700000000001</v>
          </cell>
        </row>
        <row r="209">
          <cell r="D209">
            <v>697.35199999999998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9_4T"/>
    </sheetNames>
    <sheetDataSet>
      <sheetData sheetId="0">
        <row r="4">
          <cell r="A4">
            <v>1132327</v>
          </cell>
          <cell r="B4">
            <v>16219</v>
          </cell>
          <cell r="C4">
            <v>16857</v>
          </cell>
        </row>
        <row r="14">
          <cell r="A14">
            <v>590473</v>
          </cell>
          <cell r="B14">
            <v>542439</v>
          </cell>
          <cell r="C14">
            <v>131706</v>
          </cell>
        </row>
        <row r="24">
          <cell r="A24">
            <v>1722800</v>
          </cell>
          <cell r="B24">
            <v>558658</v>
          </cell>
          <cell r="C24">
            <v>148563</v>
          </cell>
        </row>
        <row r="46">
          <cell r="F46">
            <v>76.1828</v>
          </cell>
        </row>
        <row r="47">
          <cell r="F47">
            <v>74.318200000000004</v>
          </cell>
        </row>
        <row r="48">
          <cell r="F48">
            <v>80.299300000000002</v>
          </cell>
        </row>
        <row r="49">
          <cell r="F49">
            <v>82.326300000000003</v>
          </cell>
        </row>
        <row r="50">
          <cell r="F50">
            <v>74.661500000000004</v>
          </cell>
        </row>
        <row r="51">
          <cell r="F51">
            <v>77.584800000000001</v>
          </cell>
        </row>
        <row r="52">
          <cell r="F52">
            <v>74.520399999999995</v>
          </cell>
        </row>
        <row r="53">
          <cell r="F53">
            <v>76.844499999999996</v>
          </cell>
        </row>
        <row r="54">
          <cell r="F54">
            <v>82.041600000000003</v>
          </cell>
        </row>
        <row r="55">
          <cell r="F55">
            <v>73.930599999999998</v>
          </cell>
        </row>
        <row r="56">
          <cell r="F56">
            <v>80.402600000000007</v>
          </cell>
        </row>
        <row r="57">
          <cell r="F57">
            <v>82.362799999999993</v>
          </cell>
        </row>
        <row r="80">
          <cell r="F80">
            <v>610.46600000000001</v>
          </cell>
        </row>
        <row r="81">
          <cell r="F81">
            <v>688.077</v>
          </cell>
        </row>
        <row r="82">
          <cell r="F82">
            <v>302.99400000000003</v>
          </cell>
        </row>
        <row r="83">
          <cell r="F83">
            <v>866.72799999999995</v>
          </cell>
        </row>
        <row r="84">
          <cell r="F84">
            <v>718.99599999999998</v>
          </cell>
        </row>
        <row r="85">
          <cell r="F85">
            <v>510.44799999999998</v>
          </cell>
        </row>
        <row r="86">
          <cell r="F86">
            <v>723.00900000000001</v>
          </cell>
        </row>
        <row r="87">
          <cell r="F87">
            <v>184.018</v>
          </cell>
        </row>
        <row r="88">
          <cell r="F88">
            <v>964.14599999999996</v>
          </cell>
        </row>
        <row r="89">
          <cell r="F89">
            <v>621.08900000000006</v>
          </cell>
        </row>
        <row r="90">
          <cell r="F90">
            <v>306.55099999999999</v>
          </cell>
        </row>
        <row r="91">
          <cell r="F91">
            <v>854.25699999999995</v>
          </cell>
        </row>
        <row r="106">
          <cell r="D106">
            <v>1089680</v>
          </cell>
          <cell r="E106">
            <v>673074</v>
          </cell>
          <cell r="F106">
            <v>1762754</v>
          </cell>
        </row>
        <row r="107">
          <cell r="D107">
            <v>1149167</v>
          </cell>
          <cell r="E107">
            <v>722136</v>
          </cell>
          <cell r="F107">
            <v>1871303</v>
          </cell>
        </row>
        <row r="117">
          <cell r="D117">
            <v>39.653399999999998</v>
          </cell>
        </row>
        <row r="118">
          <cell r="D118">
            <v>41.665999999999997</v>
          </cell>
        </row>
        <row r="119">
          <cell r="D119">
            <v>36.450699999999998</v>
          </cell>
        </row>
        <row r="141">
          <cell r="D141">
            <v>102507</v>
          </cell>
          <cell r="G141">
            <v>3346.49</v>
          </cell>
        </row>
        <row r="142">
          <cell r="D142">
            <v>99946</v>
          </cell>
          <cell r="G142">
            <v>3356.91</v>
          </cell>
        </row>
        <row r="143">
          <cell r="D143">
            <v>2561</v>
          </cell>
          <cell r="G143">
            <v>2939.71</v>
          </cell>
        </row>
        <row r="144">
          <cell r="D144">
            <v>70755</v>
          </cell>
          <cell r="G144">
            <v>3302.89</v>
          </cell>
        </row>
        <row r="145">
          <cell r="D145">
            <v>31752</v>
          </cell>
          <cell r="G145">
            <v>3443.63</v>
          </cell>
        </row>
        <row r="146">
          <cell r="D146">
            <v>69412</v>
          </cell>
          <cell r="G146">
            <v>3312.3</v>
          </cell>
        </row>
        <row r="147">
          <cell r="D147">
            <v>1343</v>
          </cell>
          <cell r="G147">
            <v>2816.54</v>
          </cell>
        </row>
        <row r="148">
          <cell r="D148">
            <v>30534</v>
          </cell>
          <cell r="G148">
            <v>3458.32</v>
          </cell>
        </row>
        <row r="149">
          <cell r="D149">
            <v>1218</v>
          </cell>
          <cell r="G149">
            <v>3075.52</v>
          </cell>
        </row>
        <row r="159">
          <cell r="A159">
            <v>4094</v>
          </cell>
          <cell r="B159">
            <v>489217</v>
          </cell>
          <cell r="C159">
            <v>12</v>
          </cell>
          <cell r="D159">
            <v>497</v>
          </cell>
          <cell r="E159">
            <v>3579</v>
          </cell>
          <cell r="F159">
            <v>2303</v>
          </cell>
          <cell r="G159">
            <v>6615</v>
          </cell>
        </row>
        <row r="169">
          <cell r="A169">
            <v>16</v>
          </cell>
          <cell r="B169">
            <v>608748</v>
          </cell>
          <cell r="C169">
            <v>78</v>
          </cell>
          <cell r="D169">
            <v>230</v>
          </cell>
          <cell r="E169">
            <v>2381</v>
          </cell>
          <cell r="F169">
            <v>1192</v>
          </cell>
          <cell r="G169">
            <v>2141</v>
          </cell>
        </row>
        <row r="179">
          <cell r="A179">
            <v>4110</v>
          </cell>
          <cell r="B179">
            <v>1097965</v>
          </cell>
          <cell r="C179">
            <v>90</v>
          </cell>
          <cell r="D179">
            <v>727</v>
          </cell>
          <cell r="E179">
            <v>5960</v>
          </cell>
          <cell r="F179">
            <v>3495</v>
          </cell>
          <cell r="G179">
            <v>8756</v>
          </cell>
        </row>
        <row r="189">
          <cell r="C189">
            <v>19451</v>
          </cell>
        </row>
        <row r="199">
          <cell r="C199">
            <v>37.550600000000003</v>
          </cell>
          <cell r="D199">
            <v>661.51</v>
          </cell>
        </row>
        <row r="209">
          <cell r="D209">
            <v>702.07600000000002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20_1T"/>
    </sheetNames>
    <sheetDataSet>
      <sheetData sheetId="0">
        <row r="13">
          <cell r="A13">
            <v>1126031</v>
          </cell>
          <cell r="B13">
            <v>16280</v>
          </cell>
          <cell r="C13">
            <v>16831</v>
          </cell>
        </row>
        <row r="21">
          <cell r="A21">
            <v>589920</v>
          </cell>
          <cell r="B21">
            <v>539776</v>
          </cell>
          <cell r="C21">
            <v>130982</v>
          </cell>
        </row>
        <row r="29">
          <cell r="A29">
            <v>1715951</v>
          </cell>
          <cell r="B29">
            <v>556056</v>
          </cell>
          <cell r="C29">
            <v>147813</v>
          </cell>
        </row>
        <row r="47">
          <cell r="F47">
            <v>76.256100000000004</v>
          </cell>
        </row>
        <row r="48">
          <cell r="F48">
            <v>74.394000000000005</v>
          </cell>
        </row>
        <row r="49">
          <cell r="F49">
            <v>80.376300000000001</v>
          </cell>
        </row>
        <row r="50">
          <cell r="F50">
            <v>82.375299999999996</v>
          </cell>
        </row>
        <row r="51">
          <cell r="F51">
            <v>74.740700000000004</v>
          </cell>
        </row>
        <row r="52">
          <cell r="F52">
            <v>77.649500000000003</v>
          </cell>
        </row>
        <row r="53">
          <cell r="F53">
            <v>74.598500000000001</v>
          </cell>
        </row>
        <row r="54">
          <cell r="F54">
            <v>76.983800000000002</v>
          </cell>
        </row>
        <row r="55">
          <cell r="F55">
            <v>82.086399999999998</v>
          </cell>
        </row>
        <row r="56">
          <cell r="F56">
            <v>74.003600000000006</v>
          </cell>
        </row>
        <row r="57">
          <cell r="F57">
            <v>80.4786</v>
          </cell>
        </row>
        <row r="58">
          <cell r="F58">
            <v>82.412499999999994</v>
          </cell>
        </row>
        <row r="77">
          <cell r="F77">
            <v>621.35900000000004</v>
          </cell>
        </row>
        <row r="78">
          <cell r="F78">
            <v>702.23099999999999</v>
          </cell>
        </row>
        <row r="79">
          <cell r="F79">
            <v>304.55</v>
          </cell>
        </row>
        <row r="80">
          <cell r="F80">
            <v>874.38499999999999</v>
          </cell>
        </row>
        <row r="81">
          <cell r="F81">
            <v>732.72400000000005</v>
          </cell>
        </row>
        <row r="82">
          <cell r="F82">
            <v>518.96199999999999</v>
          </cell>
        </row>
        <row r="83">
          <cell r="F83">
            <v>737.06399999999996</v>
          </cell>
        </row>
        <row r="84">
          <cell r="F84">
            <v>186.10400000000001</v>
          </cell>
        </row>
        <row r="85">
          <cell r="F85">
            <v>971.06600000000003</v>
          </cell>
        </row>
        <row r="86">
          <cell r="F86">
            <v>635.74199999999996</v>
          </cell>
        </row>
        <row r="87">
          <cell r="F87">
            <v>308.12200000000001</v>
          </cell>
        </row>
        <row r="88">
          <cell r="F88">
            <v>861.95899999999995</v>
          </cell>
        </row>
        <row r="101">
          <cell r="D101">
            <v>1083360</v>
          </cell>
          <cell r="E101">
            <v>671720</v>
          </cell>
          <cell r="F101">
            <v>1755080</v>
          </cell>
        </row>
        <row r="102">
          <cell r="D102">
            <v>1142846</v>
          </cell>
          <cell r="E102">
            <v>720859</v>
          </cell>
          <cell r="F102">
            <v>1863705</v>
          </cell>
        </row>
        <row r="110">
          <cell r="D110">
            <v>40.096400000000003</v>
          </cell>
        </row>
        <row r="111">
          <cell r="D111">
            <v>42.042900000000003</v>
          </cell>
        </row>
        <row r="112">
          <cell r="D112">
            <v>37.010599999999997</v>
          </cell>
        </row>
        <row r="130">
          <cell r="D130">
            <v>102314</v>
          </cell>
          <cell r="G130">
            <v>3369.32</v>
          </cell>
        </row>
        <row r="131">
          <cell r="D131">
            <v>99774</v>
          </cell>
          <cell r="G131">
            <v>3379.75</v>
          </cell>
        </row>
        <row r="132">
          <cell r="D132">
            <v>2540</v>
          </cell>
          <cell r="G132">
            <v>2959.67</v>
          </cell>
        </row>
        <row r="133">
          <cell r="D133">
            <v>70542</v>
          </cell>
          <cell r="G133">
            <v>3327.73</v>
          </cell>
        </row>
        <row r="134">
          <cell r="D134">
            <v>31772</v>
          </cell>
          <cell r="G134">
            <v>3461.67</v>
          </cell>
        </row>
        <row r="135">
          <cell r="D135">
            <v>69217</v>
          </cell>
          <cell r="G135">
            <v>3337.02</v>
          </cell>
        </row>
        <row r="136">
          <cell r="D136">
            <v>1325</v>
          </cell>
          <cell r="G136">
            <v>2842.43</v>
          </cell>
        </row>
        <row r="137">
          <cell r="D137">
            <v>30557</v>
          </cell>
          <cell r="G137">
            <v>3476.54</v>
          </cell>
        </row>
        <row r="138">
          <cell r="D138">
            <v>1215</v>
          </cell>
          <cell r="G138">
            <v>3087.54</v>
          </cell>
        </row>
        <row r="146">
          <cell r="A146">
            <v>3910</v>
          </cell>
          <cell r="B146">
            <v>485258</v>
          </cell>
          <cell r="C146">
            <v>14</v>
          </cell>
          <cell r="D146">
            <v>497</v>
          </cell>
          <cell r="E146">
            <v>3463</v>
          </cell>
          <cell r="F146">
            <v>2220</v>
          </cell>
          <cell r="G146">
            <v>6967</v>
          </cell>
        </row>
        <row r="154">
          <cell r="A154">
            <v>16</v>
          </cell>
          <cell r="B154">
            <v>605605</v>
          </cell>
          <cell r="C154">
            <v>93</v>
          </cell>
          <cell r="D154">
            <v>227</v>
          </cell>
          <cell r="E154">
            <v>2304</v>
          </cell>
          <cell r="F154">
            <v>1165</v>
          </cell>
          <cell r="G154">
            <v>2379</v>
          </cell>
        </row>
        <row r="162">
          <cell r="A162">
            <v>3926</v>
          </cell>
          <cell r="B162">
            <v>1090863</v>
          </cell>
          <cell r="C162">
            <v>107</v>
          </cell>
          <cell r="D162">
            <v>724</v>
          </cell>
          <cell r="E162">
            <v>5767</v>
          </cell>
          <cell r="F162">
            <v>3385</v>
          </cell>
          <cell r="G162">
            <v>9346</v>
          </cell>
        </row>
        <row r="170">
          <cell r="C170">
            <v>19671</v>
          </cell>
        </row>
        <row r="178">
          <cell r="C178">
            <v>37.937899999999999</v>
          </cell>
          <cell r="D178">
            <v>673.45600000000002</v>
          </cell>
        </row>
        <row r="186">
          <cell r="D186">
            <v>715.69299999999998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20_2T"/>
    </sheetNames>
    <sheetDataSet>
      <sheetData sheetId="0">
        <row r="13">
          <cell r="A13">
            <v>1116162</v>
          </cell>
          <cell r="B13">
            <v>16316</v>
          </cell>
          <cell r="C13">
            <v>16740</v>
          </cell>
        </row>
        <row r="21">
          <cell r="A21">
            <v>587970</v>
          </cell>
          <cell r="B21">
            <v>535982</v>
          </cell>
          <cell r="C21">
            <v>129915</v>
          </cell>
        </row>
        <row r="29">
          <cell r="A29">
            <v>1704132</v>
          </cell>
          <cell r="B29">
            <v>552298</v>
          </cell>
          <cell r="C29">
            <v>146655</v>
          </cell>
        </row>
        <row r="47">
          <cell r="F47">
            <v>76.316100000000006</v>
          </cell>
        </row>
        <row r="48">
          <cell r="F48">
            <v>74.463099999999997</v>
          </cell>
        </row>
        <row r="49">
          <cell r="F49">
            <v>80.410700000000006</v>
          </cell>
        </row>
        <row r="50">
          <cell r="F50">
            <v>82.429100000000005</v>
          </cell>
        </row>
        <row r="51">
          <cell r="F51">
            <v>74.804599999999994</v>
          </cell>
        </row>
        <row r="52">
          <cell r="F52">
            <v>77.701499999999996</v>
          </cell>
        </row>
        <row r="53">
          <cell r="F53">
            <v>74.6614</v>
          </cell>
        </row>
        <row r="54">
          <cell r="F54">
            <v>77.081699999999998</v>
          </cell>
        </row>
        <row r="55">
          <cell r="F55">
            <v>82.134699999999995</v>
          </cell>
        </row>
        <row r="56">
          <cell r="F56">
            <v>74.086600000000004</v>
          </cell>
        </row>
        <row r="57">
          <cell r="F57">
            <v>80.512</v>
          </cell>
        </row>
        <row r="58">
          <cell r="F58">
            <v>82.466999999999999</v>
          </cell>
        </row>
        <row r="77">
          <cell r="F77">
            <v>626.40899999999999</v>
          </cell>
        </row>
        <row r="78">
          <cell r="F78">
            <v>709.98199999999997</v>
          </cell>
        </row>
        <row r="79">
          <cell r="F79">
            <v>303.029</v>
          </cell>
        </row>
        <row r="80">
          <cell r="F80">
            <v>873.17600000000004</v>
          </cell>
        </row>
        <row r="81">
          <cell r="F81">
            <v>739.697</v>
          </cell>
        </row>
        <row r="82">
          <cell r="F82">
            <v>522.57299999999998</v>
          </cell>
        </row>
        <row r="83">
          <cell r="F83">
            <v>744.35199999999998</v>
          </cell>
        </row>
        <row r="84">
          <cell r="F84">
            <v>186.977</v>
          </cell>
        </row>
        <row r="85">
          <cell r="F85">
            <v>968.02499999999998</v>
          </cell>
        </row>
        <row r="86">
          <cell r="F86">
            <v>644.73500000000001</v>
          </cell>
        </row>
        <row r="87">
          <cell r="F87">
            <v>306.56200000000001</v>
          </cell>
        </row>
        <row r="88">
          <cell r="F88">
            <v>860.95299999999997</v>
          </cell>
        </row>
        <row r="101">
          <cell r="D101">
            <v>1073620</v>
          </cell>
          <cell r="E101">
            <v>668939</v>
          </cell>
          <cell r="F101">
            <v>1742559</v>
          </cell>
        </row>
        <row r="102">
          <cell r="D102">
            <v>1132885</v>
          </cell>
          <cell r="E102">
            <v>717843</v>
          </cell>
          <cell r="F102">
            <v>1850728</v>
          </cell>
        </row>
        <row r="110">
          <cell r="D110">
            <v>40.479799999999997</v>
          </cell>
        </row>
        <row r="111">
          <cell r="D111">
            <v>42.366199999999999</v>
          </cell>
        </row>
        <row r="112">
          <cell r="D112">
            <v>37.502800000000001</v>
          </cell>
        </row>
        <row r="130">
          <cell r="D130">
            <v>101905</v>
          </cell>
          <cell r="G130">
            <v>3373.09</v>
          </cell>
        </row>
        <row r="131">
          <cell r="D131">
            <v>99391</v>
          </cell>
          <cell r="G131">
            <v>3383.31</v>
          </cell>
        </row>
        <row r="132">
          <cell r="D132">
            <v>2514</v>
          </cell>
          <cell r="G132">
            <v>2969</v>
          </cell>
        </row>
        <row r="133">
          <cell r="D133">
            <v>70133</v>
          </cell>
          <cell r="G133">
            <v>3332.72</v>
          </cell>
        </row>
        <row r="134">
          <cell r="D134">
            <v>31772</v>
          </cell>
          <cell r="G134">
            <v>3462.19</v>
          </cell>
        </row>
        <row r="135">
          <cell r="D135">
            <v>68834</v>
          </cell>
          <cell r="G135">
            <v>3341.74</v>
          </cell>
        </row>
        <row r="136">
          <cell r="D136">
            <v>1299</v>
          </cell>
          <cell r="G136">
            <v>2854.83</v>
          </cell>
        </row>
        <row r="137">
          <cell r="D137">
            <v>30557</v>
          </cell>
          <cell r="G137">
            <v>3476.95</v>
          </cell>
        </row>
        <row r="138">
          <cell r="D138">
            <v>1215</v>
          </cell>
          <cell r="G138">
            <v>3091.06</v>
          </cell>
        </row>
        <row r="146">
          <cell r="A146">
            <v>3792</v>
          </cell>
          <cell r="B146">
            <v>479960</v>
          </cell>
          <cell r="C146">
            <v>13</v>
          </cell>
          <cell r="D146">
            <v>501</v>
          </cell>
          <cell r="E146">
            <v>3309</v>
          </cell>
          <cell r="F146">
            <v>2149</v>
          </cell>
          <cell r="G146">
            <v>7325</v>
          </cell>
        </row>
        <row r="154">
          <cell r="A154">
            <v>15</v>
          </cell>
          <cell r="B154">
            <v>601054</v>
          </cell>
          <cell r="C154">
            <v>108</v>
          </cell>
          <cell r="D154">
            <v>226</v>
          </cell>
          <cell r="E154">
            <v>2195</v>
          </cell>
          <cell r="F154">
            <v>1119</v>
          </cell>
          <cell r="G154">
            <v>2570</v>
          </cell>
        </row>
        <row r="162">
          <cell r="A162">
            <v>3807</v>
          </cell>
          <cell r="B162">
            <v>1081014</v>
          </cell>
          <cell r="C162">
            <v>121</v>
          </cell>
          <cell r="D162">
            <v>727</v>
          </cell>
          <cell r="E162">
            <v>5504</v>
          </cell>
          <cell r="F162">
            <v>3268</v>
          </cell>
          <cell r="G162">
            <v>9895</v>
          </cell>
        </row>
        <row r="170">
          <cell r="C170">
            <v>18921</v>
          </cell>
        </row>
        <row r="178">
          <cell r="C178">
            <v>38.2652</v>
          </cell>
          <cell r="D178">
            <v>679.649</v>
          </cell>
        </row>
        <row r="186">
          <cell r="D186">
            <v>722.69200000000001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20_3T"/>
    </sheetNames>
    <sheetDataSet>
      <sheetData sheetId="0">
        <row r="13">
          <cell r="A13">
            <v>1107893</v>
          </cell>
          <cell r="B13">
            <v>16324</v>
          </cell>
          <cell r="C13">
            <v>16693</v>
          </cell>
        </row>
        <row r="21">
          <cell r="A21">
            <v>586353</v>
          </cell>
          <cell r="B21">
            <v>532443</v>
          </cell>
          <cell r="C21">
            <v>129042</v>
          </cell>
        </row>
        <row r="29">
          <cell r="A29">
            <v>1694246</v>
          </cell>
          <cell r="B29">
            <v>548767</v>
          </cell>
          <cell r="C29">
            <v>145735</v>
          </cell>
        </row>
        <row r="47">
          <cell r="F47">
            <v>76.393299999999996</v>
          </cell>
        </row>
        <row r="48">
          <cell r="F48">
            <v>74.544499999999999</v>
          </cell>
        </row>
        <row r="49">
          <cell r="F49">
            <v>80.481499999999997</v>
          </cell>
        </row>
        <row r="50">
          <cell r="F50">
            <v>82.492699999999999</v>
          </cell>
        </row>
        <row r="51">
          <cell r="F51">
            <v>74.880600000000001</v>
          </cell>
        </row>
        <row r="52">
          <cell r="F52">
            <v>77.776300000000006</v>
          </cell>
        </row>
        <row r="53">
          <cell r="F53">
            <v>74.736099999999993</v>
          </cell>
        </row>
        <row r="54">
          <cell r="F54">
            <v>77.196100000000001</v>
          </cell>
        </row>
        <row r="55">
          <cell r="F55">
            <v>82.204499999999996</v>
          </cell>
        </row>
        <row r="56">
          <cell r="F56">
            <v>74.182400000000001</v>
          </cell>
        </row>
        <row r="57">
          <cell r="F57">
            <v>80.5822</v>
          </cell>
        </row>
        <row r="58">
          <cell r="F58">
            <v>82.53</v>
          </cell>
        </row>
        <row r="77">
          <cell r="F77">
            <v>632.726</v>
          </cell>
        </row>
        <row r="78">
          <cell r="F78">
            <v>718.947</v>
          </cell>
        </row>
        <row r="79">
          <cell r="F79">
            <v>302.584</v>
          </cell>
        </row>
        <row r="80">
          <cell r="F80">
            <v>873.55799999999999</v>
          </cell>
        </row>
        <row r="81">
          <cell r="F81">
            <v>747.94399999999996</v>
          </cell>
        </row>
        <row r="82">
          <cell r="F82">
            <v>527.37800000000004</v>
          </cell>
        </row>
        <row r="83">
          <cell r="F83">
            <v>752.88599999999997</v>
          </cell>
        </row>
        <row r="84">
          <cell r="F84">
            <v>188.84800000000001</v>
          </cell>
        </row>
        <row r="85">
          <cell r="F85">
            <v>966.73</v>
          </cell>
        </row>
        <row r="86">
          <cell r="F86">
            <v>654.82000000000005</v>
          </cell>
        </row>
        <row r="87">
          <cell r="F87">
            <v>306.07100000000003</v>
          </cell>
        </row>
        <row r="88">
          <cell r="F88">
            <v>861.50300000000004</v>
          </cell>
        </row>
        <row r="101">
          <cell r="D101">
            <v>1065973</v>
          </cell>
          <cell r="E101">
            <v>666959</v>
          </cell>
          <cell r="F101">
            <v>1732932</v>
          </cell>
        </row>
        <row r="102">
          <cell r="D102">
            <v>1124572</v>
          </cell>
          <cell r="E102">
            <v>715354</v>
          </cell>
          <cell r="F102">
            <v>1839926</v>
          </cell>
        </row>
        <row r="110">
          <cell r="D110">
            <v>40.872799999999998</v>
          </cell>
        </row>
        <row r="111">
          <cell r="D111">
            <v>42.716700000000003</v>
          </cell>
        </row>
        <row r="112">
          <cell r="D112">
            <v>37.9741</v>
          </cell>
        </row>
        <row r="130">
          <cell r="D130">
            <v>101655</v>
          </cell>
          <cell r="G130">
            <v>3378.94</v>
          </cell>
        </row>
        <row r="131">
          <cell r="D131">
            <v>99156</v>
          </cell>
          <cell r="G131">
            <v>3389.17</v>
          </cell>
        </row>
        <row r="132">
          <cell r="D132">
            <v>2499</v>
          </cell>
          <cell r="G132">
            <v>2973.04</v>
          </cell>
        </row>
        <row r="133">
          <cell r="D133">
            <v>69884</v>
          </cell>
          <cell r="G133">
            <v>3340.01</v>
          </cell>
        </row>
        <row r="134">
          <cell r="D134">
            <v>31771</v>
          </cell>
          <cell r="G134">
            <v>3464.57</v>
          </cell>
        </row>
        <row r="135">
          <cell r="D135">
            <v>68594</v>
          </cell>
          <cell r="G135">
            <v>3348.99</v>
          </cell>
        </row>
        <row r="136">
          <cell r="D136">
            <v>1290</v>
          </cell>
          <cell r="G136">
            <v>2862.89</v>
          </cell>
        </row>
        <row r="137">
          <cell r="D137">
            <v>30562</v>
          </cell>
          <cell r="G137">
            <v>3479.37</v>
          </cell>
        </row>
        <row r="138">
          <cell r="D138">
            <v>1209</v>
          </cell>
          <cell r="G138">
            <v>3090.58</v>
          </cell>
        </row>
        <row r="146">
          <cell r="A146">
            <v>3622</v>
          </cell>
          <cell r="B146">
            <v>475625</v>
          </cell>
          <cell r="C146">
            <v>16</v>
          </cell>
          <cell r="D146">
            <v>502</v>
          </cell>
          <cell r="E146">
            <v>3194</v>
          </cell>
          <cell r="F146">
            <v>2065</v>
          </cell>
          <cell r="G146">
            <v>7615</v>
          </cell>
        </row>
        <row r="154">
          <cell r="A154">
            <v>14</v>
          </cell>
          <cell r="B154">
            <v>597143</v>
          </cell>
          <cell r="C154">
            <v>107</v>
          </cell>
          <cell r="D154">
            <v>225</v>
          </cell>
          <cell r="E154">
            <v>2127</v>
          </cell>
          <cell r="F154">
            <v>1069</v>
          </cell>
          <cell r="G154">
            <v>2759</v>
          </cell>
        </row>
        <row r="162">
          <cell r="A162">
            <v>3636</v>
          </cell>
          <cell r="B162">
            <v>1072768</v>
          </cell>
          <cell r="C162">
            <v>123</v>
          </cell>
          <cell r="D162">
            <v>727</v>
          </cell>
          <cell r="E162">
            <v>5321</v>
          </cell>
          <cell r="F162">
            <v>3134</v>
          </cell>
          <cell r="G162">
            <v>10374</v>
          </cell>
        </row>
        <row r="170">
          <cell r="C170">
            <v>18239</v>
          </cell>
        </row>
        <row r="178">
          <cell r="C178">
            <v>38.602600000000002</v>
          </cell>
          <cell r="D178">
            <v>686.88900000000001</v>
          </cell>
        </row>
        <row r="186">
          <cell r="D186">
            <v>730.97400000000005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20_4T"/>
    </sheetNames>
    <sheetDataSet>
      <sheetData sheetId="0">
        <row r="13">
          <cell r="A13">
            <v>1097078</v>
          </cell>
          <cell r="B13">
            <v>16404</v>
          </cell>
          <cell r="C13">
            <v>16657</v>
          </cell>
        </row>
        <row r="21">
          <cell r="A21">
            <v>583845</v>
          </cell>
          <cell r="B21">
            <v>528707</v>
          </cell>
          <cell r="C21">
            <v>128202</v>
          </cell>
        </row>
        <row r="29">
          <cell r="A29">
            <v>1680923</v>
          </cell>
          <cell r="B29">
            <v>545111</v>
          </cell>
        </row>
        <row r="47">
          <cell r="F47">
            <v>76.434100000000001</v>
          </cell>
        </row>
        <row r="48">
          <cell r="F48">
            <v>74.585400000000007</v>
          </cell>
        </row>
        <row r="49">
          <cell r="F49">
            <v>80.5154</v>
          </cell>
        </row>
        <row r="50">
          <cell r="F50">
            <v>82.5291</v>
          </cell>
        </row>
        <row r="51">
          <cell r="F51">
            <v>74.913899999999998</v>
          </cell>
        </row>
        <row r="52">
          <cell r="F52">
            <v>77.818799999999996</v>
          </cell>
        </row>
        <row r="53">
          <cell r="F53">
            <v>74.766599999999997</v>
          </cell>
        </row>
        <row r="54">
          <cell r="F54">
            <v>77.3</v>
          </cell>
        </row>
        <row r="55">
          <cell r="F55">
            <v>82.270499999999998</v>
          </cell>
        </row>
        <row r="56">
          <cell r="F56">
            <v>74.245000000000005</v>
          </cell>
        </row>
        <row r="57">
          <cell r="F57">
            <v>80.615200000000002</v>
          </cell>
        </row>
        <row r="58">
          <cell r="F58">
            <v>82.562700000000007</v>
          </cell>
        </row>
        <row r="77">
          <cell r="F77">
            <v>638.69000000000005</v>
          </cell>
        </row>
        <row r="78">
          <cell r="F78">
            <v>727.82500000000005</v>
          </cell>
        </row>
        <row r="79">
          <cell r="F79">
            <v>301.45499999999998</v>
          </cell>
        </row>
        <row r="80">
          <cell r="F80">
            <v>873.45500000000004</v>
          </cell>
        </row>
        <row r="81">
          <cell r="F81">
            <v>756.39300000000003</v>
          </cell>
        </row>
        <row r="82">
          <cell r="F82">
            <v>531.47799999999995</v>
          </cell>
        </row>
        <row r="83">
          <cell r="F83">
            <v>761.69100000000003</v>
          </cell>
        </row>
        <row r="84">
          <cell r="F84">
            <v>189.10900000000001</v>
          </cell>
        </row>
        <row r="85">
          <cell r="F85">
            <v>966.10199999999998</v>
          </cell>
        </row>
        <row r="86">
          <cell r="F86">
            <v>664.18700000000001</v>
          </cell>
        </row>
        <row r="87">
          <cell r="F87">
            <v>304.94099999999997</v>
          </cell>
        </row>
        <row r="88">
          <cell r="F88">
            <v>861.41499999999996</v>
          </cell>
        </row>
        <row r="101">
          <cell r="D101">
            <v>1056164</v>
          </cell>
          <cell r="E101">
            <v>664211</v>
          </cell>
          <cell r="F101">
            <v>1720375</v>
          </cell>
        </row>
        <row r="102">
          <cell r="D102">
            <v>1113721</v>
          </cell>
          <cell r="E102">
            <v>712007</v>
          </cell>
          <cell r="F102">
            <v>1825728</v>
          </cell>
        </row>
        <row r="110">
          <cell r="D110">
            <v>41.285600000000002</v>
          </cell>
        </row>
        <row r="111">
          <cell r="D111">
            <v>43.097200000000001</v>
          </cell>
        </row>
        <row r="112">
          <cell r="D112">
            <v>38.451999999999998</v>
          </cell>
        </row>
        <row r="130">
          <cell r="D130">
            <v>101307</v>
          </cell>
          <cell r="G130">
            <v>3383.29</v>
          </cell>
        </row>
        <row r="131">
          <cell r="D131">
            <v>98809</v>
          </cell>
        </row>
        <row r="132">
          <cell r="D132">
            <v>2498</v>
          </cell>
        </row>
        <row r="133">
          <cell r="D133">
            <v>69545</v>
          </cell>
          <cell r="G133">
            <v>3345.43</v>
          </cell>
        </row>
        <row r="134">
          <cell r="D134">
            <v>31762</v>
          </cell>
          <cell r="G134">
            <v>3466.18</v>
          </cell>
        </row>
        <row r="135">
          <cell r="D135">
            <v>68261</v>
          </cell>
          <cell r="G135">
            <v>3354.5</v>
          </cell>
        </row>
        <row r="136">
          <cell r="D136">
            <v>1284</v>
          </cell>
          <cell r="G136">
            <v>2863.24</v>
          </cell>
        </row>
        <row r="137">
          <cell r="D137">
            <v>30548</v>
          </cell>
          <cell r="G137">
            <v>3481.09</v>
          </cell>
        </row>
        <row r="138">
          <cell r="D138">
            <v>1214</v>
          </cell>
          <cell r="G138">
            <v>3091.21</v>
          </cell>
        </row>
        <row r="146">
          <cell r="A146">
            <v>3415</v>
          </cell>
          <cell r="B146">
            <v>469626</v>
          </cell>
          <cell r="C146">
            <v>11</v>
          </cell>
          <cell r="D146">
            <v>502</v>
          </cell>
          <cell r="E146">
            <v>3084</v>
          </cell>
          <cell r="F146">
            <v>1952</v>
          </cell>
          <cell r="G146">
            <v>7972</v>
          </cell>
        </row>
        <row r="154">
          <cell r="A154">
            <v>14</v>
          </cell>
          <cell r="B154">
            <v>592456</v>
          </cell>
          <cell r="C154">
            <v>94</v>
          </cell>
          <cell r="D154">
            <v>231</v>
          </cell>
          <cell r="E154">
            <v>2034</v>
          </cell>
          <cell r="F154">
            <v>1024</v>
          </cell>
          <cell r="G154">
            <v>2947</v>
          </cell>
        </row>
        <row r="162">
          <cell r="A162">
            <v>3429</v>
          </cell>
          <cell r="B162">
            <v>1062082</v>
          </cell>
          <cell r="C162">
            <v>105</v>
          </cell>
          <cell r="D162">
            <v>733</v>
          </cell>
          <cell r="E162">
            <v>5118</v>
          </cell>
          <cell r="F162">
            <v>2976</v>
          </cell>
          <cell r="G162">
            <v>10919</v>
          </cell>
        </row>
        <row r="170">
          <cell r="C170">
            <v>18199</v>
          </cell>
        </row>
        <row r="178">
          <cell r="C178">
            <v>38.949399999999997</v>
          </cell>
          <cell r="D178">
            <v>693.77499999999998</v>
          </cell>
        </row>
        <row r="186">
          <cell r="D186">
            <v>739.173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21_1T"/>
    </sheetNames>
    <sheetDataSet>
      <sheetData sheetId="0">
        <row r="13">
          <cell r="A13">
            <v>1087741</v>
          </cell>
          <cell r="B13">
            <v>16391</v>
          </cell>
          <cell r="C13">
            <v>16460</v>
          </cell>
        </row>
        <row r="21">
          <cell r="A21">
            <v>582575</v>
          </cell>
          <cell r="B21">
            <v>524433</v>
          </cell>
          <cell r="C21">
            <v>127094</v>
          </cell>
        </row>
        <row r="29">
          <cell r="A29">
            <v>1670316</v>
          </cell>
          <cell r="B29">
            <v>540824</v>
          </cell>
        </row>
        <row r="47">
          <cell r="F47">
            <v>76.486999999999995</v>
          </cell>
        </row>
        <row r="48">
          <cell r="F48">
            <v>74.649000000000001</v>
          </cell>
        </row>
        <row r="49">
          <cell r="F49">
            <v>80.552999999999997</v>
          </cell>
        </row>
        <row r="50">
          <cell r="F50">
            <v>82.558000000000007</v>
          </cell>
        </row>
        <row r="51">
          <cell r="F51">
            <v>74.975999999999999</v>
          </cell>
        </row>
        <row r="52">
          <cell r="F52">
            <v>77.86</v>
          </cell>
        </row>
        <row r="53">
          <cell r="F53">
            <v>74.83</v>
          </cell>
        </row>
        <row r="54">
          <cell r="F54">
            <v>77.334999999999994</v>
          </cell>
        </row>
        <row r="55">
          <cell r="F55">
            <v>82.275000000000006</v>
          </cell>
        </row>
        <row r="56">
          <cell r="F56">
            <v>74.311999999999998</v>
          </cell>
        </row>
        <row r="57">
          <cell r="F57">
            <v>80.653999999999996</v>
          </cell>
        </row>
        <row r="58">
          <cell r="F58">
            <v>82.593999999999994</v>
          </cell>
        </row>
        <row r="77">
          <cell r="F77">
            <v>647.91</v>
          </cell>
        </row>
        <row r="78">
          <cell r="F78">
            <v>740.47</v>
          </cell>
        </row>
        <row r="79">
          <cell r="F79">
            <v>301.44</v>
          </cell>
        </row>
        <row r="80">
          <cell r="F80">
            <v>876.31</v>
          </cell>
        </row>
        <row r="81">
          <cell r="F81">
            <v>768.09</v>
          </cell>
        </row>
        <row r="82">
          <cell r="F82">
            <v>538.79</v>
          </cell>
        </row>
        <row r="83">
          <cell r="F83">
            <v>773.75</v>
          </cell>
        </row>
        <row r="84">
          <cell r="F84">
            <v>191.9</v>
          </cell>
        </row>
        <row r="85">
          <cell r="F85">
            <v>967.85</v>
          </cell>
        </row>
        <row r="86">
          <cell r="F86">
            <v>678.33</v>
          </cell>
        </row>
        <row r="87">
          <cell r="F87">
            <v>304.87</v>
          </cell>
        </row>
        <row r="88">
          <cell r="F88">
            <v>864.45</v>
          </cell>
        </row>
        <row r="101">
          <cell r="D101">
            <v>1046486</v>
          </cell>
          <cell r="E101">
            <v>661863</v>
          </cell>
          <cell r="F101">
            <v>1708349</v>
          </cell>
        </row>
        <row r="102">
          <cell r="D102">
            <v>1104184</v>
          </cell>
          <cell r="E102">
            <v>709629</v>
          </cell>
          <cell r="F102">
            <v>1813813</v>
          </cell>
        </row>
        <row r="110">
          <cell r="D110">
            <v>41.766599999999997</v>
          </cell>
        </row>
        <row r="111">
          <cell r="D111">
            <v>43.505899999999997</v>
          </cell>
        </row>
        <row r="112">
          <cell r="D112">
            <v>39.060099999999998</v>
          </cell>
        </row>
        <row r="130">
          <cell r="D130">
            <v>100908</v>
          </cell>
          <cell r="G130">
            <v>3400.7</v>
          </cell>
        </row>
        <row r="131">
          <cell r="D131">
            <v>98449</v>
          </cell>
        </row>
        <row r="132">
          <cell r="D132">
            <v>2459</v>
          </cell>
        </row>
        <row r="133">
          <cell r="D133">
            <v>69124</v>
          </cell>
          <cell r="G133">
            <v>3364</v>
          </cell>
        </row>
        <row r="134">
          <cell r="D134">
            <v>31784</v>
          </cell>
          <cell r="G134">
            <v>3480.7</v>
          </cell>
        </row>
        <row r="135">
          <cell r="D135">
            <v>67880</v>
          </cell>
          <cell r="G135">
            <v>3372.9</v>
          </cell>
        </row>
        <row r="136">
          <cell r="D136">
            <v>1244</v>
          </cell>
          <cell r="G136">
            <v>2878.4</v>
          </cell>
        </row>
        <row r="137">
          <cell r="D137">
            <v>30569</v>
          </cell>
          <cell r="G137">
            <v>3495.7</v>
          </cell>
        </row>
        <row r="138">
          <cell r="D138">
            <v>1215</v>
          </cell>
          <cell r="G138">
            <v>3103.9</v>
          </cell>
        </row>
        <row r="146">
          <cell r="A146">
            <v>3233</v>
          </cell>
          <cell r="B146">
            <v>463971</v>
          </cell>
          <cell r="C146">
            <v>10</v>
          </cell>
          <cell r="D146">
            <v>500</v>
          </cell>
          <cell r="E146">
            <v>2947</v>
          </cell>
          <cell r="F146">
            <v>1866</v>
          </cell>
          <cell r="G146">
            <v>8268</v>
          </cell>
        </row>
        <row r="154">
          <cell r="A154">
            <v>12</v>
          </cell>
          <cell r="B154">
            <v>587773</v>
          </cell>
          <cell r="C154">
            <v>101</v>
          </cell>
          <cell r="D154">
            <v>234</v>
          </cell>
          <cell r="E154">
            <v>1952</v>
          </cell>
          <cell r="F154">
            <v>993</v>
          </cell>
          <cell r="G154">
            <v>3187</v>
          </cell>
        </row>
        <row r="162">
          <cell r="A162">
            <v>3245</v>
          </cell>
          <cell r="B162">
            <v>1051744</v>
          </cell>
          <cell r="C162">
            <v>111</v>
          </cell>
          <cell r="D162">
            <v>734</v>
          </cell>
          <cell r="E162">
            <v>4899</v>
          </cell>
          <cell r="F162">
            <v>2859</v>
          </cell>
          <cell r="G162">
            <v>11455</v>
          </cell>
        </row>
        <row r="170">
          <cell r="C170">
            <v>18339</v>
          </cell>
        </row>
        <row r="178">
          <cell r="C178">
            <v>39.380899999999997</v>
          </cell>
          <cell r="D178">
            <v>704.84400000000005</v>
          </cell>
        </row>
        <row r="186">
          <cell r="D186">
            <v>751.00699999999995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21_2T"/>
    </sheetNames>
    <sheetDataSet>
      <sheetData sheetId="0">
        <row r="13">
          <cell r="A13">
            <v>1078308</v>
          </cell>
          <cell r="B13">
            <v>16394</v>
          </cell>
          <cell r="C13">
            <v>16333</v>
          </cell>
        </row>
        <row r="21">
          <cell r="A21">
            <v>580880</v>
          </cell>
          <cell r="B21">
            <v>521583</v>
          </cell>
          <cell r="C21">
            <v>125970</v>
          </cell>
        </row>
        <row r="29">
          <cell r="A29">
            <v>1659188</v>
          </cell>
          <cell r="B29">
            <v>537977</v>
          </cell>
          <cell r="C29">
            <v>142303</v>
          </cell>
        </row>
        <row r="47">
          <cell r="F47">
            <v>76.548100000000005</v>
          </cell>
        </row>
        <row r="48">
          <cell r="F48">
            <v>74.719300000000004</v>
          </cell>
        </row>
        <row r="49">
          <cell r="F49">
            <v>80.591300000000004</v>
          </cell>
        </row>
        <row r="50">
          <cell r="F50">
            <v>82.586100000000002</v>
          </cell>
        </row>
        <row r="51">
          <cell r="F51">
            <v>75.038899999999998</v>
          </cell>
        </row>
        <row r="52">
          <cell r="F52">
            <v>77.9131</v>
          </cell>
        </row>
        <row r="53">
          <cell r="F53">
            <v>74.892700000000005</v>
          </cell>
        </row>
        <row r="54">
          <cell r="F54">
            <v>77.444100000000006</v>
          </cell>
        </row>
        <row r="55">
          <cell r="F55">
            <v>82.281999999999996</v>
          </cell>
        </row>
        <row r="56">
          <cell r="F56">
            <v>74.397599999999997</v>
          </cell>
        </row>
        <row r="57">
          <cell r="F57">
            <v>80.690299999999993</v>
          </cell>
        </row>
        <row r="58">
          <cell r="F58">
            <v>82.625600000000006</v>
          </cell>
        </row>
        <row r="77">
          <cell r="G77">
            <v>2614.2959999999998</v>
          </cell>
        </row>
        <row r="78">
          <cell r="G78">
            <v>2996.348</v>
          </cell>
        </row>
        <row r="79">
          <cell r="G79">
            <v>1200.4880000000001</v>
          </cell>
        </row>
        <row r="80">
          <cell r="G80">
            <v>3504.8960000000002</v>
          </cell>
        </row>
        <row r="81">
          <cell r="F81">
            <v>775.85</v>
          </cell>
        </row>
        <row r="82">
          <cell r="F82">
            <v>542.98</v>
          </cell>
        </row>
        <row r="83">
          <cell r="F83">
            <v>781.85400000000004</v>
          </cell>
        </row>
        <row r="84">
          <cell r="F84">
            <v>191.934</v>
          </cell>
        </row>
        <row r="85">
          <cell r="F85">
            <v>965.55499999999995</v>
          </cell>
        </row>
        <row r="86">
          <cell r="F86">
            <v>688.25800000000004</v>
          </cell>
        </row>
        <row r="87">
          <cell r="F87">
            <v>303.52199999999999</v>
          </cell>
        </row>
        <row r="88">
          <cell r="F88">
            <v>864.63900000000001</v>
          </cell>
        </row>
        <row r="101">
          <cell r="D101">
            <v>1036997</v>
          </cell>
          <cell r="E101">
            <v>659151</v>
          </cell>
          <cell r="F101">
            <v>1696148</v>
          </cell>
        </row>
        <row r="102">
          <cell r="D102">
            <v>1094616</v>
          </cell>
          <cell r="E102">
            <v>706798</v>
          </cell>
          <cell r="F102">
            <v>1801414</v>
          </cell>
        </row>
        <row r="110">
          <cell r="D110">
            <v>42.155299999999997</v>
          </cell>
        </row>
        <row r="111">
          <cell r="D111">
            <v>43.831800000000001</v>
          </cell>
        </row>
        <row r="112">
          <cell r="D112">
            <v>39.558999999999997</v>
          </cell>
        </row>
        <row r="130">
          <cell r="D130">
            <v>100467</v>
          </cell>
          <cell r="H130">
            <v>13622.48</v>
          </cell>
        </row>
        <row r="131">
          <cell r="D131">
            <v>98034</v>
          </cell>
          <cell r="H131">
            <v>13662.96</v>
          </cell>
        </row>
        <row r="132">
          <cell r="D132">
            <v>2433</v>
          </cell>
          <cell r="H132">
            <v>11991.4</v>
          </cell>
        </row>
        <row r="133">
          <cell r="D133">
            <v>68715</v>
          </cell>
          <cell r="H133">
            <v>13481.04</v>
          </cell>
        </row>
        <row r="134">
          <cell r="D134">
            <v>31752</v>
          </cell>
          <cell r="H134">
            <v>13928.68</v>
          </cell>
        </row>
        <row r="135">
          <cell r="D135">
            <v>67491</v>
          </cell>
          <cell r="H135">
            <v>13516.24</v>
          </cell>
        </row>
        <row r="136">
          <cell r="D136">
            <v>1224</v>
          </cell>
          <cell r="H136">
            <v>11538.48</v>
          </cell>
        </row>
        <row r="137">
          <cell r="D137">
            <v>30543</v>
          </cell>
          <cell r="H137">
            <v>13987.2</v>
          </cell>
        </row>
        <row r="138">
          <cell r="D138">
            <v>1209</v>
          </cell>
          <cell r="H138">
            <v>12449.92</v>
          </cell>
        </row>
        <row r="146">
          <cell r="A146">
            <v>3030</v>
          </cell>
          <cell r="B146">
            <v>458648</v>
          </cell>
          <cell r="C146">
            <v>10</v>
          </cell>
          <cell r="D146">
            <v>507</v>
          </cell>
          <cell r="E146">
            <v>2836</v>
          </cell>
          <cell r="F146">
            <v>1790</v>
          </cell>
          <cell r="G146">
            <v>8571</v>
          </cell>
        </row>
        <row r="154">
          <cell r="A154">
            <v>13</v>
          </cell>
          <cell r="B154">
            <v>583735</v>
          </cell>
          <cell r="C154">
            <v>113</v>
          </cell>
          <cell r="D154">
            <v>234</v>
          </cell>
          <cell r="E154">
            <v>1885</v>
          </cell>
          <cell r="F154">
            <v>973</v>
          </cell>
          <cell r="G154">
            <v>3362</v>
          </cell>
        </row>
        <row r="162">
          <cell r="A162">
            <v>3043</v>
          </cell>
          <cell r="B162">
            <v>1042383</v>
          </cell>
          <cell r="C162">
            <v>123</v>
          </cell>
          <cell r="D162">
            <v>741</v>
          </cell>
          <cell r="E162">
            <v>4721</v>
          </cell>
          <cell r="F162">
            <v>2763</v>
          </cell>
          <cell r="G162">
            <v>11933</v>
          </cell>
        </row>
        <row r="170">
          <cell r="C170">
            <v>17535</v>
          </cell>
        </row>
        <row r="178">
          <cell r="C178">
            <v>39.713799999999999</v>
          </cell>
          <cell r="E178">
            <v>2846.9960000000001</v>
          </cell>
        </row>
        <row r="186">
          <cell r="E186">
            <v>3035.6439999999998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1T2010"/>
    </sheetNames>
    <sheetDataSet>
      <sheetData sheetId="0">
        <row r="4">
          <cell r="A4">
            <v>1255851</v>
          </cell>
          <cell r="B4">
            <v>11275</v>
          </cell>
          <cell r="C4">
            <v>16503</v>
          </cell>
        </row>
        <row r="14">
          <cell r="A14">
            <v>519203</v>
          </cell>
          <cell r="B14">
            <v>564719</v>
          </cell>
          <cell r="C14">
            <v>146865</v>
          </cell>
        </row>
        <row r="24">
          <cell r="A24">
            <v>1775054</v>
          </cell>
          <cell r="B24">
            <v>575994</v>
          </cell>
          <cell r="C24">
            <v>163368</v>
          </cell>
        </row>
        <row r="46">
          <cell r="F46">
            <v>74.311099999999996</v>
          </cell>
        </row>
        <row r="47">
          <cell r="F47">
            <v>72.774799999999999</v>
          </cell>
        </row>
        <row r="48">
          <cell r="F48">
            <v>77.541399999999996</v>
          </cell>
        </row>
        <row r="49">
          <cell r="F49">
            <v>79.622699999999995</v>
          </cell>
        </row>
        <row r="51">
          <cell r="F51">
            <v>72.927400000000006</v>
          </cell>
        </row>
        <row r="52">
          <cell r="F52">
            <v>75.754300000000001</v>
          </cell>
        </row>
        <row r="53">
          <cell r="F53">
            <v>72.827600000000004</v>
          </cell>
        </row>
        <row r="54">
          <cell r="F54">
            <v>74.554400000000001</v>
          </cell>
        </row>
        <row r="55">
          <cell r="F55">
            <v>79.403599999999997</v>
          </cell>
        </row>
        <row r="57">
          <cell r="F57">
            <v>72.646900000000002</v>
          </cell>
        </row>
        <row r="58">
          <cell r="F58">
            <v>77.600999999999999</v>
          </cell>
        </row>
        <row r="59">
          <cell r="F59">
            <v>79.647300000000001</v>
          </cell>
        </row>
        <row r="84">
          <cell r="G84">
            <v>2188.6799999999998</v>
          </cell>
        </row>
        <row r="85">
          <cell r="G85">
            <v>2316.2399999999998</v>
          </cell>
        </row>
        <row r="86">
          <cell r="G86">
            <v>1401.96</v>
          </cell>
        </row>
        <row r="87">
          <cell r="G87">
            <v>3577.08</v>
          </cell>
        </row>
        <row r="89">
          <cell r="G89">
            <v>2469.08</v>
          </cell>
        </row>
        <row r="90">
          <cell r="G90">
            <v>1896.24</v>
          </cell>
        </row>
        <row r="91">
          <cell r="G91">
            <v>2461</v>
          </cell>
        </row>
        <row r="92">
          <cell r="G92">
            <v>815.28</v>
          </cell>
        </row>
        <row r="93">
          <cell r="G93">
            <v>4212.16</v>
          </cell>
        </row>
        <row r="95">
          <cell r="G95">
            <v>1966.08</v>
          </cell>
        </row>
        <row r="96">
          <cell r="G96">
            <v>1413.68</v>
          </cell>
        </row>
        <row r="97">
          <cell r="G97">
            <v>3505.68</v>
          </cell>
        </row>
        <row r="115">
          <cell r="D115">
            <v>0.90457814583953899</v>
          </cell>
          <cell r="E115">
            <v>0.84662886175382968</v>
          </cell>
          <cell r="F115">
            <v>0.88466649676902143</v>
          </cell>
        </row>
        <row r="124">
          <cell r="D124">
            <v>37.273400000000002</v>
          </cell>
        </row>
        <row r="125">
          <cell r="D125">
            <v>40.067900000000002</v>
          </cell>
        </row>
        <row r="126">
          <cell r="D126">
            <v>31.934999999999999</v>
          </cell>
        </row>
        <row r="148">
          <cell r="D148">
            <v>87292</v>
          </cell>
          <cell r="H148">
            <v>11348.84</v>
          </cell>
        </row>
        <row r="149">
          <cell r="D149">
            <v>84375</v>
          </cell>
          <cell r="H149">
            <v>11374.44</v>
          </cell>
        </row>
        <row r="150">
          <cell r="D150">
            <v>2917</v>
          </cell>
          <cell r="H150">
            <v>10607.84</v>
          </cell>
        </row>
        <row r="151">
          <cell r="D151">
            <v>66729</v>
          </cell>
          <cell r="H151">
            <v>11105.28</v>
          </cell>
        </row>
        <row r="152">
          <cell r="D152">
            <v>20563</v>
          </cell>
          <cell r="H152">
            <v>12139.2</v>
          </cell>
        </row>
        <row r="153">
          <cell r="D153">
            <v>65022</v>
          </cell>
          <cell r="H153">
            <v>11129.72</v>
          </cell>
        </row>
        <row r="154">
          <cell r="D154">
            <v>1707</v>
          </cell>
          <cell r="H154">
            <v>10174.36</v>
          </cell>
        </row>
        <row r="155">
          <cell r="D155">
            <v>19353</v>
          </cell>
          <cell r="H155">
            <v>12196.68</v>
          </cell>
        </row>
        <row r="156">
          <cell r="D156">
            <v>1210</v>
          </cell>
          <cell r="H156">
            <v>11219.4</v>
          </cell>
        </row>
        <row r="166">
          <cell r="A166">
            <v>13200</v>
          </cell>
          <cell r="B166">
            <v>587878</v>
          </cell>
          <cell r="C166">
            <v>6</v>
          </cell>
          <cell r="D166">
            <v>667</v>
          </cell>
          <cell r="E166">
            <v>11067</v>
          </cell>
          <cell r="F166">
            <v>5896</v>
          </cell>
          <cell r="G166">
            <v>1944</v>
          </cell>
        </row>
        <row r="176">
          <cell r="A176">
            <v>80</v>
          </cell>
          <cell r="B176">
            <v>642567</v>
          </cell>
          <cell r="C176">
            <v>179</v>
          </cell>
          <cell r="D176">
            <v>251</v>
          </cell>
          <cell r="E176">
            <v>7142</v>
          </cell>
          <cell r="F176">
            <v>2740</v>
          </cell>
          <cell r="G176">
            <v>500</v>
          </cell>
        </row>
        <row r="186">
          <cell r="A186">
            <v>13280</v>
          </cell>
          <cell r="B186">
            <v>1230445</v>
          </cell>
          <cell r="C186">
            <v>185</v>
          </cell>
          <cell r="D186">
            <v>918</v>
          </cell>
          <cell r="E186">
            <v>18209</v>
          </cell>
          <cell r="F186">
            <v>8636</v>
          </cell>
          <cell r="G186">
            <v>2444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21_3T"/>
    </sheetNames>
    <sheetDataSet>
      <sheetData sheetId="0">
        <row r="13">
          <cell r="A13">
            <v>1071026</v>
          </cell>
          <cell r="B13">
            <v>16494</v>
          </cell>
          <cell r="C13">
            <v>16282</v>
          </cell>
        </row>
        <row r="21">
          <cell r="A21">
            <v>579608</v>
          </cell>
          <cell r="B21">
            <v>520112</v>
          </cell>
          <cell r="C21">
            <v>125375</v>
          </cell>
        </row>
        <row r="29">
          <cell r="A29">
            <v>1650634</v>
          </cell>
          <cell r="B29">
            <v>536606</v>
          </cell>
          <cell r="C29">
            <v>141657</v>
          </cell>
        </row>
        <row r="47">
          <cell r="F47">
            <v>76.624300000000005</v>
          </cell>
        </row>
        <row r="48">
          <cell r="F48">
            <v>74.797399999999996</v>
          </cell>
        </row>
        <row r="49">
          <cell r="F49">
            <v>80.654499999999999</v>
          </cell>
        </row>
        <row r="50">
          <cell r="F50">
            <v>82.645700000000005</v>
          </cell>
        </row>
        <row r="51">
          <cell r="F51">
            <v>75.1143</v>
          </cell>
        </row>
        <row r="52">
          <cell r="F52">
            <v>77.984800000000007</v>
          </cell>
        </row>
        <row r="53">
          <cell r="F53">
            <v>74.966499999999996</v>
          </cell>
        </row>
        <row r="54">
          <cell r="F54">
            <v>77.567400000000006</v>
          </cell>
        </row>
        <row r="55">
          <cell r="F55">
            <v>82.355699999999999</v>
          </cell>
        </row>
        <row r="56">
          <cell r="F56">
            <v>74.484999999999999</v>
          </cell>
        </row>
        <row r="57">
          <cell r="F57">
            <v>80.752399999999994</v>
          </cell>
        </row>
        <row r="58">
          <cell r="F58">
            <v>82.683400000000006</v>
          </cell>
        </row>
        <row r="77">
          <cell r="G77">
            <v>2639.0680000000002</v>
          </cell>
        </row>
        <row r="78">
          <cell r="G78">
            <v>3033.4760000000001</v>
          </cell>
        </row>
        <row r="79">
          <cell r="G79">
            <v>1196.9639999999999</v>
          </cell>
        </row>
        <row r="80">
          <cell r="G80">
            <v>3506.22</v>
          </cell>
        </row>
        <row r="81">
          <cell r="F81">
            <v>784.31200000000001</v>
          </cell>
        </row>
        <row r="82">
          <cell r="F82">
            <v>547.548</v>
          </cell>
        </row>
        <row r="83">
          <cell r="F83">
            <v>790.61900000000003</v>
          </cell>
        </row>
        <row r="84">
          <cell r="F84">
            <v>192.82400000000001</v>
          </cell>
        </row>
        <row r="85">
          <cell r="F85">
            <v>968.64300000000003</v>
          </cell>
        </row>
        <row r="86">
          <cell r="F86">
            <v>698.77499999999998</v>
          </cell>
        </row>
        <row r="87">
          <cell r="F87">
            <v>302.61599999999999</v>
          </cell>
        </row>
        <row r="88">
          <cell r="F88">
            <v>864.59299999999996</v>
          </cell>
        </row>
        <row r="101">
          <cell r="D101">
            <v>1029632</v>
          </cell>
          <cell r="E101">
            <v>657267</v>
          </cell>
          <cell r="F101">
            <v>1686899</v>
          </cell>
        </row>
        <row r="102">
          <cell r="D102">
            <v>1087297</v>
          </cell>
          <cell r="E102">
            <v>704938</v>
          </cell>
          <cell r="F102">
            <v>1792235</v>
          </cell>
        </row>
        <row r="110">
          <cell r="D110">
            <v>42.5822</v>
          </cell>
        </row>
        <row r="111">
          <cell r="D111">
            <v>44.2102</v>
          </cell>
        </row>
        <row r="112">
          <cell r="D112">
            <v>40.071100000000001</v>
          </cell>
        </row>
        <row r="130">
          <cell r="D130">
            <v>100217</v>
          </cell>
          <cell r="H130">
            <v>13636.4</v>
          </cell>
        </row>
        <row r="131">
          <cell r="D131">
            <v>97788</v>
          </cell>
          <cell r="H131">
            <v>13676.92</v>
          </cell>
        </row>
        <row r="132">
          <cell r="D132">
            <v>2429</v>
          </cell>
          <cell r="H132">
            <v>12004.92</v>
          </cell>
        </row>
        <row r="133">
          <cell r="D133">
            <v>68455</v>
          </cell>
          <cell r="H133">
            <v>13498.32</v>
          </cell>
        </row>
        <row r="134">
          <cell r="D134">
            <v>31762</v>
          </cell>
          <cell r="H134">
            <v>13933.96</v>
          </cell>
        </row>
        <row r="135">
          <cell r="D135">
            <v>67235</v>
          </cell>
          <cell r="H135">
            <v>13533.52</v>
          </cell>
        </row>
        <row r="136">
          <cell r="D136">
            <v>1220</v>
          </cell>
          <cell r="H136">
            <v>11557.28</v>
          </cell>
        </row>
        <row r="137">
          <cell r="D137">
            <v>30553</v>
          </cell>
          <cell r="H137">
            <v>13992.44</v>
          </cell>
        </row>
        <row r="138">
          <cell r="D138">
            <v>1209</v>
          </cell>
          <cell r="H138">
            <v>12456.64</v>
          </cell>
        </row>
        <row r="146">
          <cell r="A146">
            <v>2878</v>
          </cell>
          <cell r="B146">
            <v>454341</v>
          </cell>
          <cell r="C146">
            <v>10</v>
          </cell>
          <cell r="D146">
            <v>513</v>
          </cell>
          <cell r="E146">
            <v>2738</v>
          </cell>
          <cell r="F146">
            <v>1725</v>
          </cell>
          <cell r="G146">
            <v>8868</v>
          </cell>
        </row>
        <row r="154">
          <cell r="A154">
            <v>11</v>
          </cell>
          <cell r="B154">
            <v>581069</v>
          </cell>
          <cell r="C154">
            <v>110</v>
          </cell>
          <cell r="D154">
            <v>241</v>
          </cell>
          <cell r="E154">
            <v>1811</v>
          </cell>
          <cell r="F154">
            <v>936</v>
          </cell>
          <cell r="G154">
            <v>3577</v>
          </cell>
        </row>
        <row r="162">
          <cell r="A162">
            <v>2889</v>
          </cell>
          <cell r="B162">
            <v>1035410</v>
          </cell>
          <cell r="C162">
            <v>120</v>
          </cell>
          <cell r="D162">
            <v>754</v>
          </cell>
          <cell r="E162">
            <v>4549</v>
          </cell>
          <cell r="F162">
            <v>2661</v>
          </cell>
          <cell r="G162">
            <v>12445</v>
          </cell>
        </row>
        <row r="170">
          <cell r="C170">
            <v>16754</v>
          </cell>
        </row>
        <row r="178">
          <cell r="C178">
            <v>40.080100000000002</v>
          </cell>
          <cell r="E178">
            <v>2876.9119999999998</v>
          </cell>
        </row>
        <row r="186">
          <cell r="E186">
            <v>3069.9560000000001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21_4T"/>
    </sheetNames>
    <sheetDataSet>
      <sheetData sheetId="0">
        <row r="9">
          <cell r="A9">
            <v>1064147</v>
          </cell>
          <cell r="B9">
            <v>16578</v>
          </cell>
          <cell r="C9">
            <v>16242</v>
          </cell>
        </row>
        <row r="14">
          <cell r="A14">
            <v>577638</v>
          </cell>
          <cell r="B14">
            <v>518117</v>
          </cell>
          <cell r="C14">
            <v>124911</v>
          </cell>
        </row>
        <row r="19">
          <cell r="A19">
            <v>1641785</v>
          </cell>
          <cell r="B19">
            <v>534695</v>
          </cell>
          <cell r="C19">
            <v>141153</v>
          </cell>
        </row>
        <row r="76">
          <cell r="B76">
            <v>857846</v>
          </cell>
          <cell r="C76">
            <v>547287</v>
          </cell>
          <cell r="D76">
            <v>1405133</v>
          </cell>
        </row>
        <row r="77">
          <cell r="B77">
            <v>1073228</v>
          </cell>
          <cell r="C77">
            <v>700629</v>
          </cell>
          <cell r="D77">
            <v>1773857</v>
          </cell>
        </row>
        <row r="96">
          <cell r="D96">
            <v>125278</v>
          </cell>
          <cell r="G96">
            <v>3383.3492153450702</v>
          </cell>
        </row>
        <row r="97">
          <cell r="D97">
            <v>122129</v>
          </cell>
          <cell r="G97">
            <v>3393.6292199231998</v>
          </cell>
        </row>
        <row r="98">
          <cell r="D98">
            <v>3149</v>
          </cell>
          <cell r="G98">
            <v>2984.6554461733899</v>
          </cell>
        </row>
        <row r="99">
          <cell r="D99">
            <v>76614</v>
          </cell>
          <cell r="G99">
            <v>3455.0236118725002</v>
          </cell>
        </row>
        <row r="100">
          <cell r="D100">
            <v>48664</v>
          </cell>
          <cell r="G100">
            <v>3270.5088771987498</v>
          </cell>
        </row>
        <row r="101">
          <cell r="D101">
            <v>75440</v>
          </cell>
          <cell r="G101">
            <v>3462.8755567338299</v>
          </cell>
        </row>
        <row r="102">
          <cell r="D102">
            <v>1174</v>
          </cell>
          <cell r="G102">
            <v>2950.4659284497402</v>
          </cell>
        </row>
        <row r="103">
          <cell r="D103">
            <v>46689</v>
          </cell>
          <cell r="G103">
            <v>3281.7411167512701</v>
          </cell>
        </row>
        <row r="104">
          <cell r="D104">
            <v>1975</v>
          </cell>
          <cell r="G104">
            <v>3004.9787341772198</v>
          </cell>
        </row>
        <row r="109">
          <cell r="A109">
            <v>2724</v>
          </cell>
          <cell r="B109">
            <v>450097</v>
          </cell>
          <cell r="C109">
            <v>8</v>
          </cell>
          <cell r="D109">
            <v>504</v>
          </cell>
          <cell r="E109">
            <v>2645</v>
          </cell>
          <cell r="F109">
            <v>1656</v>
          </cell>
          <cell r="G109">
            <v>9184</v>
          </cell>
        </row>
        <row r="114">
          <cell r="A114">
            <v>10</v>
          </cell>
          <cell r="B114">
            <v>577747</v>
          </cell>
          <cell r="C114">
            <v>91</v>
          </cell>
          <cell r="D114">
            <v>248</v>
          </cell>
          <cell r="E114">
            <v>1757</v>
          </cell>
          <cell r="F114">
            <v>909</v>
          </cell>
          <cell r="G114">
            <v>3809</v>
          </cell>
        </row>
        <row r="119">
          <cell r="A119">
            <v>2734</v>
          </cell>
          <cell r="B119">
            <v>1027844</v>
          </cell>
          <cell r="C119">
            <v>99</v>
          </cell>
          <cell r="D119">
            <v>752</v>
          </cell>
          <cell r="E119">
            <v>4402</v>
          </cell>
          <cell r="F119">
            <v>2565</v>
          </cell>
          <cell r="G119">
            <v>12993</v>
          </cell>
        </row>
        <row r="124">
          <cell r="C124">
            <v>16280</v>
          </cell>
        </row>
        <row r="129">
          <cell r="C129">
            <v>35.658893419052099</v>
          </cell>
          <cell r="D129">
            <v>630.58525208839899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22_1T"/>
    </sheetNames>
    <sheetDataSet>
      <sheetData sheetId="0">
        <row r="9">
          <cell r="A9">
            <v>1057122</v>
          </cell>
          <cell r="B9">
            <v>16622</v>
          </cell>
          <cell r="C9">
            <v>16118</v>
          </cell>
        </row>
        <row r="14">
          <cell r="A14">
            <v>576877</v>
          </cell>
          <cell r="B14">
            <v>514583</v>
          </cell>
          <cell r="C14">
            <v>123799</v>
          </cell>
        </row>
        <row r="19">
          <cell r="A19">
            <v>1633999</v>
          </cell>
          <cell r="B19">
            <v>531205</v>
          </cell>
          <cell r="C19">
            <v>139917</v>
          </cell>
        </row>
        <row r="31">
          <cell r="F31">
            <v>76.736985999472495</v>
          </cell>
        </row>
        <row r="32">
          <cell r="F32">
            <v>74.918040110895603</v>
          </cell>
        </row>
        <row r="33">
          <cell r="F33">
            <v>80.751236353984098</v>
          </cell>
        </row>
        <row r="34">
          <cell r="F34">
            <v>82.739954391759099</v>
          </cell>
        </row>
        <row r="35">
          <cell r="F35">
            <v>75.226210946460498</v>
          </cell>
        </row>
        <row r="36">
          <cell r="F36">
            <v>78.091915280207701</v>
          </cell>
        </row>
        <row r="37">
          <cell r="F37">
            <v>75.077063881715304</v>
          </cell>
        </row>
        <row r="38">
          <cell r="F38">
            <v>77.718385272530398</v>
          </cell>
        </row>
        <row r="39">
          <cell r="F39">
            <v>82.438019605410105</v>
          </cell>
        </row>
        <row r="40">
          <cell r="F40">
            <v>74.626625177686094</v>
          </cell>
        </row>
        <row r="41">
          <cell r="F41">
            <v>80.849204297899107</v>
          </cell>
        </row>
        <row r="42">
          <cell r="F42">
            <v>82.779274293239794</v>
          </cell>
        </row>
        <row r="55">
          <cell r="F55">
            <v>679.83081365485305</v>
          </cell>
        </row>
        <row r="56">
          <cell r="F56">
            <v>785.58056145461705</v>
          </cell>
        </row>
        <row r="57">
          <cell r="F57">
            <v>300.52434210154797</v>
          </cell>
        </row>
        <row r="58">
          <cell r="F58">
            <v>884.96283428767504</v>
          </cell>
        </row>
        <row r="59">
          <cell r="F59">
            <v>810.07606184337305</v>
          </cell>
        </row>
        <row r="60">
          <cell r="F60">
            <v>563.02116678159905</v>
          </cell>
        </row>
        <row r="61">
          <cell r="F61">
            <v>817.18857072584694</v>
          </cell>
        </row>
        <row r="62">
          <cell r="F62">
            <v>198.079773793767</v>
          </cell>
        </row>
        <row r="63">
          <cell r="F63">
            <v>974.73036356868101</v>
          </cell>
        </row>
        <row r="64">
          <cell r="F64">
            <v>727.65811462053205</v>
          </cell>
        </row>
        <row r="65">
          <cell r="F65">
            <v>303.83353317385001</v>
          </cell>
        </row>
        <row r="66">
          <cell r="F66">
            <v>873.27272580371505</v>
          </cell>
        </row>
        <row r="76">
          <cell r="B76">
            <v>863522</v>
          </cell>
          <cell r="C76">
            <v>549515</v>
          </cell>
          <cell r="D76">
            <v>1413037</v>
          </cell>
        </row>
        <row r="77">
          <cell r="B77">
            <v>1073228</v>
          </cell>
          <cell r="C77">
            <v>700629</v>
          </cell>
          <cell r="D77">
            <v>1773857</v>
          </cell>
        </row>
        <row r="82">
          <cell r="D82">
            <v>43.479676208397898</v>
          </cell>
        </row>
        <row r="83">
          <cell r="D83">
            <v>44.994824957977301</v>
          </cell>
        </row>
        <row r="84">
          <cell r="D84">
            <v>41.1587616270523</v>
          </cell>
        </row>
        <row r="96">
          <cell r="D96">
            <v>125278</v>
          </cell>
          <cell r="G96">
            <v>3383.3492153450702</v>
          </cell>
        </row>
        <row r="97">
          <cell r="D97">
            <v>122129</v>
          </cell>
          <cell r="G97">
            <v>3393.6292199231998</v>
          </cell>
        </row>
        <row r="98">
          <cell r="D98">
            <v>3149</v>
          </cell>
          <cell r="G98">
            <v>2984.6554461733899</v>
          </cell>
        </row>
        <row r="99">
          <cell r="D99">
            <v>76614</v>
          </cell>
          <cell r="G99">
            <v>3455.0236118725002</v>
          </cell>
        </row>
        <row r="100">
          <cell r="D100">
            <v>48664</v>
          </cell>
          <cell r="G100">
            <v>3270.5088771987498</v>
          </cell>
        </row>
        <row r="101">
          <cell r="D101">
            <v>75440</v>
          </cell>
          <cell r="G101">
            <v>3462.8755567338299</v>
          </cell>
        </row>
        <row r="102">
          <cell r="D102">
            <v>1174</v>
          </cell>
          <cell r="G102">
            <v>2950.4659284497402</v>
          </cell>
        </row>
        <row r="103">
          <cell r="D103">
            <v>46689</v>
          </cell>
          <cell r="G103">
            <v>3281.7411167512701</v>
          </cell>
        </row>
        <row r="104">
          <cell r="D104">
            <v>1975</v>
          </cell>
          <cell r="G104">
            <v>3004.9787341772198</v>
          </cell>
        </row>
        <row r="109">
          <cell r="A109">
            <v>2652</v>
          </cell>
          <cell r="B109">
            <v>445672</v>
          </cell>
          <cell r="C109">
            <v>13</v>
          </cell>
          <cell r="D109">
            <v>505</v>
          </cell>
          <cell r="E109">
            <v>2529</v>
          </cell>
          <cell r="F109">
            <v>1603</v>
          </cell>
          <cell r="G109">
            <v>9510</v>
          </cell>
        </row>
        <row r="114">
          <cell r="A114">
            <v>10</v>
          </cell>
          <cell r="B114">
            <v>573844</v>
          </cell>
          <cell r="C114">
            <v>91</v>
          </cell>
          <cell r="D114">
            <v>248</v>
          </cell>
          <cell r="E114">
            <v>1665</v>
          </cell>
          <cell r="F114">
            <v>890</v>
          </cell>
          <cell r="G114">
            <v>4046</v>
          </cell>
        </row>
        <row r="119">
          <cell r="A119">
            <v>2662</v>
          </cell>
          <cell r="B119">
            <v>1019516</v>
          </cell>
          <cell r="C119">
            <v>104</v>
          </cell>
          <cell r="D119">
            <v>753</v>
          </cell>
          <cell r="E119">
            <v>4194</v>
          </cell>
          <cell r="F119">
            <v>2493</v>
          </cell>
          <cell r="G119">
            <v>13556</v>
          </cell>
        </row>
        <row r="124">
          <cell r="C124">
            <v>17005</v>
          </cell>
        </row>
        <row r="129">
          <cell r="C129">
            <v>35.830332217824399</v>
          </cell>
          <cell r="D129">
            <v>632.86053448168502</v>
          </cell>
        </row>
        <row r="134">
          <cell r="D134">
            <v>793.19475540725603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22_2T"/>
      <sheetName val="SAS_SA_2022_3T"/>
    </sheetNames>
    <sheetDataSet>
      <sheetData sheetId="0">
        <row r="9">
          <cell r="A9">
            <v>1049945</v>
          </cell>
          <cell r="B9">
            <v>16626</v>
          </cell>
          <cell r="C9">
            <v>16054</v>
          </cell>
        </row>
        <row r="14">
          <cell r="A14">
            <v>576126</v>
          </cell>
          <cell r="B14">
            <v>511138</v>
          </cell>
          <cell r="C14">
            <v>122653</v>
          </cell>
        </row>
        <row r="19">
          <cell r="A19">
            <v>1626071</v>
          </cell>
          <cell r="B19">
            <v>527764</v>
          </cell>
          <cell r="C19">
            <v>138707</v>
          </cell>
        </row>
        <row r="31">
          <cell r="F31">
            <v>76.790641758583106</v>
          </cell>
        </row>
        <row r="32">
          <cell r="F32">
            <v>74.986579050945906</v>
          </cell>
        </row>
        <row r="33">
          <cell r="F33">
            <v>80.778350427560994</v>
          </cell>
        </row>
        <row r="34">
          <cell r="F34">
            <v>82.7678196724858</v>
          </cell>
        </row>
        <row r="35">
          <cell r="F35">
            <v>75.288469265507203</v>
          </cell>
        </row>
        <row r="36">
          <cell r="F36">
            <v>78.134808587031202</v>
          </cell>
        </row>
        <row r="37">
          <cell r="F37">
            <v>75.138441478535299</v>
          </cell>
        </row>
        <row r="38">
          <cell r="F38">
            <v>77.831228196800197</v>
          </cell>
        </row>
        <row r="39">
          <cell r="F39">
            <v>82.466924131057695</v>
          </cell>
        </row>
        <row r="40">
          <cell r="F40">
            <v>74.709817065867796</v>
          </cell>
        </row>
        <row r="41">
          <cell r="F41">
            <v>80.874213270466697</v>
          </cell>
        </row>
        <row r="42">
          <cell r="F42">
            <v>82.807212114787106</v>
          </cell>
        </row>
        <row r="55">
          <cell r="F55">
            <v>685.82475892940499</v>
          </cell>
        </row>
        <row r="56">
          <cell r="F56">
            <v>794.52505657917402</v>
          </cell>
        </row>
        <row r="57">
          <cell r="F57">
            <v>298.96735833076002</v>
          </cell>
        </row>
        <row r="58">
          <cell r="F58">
            <v>883.52463567467805</v>
          </cell>
        </row>
        <row r="59">
          <cell r="F59">
            <v>818.27939213623404</v>
          </cell>
        </row>
        <row r="60">
          <cell r="F60">
            <v>567.30233553825201</v>
          </cell>
        </row>
        <row r="61">
          <cell r="F61">
            <v>825.72813832528095</v>
          </cell>
        </row>
        <row r="62">
          <cell r="F62">
            <v>199.017683146878</v>
          </cell>
        </row>
        <row r="63">
          <cell r="F63">
            <v>972.45751837548301</v>
          </cell>
        </row>
        <row r="64">
          <cell r="F64">
            <v>737.65893780517195</v>
          </cell>
        </row>
        <row r="65">
          <cell r="F65">
            <v>302.21848239701802</v>
          </cell>
        </row>
        <row r="66">
          <cell r="F66">
            <v>871.88177970593802</v>
          </cell>
        </row>
        <row r="76">
          <cell r="B76">
            <v>859678</v>
          </cell>
          <cell r="C76">
            <v>549065</v>
          </cell>
          <cell r="D76">
            <v>1408743</v>
          </cell>
        </row>
        <row r="77">
          <cell r="B77">
            <v>1065985</v>
          </cell>
          <cell r="C77">
            <v>698736</v>
          </cell>
          <cell r="D77">
            <v>1764721</v>
          </cell>
        </row>
        <row r="82">
          <cell r="D82">
            <v>43.903937222937799</v>
          </cell>
        </row>
        <row r="83">
          <cell r="D83">
            <v>45.362906607503902</v>
          </cell>
        </row>
        <row r="84">
          <cell r="D84">
            <v>41.6781473975865</v>
          </cell>
        </row>
        <row r="96">
          <cell r="D96">
            <v>128073</v>
          </cell>
          <cell r="G96">
            <v>3389.2402536053701</v>
          </cell>
        </row>
        <row r="97">
          <cell r="D97">
            <v>124887</v>
          </cell>
          <cell r="G97">
            <v>3399.48713637128</v>
          </cell>
        </row>
        <row r="98">
          <cell r="D98">
            <v>3186</v>
          </cell>
          <cell r="G98">
            <v>2987.57595731325</v>
          </cell>
        </row>
        <row r="99">
          <cell r="D99">
            <v>77921</v>
          </cell>
          <cell r="G99">
            <v>3465.8373994173598</v>
          </cell>
        </row>
        <row r="100">
          <cell r="D100">
            <v>50152</v>
          </cell>
          <cell r="G100">
            <v>3270.23151619078</v>
          </cell>
        </row>
        <row r="101">
          <cell r="D101">
            <v>76765</v>
          </cell>
          <cell r="G101">
            <v>3473.5968214681202</v>
          </cell>
        </row>
        <row r="102">
          <cell r="D102">
            <v>1156</v>
          </cell>
          <cell r="G102">
            <v>2950.5674740484401</v>
          </cell>
        </row>
        <row r="103">
          <cell r="D103">
            <v>48122</v>
          </cell>
          <cell r="G103">
            <v>3281.2661568513399</v>
          </cell>
        </row>
        <row r="104">
          <cell r="D104">
            <v>2030</v>
          </cell>
          <cell r="G104">
            <v>3008.6507389162598</v>
          </cell>
        </row>
        <row r="109">
          <cell r="A109">
            <v>2507</v>
          </cell>
          <cell r="B109">
            <v>441284</v>
          </cell>
          <cell r="C109">
            <v>12</v>
          </cell>
          <cell r="D109">
            <v>509</v>
          </cell>
          <cell r="E109">
            <v>2425</v>
          </cell>
          <cell r="F109">
            <v>1516</v>
          </cell>
          <cell r="G109">
            <v>9824</v>
          </cell>
        </row>
        <row r="114">
          <cell r="A114">
            <v>11</v>
          </cell>
          <cell r="B114">
            <v>569974</v>
          </cell>
          <cell r="C114">
            <v>92</v>
          </cell>
          <cell r="D114">
            <v>248</v>
          </cell>
          <cell r="E114">
            <v>1591</v>
          </cell>
          <cell r="F114">
            <v>853</v>
          </cell>
          <cell r="G114">
            <v>4244</v>
          </cell>
        </row>
        <row r="119">
          <cell r="A119">
            <v>2518</v>
          </cell>
          <cell r="B119">
            <v>1011258</v>
          </cell>
          <cell r="C119">
            <v>104</v>
          </cell>
          <cell r="D119">
            <v>757</v>
          </cell>
          <cell r="E119">
            <v>4016</v>
          </cell>
          <cell r="F119">
            <v>2369</v>
          </cell>
          <cell r="G119">
            <v>14068</v>
          </cell>
        </row>
        <row r="124">
          <cell r="C124">
            <v>16374</v>
          </cell>
        </row>
        <row r="129">
          <cell r="C129">
            <v>35.983820663460001</v>
          </cell>
          <cell r="D129">
            <v>635.60462114623499</v>
          </cell>
        </row>
        <row r="134">
          <cell r="D134">
            <v>801.28365833802002</v>
          </cell>
        </row>
      </sheetData>
      <sheetData sheetId="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22_3T"/>
    </sheetNames>
    <sheetDataSet>
      <sheetData sheetId="0">
        <row r="9">
          <cell r="A9">
            <v>1043717</v>
          </cell>
          <cell r="B9">
            <v>16639</v>
          </cell>
          <cell r="C9">
            <v>15951</v>
          </cell>
        </row>
        <row r="14">
          <cell r="A14">
            <v>575294</v>
          </cell>
          <cell r="B14">
            <v>508336</v>
          </cell>
          <cell r="C14">
            <v>121852</v>
          </cell>
        </row>
        <row r="19">
          <cell r="A19">
            <v>1619011</v>
          </cell>
          <cell r="B19">
            <v>524975</v>
          </cell>
          <cell r="C19">
            <v>137803</v>
          </cell>
        </row>
        <row r="31">
          <cell r="F31">
            <v>76.857289612763694</v>
          </cell>
        </row>
        <row r="32">
          <cell r="F32">
            <v>75.058830214807998</v>
          </cell>
        </row>
        <row r="33">
          <cell r="F33">
            <v>80.836002682047805</v>
          </cell>
        </row>
        <row r="34">
          <cell r="F34">
            <v>82.830280156771707</v>
          </cell>
        </row>
        <row r="35">
          <cell r="F35">
            <v>75.357009595873294</v>
          </cell>
        </row>
        <row r="36">
          <cell r="F36">
            <v>78.196841477406096</v>
          </cell>
        </row>
        <row r="37">
          <cell r="F37">
            <v>75.206063776580805</v>
          </cell>
        </row>
        <row r="38">
          <cell r="F38">
            <v>77.953182282589097</v>
          </cell>
        </row>
        <row r="39">
          <cell r="F39">
            <v>82.525546987649705</v>
          </cell>
        </row>
        <row r="40">
          <cell r="F40">
            <v>74.791708313415299</v>
          </cell>
        </row>
        <row r="41">
          <cell r="F41">
            <v>80.930364544501401</v>
          </cell>
        </row>
        <row r="42">
          <cell r="F42">
            <v>82.870178693086203</v>
          </cell>
        </row>
        <row r="55">
          <cell r="F55">
            <v>719.73838613019097</v>
          </cell>
        </row>
        <row r="56">
          <cell r="F56">
            <v>835.76285268326205</v>
          </cell>
        </row>
        <row r="57">
          <cell r="F57">
            <v>309.69567138818798</v>
          </cell>
        </row>
        <row r="58">
          <cell r="F58">
            <v>918.74794600087102</v>
          </cell>
        </row>
        <row r="59">
          <cell r="F59">
            <v>859.760140333143</v>
          </cell>
        </row>
        <row r="60">
          <cell r="F60">
            <v>594.71745682271205</v>
          </cell>
        </row>
        <row r="61">
          <cell r="F61">
            <v>867.89005141294604</v>
          </cell>
        </row>
        <row r="62">
          <cell r="F62">
            <v>205.75821864294701</v>
          </cell>
        </row>
        <row r="63">
          <cell r="F63">
            <v>1010.0141056987</v>
          </cell>
        </row>
        <row r="64">
          <cell r="F64">
            <v>777.47533788188298</v>
          </cell>
        </row>
        <row r="65">
          <cell r="F65">
            <v>313.09780203134602</v>
          </cell>
        </row>
        <row r="66">
          <cell r="F66">
            <v>906.79852087762401</v>
          </cell>
        </row>
        <row r="76">
          <cell r="B76">
            <v>855768</v>
          </cell>
          <cell r="C76">
            <v>548149</v>
          </cell>
          <cell r="D76">
            <v>1403917</v>
          </cell>
        </row>
        <row r="77">
          <cell r="B77">
            <v>1059657</v>
          </cell>
          <cell r="C77">
            <v>697104</v>
          </cell>
          <cell r="D77">
            <v>1756761</v>
          </cell>
        </row>
        <row r="82">
          <cell r="D82">
            <v>44.348999095494499</v>
          </cell>
        </row>
        <row r="83">
          <cell r="D83">
            <v>45.7510590691139</v>
          </cell>
        </row>
        <row r="84">
          <cell r="D84">
            <v>42.217749431935601</v>
          </cell>
        </row>
        <row r="96">
          <cell r="D96">
            <v>130994</v>
          </cell>
          <cell r="G96">
            <v>3527.2735697818198</v>
          </cell>
        </row>
        <row r="97">
          <cell r="D97">
            <v>127769</v>
          </cell>
          <cell r="G97">
            <v>3537.9388271020398</v>
          </cell>
        </row>
        <row r="98">
          <cell r="D98">
            <v>3225</v>
          </cell>
          <cell r="G98">
            <v>3104.7342635658902</v>
          </cell>
        </row>
        <row r="99">
          <cell r="D99">
            <v>79351</v>
          </cell>
          <cell r="G99">
            <v>3612.4624138322101</v>
          </cell>
        </row>
        <row r="100">
          <cell r="D100">
            <v>51643</v>
          </cell>
          <cell r="G100">
            <v>3396.37838622853</v>
          </cell>
        </row>
        <row r="101">
          <cell r="D101">
            <v>78197</v>
          </cell>
          <cell r="G101">
            <v>3620.4939319922801</v>
          </cell>
        </row>
        <row r="102">
          <cell r="D102">
            <v>1154</v>
          </cell>
          <cell r="G102">
            <v>3068.2331022530302</v>
          </cell>
        </row>
        <row r="103">
          <cell r="D103">
            <v>49572</v>
          </cell>
          <cell r="G103">
            <v>3407.71286209957</v>
          </cell>
        </row>
        <row r="104">
          <cell r="D104">
            <v>2071</v>
          </cell>
          <cell r="G104">
            <v>3125.07339449541</v>
          </cell>
        </row>
        <row r="109">
          <cell r="A109">
            <v>2394</v>
          </cell>
          <cell r="B109">
            <v>437495</v>
          </cell>
          <cell r="C109">
            <v>11</v>
          </cell>
          <cell r="D109">
            <v>507</v>
          </cell>
          <cell r="E109">
            <v>2352</v>
          </cell>
          <cell r="F109">
            <v>1486</v>
          </cell>
          <cell r="G109">
            <v>10147</v>
          </cell>
        </row>
        <row r="114">
          <cell r="A114">
            <v>10</v>
          </cell>
          <cell r="B114">
            <v>566687</v>
          </cell>
          <cell r="C114">
            <v>89</v>
          </cell>
          <cell r="D114">
            <v>247</v>
          </cell>
          <cell r="E114">
            <v>1533</v>
          </cell>
          <cell r="F114">
            <v>823</v>
          </cell>
          <cell r="G114">
            <v>4404</v>
          </cell>
        </row>
        <row r="119">
          <cell r="A119">
            <v>2404</v>
          </cell>
          <cell r="B119">
            <v>1004182</v>
          </cell>
          <cell r="C119">
            <v>100</v>
          </cell>
          <cell r="D119">
            <v>754</v>
          </cell>
          <cell r="E119">
            <v>3885</v>
          </cell>
          <cell r="F119">
            <v>2309</v>
          </cell>
          <cell r="G119">
            <v>14551</v>
          </cell>
        </row>
        <row r="124">
          <cell r="C124">
            <v>15838</v>
          </cell>
        </row>
        <row r="129">
          <cell r="C129">
            <v>36.157089986856199</v>
          </cell>
          <cell r="D129">
            <v>663.75931908769996</v>
          </cell>
        </row>
        <row r="134">
          <cell r="D134">
            <v>842.02042628268703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22_4T"/>
    </sheetNames>
    <sheetDataSet>
      <sheetData sheetId="0">
        <row r="9">
          <cell r="A9">
            <v>1037432</v>
          </cell>
          <cell r="B9">
            <v>16686</v>
          </cell>
          <cell r="C9">
            <v>15833</v>
          </cell>
        </row>
        <row r="14">
          <cell r="A14">
            <v>573605</v>
          </cell>
          <cell r="B14">
            <v>505494</v>
          </cell>
          <cell r="C14">
            <v>120598</v>
          </cell>
        </row>
        <row r="19">
          <cell r="A19">
            <v>1611037</v>
          </cell>
          <cell r="B19">
            <v>522180</v>
          </cell>
          <cell r="C19">
            <v>136431</v>
          </cell>
        </row>
        <row r="31">
          <cell r="F31">
            <v>76.906671648479104</v>
          </cell>
        </row>
        <row r="32">
          <cell r="F32">
            <v>75.122359569113996</v>
          </cell>
        </row>
        <row r="33">
          <cell r="F33">
            <v>80.860338276749602</v>
          </cell>
        </row>
        <row r="34">
          <cell r="F34">
            <v>82.844985961131101</v>
          </cell>
        </row>
        <row r="35">
          <cell r="F35">
            <v>75.414784394250503</v>
          </cell>
        </row>
        <row r="36">
          <cell r="F36">
            <v>78.237250031259094</v>
          </cell>
        </row>
        <row r="37">
          <cell r="F37">
            <v>75.263813113300301</v>
          </cell>
        </row>
        <row r="38">
          <cell r="F38">
            <v>78.021395181589398</v>
          </cell>
        </row>
        <row r="39">
          <cell r="F39">
            <v>82.559780205899102</v>
          </cell>
        </row>
        <row r="40">
          <cell r="F40">
            <v>74.866518708615601</v>
          </cell>
        </row>
        <row r="41">
          <cell r="F41">
            <v>80.954050525233001</v>
          </cell>
        </row>
        <row r="42">
          <cell r="F42">
            <v>82.882437341383707</v>
          </cell>
        </row>
        <row r="55">
          <cell r="F55">
            <v>725.86323338719001</v>
          </cell>
        </row>
        <row r="56">
          <cell r="F56">
            <v>844.60591891029605</v>
          </cell>
        </row>
        <row r="57">
          <cell r="F57">
            <v>308.76973281039301</v>
          </cell>
        </row>
        <row r="58">
          <cell r="F58">
            <v>920.14239005329705</v>
          </cell>
        </row>
        <row r="59">
          <cell r="F59">
            <v>867.63836723402005</v>
          </cell>
        </row>
        <row r="60">
          <cell r="F60">
            <v>599.41739924144497</v>
          </cell>
        </row>
        <row r="61">
          <cell r="F61">
            <v>876.07247691388295</v>
          </cell>
        </row>
        <row r="62">
          <cell r="F62">
            <v>206.39032722042401</v>
          </cell>
        </row>
        <row r="63">
          <cell r="F63">
            <v>1011.8858712815</v>
          </cell>
        </row>
        <row r="64">
          <cell r="F64">
            <v>787.69372683433699</v>
          </cell>
        </row>
        <row r="65">
          <cell r="F65">
            <v>312.14923143880202</v>
          </cell>
        </row>
        <row r="66">
          <cell r="F66">
            <v>908.09522782689498</v>
          </cell>
        </row>
        <row r="76">
          <cell r="B76">
            <v>851972</v>
          </cell>
          <cell r="C76">
            <v>546590</v>
          </cell>
          <cell r="D76">
            <v>1398562</v>
          </cell>
        </row>
        <row r="77">
          <cell r="B77">
            <v>1053253</v>
          </cell>
          <cell r="C77">
            <v>694160</v>
          </cell>
          <cell r="D77">
            <v>1747413</v>
          </cell>
        </row>
        <row r="82">
          <cell r="D82">
            <v>44.751426251264</v>
          </cell>
        </row>
        <row r="83">
          <cell r="D83">
            <v>46.089566324520298</v>
          </cell>
        </row>
        <row r="84">
          <cell r="D84">
            <v>42.721058545580298</v>
          </cell>
        </row>
        <row r="96">
          <cell r="D96">
            <v>133169</v>
          </cell>
          <cell r="G96">
            <v>3533.3186927888601</v>
          </cell>
        </row>
        <row r="97">
          <cell r="D97">
            <v>129900</v>
          </cell>
          <cell r="G97">
            <v>3543.98113933795</v>
          </cell>
        </row>
        <row r="98">
          <cell r="D98">
            <v>3269</v>
          </cell>
          <cell r="G98">
            <v>3109.6258794738501</v>
          </cell>
        </row>
        <row r="99">
          <cell r="D99">
            <v>80325</v>
          </cell>
          <cell r="G99">
            <v>3622.5139620292598</v>
          </cell>
        </row>
        <row r="100">
          <cell r="D100">
            <v>52844</v>
          </cell>
          <cell r="G100">
            <v>3397.7383052002101</v>
          </cell>
        </row>
        <row r="101">
          <cell r="D101">
            <v>79176</v>
          </cell>
          <cell r="G101">
            <v>3630.4144185106602</v>
          </cell>
        </row>
        <row r="102">
          <cell r="D102">
            <v>1149</v>
          </cell>
          <cell r="G102">
            <v>3078.1044386423</v>
          </cell>
        </row>
        <row r="103">
          <cell r="D103">
            <v>50724</v>
          </cell>
          <cell r="G103">
            <v>3409.0658859711398</v>
          </cell>
        </row>
        <row r="104">
          <cell r="D104">
            <v>2120</v>
          </cell>
          <cell r="G104">
            <v>3126.7099056603802</v>
          </cell>
        </row>
        <row r="109">
          <cell r="A109">
            <v>2297</v>
          </cell>
          <cell r="B109">
            <v>433685</v>
          </cell>
          <cell r="C109">
            <v>9</v>
          </cell>
          <cell r="D109">
            <v>504</v>
          </cell>
          <cell r="E109">
            <v>2264</v>
          </cell>
          <cell r="F109">
            <v>1417</v>
          </cell>
          <cell r="G109">
            <v>10486</v>
          </cell>
        </row>
        <row r="114">
          <cell r="A114">
            <v>6</v>
          </cell>
          <cell r="B114">
            <v>562452</v>
          </cell>
          <cell r="C114">
            <v>76</v>
          </cell>
          <cell r="D114">
            <v>249</v>
          </cell>
          <cell r="E114">
            <v>1480</v>
          </cell>
          <cell r="F114">
            <v>793</v>
          </cell>
          <cell r="G114">
            <v>4626</v>
          </cell>
        </row>
        <row r="119">
          <cell r="A119">
            <v>2303</v>
          </cell>
          <cell r="B119">
            <v>996137</v>
          </cell>
          <cell r="C119">
            <v>85</v>
          </cell>
          <cell r="D119">
            <v>753</v>
          </cell>
          <cell r="E119">
            <v>3744</v>
          </cell>
          <cell r="F119">
            <v>2210</v>
          </cell>
          <cell r="G119">
            <v>15112</v>
          </cell>
        </row>
        <row r="124">
          <cell r="C124">
            <v>15282</v>
          </cell>
        </row>
        <row r="129">
          <cell r="C129">
            <v>36.320551162295097</v>
          </cell>
          <cell r="D129">
            <v>667.00824183289797</v>
          </cell>
        </row>
        <row r="134">
          <cell r="D134">
            <v>850.267764625052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23_1T"/>
    </sheetNames>
    <sheetDataSet>
      <sheetData sheetId="0">
        <row r="9">
          <cell r="A9">
            <v>1029763</v>
          </cell>
          <cell r="B9">
            <v>16718</v>
          </cell>
          <cell r="C9">
            <v>15756</v>
          </cell>
        </row>
        <row r="14">
          <cell r="A14">
            <v>572578</v>
          </cell>
          <cell r="B14">
            <v>501847</v>
          </cell>
          <cell r="C14">
            <v>119564</v>
          </cell>
        </row>
        <row r="19">
          <cell r="A19">
            <v>1602341</v>
          </cell>
          <cell r="B19">
            <v>518565</v>
          </cell>
          <cell r="C19">
            <v>135320</v>
          </cell>
        </row>
        <row r="31">
          <cell r="F31">
            <v>76.946903776669103</v>
          </cell>
        </row>
        <row r="32">
          <cell r="F32">
            <v>75.169575482443193</v>
          </cell>
        </row>
        <row r="33">
          <cell r="F33">
            <v>80.893003908894102</v>
          </cell>
        </row>
        <row r="34">
          <cell r="F34">
            <v>82.871354235960197</v>
          </cell>
        </row>
        <row r="35">
          <cell r="F35">
            <v>75.462353585771794</v>
          </cell>
        </row>
        <row r="36">
          <cell r="F36">
            <v>78.267677994408501</v>
          </cell>
        </row>
        <row r="37">
          <cell r="F37">
            <v>75.311405076173699</v>
          </cell>
        </row>
        <row r="38">
          <cell r="F38">
            <v>78.072197631295595</v>
          </cell>
        </row>
        <row r="39">
          <cell r="F39">
            <v>82.558580858085804</v>
          </cell>
        </row>
        <row r="40">
          <cell r="F40">
            <v>74.914494700128003</v>
          </cell>
        </row>
        <row r="41">
          <cell r="F41">
            <v>80.986974013785201</v>
          </cell>
        </row>
        <row r="42">
          <cell r="F42">
            <v>82.912580100051898</v>
          </cell>
        </row>
        <row r="55">
          <cell r="F55">
            <v>740.62549818985099</v>
          </cell>
        </row>
        <row r="56">
          <cell r="F56">
            <v>864.17527661574297</v>
          </cell>
        </row>
        <row r="57">
          <cell r="F57">
            <v>310.08576425917101</v>
          </cell>
        </row>
        <row r="58">
          <cell r="F58">
            <v>927.59386964684302</v>
          </cell>
        </row>
        <row r="59">
          <cell r="F59">
            <v>885.98831792857698</v>
          </cell>
        </row>
        <row r="60">
          <cell r="F60">
            <v>611.299143509484</v>
          </cell>
        </row>
        <row r="61">
          <cell r="F61">
            <v>894.96566260614202</v>
          </cell>
        </row>
        <row r="62">
          <cell r="F62">
            <v>208.60204569924599</v>
          </cell>
        </row>
        <row r="63">
          <cell r="F63">
            <v>1018.0081873572</v>
          </cell>
        </row>
        <row r="64">
          <cell r="F64">
            <v>808.79871140367595</v>
          </cell>
        </row>
        <row r="65">
          <cell r="F65">
            <v>313.46651243516402</v>
          </cell>
        </row>
        <row r="66">
          <cell r="F66">
            <v>915.67658819789494</v>
          </cell>
        </row>
        <row r="76">
          <cell r="B76">
            <v>838751</v>
          </cell>
          <cell r="C76">
            <v>535099</v>
          </cell>
          <cell r="D76">
            <v>1373850</v>
          </cell>
        </row>
        <row r="77">
          <cell r="B77">
            <v>1045508</v>
          </cell>
          <cell r="C77">
            <v>692099</v>
          </cell>
          <cell r="D77">
            <v>1737607</v>
          </cell>
        </row>
        <row r="82">
          <cell r="D82">
            <v>45.3052813438252</v>
          </cell>
        </row>
        <row r="83">
          <cell r="D83">
            <v>46.553528045696503</v>
          </cell>
        </row>
        <row r="84">
          <cell r="D84">
            <v>43.419637941970699</v>
          </cell>
        </row>
        <row r="96">
          <cell r="D96">
            <v>136605</v>
          </cell>
          <cell r="G96">
            <v>3568.4793016361</v>
          </cell>
        </row>
        <row r="97">
          <cell r="D97">
            <v>133303</v>
          </cell>
          <cell r="G97">
            <v>3579.3037666068999</v>
          </cell>
        </row>
        <row r="98">
          <cell r="D98">
            <v>3302</v>
          </cell>
          <cell r="G98">
            <v>3131.49152029073</v>
          </cell>
        </row>
        <row r="99">
          <cell r="D99">
            <v>81853</v>
          </cell>
          <cell r="G99">
            <v>3664.4605206895299</v>
          </cell>
        </row>
        <row r="100">
          <cell r="D100">
            <v>54752</v>
          </cell>
          <cell r="G100">
            <v>3424.9895528930501</v>
          </cell>
        </row>
        <row r="101">
          <cell r="D101">
            <v>80722</v>
          </cell>
          <cell r="G101">
            <v>3672.2008622184799</v>
          </cell>
        </row>
        <row r="102">
          <cell r="D102">
            <v>1131</v>
          </cell>
          <cell r="G102">
            <v>3112.0150309460701</v>
          </cell>
        </row>
        <row r="103">
          <cell r="D103">
            <v>52581</v>
          </cell>
          <cell r="G103">
            <v>3436.6887659040299</v>
          </cell>
        </row>
        <row r="104">
          <cell r="D104">
            <v>2171</v>
          </cell>
          <cell r="G104">
            <v>3141.63795485951</v>
          </cell>
        </row>
        <row r="109">
          <cell r="A109">
            <v>2184</v>
          </cell>
          <cell r="B109">
            <v>428937</v>
          </cell>
          <cell r="C109">
            <v>7</v>
          </cell>
          <cell r="D109">
            <v>498</v>
          </cell>
          <cell r="E109">
            <v>2151</v>
          </cell>
          <cell r="F109">
            <v>1378</v>
          </cell>
          <cell r="G109">
            <v>10888</v>
          </cell>
        </row>
        <row r="114">
          <cell r="A114">
            <v>6</v>
          </cell>
          <cell r="B114">
            <v>558094</v>
          </cell>
          <cell r="C114">
            <v>78</v>
          </cell>
          <cell r="D114">
            <v>247</v>
          </cell>
          <cell r="E114">
            <v>1405</v>
          </cell>
          <cell r="F114">
            <v>764</v>
          </cell>
          <cell r="G114">
            <v>4880</v>
          </cell>
        </row>
        <row r="119">
          <cell r="A119">
            <v>2190</v>
          </cell>
          <cell r="B119">
            <v>987031</v>
          </cell>
          <cell r="C119">
            <v>85</v>
          </cell>
          <cell r="D119">
            <v>745</v>
          </cell>
          <cell r="E119">
            <v>3556</v>
          </cell>
          <cell r="F119">
            <v>2142</v>
          </cell>
          <cell r="G119">
            <v>15768</v>
          </cell>
        </row>
        <row r="124">
          <cell r="C124">
            <v>16063</v>
          </cell>
        </row>
        <row r="129">
          <cell r="C129">
            <v>36.575166891129498</v>
          </cell>
          <cell r="D129">
            <v>678.07454591781004</v>
          </cell>
        </row>
        <row r="134">
          <cell r="D134">
            <v>868.86016249676902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23_2T"/>
    </sheetNames>
    <sheetDataSet>
      <sheetData sheetId="0">
        <row r="9">
          <cell r="A9">
            <v>1023601</v>
          </cell>
          <cell r="B9">
            <v>16771</v>
          </cell>
          <cell r="C9">
            <v>15644</v>
          </cell>
        </row>
        <row r="14">
          <cell r="A14">
            <v>571674</v>
          </cell>
          <cell r="B14">
            <v>499078</v>
          </cell>
          <cell r="C14">
            <v>118676</v>
          </cell>
        </row>
        <row r="19">
          <cell r="A19">
            <v>1595275</v>
          </cell>
          <cell r="B19">
            <v>515849</v>
          </cell>
          <cell r="C19">
            <v>134320</v>
          </cell>
        </row>
        <row r="31">
          <cell r="F31">
            <v>77.006885218158104</v>
          </cell>
        </row>
        <row r="32">
          <cell r="F32">
            <v>75.242325331233801</v>
          </cell>
        </row>
        <row r="33">
          <cell r="F33">
            <v>80.930291346077396</v>
          </cell>
        </row>
        <row r="34">
          <cell r="F34">
            <v>82.897151792695198</v>
          </cell>
        </row>
        <row r="35">
          <cell r="F35">
            <v>75.529996041689202</v>
          </cell>
        </row>
        <row r="36">
          <cell r="F36">
            <v>78.318155448534696</v>
          </cell>
        </row>
        <row r="37">
          <cell r="F37">
            <v>75.379364414106803</v>
          </cell>
        </row>
        <row r="38">
          <cell r="F38">
            <v>78.185916164808305</v>
          </cell>
        </row>
        <row r="39">
          <cell r="F39">
            <v>82.538609051393493</v>
          </cell>
        </row>
        <row r="40">
          <cell r="F40">
            <v>74.996947470248799</v>
          </cell>
        </row>
        <row r="41">
          <cell r="F41">
            <v>81.022513605142294</v>
          </cell>
        </row>
        <row r="42">
          <cell r="F42">
            <v>82.944425247153404</v>
          </cell>
        </row>
        <row r="55">
          <cell r="F55">
            <v>747.73931254704098</v>
          </cell>
        </row>
        <row r="56">
          <cell r="F56">
            <v>874.43242931506597</v>
          </cell>
        </row>
        <row r="57">
          <cell r="F57">
            <v>308.97486851721499</v>
          </cell>
        </row>
        <row r="58">
          <cell r="F58">
            <v>928.15095126400797</v>
          </cell>
        </row>
        <row r="59">
          <cell r="F59">
            <v>895.38446845945998</v>
          </cell>
        </row>
        <row r="60">
          <cell r="F60">
            <v>616.65114378535395</v>
          </cell>
        </row>
        <row r="61">
          <cell r="F61">
            <v>904.732998824726</v>
          </cell>
        </row>
        <row r="62">
          <cell r="F62">
            <v>209.82046389601101</v>
          </cell>
        </row>
        <row r="63">
          <cell r="F63">
            <v>1018.65999744311</v>
          </cell>
        </row>
        <row r="64">
          <cell r="F64">
            <v>820.17718492032805</v>
          </cell>
        </row>
        <row r="65">
          <cell r="F65">
            <v>312.30686308297697</v>
          </cell>
        </row>
        <row r="66">
          <cell r="F66">
            <v>916.21743600980994</v>
          </cell>
        </row>
        <row r="76">
          <cell r="B76">
            <v>843309</v>
          </cell>
          <cell r="C76">
            <v>544395</v>
          </cell>
          <cell r="D76">
            <v>1387704</v>
          </cell>
        </row>
        <row r="77">
          <cell r="B77">
            <v>1039235</v>
          </cell>
          <cell r="C77">
            <v>690308</v>
          </cell>
          <cell r="D77">
            <v>1729543</v>
          </cell>
        </row>
        <row r="82">
          <cell r="D82">
            <v>45.798644192117699</v>
          </cell>
        </row>
        <row r="83">
          <cell r="D83">
            <v>46.986717676743901</v>
          </cell>
        </row>
        <row r="84">
          <cell r="D84">
            <v>44.009980259782402</v>
          </cell>
        </row>
        <row r="96">
          <cell r="D96">
            <v>139473</v>
          </cell>
          <cell r="G96">
            <v>3572.5268761695802</v>
          </cell>
        </row>
        <row r="97">
          <cell r="D97">
            <v>136125</v>
          </cell>
          <cell r="G97">
            <v>3583.1728117539001</v>
          </cell>
        </row>
        <row r="98">
          <cell r="D98">
            <v>3348</v>
          </cell>
          <cell r="G98">
            <v>3139.6780167264001</v>
          </cell>
        </row>
        <row r="99">
          <cell r="D99">
            <v>83256</v>
          </cell>
          <cell r="G99">
            <v>3672.5587705390599</v>
          </cell>
        </row>
        <row r="100">
          <cell r="D100">
            <v>56217</v>
          </cell>
          <cell r="G100">
            <v>3424.3820908266198</v>
          </cell>
        </row>
        <row r="101">
          <cell r="D101">
            <v>82132</v>
          </cell>
          <cell r="G101">
            <v>3680.1599863634201</v>
          </cell>
        </row>
        <row r="102">
          <cell r="D102">
            <v>1124</v>
          </cell>
          <cell r="G102">
            <v>3117.1290035587199</v>
          </cell>
        </row>
        <row r="103">
          <cell r="D103">
            <v>53993</v>
          </cell>
          <cell r="G103">
            <v>3435.6397866390098</v>
          </cell>
        </row>
        <row r="104">
          <cell r="D104">
            <v>2224</v>
          </cell>
          <cell r="G104">
            <v>3151.07419064748</v>
          </cell>
        </row>
        <row r="109">
          <cell r="A109">
            <v>2109</v>
          </cell>
          <cell r="B109">
            <v>425347</v>
          </cell>
          <cell r="C109">
            <v>8</v>
          </cell>
          <cell r="D109">
            <v>495</v>
          </cell>
          <cell r="E109">
            <v>2081</v>
          </cell>
          <cell r="F109">
            <v>1321</v>
          </cell>
          <cell r="G109">
            <v>11212</v>
          </cell>
        </row>
        <row r="114">
          <cell r="A114">
            <v>6</v>
          </cell>
          <cell r="B114">
            <v>554911</v>
          </cell>
          <cell r="C114">
            <v>88</v>
          </cell>
          <cell r="D114">
            <v>257</v>
          </cell>
          <cell r="E114">
            <v>1368</v>
          </cell>
          <cell r="F114">
            <v>754</v>
          </cell>
          <cell r="G114">
            <v>5118</v>
          </cell>
        </row>
        <row r="119">
          <cell r="A119">
            <v>2115</v>
          </cell>
          <cell r="B119">
            <v>980258</v>
          </cell>
          <cell r="C119">
            <v>96</v>
          </cell>
          <cell r="D119">
            <v>752</v>
          </cell>
          <cell r="E119">
            <v>3449</v>
          </cell>
          <cell r="F119">
            <v>2075</v>
          </cell>
          <cell r="G119">
            <v>16330</v>
          </cell>
        </row>
        <row r="124">
          <cell r="C124">
            <v>15566</v>
          </cell>
        </row>
        <row r="129">
          <cell r="C129">
            <v>36.723969729729703</v>
          </cell>
          <cell r="D129">
            <v>680.51227963964004</v>
          </cell>
        </row>
        <row r="134">
          <cell r="D134">
            <v>878.34619089020703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23_3T"/>
    </sheetNames>
    <sheetDataSet>
      <sheetData sheetId="0">
        <row r="9">
          <cell r="A9">
            <v>1018555</v>
          </cell>
          <cell r="B9">
            <v>16898</v>
          </cell>
          <cell r="C9">
            <v>15601</v>
          </cell>
        </row>
        <row r="14">
          <cell r="A14">
            <v>571125</v>
          </cell>
          <cell r="B14">
            <v>497392</v>
          </cell>
          <cell r="C14">
            <v>118093</v>
          </cell>
        </row>
        <row r="19">
          <cell r="A19">
            <v>1589680</v>
          </cell>
          <cell r="B19">
            <v>514290</v>
          </cell>
          <cell r="C19">
            <v>133694</v>
          </cell>
        </row>
        <row r="31">
          <cell r="F31">
            <v>77.071253352353693</v>
          </cell>
        </row>
        <row r="32">
          <cell r="F32">
            <v>75.311922750291004</v>
          </cell>
        </row>
        <row r="33">
          <cell r="F33">
            <v>80.981360602154098</v>
          </cell>
        </row>
        <row r="34">
          <cell r="F34">
            <v>82.949928929453193</v>
          </cell>
        </row>
        <row r="35">
          <cell r="F35">
            <v>75.597185459762798</v>
          </cell>
        </row>
        <row r="36">
          <cell r="F36">
            <v>78.376961228419901</v>
          </cell>
        </row>
        <row r="37">
          <cell r="F37">
            <v>75.4445988043706</v>
          </cell>
        </row>
        <row r="38">
          <cell r="F38">
            <v>78.319919517102605</v>
          </cell>
        </row>
        <row r="39">
          <cell r="F39">
            <v>82.610024998397606</v>
          </cell>
        </row>
        <row r="40">
          <cell r="F40">
            <v>75.075301125708506</v>
          </cell>
        </row>
        <row r="41">
          <cell r="F41">
            <v>81.0717788290453</v>
          </cell>
        </row>
        <row r="42">
          <cell r="F42">
            <v>82.994841999170006</v>
          </cell>
        </row>
        <row r="55">
          <cell r="F55">
            <v>755.45637549399896</v>
          </cell>
        </row>
        <row r="56">
          <cell r="F56">
            <v>885.608715125971</v>
          </cell>
        </row>
        <row r="57">
          <cell r="F57">
            <v>308.11662165288999</v>
          </cell>
        </row>
        <row r="58">
          <cell r="F58">
            <v>928.75145507593299</v>
          </cell>
        </row>
        <row r="59">
          <cell r="F59">
            <v>905.229299114593</v>
          </cell>
        </row>
        <row r="60">
          <cell r="F60">
            <v>622.78970052209502</v>
          </cell>
        </row>
        <row r="61">
          <cell r="F61">
            <v>915.03715012522798</v>
          </cell>
        </row>
        <row r="62">
          <cell r="F62">
            <v>209.72002603858499</v>
          </cell>
        </row>
        <row r="63">
          <cell r="F63">
            <v>1018.23472854304</v>
          </cell>
        </row>
        <row r="64">
          <cell r="F64">
            <v>833.12445828890202</v>
          </cell>
        </row>
        <row r="65">
          <cell r="F65">
            <v>311.45948945392797</v>
          </cell>
        </row>
        <row r="66">
          <cell r="F66">
            <v>916.92761859590598</v>
          </cell>
        </row>
        <row r="76">
          <cell r="B76">
            <v>839803</v>
          </cell>
          <cell r="C76">
            <v>543539</v>
          </cell>
          <cell r="D76">
            <v>1383342</v>
          </cell>
        </row>
        <row r="77">
          <cell r="B77">
            <v>1034144</v>
          </cell>
          <cell r="C77">
            <v>689176</v>
          </cell>
          <cell r="D77">
            <v>1723320</v>
          </cell>
        </row>
        <row r="82">
          <cell r="D82">
            <v>46.262296661828699</v>
          </cell>
        </row>
        <row r="83">
          <cell r="D83">
            <v>47.378757873697701</v>
          </cell>
        </row>
        <row r="84">
          <cell r="D84">
            <v>44.586944371455097</v>
          </cell>
        </row>
        <row r="96">
          <cell r="D96">
            <v>142426</v>
          </cell>
          <cell r="G96">
            <v>3579.6697091823098</v>
          </cell>
        </row>
        <row r="97">
          <cell r="D97">
            <v>139028</v>
          </cell>
          <cell r="G97">
            <v>3590.3884972811202</v>
          </cell>
        </row>
        <row r="98">
          <cell r="D98">
            <v>3398</v>
          </cell>
          <cell r="G98">
            <v>3141.1141848145999</v>
          </cell>
        </row>
        <row r="99">
          <cell r="D99">
            <v>84641</v>
          </cell>
          <cell r="G99">
            <v>3683.6352476932002</v>
          </cell>
        </row>
        <row r="100">
          <cell r="D100">
            <v>57785</v>
          </cell>
          <cell r="G100">
            <v>3427.3854287444801</v>
          </cell>
        </row>
        <row r="101">
          <cell r="D101">
            <v>83523</v>
          </cell>
          <cell r="G101">
            <v>3691.2026507668602</v>
          </cell>
        </row>
        <row r="102">
          <cell r="D102">
            <v>1118</v>
          </cell>
          <cell r="G102">
            <v>3118.2933810375698</v>
          </cell>
        </row>
        <row r="103">
          <cell r="D103">
            <v>55505</v>
          </cell>
          <cell r="G103">
            <v>3438.6850373840198</v>
          </cell>
        </row>
        <row r="104">
          <cell r="D104">
            <v>2280</v>
          </cell>
          <cell r="G104">
            <v>3152.3043859649101</v>
          </cell>
        </row>
        <row r="109">
          <cell r="A109">
            <v>2036</v>
          </cell>
          <cell r="B109">
            <v>422091</v>
          </cell>
          <cell r="C109">
            <v>7</v>
          </cell>
          <cell r="D109">
            <v>488</v>
          </cell>
          <cell r="E109">
            <v>1995</v>
          </cell>
          <cell r="F109">
            <v>1256</v>
          </cell>
          <cell r="G109">
            <v>11519</v>
          </cell>
        </row>
        <row r="114">
          <cell r="A114">
            <v>6</v>
          </cell>
          <cell r="B114">
            <v>552359</v>
          </cell>
          <cell r="C114">
            <v>89</v>
          </cell>
          <cell r="D114">
            <v>252</v>
          </cell>
          <cell r="E114">
            <v>1306</v>
          </cell>
          <cell r="F114">
            <v>728</v>
          </cell>
          <cell r="G114">
            <v>5320</v>
          </cell>
        </row>
        <row r="119">
          <cell r="A119">
            <v>2042</v>
          </cell>
          <cell r="B119">
            <v>974450</v>
          </cell>
          <cell r="C119">
            <v>96</v>
          </cell>
          <cell r="D119">
            <v>740</v>
          </cell>
          <cell r="E119">
            <v>3301</v>
          </cell>
          <cell r="F119">
            <v>1984</v>
          </cell>
          <cell r="G119">
            <v>16839</v>
          </cell>
        </row>
        <row r="124">
          <cell r="C124">
            <v>15065</v>
          </cell>
        </row>
        <row r="129">
          <cell r="C129">
            <v>36.907700204967703</v>
          </cell>
          <cell r="D129">
            <v>684.69314280136905</v>
          </cell>
        </row>
        <row r="134">
          <cell r="D134">
            <v>888.70131843251102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23_4T"/>
    </sheetNames>
    <sheetDataSet>
      <sheetData sheetId="0">
        <row r="9">
          <cell r="A9">
            <v>1013469</v>
          </cell>
          <cell r="B9">
            <v>17094</v>
          </cell>
          <cell r="C9">
            <v>15597</v>
          </cell>
        </row>
        <row r="14">
          <cell r="A14">
            <v>569414</v>
          </cell>
          <cell r="B14">
            <v>497135</v>
          </cell>
          <cell r="C14">
            <v>117368</v>
          </cell>
        </row>
        <row r="19">
          <cell r="A19">
            <v>1582883</v>
          </cell>
          <cell r="B19">
            <v>514229</v>
          </cell>
          <cell r="C19">
            <v>132965</v>
          </cell>
        </row>
        <row r="31">
          <cell r="F31">
            <v>77.146064357356906</v>
          </cell>
        </row>
        <row r="32">
          <cell r="F32">
            <v>75.399956534154796</v>
          </cell>
        </row>
        <row r="33">
          <cell r="F33">
            <v>81.012980699110301</v>
          </cell>
        </row>
        <row r="34">
          <cell r="F34">
            <v>82.978509101850506</v>
          </cell>
        </row>
        <row r="35">
          <cell r="F35">
            <v>75.678569072988793</v>
          </cell>
        </row>
        <row r="36">
          <cell r="F36">
            <v>78.442841697145795</v>
          </cell>
        </row>
        <row r="37">
          <cell r="F37">
            <v>75.524760818427296</v>
          </cell>
        </row>
        <row r="38">
          <cell r="F38">
            <v>78.425236925237002</v>
          </cell>
        </row>
        <row r="39">
          <cell r="F39">
            <v>82.662370968776102</v>
          </cell>
        </row>
        <row r="40">
          <cell r="F40">
            <v>75.177820005760495</v>
          </cell>
        </row>
        <row r="41">
          <cell r="F41">
            <v>81.1019610525194</v>
          </cell>
        </row>
        <row r="42">
          <cell r="F42">
            <v>83.020529558644299</v>
          </cell>
        </row>
        <row r="55">
          <cell r="F55">
            <v>760.63298082481003</v>
          </cell>
        </row>
        <row r="56">
          <cell r="F56">
            <v>893.784006969698</v>
          </cell>
        </row>
        <row r="57">
          <cell r="F57">
            <v>307.17235645874899</v>
          </cell>
        </row>
        <row r="58">
          <cell r="F58">
            <v>929.29870618324105</v>
          </cell>
        </row>
        <row r="59">
          <cell r="F59">
            <v>912.53915463123303</v>
          </cell>
        </row>
        <row r="60">
          <cell r="F60">
            <v>626.39848885435094</v>
          </cell>
        </row>
        <row r="61">
          <cell r="F61">
            <v>922.76072271514499</v>
          </cell>
        </row>
        <row r="62">
          <cell r="F62">
            <v>210.660231660232</v>
          </cell>
        </row>
        <row r="63">
          <cell r="F63">
            <v>1017.61120728345</v>
          </cell>
        </row>
        <row r="64">
          <cell r="F64">
            <v>842.20895826454705</v>
          </cell>
        </row>
        <row r="65">
          <cell r="F65">
            <v>310.49095510036602</v>
          </cell>
        </row>
        <row r="66">
          <cell r="F66">
            <v>917.56038280937105</v>
          </cell>
        </row>
        <row r="76">
          <cell r="B76">
            <v>836697</v>
          </cell>
          <cell r="C76">
            <v>542389</v>
          </cell>
          <cell r="D76">
            <v>1379086</v>
          </cell>
        </row>
        <row r="77">
          <cell r="B77">
            <v>1029053</v>
          </cell>
          <cell r="C77">
            <v>686739</v>
          </cell>
          <cell r="D77">
            <v>1715792</v>
          </cell>
        </row>
        <row r="82">
          <cell r="D82">
            <v>46.558500595344299</v>
          </cell>
        </row>
        <row r="83">
          <cell r="D83">
            <v>47.632573835232101</v>
          </cell>
        </row>
        <row r="84">
          <cell r="D84">
            <v>44.948996212121202</v>
          </cell>
        </row>
        <row r="96">
          <cell r="D96">
            <v>143683</v>
          </cell>
          <cell r="G96">
            <v>3586.0361420627401</v>
          </cell>
        </row>
        <row r="97">
          <cell r="D97">
            <v>140248</v>
          </cell>
          <cell r="G97">
            <v>3596.83914922138</v>
          </cell>
        </row>
        <row r="98">
          <cell r="D98">
            <v>3435</v>
          </cell>
          <cell r="G98">
            <v>3144.9589519650699</v>
          </cell>
        </row>
        <row r="99">
          <cell r="D99">
            <v>85253</v>
          </cell>
          <cell r="G99">
            <v>3690.9784523711801</v>
          </cell>
        </row>
        <row r="100">
          <cell r="D100">
            <v>58430</v>
          </cell>
          <cell r="G100">
            <v>3432.91879171659</v>
          </cell>
        </row>
        <row r="101">
          <cell r="D101">
            <v>84128</v>
          </cell>
          <cell r="G101">
            <v>3698.57649058577</v>
          </cell>
        </row>
        <row r="102">
          <cell r="D102">
            <v>1125</v>
          </cell>
          <cell r="G102">
            <v>3122.7937777777802</v>
          </cell>
        </row>
        <row r="103">
          <cell r="D103">
            <v>56120</v>
          </cell>
          <cell r="G103">
            <v>3444.3274055595198</v>
          </cell>
        </row>
        <row r="104">
          <cell r="D104">
            <v>2310</v>
          </cell>
          <cell r="G104">
            <v>3155.7536796536801</v>
          </cell>
        </row>
        <row r="109">
          <cell r="A109">
            <v>1956</v>
          </cell>
          <cell r="B109">
            <v>419063</v>
          </cell>
          <cell r="C109">
            <v>4</v>
          </cell>
          <cell r="D109">
            <v>487</v>
          </cell>
          <cell r="E109">
            <v>1944</v>
          </cell>
          <cell r="F109">
            <v>1225</v>
          </cell>
          <cell r="G109">
            <v>11916</v>
          </cell>
        </row>
        <row r="114">
          <cell r="A114">
            <v>5</v>
          </cell>
          <cell r="B114">
            <v>549931</v>
          </cell>
          <cell r="C114">
            <v>69</v>
          </cell>
          <cell r="D114">
            <v>246</v>
          </cell>
          <cell r="E114">
            <v>1266</v>
          </cell>
          <cell r="F114">
            <v>708</v>
          </cell>
          <cell r="G114">
            <v>5568</v>
          </cell>
        </row>
        <row r="119">
          <cell r="A119">
            <v>1961</v>
          </cell>
          <cell r="B119">
            <v>968994</v>
          </cell>
          <cell r="C119">
            <v>73</v>
          </cell>
          <cell r="D119">
            <v>733</v>
          </cell>
          <cell r="E119">
            <v>3210</v>
          </cell>
          <cell r="F119">
            <v>1933</v>
          </cell>
          <cell r="G119">
            <v>17484</v>
          </cell>
        </row>
        <row r="124">
          <cell r="C124">
            <v>13736</v>
          </cell>
        </row>
        <row r="129">
          <cell r="C129">
            <v>37.033307177066803</v>
          </cell>
          <cell r="D129">
            <v>688.40389240056504</v>
          </cell>
        </row>
        <row r="134">
          <cell r="D134">
            <v>896.28464921334103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3T2010"/>
    </sheetNames>
    <sheetDataSet>
      <sheetData sheetId="0" refreshError="1">
        <row r="4">
          <cell r="A4">
            <v>1240394</v>
          </cell>
          <cell r="B4">
            <v>11295</v>
          </cell>
          <cell r="C4">
            <v>16625</v>
          </cell>
        </row>
        <row r="14">
          <cell r="A14">
            <v>524036</v>
          </cell>
          <cell r="B14">
            <v>557190</v>
          </cell>
          <cell r="C14">
            <v>146843</v>
          </cell>
        </row>
        <row r="24">
          <cell r="A24">
            <v>1764430</v>
          </cell>
          <cell r="B24">
            <v>568485</v>
          </cell>
          <cell r="C24">
            <v>163468</v>
          </cell>
        </row>
        <row r="46">
          <cell r="F46">
            <v>74.401600000000002</v>
          </cell>
        </row>
        <row r="47">
          <cell r="F47">
            <v>72.811700000000002</v>
          </cell>
        </row>
        <row r="48">
          <cell r="F48">
            <v>77.782899999999998</v>
          </cell>
        </row>
        <row r="49">
          <cell r="F49">
            <v>79.806200000000004</v>
          </cell>
        </row>
        <row r="51">
          <cell r="F51">
            <v>72.984200000000001</v>
          </cell>
        </row>
        <row r="52">
          <cell r="F52">
            <v>75.865499999999997</v>
          </cell>
        </row>
        <row r="53">
          <cell r="F53">
            <v>72.880200000000002</v>
          </cell>
        </row>
        <row r="54">
          <cell r="F54">
            <v>74.703599999999994</v>
          </cell>
        </row>
        <row r="55">
          <cell r="F55">
            <v>79.573599999999999</v>
          </cell>
        </row>
        <row r="57">
          <cell r="F57">
            <v>72.649500000000003</v>
          </cell>
        </row>
        <row r="58">
          <cell r="F58">
            <v>77.845299999999995</v>
          </cell>
        </row>
        <row r="59">
          <cell r="F59">
            <v>79.832599999999999</v>
          </cell>
        </row>
        <row r="84">
          <cell r="G84">
            <v>2221.04</v>
          </cell>
        </row>
        <row r="85">
          <cell r="G85">
            <v>2353.92</v>
          </cell>
        </row>
        <row r="86">
          <cell r="G86">
            <v>1415.08</v>
          </cell>
        </row>
        <row r="87">
          <cell r="G87">
            <v>3589.32</v>
          </cell>
        </row>
        <row r="89">
          <cell r="G89">
            <v>2510.8000000000002</v>
          </cell>
        </row>
        <row r="90">
          <cell r="G90">
            <v>1921.76</v>
          </cell>
        </row>
        <row r="91">
          <cell r="G91">
            <v>2503.7600000000002</v>
          </cell>
        </row>
        <row r="92">
          <cell r="G92">
            <v>830.4</v>
          </cell>
        </row>
        <row r="93">
          <cell r="G93">
            <v>4178.72</v>
          </cell>
        </row>
        <row r="95">
          <cell r="G95">
            <v>1999.28</v>
          </cell>
        </row>
        <row r="96">
          <cell r="G96">
            <v>1426.96</v>
          </cell>
        </row>
        <row r="97">
          <cell r="G97">
            <v>3522.56</v>
          </cell>
        </row>
        <row r="115">
          <cell r="D115">
            <v>0.91140690581275829</v>
          </cell>
          <cell r="E115">
            <v>0.85415207119113989</v>
          </cell>
          <cell r="F115">
            <v>0.89148336685862006</v>
          </cell>
        </row>
        <row r="124">
          <cell r="D124">
            <v>37.424599999999998</v>
          </cell>
        </row>
        <row r="125">
          <cell r="D125">
            <v>40.284199999999998</v>
          </cell>
        </row>
        <row r="126">
          <cell r="D126">
            <v>32.066299999999998</v>
          </cell>
        </row>
        <row r="148">
          <cell r="D148">
            <v>88284</v>
          </cell>
          <cell r="H148">
            <v>11520.12</v>
          </cell>
        </row>
        <row r="149">
          <cell r="D149">
            <v>85370</v>
          </cell>
          <cell r="H149">
            <v>11547.76</v>
          </cell>
        </row>
        <row r="150">
          <cell r="D150">
            <v>2914</v>
          </cell>
          <cell r="H150">
            <v>10710.96</v>
          </cell>
        </row>
        <row r="151">
          <cell r="D151">
            <v>66975</v>
          </cell>
          <cell r="H151">
            <v>11274.76</v>
          </cell>
        </row>
        <row r="152">
          <cell r="D152">
            <v>21309</v>
          </cell>
          <cell r="H152">
            <v>12291.32</v>
          </cell>
        </row>
        <row r="153">
          <cell r="D153">
            <v>65276</v>
          </cell>
          <cell r="H153">
            <v>11300</v>
          </cell>
        </row>
        <row r="154">
          <cell r="D154">
            <v>1699</v>
          </cell>
          <cell r="H154">
            <v>10305.68</v>
          </cell>
        </row>
        <row r="155">
          <cell r="D155">
            <v>20094</v>
          </cell>
          <cell r="H155">
            <v>12352.6</v>
          </cell>
        </row>
        <row r="156">
          <cell r="D156">
            <v>1215</v>
          </cell>
          <cell r="H156">
            <v>11277.72</v>
          </cell>
        </row>
        <row r="166">
          <cell r="A166">
            <v>12424</v>
          </cell>
          <cell r="B166">
            <v>579537</v>
          </cell>
          <cell r="C166">
            <v>12</v>
          </cell>
          <cell r="D166">
            <v>655</v>
          </cell>
          <cell r="E166">
            <v>10455</v>
          </cell>
          <cell r="F166">
            <v>5617</v>
          </cell>
          <cell r="G166">
            <v>2214</v>
          </cell>
        </row>
        <row r="176">
          <cell r="A176">
            <v>63</v>
          </cell>
          <cell r="B176">
            <v>640006</v>
          </cell>
          <cell r="C176">
            <v>187</v>
          </cell>
          <cell r="D176">
            <v>254</v>
          </cell>
          <cell r="E176">
            <v>6797</v>
          </cell>
          <cell r="F176">
            <v>2590</v>
          </cell>
          <cell r="G176">
            <v>565</v>
          </cell>
        </row>
        <row r="186">
          <cell r="A186">
            <v>12487</v>
          </cell>
          <cell r="B186">
            <v>1219543</v>
          </cell>
          <cell r="C186">
            <v>199</v>
          </cell>
          <cell r="D186">
            <v>909</v>
          </cell>
          <cell r="E186">
            <v>17252</v>
          </cell>
          <cell r="F186">
            <v>8207</v>
          </cell>
          <cell r="G186">
            <v>2779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24_1T"/>
    </sheetNames>
    <sheetDataSet>
      <sheetData sheetId="0">
        <row r="9">
          <cell r="A9">
            <v>1005644</v>
          </cell>
          <cell r="B9">
            <v>17015</v>
          </cell>
          <cell r="C9">
            <v>15567</v>
          </cell>
        </row>
        <row r="14">
          <cell r="A14">
            <v>567851</v>
          </cell>
          <cell r="B14">
            <v>492844</v>
          </cell>
          <cell r="C14">
            <v>116467</v>
          </cell>
        </row>
        <row r="19">
          <cell r="A19">
            <v>1573495</v>
          </cell>
          <cell r="B19">
            <v>509859</v>
          </cell>
          <cell r="C19">
            <v>132034</v>
          </cell>
        </row>
        <row r="31">
          <cell r="F31">
            <v>77.201845956896705</v>
          </cell>
        </row>
        <row r="32">
          <cell r="F32">
            <v>75.464696023993</v>
          </cell>
        </row>
        <row r="33">
          <cell r="F33">
            <v>81.055896064975101</v>
          </cell>
        </row>
        <row r="34">
          <cell r="F34">
            <v>83.022150172716806</v>
          </cell>
        </row>
        <row r="35">
          <cell r="F35">
            <v>75.741477406808499</v>
          </cell>
        </row>
        <row r="36">
          <cell r="F36">
            <v>78.489883333602407</v>
          </cell>
        </row>
        <row r="37">
          <cell r="F37">
            <v>75.587005744663301</v>
          </cell>
        </row>
        <row r="38">
          <cell r="F38">
            <v>78.485806641199005</v>
          </cell>
        </row>
        <row r="39">
          <cell r="F39">
            <v>82.720755444208905</v>
          </cell>
        </row>
        <row r="40">
          <cell r="F40">
            <v>75.248086588686206</v>
          </cell>
        </row>
        <row r="41">
          <cell r="F41">
            <v>81.144626472581507</v>
          </cell>
        </row>
        <row r="42">
          <cell r="F42">
            <v>83.062443640985606</v>
          </cell>
        </row>
        <row r="55">
          <cell r="F55">
            <v>809.48907881812602</v>
          </cell>
        </row>
        <row r="56">
          <cell r="F56">
            <v>952.94124742685403</v>
          </cell>
        </row>
        <row r="57">
          <cell r="F57">
            <v>322.71118176273001</v>
          </cell>
        </row>
        <row r="58">
          <cell r="F58">
            <v>979.709358523726</v>
          </cell>
        </row>
        <row r="59">
          <cell r="F59">
            <v>971.81580719140902</v>
          </cell>
        </row>
        <row r="60">
          <cell r="F60">
            <v>666.31775855756098</v>
          </cell>
        </row>
        <row r="61">
          <cell r="F61">
            <v>982.96835612338202</v>
          </cell>
        </row>
        <row r="62">
          <cell r="F62">
            <v>223.06888039964701</v>
          </cell>
        </row>
        <row r="63">
          <cell r="F63">
            <v>1069.75390248603</v>
          </cell>
        </row>
        <row r="64">
          <cell r="F64">
            <v>899.76350306603695</v>
          </cell>
        </row>
        <row r="65">
          <cell r="F65">
            <v>326.15125740095198</v>
          </cell>
        </row>
        <row r="66">
          <cell r="F66">
            <v>967.67130134574597</v>
          </cell>
        </row>
        <row r="76">
          <cell r="B76">
            <v>823388</v>
          </cell>
          <cell r="C76">
            <v>530592</v>
          </cell>
          <cell r="D76">
            <v>1353980</v>
          </cell>
        </row>
        <row r="77">
          <cell r="B77">
            <v>1021196</v>
          </cell>
          <cell r="C77">
            <v>684275</v>
          </cell>
          <cell r="D77">
            <v>1705471</v>
          </cell>
        </row>
        <row r="82">
          <cell r="D82">
            <v>47.0292373783683</v>
          </cell>
        </row>
        <row r="83">
          <cell r="D83">
            <v>48.044803127234999</v>
          </cell>
        </row>
        <row r="84">
          <cell r="D84">
            <v>45.513572434323798</v>
          </cell>
        </row>
        <row r="96">
          <cell r="D96">
            <v>146219</v>
          </cell>
          <cell r="G96">
            <v>3783.4825296302101</v>
          </cell>
        </row>
        <row r="97">
          <cell r="D97">
            <v>142721</v>
          </cell>
          <cell r="G97">
            <v>3794.85200496073</v>
          </cell>
        </row>
        <row r="98">
          <cell r="D98">
            <v>3498</v>
          </cell>
          <cell r="G98">
            <v>3319.5994854202399</v>
          </cell>
        </row>
        <row r="99">
          <cell r="D99">
            <v>86365</v>
          </cell>
          <cell r="G99">
            <v>3898.2405951484998</v>
          </cell>
        </row>
        <row r="100">
          <cell r="D100">
            <v>59854</v>
          </cell>
          <cell r="G100">
            <v>3617.8949276572998</v>
          </cell>
        </row>
        <row r="101">
          <cell r="D101">
            <v>85256</v>
          </cell>
          <cell r="G101">
            <v>3906.0132893872601</v>
          </cell>
        </row>
        <row r="102">
          <cell r="D102">
            <v>1109</v>
          </cell>
          <cell r="G102">
            <v>3300.7033363390501</v>
          </cell>
        </row>
        <row r="103">
          <cell r="D103">
            <v>57465</v>
          </cell>
          <cell r="G103">
            <v>3629.9313321151999</v>
          </cell>
        </row>
        <row r="104">
          <cell r="D104">
            <v>2389</v>
          </cell>
          <cell r="G104">
            <v>3328.3712850565098</v>
          </cell>
        </row>
        <row r="109">
          <cell r="A109">
            <v>1870</v>
          </cell>
          <cell r="B109">
            <v>414436</v>
          </cell>
          <cell r="C109">
            <v>3</v>
          </cell>
          <cell r="D109">
            <v>479</v>
          </cell>
          <cell r="E109">
            <v>1846</v>
          </cell>
          <cell r="F109">
            <v>1180</v>
          </cell>
          <cell r="G109">
            <v>12204</v>
          </cell>
        </row>
        <row r="114">
          <cell r="A114">
            <v>5</v>
          </cell>
          <cell r="B114">
            <v>545232</v>
          </cell>
          <cell r="C114">
            <v>68</v>
          </cell>
          <cell r="D114">
            <v>244</v>
          </cell>
          <cell r="E114">
            <v>1220</v>
          </cell>
          <cell r="F114">
            <v>694</v>
          </cell>
          <cell r="G114">
            <v>5790</v>
          </cell>
        </row>
        <row r="119">
          <cell r="A119">
            <v>1875</v>
          </cell>
          <cell r="B119">
            <v>959668</v>
          </cell>
          <cell r="C119">
            <v>71</v>
          </cell>
          <cell r="D119">
            <v>723</v>
          </cell>
          <cell r="E119">
            <v>3066</v>
          </cell>
          <cell r="F119">
            <v>1874</v>
          </cell>
          <cell r="G119">
            <v>17994</v>
          </cell>
        </row>
        <row r="124">
          <cell r="C124">
            <v>13246</v>
          </cell>
        </row>
        <row r="129">
          <cell r="C129">
            <v>37.279906278346203</v>
          </cell>
          <cell r="D129">
            <v>730.44472653191497</v>
          </cell>
        </row>
        <row r="134">
          <cell r="D134">
            <v>954.72904314301104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24_2T"/>
    </sheetNames>
    <sheetDataSet>
      <sheetData sheetId="0">
        <row r="9">
          <cell r="A9">
            <v>998834</v>
          </cell>
          <cell r="B9">
            <v>16967</v>
          </cell>
          <cell r="C9">
            <v>15455</v>
          </cell>
        </row>
        <row r="14">
          <cell r="A14">
            <v>566860</v>
          </cell>
          <cell r="B14">
            <v>489151</v>
          </cell>
          <cell r="C14">
            <v>115485</v>
          </cell>
        </row>
        <row r="19">
          <cell r="A19">
            <v>1565694</v>
          </cell>
          <cell r="B19">
            <v>506118</v>
          </cell>
          <cell r="C19">
            <v>130940</v>
          </cell>
        </row>
        <row r="31">
          <cell r="F31">
            <v>77.272181123578207</v>
          </cell>
        </row>
        <row r="32">
          <cell r="F32">
            <v>75.550324622444805</v>
          </cell>
        </row>
        <row r="33">
          <cell r="F33">
            <v>81.103126555967407</v>
          </cell>
        </row>
        <row r="34">
          <cell r="F34">
            <v>83.054203522923501</v>
          </cell>
        </row>
        <row r="35">
          <cell r="F35">
            <v>75.818962340629398</v>
          </cell>
        </row>
        <row r="36">
          <cell r="F36">
            <v>78.551469075531102</v>
          </cell>
        </row>
        <row r="37">
          <cell r="F37">
            <v>75.664292536608201</v>
          </cell>
        </row>
        <row r="38">
          <cell r="F38">
            <v>78.625036836211507</v>
          </cell>
        </row>
        <row r="39">
          <cell r="F39">
            <v>82.734325461015899</v>
          </cell>
        </row>
        <row r="40">
          <cell r="F40">
            <v>75.349504183698201</v>
          </cell>
        </row>
        <row r="41">
          <cell r="F41">
            <v>81.189083489897797</v>
          </cell>
        </row>
        <row r="42">
          <cell r="F42">
            <v>83.097021453503004</v>
          </cell>
        </row>
        <row r="55">
          <cell r="F55">
            <v>815.80172107350302</v>
          </cell>
        </row>
        <row r="56">
          <cell r="F56">
            <v>961.782458571917</v>
          </cell>
        </row>
        <row r="57">
          <cell r="F57">
            <v>321.62592765294897</v>
          </cell>
        </row>
        <row r="58">
          <cell r="F58">
            <v>980.43915089295297</v>
          </cell>
        </row>
        <row r="59">
          <cell r="F59">
            <v>980.45620726035804</v>
          </cell>
        </row>
        <row r="60">
          <cell r="F60">
            <v>670.85417230426197</v>
          </cell>
        </row>
        <row r="61">
          <cell r="F61">
            <v>991.895770217316</v>
          </cell>
        </row>
        <row r="62">
          <cell r="F62">
            <v>223.38085695762399</v>
          </cell>
        </row>
        <row r="63">
          <cell r="F63">
            <v>1072.28476221288</v>
          </cell>
        </row>
        <row r="64">
          <cell r="F64">
            <v>908.720432289011</v>
          </cell>
        </row>
        <row r="65">
          <cell r="F65">
            <v>325.033732053015</v>
          </cell>
        </row>
        <row r="66">
          <cell r="F66">
            <v>968.14496920985005</v>
          </cell>
        </row>
        <row r="76">
          <cell r="B76">
            <v>827106</v>
          </cell>
          <cell r="C76">
            <v>540078</v>
          </cell>
          <cell r="D76">
            <v>1367184</v>
          </cell>
        </row>
        <row r="77">
          <cell r="B77">
            <v>1014277</v>
          </cell>
          <cell r="C77">
            <v>682302</v>
          </cell>
          <cell r="D77">
            <v>1696579</v>
          </cell>
        </row>
        <row r="82">
          <cell r="D82">
            <v>47.403231941293598</v>
          </cell>
        </row>
        <row r="83">
          <cell r="D83">
            <v>48.3925093706846</v>
          </cell>
        </row>
        <row r="84">
          <cell r="D84">
            <v>45.932576789581802</v>
          </cell>
        </row>
        <row r="96">
          <cell r="D96">
            <v>148204</v>
          </cell>
          <cell r="G96">
            <v>3789.7622668753902</v>
          </cell>
        </row>
        <row r="97">
          <cell r="D97">
            <v>144662</v>
          </cell>
          <cell r="G97">
            <v>3801.1988497324801</v>
          </cell>
        </row>
        <row r="98">
          <cell r="D98">
            <v>3542</v>
          </cell>
          <cell r="G98">
            <v>3322.67052512705</v>
          </cell>
        </row>
        <row r="99">
          <cell r="D99">
            <v>87330</v>
          </cell>
          <cell r="G99">
            <v>3906.6863506240702</v>
          </cell>
        </row>
        <row r="100">
          <cell r="D100">
            <v>60874</v>
          </cell>
          <cell r="G100">
            <v>3622.0226697769199</v>
          </cell>
        </row>
        <row r="101">
          <cell r="D101">
            <v>86224</v>
          </cell>
          <cell r="G101">
            <v>3914.2662947671201</v>
          </cell>
        </row>
        <row r="102">
          <cell r="D102">
            <v>1106</v>
          </cell>
          <cell r="G102">
            <v>3315.75226039783</v>
          </cell>
        </row>
        <row r="103">
          <cell r="D103">
            <v>58438</v>
          </cell>
          <cell r="G103">
            <v>3634.3702898798701</v>
          </cell>
        </row>
        <row r="104">
          <cell r="D104">
            <v>2436</v>
          </cell>
          <cell r="G104">
            <v>3325.8115763546798</v>
          </cell>
        </row>
        <row r="109">
          <cell r="A109">
            <v>1748</v>
          </cell>
          <cell r="B109">
            <v>410536</v>
          </cell>
          <cell r="C109">
            <v>5</v>
          </cell>
          <cell r="D109">
            <v>479</v>
          </cell>
          <cell r="E109">
            <v>1750</v>
          </cell>
          <cell r="F109">
            <v>1122</v>
          </cell>
          <cell r="G109">
            <v>12520</v>
          </cell>
        </row>
        <row r="114">
          <cell r="A114">
            <v>5</v>
          </cell>
          <cell r="B114">
            <v>541199</v>
          </cell>
          <cell r="C114">
            <v>68</v>
          </cell>
          <cell r="D114">
            <v>247</v>
          </cell>
          <cell r="E114">
            <v>1155</v>
          </cell>
          <cell r="F114">
            <v>672</v>
          </cell>
          <cell r="G114">
            <v>6014</v>
          </cell>
        </row>
        <row r="119">
          <cell r="A119">
            <v>1753</v>
          </cell>
          <cell r="B119">
            <v>951735</v>
          </cell>
          <cell r="C119">
            <v>73</v>
          </cell>
          <cell r="D119">
            <v>726</v>
          </cell>
          <cell r="E119">
            <v>2905</v>
          </cell>
          <cell r="F119">
            <v>1794</v>
          </cell>
          <cell r="G119">
            <v>18534</v>
          </cell>
        </row>
        <row r="124">
          <cell r="C124">
            <v>12403</v>
          </cell>
        </row>
        <row r="129">
          <cell r="C129">
            <v>37.362368351557002</v>
          </cell>
          <cell r="D129">
            <v>731.66720458700195</v>
          </cell>
        </row>
        <row r="134">
          <cell r="D134">
            <v>962.91289397503601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24_3T"/>
    </sheetNames>
    <sheetDataSet>
      <sheetData sheetId="0">
        <row r="9">
          <cell r="A9">
            <v>993078</v>
          </cell>
          <cell r="B9">
            <v>17006</v>
          </cell>
          <cell r="C9">
            <v>15358</v>
          </cell>
        </row>
        <row r="14">
          <cell r="A14">
            <v>566059</v>
          </cell>
          <cell r="B14">
            <v>486161</v>
          </cell>
          <cell r="C14">
            <v>114663</v>
          </cell>
        </row>
        <row r="19">
          <cell r="A19">
            <v>1559137</v>
          </cell>
          <cell r="B19">
            <v>503167</v>
          </cell>
          <cell r="C19">
            <v>130021</v>
          </cell>
        </row>
        <row r="31">
          <cell r="F31">
            <v>77.339228149881507</v>
          </cell>
        </row>
        <row r="32">
          <cell r="F32">
            <v>75.629665808911298</v>
          </cell>
        </row>
        <row r="33">
          <cell r="F33">
            <v>81.147208464834506</v>
          </cell>
        </row>
        <row r="34">
          <cell r="F34">
            <v>83.103797896809795</v>
          </cell>
        </row>
        <row r="35">
          <cell r="F35">
            <v>75.893762409452506</v>
          </cell>
        </row>
        <row r="36">
          <cell r="F36">
            <v>78.609517867534194</v>
          </cell>
        </row>
        <row r="37">
          <cell r="F37">
            <v>75.739130872601507</v>
          </cell>
        </row>
        <row r="38">
          <cell r="F38">
            <v>78.720964422228803</v>
          </cell>
        </row>
        <row r="39">
          <cell r="F39">
            <v>82.762013282979595</v>
          </cell>
        </row>
        <row r="40">
          <cell r="F40">
            <v>75.437620463463006</v>
          </cell>
        </row>
        <row r="41">
          <cell r="F41">
            <v>81.232074280225206</v>
          </cell>
        </row>
        <row r="42">
          <cell r="F42">
            <v>83.149587822218393</v>
          </cell>
        </row>
        <row r="55">
          <cell r="F55">
            <v>822.83006890134197</v>
          </cell>
        </row>
        <row r="56">
          <cell r="F56">
            <v>971.50763962470899</v>
          </cell>
        </row>
        <row r="57">
          <cell r="F57">
            <v>320.82990237775402</v>
          </cell>
        </row>
        <row r="58">
          <cell r="F58">
            <v>982.71576931065499</v>
          </cell>
        </row>
        <row r="59">
          <cell r="F59">
            <v>989.72193074501604</v>
          </cell>
        </row>
        <row r="60">
          <cell r="F60">
            <v>676.16383522291505</v>
          </cell>
        </row>
        <row r="61">
          <cell r="F61">
            <v>1001.47924254706</v>
          </cell>
        </row>
        <row r="62">
          <cell r="F62">
            <v>225.349250220523</v>
          </cell>
        </row>
        <row r="63">
          <cell r="F63">
            <v>1075.8257585623101</v>
          </cell>
        </row>
        <row r="64">
          <cell r="F64">
            <v>918.92550389281405</v>
          </cell>
        </row>
        <row r="65">
          <cell r="F65">
            <v>324.16965025845502</v>
          </cell>
        </row>
        <row r="66">
          <cell r="F66">
            <v>970.24154054172004</v>
          </cell>
        </row>
        <row r="76">
          <cell r="B76">
            <v>822822</v>
          </cell>
          <cell r="C76">
            <v>539017</v>
          </cell>
          <cell r="D76">
            <v>1361839</v>
          </cell>
        </row>
        <row r="77">
          <cell r="B77">
            <v>1008423</v>
          </cell>
          <cell r="C77">
            <v>680678</v>
          </cell>
          <cell r="D77">
            <v>1689101</v>
          </cell>
        </row>
        <row r="82">
          <cell r="D82">
            <v>47.8381810449402</v>
          </cell>
        </row>
        <row r="83">
          <cell r="D83">
            <v>48.787503980840398</v>
          </cell>
        </row>
        <row r="84">
          <cell r="D84">
            <v>46.431707908603897</v>
          </cell>
        </row>
        <row r="96">
          <cell r="D96">
            <v>150716</v>
          </cell>
          <cell r="G96">
            <v>3792.69187080337</v>
          </cell>
        </row>
        <row r="97">
          <cell r="D97">
            <v>147111</v>
          </cell>
          <cell r="G97">
            <v>3804.2157350572002</v>
          </cell>
        </row>
        <row r="98">
          <cell r="D98">
            <v>3605</v>
          </cell>
          <cell r="G98">
            <v>3322.4319001386998</v>
          </cell>
        </row>
        <row r="99">
          <cell r="D99">
            <v>88512</v>
          </cell>
          <cell r="G99">
            <v>3913.4578362256002</v>
          </cell>
        </row>
        <row r="100">
          <cell r="D100">
            <v>62204</v>
          </cell>
          <cell r="G100">
            <v>3620.8502347116</v>
          </cell>
        </row>
        <row r="101">
          <cell r="D101">
            <v>87404</v>
          </cell>
          <cell r="G101">
            <v>3920.8853141732702</v>
          </cell>
        </row>
        <row r="102">
          <cell r="D102">
            <v>1108</v>
          </cell>
          <cell r="G102">
            <v>3327.5451263537898</v>
          </cell>
        </row>
        <row r="103">
          <cell r="D103">
            <v>59707</v>
          </cell>
          <cell r="G103">
            <v>3633.4252432713101</v>
          </cell>
        </row>
        <row r="104">
          <cell r="D104">
            <v>2497</v>
          </cell>
          <cell r="G104">
            <v>3320.1629955947101</v>
          </cell>
        </row>
        <row r="109">
          <cell r="A109">
            <v>1653</v>
          </cell>
          <cell r="B109">
            <v>406950</v>
          </cell>
          <cell r="C109">
            <v>3</v>
          </cell>
          <cell r="D109">
            <v>473</v>
          </cell>
          <cell r="E109">
            <v>1675</v>
          </cell>
          <cell r="F109">
            <v>1055</v>
          </cell>
          <cell r="G109">
            <v>12820</v>
          </cell>
        </row>
        <row r="114">
          <cell r="A114">
            <v>5</v>
          </cell>
          <cell r="B114">
            <v>537675</v>
          </cell>
          <cell r="C114">
            <v>69</v>
          </cell>
          <cell r="D114">
            <v>241</v>
          </cell>
          <cell r="E114">
            <v>1120</v>
          </cell>
          <cell r="F114">
            <v>653</v>
          </cell>
          <cell r="G114">
            <v>6241</v>
          </cell>
        </row>
        <row r="119">
          <cell r="A119">
            <v>1658</v>
          </cell>
          <cell r="B119">
            <v>944625</v>
          </cell>
          <cell r="C119">
            <v>72</v>
          </cell>
          <cell r="D119">
            <v>714</v>
          </cell>
          <cell r="E119">
            <v>2795</v>
          </cell>
          <cell r="F119">
            <v>1708</v>
          </cell>
          <cell r="G119">
            <v>19061</v>
          </cell>
        </row>
        <row r="124">
          <cell r="C124">
            <v>11970</v>
          </cell>
        </row>
        <row r="129">
          <cell r="C129">
            <v>37.528959590381099</v>
          </cell>
          <cell r="D129">
            <v>734.78569550606005</v>
          </cell>
        </row>
        <row r="134">
          <cell r="D134">
            <v>972.08001182262797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24_4T"/>
    </sheetNames>
    <sheetDataSet>
      <sheetData sheetId="0">
        <row r="9">
          <cell r="A9">
            <v>987157</v>
          </cell>
          <cell r="B9">
            <v>17092</v>
          </cell>
          <cell r="C9">
            <v>15293</v>
          </cell>
        </row>
        <row r="14">
          <cell r="A14">
            <v>564520</v>
          </cell>
          <cell r="B14">
            <v>484255</v>
          </cell>
          <cell r="C14">
            <v>114071</v>
          </cell>
        </row>
        <row r="19">
          <cell r="A19">
            <v>1551677</v>
          </cell>
          <cell r="B19">
            <v>501347</v>
          </cell>
          <cell r="C19">
            <v>129364</v>
          </cell>
        </row>
        <row r="31">
          <cell r="F31">
            <v>77.389858646622102</v>
          </cell>
        </row>
        <row r="32">
          <cell r="F32">
            <v>75.688644346340993</v>
          </cell>
        </row>
        <row r="33">
          <cell r="F33">
            <v>81.172803159501001</v>
          </cell>
        </row>
        <row r="34">
          <cell r="F34">
            <v>83.135537394558398</v>
          </cell>
        </row>
        <row r="35">
          <cell r="F35">
            <v>75.946775579383498</v>
          </cell>
        </row>
        <row r="36">
          <cell r="F36">
            <v>78.655140178878597</v>
          </cell>
        </row>
        <row r="37">
          <cell r="F37">
            <v>75.791531555077398</v>
          </cell>
        </row>
        <row r="38">
          <cell r="F38">
            <v>78.797156564474605</v>
          </cell>
        </row>
        <row r="39">
          <cell r="F39">
            <v>82.781926371542596</v>
          </cell>
        </row>
        <row r="40">
          <cell r="F40">
            <v>75.508725374355905</v>
          </cell>
        </row>
        <row r="41">
          <cell r="F41">
            <v>81.256653030544001</v>
          </cell>
        </row>
        <row r="42">
          <cell r="F42">
            <v>83.182955701308302</v>
          </cell>
        </row>
        <row r="55">
          <cell r="F55">
            <v>835.23085625835097</v>
          </cell>
        </row>
        <row r="56">
          <cell r="F56">
            <v>988.36339380659297</v>
          </cell>
        </row>
        <row r="57">
          <cell r="F57">
            <v>320.14816942424898</v>
          </cell>
        </row>
        <row r="58">
          <cell r="F58">
            <v>994.70593101741997</v>
          </cell>
        </row>
        <row r="59">
          <cell r="F59">
            <v>1006.11683596003</v>
          </cell>
        </row>
        <row r="60">
          <cell r="F60">
            <v>685.39965170278595</v>
          </cell>
        </row>
        <row r="61">
          <cell r="F61">
            <v>1018.21589388409</v>
          </cell>
        </row>
        <row r="62">
          <cell r="F62">
            <v>226.56792651532899</v>
          </cell>
        </row>
        <row r="63">
          <cell r="F63">
            <v>1096.3869744327501</v>
          </cell>
        </row>
        <row r="64">
          <cell r="F64">
            <v>936.16029498514604</v>
          </cell>
        </row>
        <row r="65">
          <cell r="F65">
            <v>323.45114020976598</v>
          </cell>
        </row>
        <row r="66">
          <cell r="F66">
            <v>981.07077093051805</v>
          </cell>
        </row>
        <row r="76">
          <cell r="B76">
            <v>814048</v>
          </cell>
          <cell r="C76">
            <v>532883</v>
          </cell>
          <cell r="D76">
            <v>1346931</v>
          </cell>
        </row>
        <row r="77">
          <cell r="B77">
            <v>1002440</v>
          </cell>
          <cell r="C77">
            <v>678547</v>
          </cell>
          <cell r="D77">
            <v>1680987</v>
          </cell>
        </row>
        <row r="82">
          <cell r="D82">
            <v>48.234250459475703</v>
          </cell>
        </row>
        <row r="83">
          <cell r="D83">
            <v>49.1359372037087</v>
          </cell>
        </row>
        <row r="84">
          <cell r="D84">
            <v>46.902113812027601</v>
          </cell>
        </row>
        <row r="96">
          <cell r="D96">
            <v>152671</v>
          </cell>
          <cell r="G96">
            <v>3809.2819788958</v>
          </cell>
        </row>
        <row r="97">
          <cell r="D97">
            <v>149018</v>
          </cell>
          <cell r="G97">
            <v>3820.0613415828998</v>
          </cell>
        </row>
        <row r="98">
          <cell r="D98">
            <v>3653</v>
          </cell>
          <cell r="G98">
            <v>3369.5559813851601</v>
          </cell>
        </row>
        <row r="99">
          <cell r="D99">
            <v>89421</v>
          </cell>
          <cell r="G99">
            <v>3933.1502555328202</v>
          </cell>
        </row>
        <row r="100">
          <cell r="D100">
            <v>63250</v>
          </cell>
          <cell r="G100">
            <v>3634.1606324110699</v>
          </cell>
        </row>
        <row r="101">
          <cell r="D101">
            <v>88318</v>
          </cell>
          <cell r="G101">
            <v>3939.9878507212602</v>
          </cell>
        </row>
        <row r="102">
          <cell r="D102">
            <v>1103</v>
          </cell>
          <cell r="G102">
            <v>3385.65911151405</v>
          </cell>
        </row>
        <row r="103">
          <cell r="D103">
            <v>60700</v>
          </cell>
          <cell r="G103">
            <v>3645.56925864909</v>
          </cell>
        </row>
        <row r="104">
          <cell r="D104">
            <v>2550</v>
          </cell>
          <cell r="G104">
            <v>3362.5905882352899</v>
          </cell>
        </row>
        <row r="109">
          <cell r="A109">
            <v>1615</v>
          </cell>
          <cell r="B109">
            <v>403345</v>
          </cell>
          <cell r="C109">
            <v>2</v>
          </cell>
          <cell r="D109">
            <v>480</v>
          </cell>
          <cell r="E109">
            <v>1605</v>
          </cell>
          <cell r="F109">
            <v>1047</v>
          </cell>
          <cell r="G109">
            <v>13174</v>
          </cell>
        </row>
        <row r="114">
          <cell r="A114">
            <v>4</v>
          </cell>
          <cell r="B114">
            <v>534559</v>
          </cell>
          <cell r="C114">
            <v>62</v>
          </cell>
          <cell r="D114">
            <v>237</v>
          </cell>
          <cell r="E114">
            <v>1080</v>
          </cell>
          <cell r="F114">
            <v>637</v>
          </cell>
          <cell r="G114">
            <v>6474</v>
          </cell>
        </row>
        <row r="119">
          <cell r="A119">
            <v>1619</v>
          </cell>
          <cell r="B119">
            <v>937904</v>
          </cell>
          <cell r="C119">
            <v>64</v>
          </cell>
          <cell r="D119">
            <v>717</v>
          </cell>
          <cell r="E119">
            <v>2685</v>
          </cell>
          <cell r="F119">
            <v>1684</v>
          </cell>
          <cell r="G119">
            <v>19648</v>
          </cell>
        </row>
        <row r="124">
          <cell r="C124">
            <v>11260</v>
          </cell>
        </row>
        <row r="129">
          <cell r="C129">
            <v>37.266656716816897</v>
          </cell>
          <cell r="D129">
            <v>740.50388638162599</v>
          </cell>
        </row>
        <row r="134">
          <cell r="D134">
            <v>988.56705428478904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T2009"/>
    </sheetNames>
    <sheetDataSet>
      <sheetData sheetId="0">
        <row r="4">
          <cell r="A4">
            <v>1259991</v>
          </cell>
          <cell r="B4">
            <v>10718</v>
          </cell>
          <cell r="C4">
            <v>15956</v>
          </cell>
        </row>
        <row r="14">
          <cell r="B14">
            <v>558153</v>
          </cell>
          <cell r="C14">
            <v>145903</v>
          </cell>
        </row>
        <row r="24">
          <cell r="B24">
            <v>568871</v>
          </cell>
          <cell r="C24">
            <v>161859</v>
          </cell>
        </row>
        <row r="46">
          <cell r="F46">
            <v>74.148799999999994</v>
          </cell>
        </row>
        <row r="47">
          <cell r="F47">
            <v>72.654600000000002</v>
          </cell>
        </row>
        <row r="48">
          <cell r="F48">
            <v>77.310199999999995</v>
          </cell>
        </row>
        <row r="49">
          <cell r="F49">
            <v>79.380099999999999</v>
          </cell>
        </row>
        <row r="51">
          <cell r="F51">
            <v>72.764099999999999</v>
          </cell>
        </row>
        <row r="52">
          <cell r="F52">
            <v>75.616100000000003</v>
          </cell>
        </row>
        <row r="53">
          <cell r="F53">
            <v>72.6691</v>
          </cell>
        </row>
        <row r="54">
          <cell r="F54">
            <v>74.432599999999994</v>
          </cell>
        </row>
        <row r="55">
          <cell r="F55">
            <v>79.1494</v>
          </cell>
        </row>
        <row r="57">
          <cell r="F57">
            <v>72.618899999999996</v>
          </cell>
        </row>
        <row r="58">
          <cell r="F58">
            <v>77.365399999999994</v>
          </cell>
        </row>
        <row r="59">
          <cell r="F59">
            <v>79.405299999999997</v>
          </cell>
        </row>
        <row r="84">
          <cell r="G84">
            <v>2197.2399999999998</v>
          </cell>
        </row>
        <row r="85">
          <cell r="G85">
            <v>2315.2800000000002</v>
          </cell>
        </row>
        <row r="86">
          <cell r="G86">
            <v>1431.28</v>
          </cell>
        </row>
        <row r="87">
          <cell r="G87">
            <v>3598.64</v>
          </cell>
        </row>
        <row r="89">
          <cell r="G89">
            <v>2470.36</v>
          </cell>
        </row>
        <row r="90">
          <cell r="G90">
            <v>1907.8</v>
          </cell>
        </row>
        <row r="91">
          <cell r="G91">
            <v>2462.04</v>
          </cell>
        </row>
        <row r="92">
          <cell r="G92">
            <v>833.12</v>
          </cell>
        </row>
        <row r="93">
          <cell r="G93">
            <v>4227.24</v>
          </cell>
        </row>
        <row r="95">
          <cell r="G95">
            <v>1952.72</v>
          </cell>
        </row>
        <row r="96">
          <cell r="G96">
            <v>1442.76</v>
          </cell>
        </row>
        <row r="97">
          <cell r="G97">
            <v>3529.88</v>
          </cell>
        </row>
        <row r="115">
          <cell r="D115">
            <v>0.89877989140657333</v>
          </cell>
          <cell r="E115">
            <v>0.83603261084975411</v>
          </cell>
          <cell r="F115">
            <v>0.87747433913237027</v>
          </cell>
        </row>
        <row r="124">
          <cell r="D124">
            <v>37.440100000000001</v>
          </cell>
        </row>
        <row r="125">
          <cell r="D125">
            <v>40.264299999999999</v>
          </cell>
        </row>
        <row r="126">
          <cell r="D126">
            <v>31.9468</v>
          </cell>
        </row>
        <row r="148">
          <cell r="D148">
            <v>86316</v>
          </cell>
          <cell r="H148">
            <v>11264.28</v>
          </cell>
        </row>
        <row r="149">
          <cell r="D149">
            <v>83418</v>
          </cell>
          <cell r="H149">
            <v>11288.88</v>
          </cell>
        </row>
        <row r="150">
          <cell r="D150">
            <v>2898</v>
          </cell>
          <cell r="H150">
            <v>10556.84</v>
          </cell>
        </row>
        <row r="151">
          <cell r="D151">
            <v>66586</v>
          </cell>
          <cell r="H151">
            <v>11020.68</v>
          </cell>
        </row>
        <row r="152">
          <cell r="D152">
            <v>19730</v>
          </cell>
          <cell r="H152">
            <v>12086.52</v>
          </cell>
        </row>
        <row r="153">
          <cell r="D153">
            <v>64896</v>
          </cell>
          <cell r="H153">
            <v>11042.84</v>
          </cell>
        </row>
        <row r="154">
          <cell r="D154">
            <v>1690</v>
          </cell>
          <cell r="H154">
            <v>10168.52</v>
          </cell>
        </row>
        <row r="155">
          <cell r="D155">
            <v>18522</v>
          </cell>
          <cell r="H155">
            <v>12150.84</v>
          </cell>
        </row>
        <row r="156">
          <cell r="D156">
            <v>1208</v>
          </cell>
          <cell r="H156">
            <v>11100.12</v>
          </cell>
        </row>
        <row r="166">
          <cell r="A166">
            <v>13660</v>
          </cell>
          <cell r="B166">
            <v>592193</v>
          </cell>
          <cell r="C166">
            <v>9</v>
          </cell>
          <cell r="D166">
            <v>664</v>
          </cell>
          <cell r="E166">
            <v>11963</v>
          </cell>
          <cell r="F166">
            <v>6212</v>
          </cell>
          <cell r="G166">
            <v>1470</v>
          </cell>
        </row>
        <row r="176">
          <cell r="A176">
            <v>80</v>
          </cell>
          <cell r="B176">
            <v>636388</v>
          </cell>
          <cell r="C176">
            <v>193</v>
          </cell>
          <cell r="D176">
            <v>250</v>
          </cell>
          <cell r="E176">
            <v>7646</v>
          </cell>
          <cell r="F176">
            <v>2839</v>
          </cell>
          <cell r="G176">
            <v>352</v>
          </cell>
        </row>
        <row r="186">
          <cell r="A186">
            <v>13740</v>
          </cell>
          <cell r="B186">
            <v>1228581</v>
          </cell>
          <cell r="C186">
            <v>202</v>
          </cell>
          <cell r="D186">
            <v>914</v>
          </cell>
          <cell r="E186">
            <v>19609</v>
          </cell>
          <cell r="F186">
            <v>9051</v>
          </cell>
          <cell r="G186">
            <v>1822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T2010"/>
    </sheetNames>
    <sheetDataSet>
      <sheetData sheetId="0" refreshError="1">
        <row r="4">
          <cell r="A4">
            <v>1242595</v>
          </cell>
          <cell r="B4">
            <v>11178</v>
          </cell>
          <cell r="C4">
            <v>16550</v>
          </cell>
        </row>
        <row r="14">
          <cell r="B14">
            <v>557446</v>
          </cell>
          <cell r="C14">
            <v>146690</v>
          </cell>
        </row>
        <row r="24">
          <cell r="B24">
            <v>568624</v>
          </cell>
          <cell r="C24">
            <v>163240</v>
          </cell>
        </row>
        <row r="46">
          <cell r="F46">
            <v>74.352699999999999</v>
          </cell>
        </row>
        <row r="47">
          <cell r="F47">
            <v>72.783199999999994</v>
          </cell>
        </row>
        <row r="48">
          <cell r="F48">
            <v>77.680400000000006</v>
          </cell>
        </row>
        <row r="49">
          <cell r="F49">
            <v>79.719399999999993</v>
          </cell>
        </row>
        <row r="51">
          <cell r="F51">
            <v>72.943399999999997</v>
          </cell>
        </row>
        <row r="52">
          <cell r="F52">
            <v>75.813800000000001</v>
          </cell>
        </row>
        <row r="53">
          <cell r="F53">
            <v>72.840800000000002</v>
          </cell>
        </row>
        <row r="54">
          <cell r="F54">
            <v>74.642499999999998</v>
          </cell>
        </row>
        <row r="55">
          <cell r="F55">
            <v>79.495800000000003</v>
          </cell>
        </row>
        <row r="57">
          <cell r="F57">
            <v>72.645899999999997</v>
          </cell>
        </row>
        <row r="58">
          <cell r="F58">
            <v>77.741299999999995</v>
          </cell>
        </row>
        <row r="59">
          <cell r="F59">
            <v>79.744699999999995</v>
          </cell>
        </row>
        <row r="84">
          <cell r="G84">
            <v>2221.56</v>
          </cell>
        </row>
        <row r="85">
          <cell r="G85">
            <v>2352.56</v>
          </cell>
        </row>
        <row r="86">
          <cell r="G86">
            <v>1420.08</v>
          </cell>
        </row>
        <row r="87">
          <cell r="G87">
            <v>3598.04</v>
          </cell>
        </row>
        <row r="89">
          <cell r="G89">
            <v>2510.2399999999998</v>
          </cell>
        </row>
        <row r="90">
          <cell r="G90">
            <v>1922.24</v>
          </cell>
        </row>
        <row r="91">
          <cell r="G91">
            <v>2502.88</v>
          </cell>
        </row>
        <row r="92">
          <cell r="G92">
            <v>831.36</v>
          </cell>
        </row>
        <row r="93">
          <cell r="G93">
            <v>4197.16</v>
          </cell>
        </row>
        <row r="95">
          <cell r="G95">
            <v>1994.12</v>
          </cell>
        </row>
        <row r="96">
          <cell r="G96">
            <v>1431.88</v>
          </cell>
        </row>
        <row r="97">
          <cell r="G97">
            <v>3530.4</v>
          </cell>
        </row>
        <row r="115">
          <cell r="D115">
            <v>0.90933486876067193</v>
          </cell>
          <cell r="E115">
            <v>0.85073451234669584</v>
          </cell>
          <cell r="F115">
            <v>0.88902664327898118</v>
          </cell>
        </row>
        <row r="124">
          <cell r="D124">
            <v>37.444400000000002</v>
          </cell>
        </row>
        <row r="125">
          <cell r="D125">
            <v>40.314</v>
          </cell>
        </row>
        <row r="126">
          <cell r="D126">
            <v>32.033799999999999</v>
          </cell>
        </row>
        <row r="148">
          <cell r="D148">
            <v>87770</v>
          </cell>
          <cell r="H148">
            <v>11490.88</v>
          </cell>
        </row>
        <row r="149">
          <cell r="D149">
            <v>84853</v>
          </cell>
          <cell r="H149">
            <v>11518.04</v>
          </cell>
        </row>
        <row r="150">
          <cell r="D150">
            <v>2917</v>
          </cell>
          <cell r="H150">
            <v>10700.44</v>
          </cell>
        </row>
        <row r="151">
          <cell r="D151">
            <v>66821</v>
          </cell>
          <cell r="H151">
            <v>11247.2</v>
          </cell>
        </row>
        <row r="152">
          <cell r="D152">
            <v>20949</v>
          </cell>
          <cell r="H152">
            <v>12268.08</v>
          </cell>
        </row>
        <row r="153">
          <cell r="D153">
            <v>65120</v>
          </cell>
          <cell r="H153">
            <v>11272.04</v>
          </cell>
        </row>
        <row r="154">
          <cell r="D154">
            <v>1701</v>
          </cell>
          <cell r="H154">
            <v>10295.799999999999</v>
          </cell>
        </row>
        <row r="155">
          <cell r="D155">
            <v>19733</v>
          </cell>
          <cell r="H155">
            <v>12329.8</v>
          </cell>
        </row>
        <row r="156">
          <cell r="D156">
            <v>1216</v>
          </cell>
          <cell r="H156">
            <v>11266.48</v>
          </cell>
        </row>
        <row r="166">
          <cell r="A166">
            <v>12632</v>
          </cell>
          <cell r="B166">
            <v>582022</v>
          </cell>
          <cell r="C166">
            <v>12</v>
          </cell>
          <cell r="D166">
            <v>661</v>
          </cell>
          <cell r="E166">
            <v>10710</v>
          </cell>
          <cell r="F166">
            <v>5762</v>
          </cell>
          <cell r="G166">
            <v>2097</v>
          </cell>
        </row>
        <row r="176">
          <cell r="A176">
            <v>65</v>
          </cell>
          <cell r="B176">
            <v>639510</v>
          </cell>
          <cell r="C176">
            <v>185</v>
          </cell>
          <cell r="D176">
            <v>254</v>
          </cell>
          <cell r="E176">
            <v>6940</v>
          </cell>
          <cell r="F176">
            <v>2636</v>
          </cell>
          <cell r="G176">
            <v>534</v>
          </cell>
        </row>
        <row r="186">
          <cell r="A186">
            <v>12697</v>
          </cell>
          <cell r="B186">
            <v>1221532</v>
          </cell>
          <cell r="C186">
            <v>197</v>
          </cell>
          <cell r="D186">
            <v>915</v>
          </cell>
          <cell r="E186">
            <v>17650</v>
          </cell>
          <cell r="F186">
            <v>8398</v>
          </cell>
          <cell r="G186">
            <v>2631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21_4T"/>
    </sheetNames>
    <sheetDataSet>
      <sheetData sheetId="0">
        <row r="31">
          <cell r="F31">
            <v>76.681141748098995</v>
          </cell>
        </row>
        <row r="32">
          <cell r="F32">
            <v>74.855267942580795</v>
          </cell>
        </row>
        <row r="33">
          <cell r="F33">
            <v>80.697926465940199</v>
          </cell>
        </row>
        <row r="34">
          <cell r="F34">
            <v>82.7033168706201</v>
          </cell>
        </row>
        <row r="35">
          <cell r="F35">
            <v>75.1655481106705</v>
          </cell>
        </row>
        <row r="36">
          <cell r="F36">
            <v>78.043180550196297</v>
          </cell>
        </row>
        <row r="37">
          <cell r="F37">
            <v>75.016186932047802</v>
          </cell>
        </row>
        <row r="38">
          <cell r="F38">
            <v>77.672698757389298</v>
          </cell>
        </row>
        <row r="39">
          <cell r="F39">
            <v>82.392254648442304</v>
          </cell>
        </row>
        <row r="40">
          <cell r="F40">
            <v>74.558812785546294</v>
          </cell>
        </row>
        <row r="41">
          <cell r="F41">
            <v>80.794724316896094</v>
          </cell>
        </row>
        <row r="42">
          <cell r="F42">
            <v>82.743772270488904</v>
          </cell>
        </row>
        <row r="55">
          <cell r="F55">
            <v>664.92575280390804</v>
          </cell>
        </row>
        <row r="56">
          <cell r="F56">
            <v>766.16842809902403</v>
          </cell>
        </row>
        <row r="57">
          <cell r="F57">
            <v>298.28473828809501</v>
          </cell>
        </row>
        <row r="58">
          <cell r="F58">
            <v>876.25588299900096</v>
          </cell>
        </row>
        <row r="59">
          <cell r="F59">
            <v>791.36397374538501</v>
          </cell>
        </row>
        <row r="60">
          <cell r="F60">
            <v>551.29782593913399</v>
          </cell>
        </row>
        <row r="61">
          <cell r="F61">
            <v>798.00812588687495</v>
          </cell>
        </row>
        <row r="62">
          <cell r="F62">
            <v>193.53522740982001</v>
          </cell>
        </row>
        <row r="63">
          <cell r="F63">
            <v>966.25397118581498</v>
          </cell>
        </row>
        <row r="64">
          <cell r="F64">
            <v>707.51131970617405</v>
          </cell>
        </row>
        <row r="65">
          <cell r="F65">
            <v>301.63639592135303</v>
          </cell>
        </row>
        <row r="66">
          <cell r="F66">
            <v>864.55112303319095</v>
          </cell>
        </row>
        <row r="82">
          <cell r="D82">
            <v>42.965407616225001</v>
          </cell>
        </row>
        <row r="83">
          <cell r="D83">
            <v>44.544592047924198</v>
          </cell>
        </row>
        <row r="84">
          <cell r="D84">
            <v>40.536806803073603</v>
          </cell>
        </row>
        <row r="134">
          <cell r="D134">
            <v>774.661604195731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90"/>
      <sheetName val="10191"/>
      <sheetName val="10110"/>
      <sheetName val="10111"/>
      <sheetName val="10112"/>
      <sheetName val="1012"/>
      <sheetName val="10161"/>
      <sheetName val="10162"/>
      <sheetName val="10163"/>
      <sheetName val="10211"/>
      <sheetName val="10212"/>
      <sheetName val="10144"/>
      <sheetName val="10145"/>
      <sheetName val="10146"/>
      <sheetName val="10147"/>
      <sheetName val="10148"/>
      <sheetName val="10149"/>
      <sheetName val="10150"/>
      <sheetName val="10151"/>
      <sheetName val="10152"/>
      <sheetName val="10262"/>
      <sheetName val="ODRA-DEPT "/>
      <sheetName val="ODRA-CAN1 "/>
      <sheetName val="ODRA-CAN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D14">
            <v>4577</v>
          </cell>
        </row>
        <row r="22">
          <cell r="D22">
            <v>17716</v>
          </cell>
          <cell r="J22">
            <v>27503</v>
          </cell>
        </row>
      </sheetData>
      <sheetData sheetId="21"/>
      <sheetData sheetId="22"/>
      <sheetData sheetId="23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90"/>
      <sheetName val="10191"/>
      <sheetName val="10110"/>
      <sheetName val="10111"/>
      <sheetName val="10112"/>
      <sheetName val="1012"/>
      <sheetName val="10161"/>
      <sheetName val="10162"/>
      <sheetName val="10163"/>
      <sheetName val="10211"/>
      <sheetName val="10212"/>
      <sheetName val="10144"/>
      <sheetName val="10145"/>
      <sheetName val="10146"/>
      <sheetName val="10147"/>
      <sheetName val="10148"/>
      <sheetName val="10149"/>
      <sheetName val="10150"/>
      <sheetName val="10151"/>
      <sheetName val="10152"/>
      <sheetName val="10262"/>
      <sheetName val="ODRA-DEPT "/>
      <sheetName val="ODRA-CAN1 "/>
      <sheetName val="ODRA-CAN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D14">
            <v>3608</v>
          </cell>
        </row>
        <row r="22">
          <cell r="D22">
            <v>15062</v>
          </cell>
          <cell r="J22">
            <v>25702</v>
          </cell>
        </row>
      </sheetData>
      <sheetData sheetId="21"/>
      <sheetData sheetId="22"/>
      <sheetData sheetId="2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90"/>
      <sheetName val="10191"/>
      <sheetName val="10110"/>
      <sheetName val="10111"/>
      <sheetName val="10112"/>
      <sheetName val="1012"/>
      <sheetName val="10161"/>
      <sheetName val="10162"/>
      <sheetName val="10163"/>
      <sheetName val="10211"/>
      <sheetName val="10212"/>
      <sheetName val="10144"/>
      <sheetName val="10145"/>
      <sheetName val="10146"/>
      <sheetName val="10147"/>
      <sheetName val="10148"/>
      <sheetName val="10149"/>
      <sheetName val="10150"/>
      <sheetName val="10151"/>
      <sheetName val="10152"/>
      <sheetName val="10262"/>
      <sheetName val="ODRA-DEPT "/>
      <sheetName val="ODRA-CAN1 "/>
      <sheetName val="ODRA-CAN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D14">
            <v>3573</v>
          </cell>
        </row>
        <row r="22">
          <cell r="D22">
            <v>15783</v>
          </cell>
          <cell r="J22">
            <v>24630</v>
          </cell>
        </row>
      </sheetData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0_4T"/>
    </sheetNames>
    <sheetDataSet>
      <sheetData sheetId="0">
        <row r="4">
          <cell r="A4">
            <v>1250149</v>
          </cell>
          <cell r="B4">
            <v>11722</v>
          </cell>
          <cell r="C4">
            <v>16767</v>
          </cell>
        </row>
        <row r="14">
          <cell r="A14">
            <v>527848</v>
          </cell>
          <cell r="B14">
            <v>567618</v>
          </cell>
          <cell r="C14">
            <v>146869</v>
          </cell>
        </row>
        <row r="24">
          <cell r="A24">
            <v>1777997</v>
          </cell>
          <cell r="B24">
            <v>579340</v>
          </cell>
          <cell r="C24">
            <v>163636</v>
          </cell>
        </row>
        <row r="46">
          <cell r="F46">
            <v>74.450900000000004</v>
          </cell>
        </row>
        <row r="47">
          <cell r="F47">
            <v>72.861800000000002</v>
          </cell>
        </row>
        <row r="48">
          <cell r="F48">
            <v>77.791399999999996</v>
          </cell>
        </row>
        <row r="49">
          <cell r="F49">
            <v>79.893100000000004</v>
          </cell>
        </row>
        <row r="51">
          <cell r="F51">
            <v>73.048500000000004</v>
          </cell>
        </row>
        <row r="52">
          <cell r="F52">
            <v>75.894199999999998</v>
          </cell>
        </row>
        <row r="53">
          <cell r="F53">
            <v>72.944599999999994</v>
          </cell>
        </row>
        <row r="54">
          <cell r="F54">
            <v>74.662000000000006</v>
          </cell>
        </row>
        <row r="55">
          <cell r="F55">
            <v>79.660899999999998</v>
          </cell>
        </row>
        <row r="57">
          <cell r="F57">
            <v>72.665499999999994</v>
          </cell>
        </row>
        <row r="58">
          <cell r="F58">
            <v>77.855999999999995</v>
          </cell>
        </row>
        <row r="59">
          <cell r="F59">
            <v>79.919700000000006</v>
          </cell>
        </row>
        <row r="84">
          <cell r="G84">
            <v>2202.2800000000002</v>
          </cell>
        </row>
        <row r="85">
          <cell r="G85">
            <v>2340.84</v>
          </cell>
        </row>
        <row r="86">
          <cell r="G86">
            <v>1388.08</v>
          </cell>
        </row>
        <row r="87">
          <cell r="G87">
            <v>3579.16</v>
          </cell>
        </row>
        <row r="89">
          <cell r="G89">
            <v>2491.84</v>
          </cell>
        </row>
        <row r="90">
          <cell r="G90">
            <v>1904.24</v>
          </cell>
        </row>
        <row r="91">
          <cell r="G91">
            <v>2485.08</v>
          </cell>
        </row>
        <row r="92">
          <cell r="G92">
            <v>802.08</v>
          </cell>
        </row>
        <row r="93">
          <cell r="G93">
            <v>4175.4799999999996</v>
          </cell>
        </row>
        <row r="95">
          <cell r="G95">
            <v>1999.24</v>
          </cell>
        </row>
        <row r="96">
          <cell r="G96">
            <v>1400.16</v>
          </cell>
        </row>
        <row r="97">
          <cell r="G97">
            <v>3511.04</v>
          </cell>
        </row>
        <row r="115">
          <cell r="D115">
            <v>0.91087531858432924</v>
          </cell>
          <cell r="E115">
            <v>0.85710093374833263</v>
          </cell>
          <cell r="F115">
            <v>0.89218920362395981</v>
          </cell>
        </row>
        <row r="124">
          <cell r="D124">
            <v>37.220500000000001</v>
          </cell>
        </row>
        <row r="125">
          <cell r="D125">
            <v>39.970700000000001</v>
          </cell>
        </row>
        <row r="126">
          <cell r="D126">
            <v>32.0563</v>
          </cell>
        </row>
        <row r="148">
          <cell r="D148">
            <v>88826</v>
          </cell>
          <cell r="H148">
            <v>11551.6</v>
          </cell>
        </row>
        <row r="149">
          <cell r="D149">
            <v>85914</v>
          </cell>
          <cell r="H149">
            <v>11580.16</v>
          </cell>
        </row>
        <row r="150">
          <cell r="D150">
            <v>2912</v>
          </cell>
          <cell r="H150">
            <v>10709.44</v>
          </cell>
        </row>
        <row r="151">
          <cell r="D151">
            <v>67205</v>
          </cell>
          <cell r="H151">
            <v>11306.4</v>
          </cell>
        </row>
        <row r="152">
          <cell r="D152">
            <v>21621</v>
          </cell>
          <cell r="H152">
            <v>12313.8</v>
          </cell>
        </row>
        <row r="153">
          <cell r="D153">
            <v>65501</v>
          </cell>
          <cell r="H153">
            <v>11332.44</v>
          </cell>
        </row>
        <row r="154">
          <cell r="D154">
            <v>1704</v>
          </cell>
          <cell r="H154">
            <v>10304.44</v>
          </cell>
        </row>
        <row r="155">
          <cell r="D155">
            <v>20413</v>
          </cell>
          <cell r="H155">
            <v>12374.92</v>
          </cell>
        </row>
        <row r="156">
          <cell r="D156">
            <v>1208</v>
          </cell>
          <cell r="H156">
            <v>11280.72</v>
          </cell>
        </row>
        <row r="166">
          <cell r="A166">
            <v>12535</v>
          </cell>
          <cell r="B166">
            <v>581920</v>
          </cell>
          <cell r="C166">
            <v>9</v>
          </cell>
          <cell r="D166">
            <v>653</v>
          </cell>
          <cell r="E166">
            <v>10227</v>
          </cell>
          <cell r="F166">
            <v>5566</v>
          </cell>
          <cell r="G166">
            <v>2363</v>
          </cell>
        </row>
        <row r="176">
          <cell r="A176">
            <v>64</v>
          </cell>
          <cell r="B176">
            <v>645376</v>
          </cell>
          <cell r="C176">
            <v>155</v>
          </cell>
          <cell r="D176">
            <v>252</v>
          </cell>
          <cell r="E176">
            <v>6648</v>
          </cell>
          <cell r="F176">
            <v>2568</v>
          </cell>
          <cell r="G176">
            <v>596</v>
          </cell>
        </row>
        <row r="186">
          <cell r="A186">
            <v>12599</v>
          </cell>
          <cell r="B186">
            <v>1227296</v>
          </cell>
          <cell r="C186">
            <v>164</v>
          </cell>
          <cell r="D186">
            <v>905</v>
          </cell>
          <cell r="E186">
            <v>16875</v>
          </cell>
          <cell r="F186">
            <v>8134</v>
          </cell>
          <cell r="G186">
            <v>2959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90"/>
      <sheetName val="10191"/>
      <sheetName val="10110"/>
      <sheetName val="10111"/>
      <sheetName val="10112"/>
      <sheetName val="1012"/>
      <sheetName val="10161"/>
      <sheetName val="10162"/>
      <sheetName val="10163"/>
      <sheetName val="10211"/>
      <sheetName val="10212"/>
      <sheetName val="10144"/>
      <sheetName val="10145"/>
      <sheetName val="10146"/>
      <sheetName val="10147"/>
      <sheetName val="10148"/>
      <sheetName val="10149"/>
      <sheetName val="10150"/>
      <sheetName val="10151"/>
      <sheetName val="10152"/>
      <sheetName val="10262"/>
      <sheetName val="ODRA-DEPT "/>
      <sheetName val="ODRA-CAN1 "/>
      <sheetName val="ODRA-CAN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D14">
            <v>2396</v>
          </cell>
        </row>
        <row r="22">
          <cell r="D22">
            <v>12141</v>
          </cell>
          <cell r="J22">
            <v>20557</v>
          </cell>
        </row>
      </sheetData>
      <sheetData sheetId="21"/>
      <sheetData sheetId="22"/>
      <sheetData sheetId="23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90"/>
      <sheetName val="10191"/>
      <sheetName val="10110"/>
      <sheetName val="10111"/>
      <sheetName val="10112"/>
      <sheetName val="1012"/>
      <sheetName val="10161"/>
      <sheetName val="10162"/>
      <sheetName val="10163"/>
      <sheetName val="10211"/>
      <sheetName val="10212"/>
      <sheetName val="10144"/>
      <sheetName val="10145"/>
      <sheetName val="10146"/>
      <sheetName val="10147"/>
      <sheetName val="10148"/>
      <sheetName val="10149"/>
      <sheetName val="10150"/>
      <sheetName val="10151"/>
      <sheetName val="10152"/>
      <sheetName val="10262"/>
      <sheetName val="ODRA-DEPT "/>
      <sheetName val="ODRA-CAN1 "/>
      <sheetName val="ODRA-CAN2 "/>
      <sheetName val="333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D14">
            <v>2512</v>
          </cell>
        </row>
        <row r="22">
          <cell r="D22">
            <v>13066</v>
          </cell>
          <cell r="J22">
            <v>22390</v>
          </cell>
        </row>
      </sheetData>
      <sheetData sheetId="21">
        <row r="26">
          <cell r="D26">
            <v>26103</v>
          </cell>
        </row>
      </sheetData>
      <sheetData sheetId="22"/>
      <sheetData sheetId="23"/>
      <sheetData sheetId="2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90"/>
      <sheetName val="10191"/>
      <sheetName val="10110"/>
      <sheetName val="10111"/>
      <sheetName val="10112"/>
      <sheetName val="1012"/>
      <sheetName val="10161"/>
      <sheetName val="10162"/>
      <sheetName val="10163"/>
      <sheetName val="10211"/>
      <sheetName val="10212"/>
      <sheetName val="10144"/>
      <sheetName val="10145"/>
      <sheetName val="10146"/>
      <sheetName val="10147"/>
      <sheetName val="10148"/>
      <sheetName val="10149"/>
      <sheetName val="10150"/>
      <sheetName val="10151"/>
      <sheetName val="10152"/>
      <sheetName val="10262"/>
      <sheetName val="ODRA-DEPT "/>
      <sheetName val="ODRA-CAN1 "/>
      <sheetName val="ODRA-CAN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D14">
            <v>3097</v>
          </cell>
        </row>
        <row r="22">
          <cell r="D22">
            <v>13502</v>
          </cell>
          <cell r="J22">
            <v>24122</v>
          </cell>
        </row>
      </sheetData>
      <sheetData sheetId="21">
        <row r="26">
          <cell r="D26">
            <v>27009</v>
          </cell>
        </row>
      </sheetData>
      <sheetData sheetId="22"/>
      <sheetData sheetId="23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90"/>
      <sheetName val="10191"/>
      <sheetName val="10110"/>
      <sheetName val="10111"/>
      <sheetName val="10112"/>
      <sheetName val="1012"/>
      <sheetName val="10161"/>
      <sheetName val="10162"/>
      <sheetName val="10163"/>
      <sheetName val="10211"/>
      <sheetName val="10212"/>
      <sheetName val="10144"/>
      <sheetName val="10145"/>
      <sheetName val="10146"/>
      <sheetName val="10147"/>
      <sheetName val="10148"/>
      <sheetName val="10149"/>
      <sheetName val="10150"/>
      <sheetName val="10151"/>
      <sheetName val="10152"/>
      <sheetName val="10262"/>
      <sheetName val="ODRA-DEPT "/>
      <sheetName val="ODRA-CAN1 "/>
      <sheetName val="ODRA-CAN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J14">
            <v>3411</v>
          </cell>
        </row>
        <row r="22">
          <cell r="D22">
            <v>13872</v>
          </cell>
          <cell r="J22">
            <v>24395</v>
          </cell>
        </row>
      </sheetData>
      <sheetData sheetId="21">
        <row r="26">
          <cell r="D26">
            <v>29571</v>
          </cell>
        </row>
      </sheetData>
      <sheetData sheetId="22"/>
      <sheetData sheetId="23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90"/>
      <sheetName val="10191"/>
      <sheetName val="10110"/>
      <sheetName val="10111"/>
      <sheetName val="10112"/>
      <sheetName val="1012"/>
      <sheetName val="10161"/>
      <sheetName val="10162"/>
      <sheetName val="10163"/>
      <sheetName val="10211"/>
      <sheetName val="10212"/>
      <sheetName val="10144"/>
      <sheetName val="10145"/>
      <sheetName val="10146"/>
      <sheetName val="10147"/>
      <sheetName val="10148"/>
      <sheetName val="10149"/>
      <sheetName val="10150"/>
      <sheetName val="10151"/>
      <sheetName val="10152"/>
      <sheetName val="10262"/>
      <sheetName val="ODRA-DEPT "/>
      <sheetName val="ODRA-CAN1 "/>
      <sheetName val="ODRA-CAN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4">
          <cell r="D14">
            <v>1894</v>
          </cell>
        </row>
        <row r="22">
          <cell r="D22">
            <v>10021</v>
          </cell>
          <cell r="J22">
            <v>19603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90"/>
      <sheetName val="10191"/>
      <sheetName val="10110"/>
      <sheetName val="10111"/>
      <sheetName val="10112"/>
      <sheetName val="1012"/>
      <sheetName val="10161"/>
      <sheetName val="10162"/>
      <sheetName val="10163"/>
      <sheetName val="10211"/>
      <sheetName val="10212"/>
      <sheetName val="10144"/>
      <sheetName val="10145"/>
      <sheetName val="10146"/>
      <sheetName val="10147"/>
      <sheetName val="10148"/>
      <sheetName val="10149"/>
      <sheetName val="10150"/>
      <sheetName val="10151"/>
      <sheetName val="10152"/>
      <sheetName val="10262"/>
      <sheetName val="ODRA-DEPT "/>
      <sheetName val="ODRA-CAN1 "/>
      <sheetName val="ODRA-CAN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D14">
            <v>1942</v>
          </cell>
        </row>
        <row r="22">
          <cell r="D22">
            <v>10685</v>
          </cell>
          <cell r="J22">
            <v>20068</v>
          </cell>
        </row>
      </sheetData>
      <sheetData sheetId="21">
        <row r="26">
          <cell r="D26">
            <v>24019</v>
          </cell>
        </row>
      </sheetData>
      <sheetData sheetId="22"/>
      <sheetData sheetId="23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90"/>
      <sheetName val="10191"/>
      <sheetName val="10110"/>
      <sheetName val="10111"/>
      <sheetName val="10112"/>
      <sheetName val="1012"/>
      <sheetName val="10161"/>
      <sheetName val="10162"/>
      <sheetName val="10163"/>
      <sheetName val="10211"/>
      <sheetName val="10212"/>
      <sheetName val="10144"/>
      <sheetName val="10145"/>
      <sheetName val="10146"/>
      <sheetName val="10147"/>
      <sheetName val="10148"/>
      <sheetName val="10149"/>
      <sheetName val="10150"/>
      <sheetName val="10151"/>
      <sheetName val="10152"/>
      <sheetName val="10262"/>
      <sheetName val="ODRA-DEPT "/>
      <sheetName val="ODRA-CAN1 "/>
      <sheetName val="ODRA-CAN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4">
          <cell r="D14">
            <v>1917</v>
          </cell>
        </row>
        <row r="22">
          <cell r="D22">
            <v>10822</v>
          </cell>
          <cell r="J22">
            <v>18814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90"/>
      <sheetName val="10191"/>
      <sheetName val="10110"/>
      <sheetName val="10111"/>
      <sheetName val="10112"/>
      <sheetName val="1012"/>
      <sheetName val="10161"/>
      <sheetName val="10162"/>
      <sheetName val="10163"/>
      <sheetName val="10211"/>
      <sheetName val="10212"/>
      <sheetName val="10144"/>
      <sheetName val="10145"/>
      <sheetName val="10146"/>
      <sheetName val="10147"/>
      <sheetName val="10148"/>
      <sheetName val="10149"/>
      <sheetName val="10150"/>
      <sheetName val="10151"/>
      <sheetName val="10152"/>
      <sheetName val="10262"/>
      <sheetName val="ODRA-DEPT "/>
      <sheetName val="ODRA-CAN1 "/>
      <sheetName val="ODRA-CAN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4">
          <cell r="D14">
            <v>2716</v>
          </cell>
        </row>
        <row r="22">
          <cell r="D22">
            <v>13757</v>
          </cell>
          <cell r="J22">
            <v>23522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90"/>
      <sheetName val="10191"/>
      <sheetName val="10110"/>
      <sheetName val="10111"/>
      <sheetName val="10112"/>
      <sheetName val="1012"/>
      <sheetName val="10161"/>
      <sheetName val="10162"/>
      <sheetName val="10163"/>
      <sheetName val="10211"/>
      <sheetName val="10212"/>
      <sheetName val="10144"/>
      <sheetName val="10145"/>
      <sheetName val="10146"/>
      <sheetName val="10147"/>
      <sheetName val="10148"/>
      <sheetName val="10149"/>
      <sheetName val="10150"/>
      <sheetName val="10151"/>
      <sheetName val="10152"/>
      <sheetName val="10262"/>
      <sheetName val="ODRA-DEPT "/>
      <sheetName val="ODRA-CAN1 "/>
      <sheetName val="ODRA-CAN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4">
          <cell r="D14">
            <v>1970</v>
          </cell>
        </row>
        <row r="22">
          <cell r="D22">
            <v>11193</v>
          </cell>
          <cell r="J22">
            <v>20120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90"/>
      <sheetName val="10191"/>
      <sheetName val="10110"/>
      <sheetName val="10111"/>
      <sheetName val="10112"/>
      <sheetName val="1012"/>
      <sheetName val="10161"/>
      <sheetName val="10162"/>
      <sheetName val="10163"/>
      <sheetName val="10211"/>
      <sheetName val="10212"/>
      <sheetName val="10144"/>
      <sheetName val="10145"/>
      <sheetName val="10146"/>
      <sheetName val="10147"/>
      <sheetName val="10148"/>
      <sheetName val="10149"/>
      <sheetName val="10150"/>
      <sheetName val="10151"/>
      <sheetName val="10152"/>
      <sheetName val="10262"/>
      <sheetName val="ODRA-DEPT "/>
      <sheetName val="ODRA-CAN1 "/>
      <sheetName val="ODRA-CAN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4">
          <cell r="D14">
            <v>1913</v>
          </cell>
        </row>
        <row r="22">
          <cell r="D22">
            <v>11477</v>
          </cell>
          <cell r="J22">
            <v>20327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1_1T"/>
    </sheetNames>
    <sheetDataSet>
      <sheetData sheetId="0">
        <row r="4">
          <cell r="A4">
            <v>1248613</v>
          </cell>
          <cell r="B4">
            <v>11801</v>
          </cell>
          <cell r="C4">
            <v>16886</v>
          </cell>
        </row>
        <row r="14">
          <cell r="A14">
            <v>530465</v>
          </cell>
          <cell r="B14">
            <v>567804</v>
          </cell>
          <cell r="C14">
            <v>146811</v>
          </cell>
        </row>
        <row r="24">
          <cell r="A24">
            <v>1779078</v>
          </cell>
          <cell r="B24">
            <v>579605</v>
          </cell>
          <cell r="C24">
            <v>163697</v>
          </cell>
        </row>
        <row r="46">
          <cell r="F46">
            <v>74.502700000000004</v>
          </cell>
        </row>
        <row r="47">
          <cell r="F47">
            <v>72.895499999999998</v>
          </cell>
        </row>
        <row r="48">
          <cell r="F48">
            <v>77.891000000000005</v>
          </cell>
        </row>
        <row r="49">
          <cell r="F49">
            <v>79.971999999999994</v>
          </cell>
        </row>
        <row r="50">
          <cell r="F50">
            <v>73.093900000000005</v>
          </cell>
        </row>
        <row r="51">
          <cell r="F51">
            <v>75.947900000000004</v>
          </cell>
        </row>
        <row r="52">
          <cell r="F52">
            <v>72.989000000000004</v>
          </cell>
        </row>
        <row r="53">
          <cell r="F53">
            <v>74.694599999999994</v>
          </cell>
        </row>
        <row r="54">
          <cell r="F54">
            <v>79.731099999999998</v>
          </cell>
        </row>
        <row r="55">
          <cell r="F55">
            <v>72.6755</v>
          </cell>
        </row>
        <row r="56">
          <cell r="F56">
            <v>77.957499999999996</v>
          </cell>
        </row>
        <row r="57">
          <cell r="F57">
            <v>79.999799999999993</v>
          </cell>
        </row>
        <row r="80">
          <cell r="G80">
            <v>2202.4</v>
          </cell>
        </row>
        <row r="81">
          <cell r="G81">
            <v>2344.6</v>
          </cell>
        </row>
        <row r="82">
          <cell r="G82">
            <v>1379.44</v>
          </cell>
        </row>
        <row r="83">
          <cell r="G83">
            <v>3571.12</v>
          </cell>
        </row>
        <row r="84">
          <cell r="G84">
            <v>2495.36</v>
          </cell>
        </row>
        <row r="85">
          <cell r="G85">
            <v>1901.88</v>
          </cell>
        </row>
        <row r="86">
          <cell r="G86">
            <v>2488.8000000000002</v>
          </cell>
        </row>
        <row r="87">
          <cell r="G87">
            <v>798.32</v>
          </cell>
        </row>
        <row r="88">
          <cell r="G88">
            <v>4164.4799999999996</v>
          </cell>
        </row>
        <row r="89">
          <cell r="G89">
            <v>2005.12</v>
          </cell>
        </row>
        <row r="90">
          <cell r="G90">
            <v>1391.52</v>
          </cell>
        </row>
        <row r="91">
          <cell r="G91">
            <v>3502.8</v>
          </cell>
        </row>
        <row r="108">
          <cell r="D108">
            <v>0.91274001060436172</v>
          </cell>
          <cell r="E108">
            <v>0.86062623106703795</v>
          </cell>
          <cell r="F108">
            <v>0.89457296907773676</v>
          </cell>
        </row>
        <row r="117">
          <cell r="D117">
            <v>37.2149</v>
          </cell>
        </row>
        <row r="118">
          <cell r="D118">
            <v>39.958100000000002</v>
          </cell>
        </row>
        <row r="119">
          <cell r="D119">
            <v>32.088999999999999</v>
          </cell>
        </row>
        <row r="141">
          <cell r="D141">
            <v>89282</v>
          </cell>
          <cell r="H141">
            <v>11585.08</v>
          </cell>
        </row>
        <row r="142">
          <cell r="D142">
            <v>86367</v>
          </cell>
          <cell r="H142">
            <v>11614.52</v>
          </cell>
        </row>
        <row r="143">
          <cell r="D143">
            <v>2915</v>
          </cell>
          <cell r="H143">
            <v>10712.96</v>
          </cell>
        </row>
        <row r="144">
          <cell r="D144">
            <v>67349</v>
          </cell>
          <cell r="H144">
            <v>11338.68</v>
          </cell>
        </row>
        <row r="145">
          <cell r="D145">
            <v>21933</v>
          </cell>
          <cell r="H145">
            <v>12341.68</v>
          </cell>
        </row>
        <row r="146">
          <cell r="D146">
            <v>65643</v>
          </cell>
          <cell r="H146">
            <v>11365.76</v>
          </cell>
        </row>
        <row r="147">
          <cell r="D147">
            <v>1706</v>
          </cell>
          <cell r="H147">
            <v>10297.08</v>
          </cell>
        </row>
        <row r="148">
          <cell r="D148">
            <v>20724</v>
          </cell>
          <cell r="H148">
            <v>12402.48</v>
          </cell>
        </row>
        <row r="149">
          <cell r="D149">
            <v>1209</v>
          </cell>
          <cell r="H149">
            <v>11299.8</v>
          </cell>
        </row>
        <row r="159">
          <cell r="A159">
            <v>12241</v>
          </cell>
          <cell r="B159">
            <v>580663</v>
          </cell>
          <cell r="C159">
            <v>7</v>
          </cell>
          <cell r="D159">
            <v>643</v>
          </cell>
          <cell r="E159">
            <v>9929</v>
          </cell>
          <cell r="F159">
            <v>5434</v>
          </cell>
          <cell r="G159">
            <v>2593</v>
          </cell>
        </row>
        <row r="169">
          <cell r="A169">
            <v>66</v>
          </cell>
          <cell r="B169">
            <v>645917</v>
          </cell>
          <cell r="C169">
            <v>158</v>
          </cell>
          <cell r="D169">
            <v>249</v>
          </cell>
          <cell r="E169">
            <v>6482</v>
          </cell>
          <cell r="F169">
            <v>2526</v>
          </cell>
          <cell r="G169">
            <v>633</v>
          </cell>
        </row>
        <row r="179">
          <cell r="A179">
            <v>12307</v>
          </cell>
          <cell r="B179">
            <v>1226580</v>
          </cell>
          <cell r="C179">
            <v>165</v>
          </cell>
          <cell r="D179">
            <v>892</v>
          </cell>
          <cell r="E179">
            <v>16411</v>
          </cell>
          <cell r="F179">
            <v>7960</v>
          </cell>
          <cell r="G179">
            <v>3226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90"/>
      <sheetName val="10191"/>
      <sheetName val="10110"/>
      <sheetName val="10111"/>
      <sheetName val="10112"/>
      <sheetName val="1012"/>
      <sheetName val="10161"/>
      <sheetName val="10162"/>
      <sheetName val="10163"/>
      <sheetName val="10211"/>
      <sheetName val="10212"/>
      <sheetName val="10144"/>
      <sheetName val="10145"/>
      <sheetName val="10146"/>
      <sheetName val="10147"/>
      <sheetName val="10148"/>
      <sheetName val="10149"/>
      <sheetName val="10150"/>
      <sheetName val="10151"/>
      <sheetName val="10152"/>
      <sheetName val="10262"/>
      <sheetName val="ODRA-DEPT "/>
      <sheetName val="ODRA-CAN1 "/>
      <sheetName val="ODRA-CAN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D14">
            <v>1142</v>
          </cell>
        </row>
        <row r="22">
          <cell r="D22">
            <v>9253</v>
          </cell>
          <cell r="J22">
            <v>19430</v>
          </cell>
        </row>
      </sheetData>
      <sheetData sheetId="21"/>
      <sheetData sheetId="22"/>
      <sheetData sheetId="23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90"/>
      <sheetName val="10191"/>
      <sheetName val="10110"/>
      <sheetName val="10111"/>
      <sheetName val="10112"/>
      <sheetName val="1012"/>
      <sheetName val="10161"/>
      <sheetName val="10162"/>
      <sheetName val="10163"/>
      <sheetName val="10211"/>
      <sheetName val="10212"/>
      <sheetName val="10144"/>
      <sheetName val="10145"/>
      <sheetName val="10146"/>
      <sheetName val="10147"/>
      <sheetName val="10148"/>
      <sheetName val="10149"/>
      <sheetName val="10150"/>
      <sheetName val="10151"/>
      <sheetName val="10152"/>
      <sheetName val="10262"/>
      <sheetName val="ODRA-DEPT "/>
      <sheetName val="ODRA-CAN1 "/>
      <sheetName val="ODRA-CAN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4">
          <cell r="D14">
            <v>1446</v>
          </cell>
        </row>
        <row r="22">
          <cell r="D22">
            <v>12745</v>
          </cell>
          <cell r="J22">
            <v>21905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90"/>
      <sheetName val="10191"/>
      <sheetName val="10110"/>
      <sheetName val="10111"/>
      <sheetName val="10112"/>
      <sheetName val="1012"/>
      <sheetName val="10161"/>
      <sheetName val="10162"/>
      <sheetName val="10163"/>
      <sheetName val="10211"/>
      <sheetName val="10212"/>
      <sheetName val="10144"/>
      <sheetName val="10145"/>
      <sheetName val="10146"/>
      <sheetName val="10147"/>
      <sheetName val="10148"/>
      <sheetName val="10149"/>
      <sheetName val="10150"/>
      <sheetName val="10151"/>
      <sheetName val="10152"/>
      <sheetName val="10262"/>
      <sheetName val="ODRA-DEPT "/>
      <sheetName val="ODRA-CAN1 "/>
      <sheetName val="ODRA-CAN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4">
          <cell r="D14">
            <v>1298</v>
          </cell>
        </row>
        <row r="22">
          <cell r="D22">
            <v>10727</v>
          </cell>
          <cell r="J22">
            <v>18367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90"/>
      <sheetName val="10191"/>
      <sheetName val="10110"/>
      <sheetName val="10111"/>
      <sheetName val="10112"/>
      <sheetName val="1012"/>
      <sheetName val="10161"/>
      <sheetName val="10162"/>
      <sheetName val="10163"/>
      <sheetName val="10211"/>
      <sheetName val="10212"/>
      <sheetName val="10144"/>
      <sheetName val="10145"/>
      <sheetName val="10146"/>
      <sheetName val="10147"/>
      <sheetName val="10148"/>
      <sheetName val="10149"/>
      <sheetName val="10150"/>
      <sheetName val="10151"/>
      <sheetName val="10152"/>
      <sheetName val="10262"/>
      <sheetName val="ODRA-DEPT "/>
      <sheetName val="ODRA-CAN1 "/>
      <sheetName val="ODRA-CAN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4">
          <cell r="D14">
            <v>1511</v>
          </cell>
        </row>
        <row r="22">
          <cell r="D22">
            <v>10547</v>
          </cell>
          <cell r="J22">
            <v>18462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90"/>
      <sheetName val="10191"/>
      <sheetName val="10110"/>
      <sheetName val="10111"/>
      <sheetName val="10112"/>
      <sheetName val="1012"/>
      <sheetName val="10161"/>
      <sheetName val="10162"/>
      <sheetName val="10163"/>
      <sheetName val="10211"/>
      <sheetName val="10212"/>
      <sheetName val="10144"/>
      <sheetName val="10145"/>
      <sheetName val="10146"/>
      <sheetName val="10147"/>
      <sheetName val="10148"/>
      <sheetName val="10149"/>
      <sheetName val="10150"/>
      <sheetName val="10151"/>
      <sheetName val="10152"/>
      <sheetName val="10262"/>
      <sheetName val="ODRA-DEPT "/>
      <sheetName val="ODRA-CAN1 "/>
      <sheetName val="ODRA-CAN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D14">
            <v>1245</v>
          </cell>
        </row>
        <row r="22">
          <cell r="D22">
            <v>10704</v>
          </cell>
          <cell r="J22">
            <v>19831</v>
          </cell>
        </row>
      </sheetData>
      <sheetData sheetId="21"/>
      <sheetData sheetId="22"/>
      <sheetData sheetId="23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90"/>
      <sheetName val="10191"/>
      <sheetName val="10110"/>
      <sheetName val="10111"/>
      <sheetName val="10112"/>
      <sheetName val="1012"/>
      <sheetName val="10161"/>
      <sheetName val="10162"/>
      <sheetName val="10163"/>
      <sheetName val="10211"/>
      <sheetName val="10212"/>
      <sheetName val="10144"/>
      <sheetName val="10145"/>
      <sheetName val="10146"/>
      <sheetName val="10147"/>
      <sheetName val="10148"/>
      <sheetName val="10149"/>
      <sheetName val="10150"/>
      <sheetName val="10151"/>
      <sheetName val="10152"/>
      <sheetName val="10262"/>
      <sheetName val="ODRA-DEPT "/>
      <sheetName val="ODRA-CAN1 "/>
      <sheetName val="ODRA-CAN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4">
          <cell r="D14">
            <v>2061</v>
          </cell>
        </row>
        <row r="22">
          <cell r="D22">
            <v>10685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90"/>
      <sheetName val="10191"/>
      <sheetName val="10110"/>
      <sheetName val="10111"/>
      <sheetName val="10112"/>
      <sheetName val="1012"/>
      <sheetName val="10161"/>
      <sheetName val="10162"/>
      <sheetName val="10163"/>
      <sheetName val="10211"/>
      <sheetName val="10212"/>
      <sheetName val="10144"/>
      <sheetName val="10145"/>
      <sheetName val="10146"/>
      <sheetName val="10147"/>
      <sheetName val="10148"/>
      <sheetName val="10149"/>
      <sheetName val="10150"/>
      <sheetName val="10151"/>
      <sheetName val="10152"/>
      <sheetName val="10262"/>
      <sheetName val="ODRA-DEPT "/>
      <sheetName val="ODRA-CAN1 "/>
      <sheetName val="ODRA-CAN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D14">
            <v>2891</v>
          </cell>
        </row>
        <row r="22">
          <cell r="D22">
            <v>13519</v>
          </cell>
        </row>
      </sheetData>
      <sheetData sheetId="21">
        <row r="26">
          <cell r="D26">
            <v>29165</v>
          </cell>
        </row>
      </sheetData>
      <sheetData sheetId="22"/>
      <sheetData sheetId="23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90"/>
      <sheetName val="10191"/>
      <sheetName val="10110"/>
      <sheetName val="10111"/>
      <sheetName val="10112"/>
      <sheetName val="1012"/>
      <sheetName val="10161"/>
      <sheetName val="10162"/>
      <sheetName val="10163"/>
      <sheetName val="10211"/>
      <sheetName val="10212"/>
      <sheetName val="10144"/>
      <sheetName val="10145"/>
      <sheetName val="10146"/>
      <sheetName val="10147"/>
      <sheetName val="10148"/>
      <sheetName val="10149"/>
      <sheetName val="10150"/>
      <sheetName val="10151"/>
      <sheetName val="10152"/>
      <sheetName val="10262"/>
      <sheetName val="ODRA-DEPT "/>
      <sheetName val="ODRA-CAN1 "/>
      <sheetName val="ODRA-CAN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4">
          <cell r="D14">
            <v>1905</v>
          </cell>
        </row>
        <row r="22">
          <cell r="D22">
            <v>10855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sions 1970-2010 avec diff mt"/>
      <sheetName val="travail"/>
    </sheetNames>
    <sheetDataSet>
      <sheetData sheetId="0">
        <row r="3">
          <cell r="A3" t="str">
            <v>Retraites NSA</v>
          </cell>
        </row>
        <row r="24">
          <cell r="A24" t="str">
            <v>Retraites SA</v>
          </cell>
        </row>
        <row r="25">
          <cell r="C25" t="str">
            <v>effectif n</v>
          </cell>
        </row>
        <row r="26">
          <cell r="A26">
            <v>1970</v>
          </cell>
          <cell r="C26">
            <v>542000</v>
          </cell>
        </row>
        <row r="27">
          <cell r="A27">
            <v>1975</v>
          </cell>
          <cell r="C27">
            <v>805000</v>
          </cell>
        </row>
        <row r="28">
          <cell r="A28">
            <v>1980</v>
          </cell>
          <cell r="C28">
            <v>1025914</v>
          </cell>
        </row>
        <row r="29">
          <cell r="A29">
            <v>1985</v>
          </cell>
          <cell r="C29">
            <v>1315144</v>
          </cell>
        </row>
        <row r="30">
          <cell r="A30">
            <v>1990</v>
          </cell>
          <cell r="C30">
            <v>1784595</v>
          </cell>
        </row>
        <row r="31">
          <cell r="A31">
            <v>1995</v>
          </cell>
          <cell r="C31">
            <v>2112442</v>
          </cell>
        </row>
        <row r="32">
          <cell r="A32">
            <v>2000</v>
          </cell>
          <cell r="C32">
            <v>2278824</v>
          </cell>
        </row>
        <row r="33">
          <cell r="A33">
            <v>2001</v>
          </cell>
          <cell r="C33">
            <v>2292176</v>
          </cell>
        </row>
        <row r="34">
          <cell r="A34">
            <v>2002</v>
          </cell>
          <cell r="C34">
            <v>2302166</v>
          </cell>
        </row>
        <row r="35">
          <cell r="A35">
            <v>2003</v>
          </cell>
          <cell r="C35">
            <v>2311276</v>
          </cell>
        </row>
        <row r="36">
          <cell r="A36">
            <v>2004</v>
          </cell>
          <cell r="C36">
            <v>2341333</v>
          </cell>
        </row>
        <row r="37">
          <cell r="A37">
            <v>2005</v>
          </cell>
          <cell r="C37">
            <v>2369113</v>
          </cell>
        </row>
        <row r="38">
          <cell r="A38">
            <v>2006</v>
          </cell>
          <cell r="C38">
            <v>2412941</v>
          </cell>
        </row>
        <row r="39">
          <cell r="A39">
            <v>2007</v>
          </cell>
          <cell r="C39">
            <v>2457406</v>
          </cell>
        </row>
        <row r="40">
          <cell r="A40">
            <v>2008</v>
          </cell>
          <cell r="C40">
            <v>2501653</v>
          </cell>
        </row>
        <row r="41">
          <cell r="A41">
            <v>2009</v>
          </cell>
          <cell r="C41">
            <v>2509526</v>
          </cell>
        </row>
        <row r="42">
          <cell r="A42">
            <v>2010</v>
          </cell>
          <cell r="C42">
            <v>2520973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SA_2011_2T"/>
    </sheetNames>
    <sheetDataSet>
      <sheetData sheetId="0">
        <row r="4">
          <cell r="A4">
            <v>1245523</v>
          </cell>
          <cell r="B4">
            <v>11949</v>
          </cell>
          <cell r="C4">
            <v>17006</v>
          </cell>
        </row>
        <row r="14">
          <cell r="A14">
            <v>532661</v>
          </cell>
          <cell r="B14">
            <v>568456</v>
          </cell>
          <cell r="C14">
            <v>146674</v>
          </cell>
        </row>
        <row r="24">
          <cell r="A24">
            <v>1778184</v>
          </cell>
          <cell r="B24">
            <v>580405</v>
          </cell>
          <cell r="C24">
            <v>163680</v>
          </cell>
        </row>
        <row r="46">
          <cell r="F46">
            <v>74.563299999999998</v>
          </cell>
        </row>
        <row r="47">
          <cell r="F47">
            <v>72.942099999999996</v>
          </cell>
        </row>
        <row r="48">
          <cell r="F48">
            <v>77.979299999999995</v>
          </cell>
        </row>
        <row r="49">
          <cell r="F49">
            <v>80.061999999999998</v>
          </cell>
        </row>
        <row r="50">
          <cell r="F50">
            <v>73.149799999999999</v>
          </cell>
        </row>
        <row r="51">
          <cell r="F51">
            <v>76.007000000000005</v>
          </cell>
        </row>
        <row r="52">
          <cell r="F52">
            <v>73.043099999999995</v>
          </cell>
        </row>
        <row r="53">
          <cell r="F53">
            <v>74.786299999999997</v>
          </cell>
        </row>
        <row r="54">
          <cell r="F54">
            <v>79.813699999999997</v>
          </cell>
        </row>
        <row r="55">
          <cell r="F55">
            <v>72.706000000000003</v>
          </cell>
        </row>
        <row r="56">
          <cell r="F56">
            <v>78.046400000000006</v>
          </cell>
        </row>
        <row r="57">
          <cell r="F57">
            <v>80.090800000000002</v>
          </cell>
        </row>
        <row r="80">
          <cell r="G80">
            <v>2247.7199999999998</v>
          </cell>
        </row>
        <row r="81">
          <cell r="G81">
            <v>2396.12</v>
          </cell>
        </row>
        <row r="82">
          <cell r="G82">
            <v>1400.96</v>
          </cell>
        </row>
        <row r="83">
          <cell r="G83">
            <v>3638.04</v>
          </cell>
        </row>
        <row r="84">
          <cell r="G84">
            <v>2549.3200000000002</v>
          </cell>
        </row>
        <row r="85">
          <cell r="G85">
            <v>1939.68</v>
          </cell>
        </row>
        <row r="86">
          <cell r="G86">
            <v>2543.12</v>
          </cell>
        </row>
        <row r="87">
          <cell r="G87">
            <v>801.48</v>
          </cell>
        </row>
        <row r="88">
          <cell r="G88">
            <v>4231.84</v>
          </cell>
        </row>
        <row r="89">
          <cell r="G89">
            <v>2052.44</v>
          </cell>
        </row>
        <row r="90">
          <cell r="G90">
            <v>1413.56</v>
          </cell>
        </row>
        <row r="91">
          <cell r="G91">
            <v>3569.2</v>
          </cell>
        </row>
        <row r="108">
          <cell r="D108">
            <v>0.91465173583581583</v>
          </cell>
          <cell r="E108">
            <v>0.86387931656291261</v>
          </cell>
          <cell r="F108">
            <v>0.89688979248804246</v>
          </cell>
        </row>
        <row r="117">
          <cell r="D117">
            <v>37.210599999999999</v>
          </cell>
        </row>
        <row r="118">
          <cell r="D118">
            <v>39.942</v>
          </cell>
        </row>
        <row r="119">
          <cell r="D119">
            <v>32.134300000000003</v>
          </cell>
        </row>
        <row r="141">
          <cell r="D141">
            <v>89667</v>
          </cell>
          <cell r="H141">
            <v>11871.28</v>
          </cell>
        </row>
        <row r="142">
          <cell r="D142">
            <v>86747</v>
          </cell>
          <cell r="H142">
            <v>11902.92</v>
          </cell>
        </row>
        <row r="143">
          <cell r="D143">
            <v>2920</v>
          </cell>
          <cell r="H143">
            <v>10930.84</v>
          </cell>
        </row>
        <row r="144">
          <cell r="D144">
            <v>67418</v>
          </cell>
          <cell r="H144">
            <v>11621.36</v>
          </cell>
        </row>
        <row r="145">
          <cell r="D145">
            <v>22249</v>
          </cell>
          <cell r="H145">
            <v>12628.52</v>
          </cell>
        </row>
        <row r="146">
          <cell r="D146">
            <v>65702</v>
          </cell>
          <cell r="H146">
            <v>11650.36</v>
          </cell>
        </row>
        <row r="147">
          <cell r="D147">
            <v>1716</v>
          </cell>
          <cell r="H147">
            <v>10511.2</v>
          </cell>
        </row>
        <row r="148">
          <cell r="D148">
            <v>21045</v>
          </cell>
          <cell r="H148">
            <v>12691.44</v>
          </cell>
        </row>
        <row r="149">
          <cell r="D149">
            <v>1204</v>
          </cell>
          <cell r="H149">
            <v>11528.88</v>
          </cell>
        </row>
        <row r="159">
          <cell r="A159">
            <v>11936</v>
          </cell>
          <cell r="B159">
            <v>578318</v>
          </cell>
          <cell r="C159">
            <v>6</v>
          </cell>
          <cell r="D159">
            <v>645</v>
          </cell>
          <cell r="E159">
            <v>9659</v>
          </cell>
          <cell r="F159">
            <v>5326</v>
          </cell>
          <cell r="G159">
            <v>2781</v>
          </cell>
        </row>
        <row r="169">
          <cell r="A169">
            <v>60</v>
          </cell>
          <cell r="B169">
            <v>646330</v>
          </cell>
          <cell r="C169">
            <v>161</v>
          </cell>
          <cell r="D169">
            <v>250</v>
          </cell>
          <cell r="E169">
            <v>6313</v>
          </cell>
          <cell r="F169">
            <v>2483</v>
          </cell>
          <cell r="G169">
            <v>680</v>
          </cell>
        </row>
        <row r="179">
          <cell r="A179">
            <v>11996</v>
          </cell>
          <cell r="B179">
            <v>1224648</v>
          </cell>
          <cell r="C179">
            <v>167</v>
          </cell>
          <cell r="D179">
            <v>895</v>
          </cell>
          <cell r="E179">
            <v>15972</v>
          </cell>
          <cell r="F179">
            <v>7809</v>
          </cell>
          <cell r="G179">
            <v>3461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diot.sebastien@ccmsa.msa.fr" TargetMode="External"/><Relationship Id="rId2" Type="http://schemas.openxmlformats.org/officeDocument/2006/relationships/hyperlink" Target="mailto:clerc.marie-laure@ccmsa.msa.fr" TargetMode="External"/><Relationship Id="rId1" Type="http://schemas.openxmlformats.org/officeDocument/2006/relationships/hyperlink" Target="mailto:joubert.nadia@ccmsa.msa.fr" TargetMode="External"/><Relationship Id="rId4" Type="http://schemas.openxmlformats.org/officeDocument/2006/relationships/hyperlink" Target="mailto:hengel.audrey@ccmsa.msa.f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542C9-DBE6-4FE7-96EA-2459EC28D70C}">
  <dimension ref="A1:BA463"/>
  <sheetViews>
    <sheetView showGridLines="0" tabSelected="1" zoomScale="70" zoomScaleNormal="70" workbookViewId="0">
      <selection activeCell="A5" sqref="A5:J5"/>
    </sheetView>
  </sheetViews>
  <sheetFormatPr baseColWidth="10" defaultColWidth="11.453125" defaultRowHeight="12.5" x14ac:dyDescent="0.25"/>
  <cols>
    <col min="10" max="10" width="11.81640625" customWidth="1"/>
    <col min="11" max="53" width="11.453125" style="403"/>
  </cols>
  <sheetData>
    <row r="1" spans="1:10" ht="18.5" thickTop="1" x14ac:dyDescent="0.4">
      <c r="A1" s="422"/>
      <c r="B1" s="421"/>
      <c r="C1" s="421"/>
      <c r="D1" s="421"/>
      <c r="E1" s="421"/>
      <c r="F1" s="421"/>
      <c r="G1" s="421"/>
      <c r="H1" s="421"/>
      <c r="I1" s="421"/>
      <c r="J1" s="420" t="s">
        <v>448</v>
      </c>
    </row>
    <row r="2" spans="1:10" x14ac:dyDescent="0.25">
      <c r="A2" s="419"/>
      <c r="J2" s="408"/>
    </row>
    <row r="3" spans="1:10" x14ac:dyDescent="0.25">
      <c r="A3" s="419"/>
      <c r="J3" s="408"/>
    </row>
    <row r="4" spans="1:10" x14ac:dyDescent="0.25">
      <c r="A4" s="419"/>
      <c r="J4" s="408"/>
    </row>
    <row r="5" spans="1:10" ht="27.65" customHeight="1" x14ac:dyDescent="0.25">
      <c r="A5" s="426" t="s">
        <v>447</v>
      </c>
      <c r="B5" s="427"/>
      <c r="C5" s="427"/>
      <c r="D5" s="427"/>
      <c r="E5" s="427"/>
      <c r="F5" s="427"/>
      <c r="G5" s="427"/>
      <c r="H5" s="427"/>
      <c r="I5" s="427"/>
      <c r="J5" s="428"/>
    </row>
    <row r="6" spans="1:10" ht="31" customHeight="1" x14ac:dyDescent="0.25">
      <c r="A6" s="426" t="s">
        <v>446</v>
      </c>
      <c r="B6" s="427"/>
      <c r="C6" s="427"/>
      <c r="D6" s="427"/>
      <c r="E6" s="427"/>
      <c r="F6" s="427"/>
      <c r="G6" s="427"/>
      <c r="H6" s="427"/>
      <c r="I6" s="427"/>
      <c r="J6" s="428"/>
    </row>
    <row r="7" spans="1:10" ht="30" customHeight="1" x14ac:dyDescent="0.25">
      <c r="A7" s="426" t="s">
        <v>445</v>
      </c>
      <c r="B7" s="427"/>
      <c r="C7" s="427"/>
      <c r="D7" s="427"/>
      <c r="E7" s="427"/>
      <c r="F7" s="427"/>
      <c r="G7" s="427"/>
      <c r="H7" s="427"/>
      <c r="I7" s="427"/>
      <c r="J7" s="428"/>
    </row>
    <row r="8" spans="1:10" ht="30" customHeight="1" x14ac:dyDescent="0.25">
      <c r="A8" s="423"/>
      <c r="B8" s="424"/>
      <c r="C8" s="424"/>
      <c r="D8" s="424"/>
      <c r="E8" s="424"/>
      <c r="F8" s="424"/>
      <c r="G8" s="424"/>
      <c r="H8" s="424"/>
      <c r="I8" s="424"/>
      <c r="J8" s="425"/>
    </row>
    <row r="9" spans="1:10" x14ac:dyDescent="0.25">
      <c r="A9" s="419"/>
      <c r="J9" s="408"/>
    </row>
    <row r="10" spans="1:10" x14ac:dyDescent="0.25">
      <c r="A10" s="429" t="s">
        <v>444</v>
      </c>
      <c r="B10" s="430"/>
      <c r="C10" s="430"/>
      <c r="D10" s="430"/>
      <c r="E10" s="430"/>
      <c r="J10" s="408"/>
    </row>
    <row r="11" spans="1:10" ht="20" x14ac:dyDescent="0.4">
      <c r="A11" s="418" t="s">
        <v>449</v>
      </c>
      <c r="B11" s="410"/>
      <c r="C11" s="410"/>
      <c r="D11" s="410"/>
      <c r="E11" s="410"/>
      <c r="F11" s="410"/>
      <c r="G11" s="410"/>
      <c r="H11" s="410"/>
      <c r="I11" s="409"/>
      <c r="J11" s="408"/>
    </row>
    <row r="12" spans="1:10" ht="20" x14ac:dyDescent="0.4">
      <c r="A12" s="412" t="s">
        <v>443</v>
      </c>
      <c r="B12" s="410"/>
      <c r="C12" s="410"/>
      <c r="D12" s="410"/>
      <c r="E12" s="410"/>
      <c r="F12" s="410"/>
      <c r="G12" s="410"/>
      <c r="H12" s="410"/>
      <c r="I12" s="409"/>
      <c r="J12" s="408"/>
    </row>
    <row r="13" spans="1:10" ht="20" x14ac:dyDescent="0.4">
      <c r="A13" s="412" t="s">
        <v>442</v>
      </c>
      <c r="B13" s="410"/>
      <c r="C13" s="410"/>
      <c r="D13" s="410"/>
      <c r="E13" s="410"/>
      <c r="F13" s="410"/>
      <c r="G13" s="410"/>
      <c r="H13" s="410"/>
      <c r="I13" s="409"/>
      <c r="J13" s="408"/>
    </row>
    <row r="14" spans="1:10" ht="20" x14ac:dyDescent="0.4">
      <c r="A14" s="416" t="s">
        <v>441</v>
      </c>
      <c r="B14" s="410"/>
      <c r="C14" s="410"/>
      <c r="D14" s="410"/>
      <c r="E14" s="410"/>
      <c r="F14" s="410"/>
      <c r="G14" s="410"/>
      <c r="H14" s="410"/>
      <c r="I14" s="409"/>
      <c r="J14" s="408"/>
    </row>
    <row r="15" spans="1:10" ht="20" x14ac:dyDescent="0.4">
      <c r="A15" s="417"/>
      <c r="B15" s="410"/>
      <c r="C15" s="410"/>
      <c r="D15" s="410"/>
      <c r="E15" s="410"/>
      <c r="F15" s="410"/>
      <c r="G15" s="410"/>
      <c r="H15" s="410"/>
      <c r="I15" s="409"/>
      <c r="J15" s="408"/>
    </row>
    <row r="16" spans="1:10" ht="20" x14ac:dyDescent="0.4">
      <c r="A16" s="493" t="s">
        <v>450</v>
      </c>
      <c r="B16" s="411"/>
      <c r="C16" s="411"/>
      <c r="D16" s="411"/>
      <c r="E16" s="411"/>
      <c r="F16" s="411"/>
      <c r="G16" s="411"/>
      <c r="H16" s="410"/>
      <c r="I16" s="409"/>
      <c r="J16" s="408"/>
    </row>
    <row r="17" spans="1:10" ht="20" x14ac:dyDescent="0.4">
      <c r="A17" s="431" t="s">
        <v>440</v>
      </c>
      <c r="B17" s="432"/>
      <c r="C17" s="432"/>
      <c r="D17" s="432"/>
      <c r="E17" s="432"/>
      <c r="F17" s="432"/>
      <c r="G17" s="432"/>
      <c r="H17" s="432"/>
      <c r="I17" s="409"/>
      <c r="J17" s="408"/>
    </row>
    <row r="18" spans="1:10" ht="20" x14ac:dyDescent="0.25">
      <c r="A18" s="416"/>
      <c r="B18" s="415"/>
      <c r="C18" s="415"/>
      <c r="D18" s="415"/>
      <c r="E18" s="415"/>
      <c r="F18" s="415"/>
      <c r="G18" s="415"/>
      <c r="H18" s="415"/>
      <c r="I18" s="414"/>
      <c r="J18" s="408"/>
    </row>
    <row r="19" spans="1:10" ht="20" x14ac:dyDescent="0.25">
      <c r="A19" s="412" t="s">
        <v>439</v>
      </c>
      <c r="B19" s="415"/>
      <c r="C19" s="415"/>
      <c r="D19" s="415"/>
      <c r="E19" s="415"/>
      <c r="F19" s="415"/>
      <c r="G19" s="415"/>
      <c r="H19" s="415"/>
      <c r="I19" s="414"/>
      <c r="J19" s="408"/>
    </row>
    <row r="20" spans="1:10" ht="20" x14ac:dyDescent="0.25">
      <c r="A20" s="431" t="s">
        <v>451</v>
      </c>
      <c r="B20" s="432"/>
      <c r="C20" s="432"/>
      <c r="D20" s="432"/>
      <c r="E20" s="432"/>
      <c r="F20" s="432"/>
      <c r="G20" s="432"/>
      <c r="H20" s="432"/>
      <c r="I20" s="414"/>
      <c r="J20" s="408"/>
    </row>
    <row r="21" spans="1:10" ht="20" x14ac:dyDescent="0.4">
      <c r="A21" s="413"/>
      <c r="B21" s="410"/>
      <c r="C21" s="410"/>
      <c r="D21" s="410"/>
      <c r="E21" s="410"/>
      <c r="F21" s="410"/>
      <c r="G21" s="410"/>
      <c r="H21" s="410"/>
      <c r="I21" s="409"/>
      <c r="J21" s="408"/>
    </row>
    <row r="22" spans="1:10" ht="20" x14ac:dyDescent="0.4">
      <c r="A22" s="412" t="s">
        <v>438</v>
      </c>
      <c r="B22" s="411"/>
      <c r="C22" s="411"/>
      <c r="D22" s="411"/>
      <c r="E22" s="411"/>
      <c r="F22" s="411"/>
      <c r="G22" s="411"/>
      <c r="H22" s="410"/>
      <c r="I22" s="409"/>
      <c r="J22" s="408"/>
    </row>
    <row r="23" spans="1:10" ht="20.5" thickBot="1" x14ac:dyDescent="0.3">
      <c r="A23" s="407" t="s">
        <v>437</v>
      </c>
      <c r="B23" s="406"/>
      <c r="C23" s="406"/>
      <c r="D23" s="406"/>
      <c r="E23" s="406"/>
      <c r="F23" s="406"/>
      <c r="G23" s="406"/>
      <c r="H23" s="406"/>
      <c r="I23" s="405"/>
      <c r="J23" s="404"/>
    </row>
    <row r="24" spans="1:10" s="403" customFormat="1" ht="13" thickTop="1" x14ac:dyDescent="0.25"/>
    <row r="25" spans="1:10" s="403" customFormat="1" x14ac:dyDescent="0.25"/>
    <row r="26" spans="1:10" s="403" customFormat="1" x14ac:dyDescent="0.25"/>
    <row r="27" spans="1:10" s="403" customFormat="1" x14ac:dyDescent="0.25"/>
    <row r="28" spans="1:10" s="403" customFormat="1" x14ac:dyDescent="0.25"/>
    <row r="29" spans="1:10" s="403" customFormat="1" x14ac:dyDescent="0.25"/>
    <row r="30" spans="1:10" s="403" customFormat="1" x14ac:dyDescent="0.25"/>
    <row r="31" spans="1:10" s="403" customFormat="1" x14ac:dyDescent="0.25"/>
    <row r="32" spans="1:10" s="403" customFormat="1" x14ac:dyDescent="0.25"/>
    <row r="33" s="403" customFormat="1" x14ac:dyDescent="0.25"/>
    <row r="34" s="403" customFormat="1" x14ac:dyDescent="0.25"/>
    <row r="35" s="403" customFormat="1" x14ac:dyDescent="0.25"/>
    <row r="36" s="403" customFormat="1" x14ac:dyDescent="0.25"/>
    <row r="37" s="403" customFormat="1" x14ac:dyDescent="0.25"/>
    <row r="38" s="403" customFormat="1" x14ac:dyDescent="0.25"/>
    <row r="39" s="403" customFormat="1" x14ac:dyDescent="0.25"/>
    <row r="40" s="403" customFormat="1" x14ac:dyDescent="0.25"/>
    <row r="41" s="403" customFormat="1" x14ac:dyDescent="0.25"/>
    <row r="42" s="403" customFormat="1" x14ac:dyDescent="0.25"/>
    <row r="43" s="403" customFormat="1" x14ac:dyDescent="0.25"/>
    <row r="44" s="403" customFormat="1" x14ac:dyDescent="0.25"/>
    <row r="45" s="403" customFormat="1" x14ac:dyDescent="0.25"/>
    <row r="46" s="403" customFormat="1" x14ac:dyDescent="0.25"/>
    <row r="47" s="403" customFormat="1" x14ac:dyDescent="0.25"/>
    <row r="48" s="403" customFormat="1" x14ac:dyDescent="0.25"/>
    <row r="49" s="403" customFormat="1" x14ac:dyDescent="0.25"/>
    <row r="50" s="403" customFormat="1" x14ac:dyDescent="0.25"/>
    <row r="51" s="403" customFormat="1" x14ac:dyDescent="0.25"/>
    <row r="52" s="403" customFormat="1" x14ac:dyDescent="0.25"/>
    <row r="53" s="403" customFormat="1" x14ac:dyDescent="0.25"/>
    <row r="54" s="403" customFormat="1" x14ac:dyDescent="0.25"/>
    <row r="55" s="403" customFormat="1" x14ac:dyDescent="0.25"/>
    <row r="56" s="403" customFormat="1" x14ac:dyDescent="0.25"/>
    <row r="57" s="403" customFormat="1" x14ac:dyDescent="0.25"/>
    <row r="58" s="403" customFormat="1" x14ac:dyDescent="0.25"/>
    <row r="59" s="403" customFormat="1" x14ac:dyDescent="0.25"/>
    <row r="60" s="403" customFormat="1" x14ac:dyDescent="0.25"/>
    <row r="61" s="403" customFormat="1" x14ac:dyDescent="0.25"/>
    <row r="62" s="403" customFormat="1" x14ac:dyDescent="0.25"/>
    <row r="63" s="403" customFormat="1" x14ac:dyDescent="0.25"/>
    <row r="64" s="403" customFormat="1" x14ac:dyDescent="0.25"/>
    <row r="65" s="403" customFormat="1" x14ac:dyDescent="0.25"/>
    <row r="66" s="403" customFormat="1" x14ac:dyDescent="0.25"/>
    <row r="67" s="403" customFormat="1" x14ac:dyDescent="0.25"/>
    <row r="68" s="403" customFormat="1" x14ac:dyDescent="0.25"/>
    <row r="69" s="403" customFormat="1" x14ac:dyDescent="0.25"/>
    <row r="70" s="403" customFormat="1" x14ac:dyDescent="0.25"/>
    <row r="71" s="403" customFormat="1" x14ac:dyDescent="0.25"/>
    <row r="72" s="403" customFormat="1" x14ac:dyDescent="0.25"/>
    <row r="73" s="403" customFormat="1" x14ac:dyDescent="0.25"/>
    <row r="74" s="403" customFormat="1" x14ac:dyDescent="0.25"/>
    <row r="75" s="403" customFormat="1" x14ac:dyDescent="0.25"/>
    <row r="76" s="403" customFormat="1" x14ac:dyDescent="0.25"/>
    <row r="77" s="403" customFormat="1" x14ac:dyDescent="0.25"/>
    <row r="78" s="403" customFormat="1" x14ac:dyDescent="0.25"/>
    <row r="79" s="403" customFormat="1" x14ac:dyDescent="0.25"/>
    <row r="80" s="403" customFormat="1" x14ac:dyDescent="0.25"/>
    <row r="81" s="403" customFormat="1" x14ac:dyDescent="0.25"/>
    <row r="82" s="403" customFormat="1" x14ac:dyDescent="0.25"/>
    <row r="83" s="403" customFormat="1" x14ac:dyDescent="0.25"/>
    <row r="84" s="403" customFormat="1" x14ac:dyDescent="0.25"/>
    <row r="85" s="403" customFormat="1" x14ac:dyDescent="0.25"/>
    <row r="86" s="403" customFormat="1" x14ac:dyDescent="0.25"/>
    <row r="87" s="403" customFormat="1" x14ac:dyDescent="0.25"/>
    <row r="88" s="403" customFormat="1" x14ac:dyDescent="0.25"/>
    <row r="89" s="403" customFormat="1" x14ac:dyDescent="0.25"/>
    <row r="90" s="403" customFormat="1" x14ac:dyDescent="0.25"/>
    <row r="91" s="403" customFormat="1" x14ac:dyDescent="0.25"/>
    <row r="92" s="403" customFormat="1" x14ac:dyDescent="0.25"/>
    <row r="93" s="403" customFormat="1" x14ac:dyDescent="0.25"/>
    <row r="94" s="403" customFormat="1" x14ac:dyDescent="0.25"/>
    <row r="95" s="403" customFormat="1" x14ac:dyDescent="0.25"/>
    <row r="96" s="403" customFormat="1" x14ac:dyDescent="0.25"/>
    <row r="97" s="403" customFormat="1" x14ac:dyDescent="0.25"/>
    <row r="98" s="403" customFormat="1" x14ac:dyDescent="0.25"/>
    <row r="99" s="403" customFormat="1" x14ac:dyDescent="0.25"/>
    <row r="100" s="403" customFormat="1" x14ac:dyDescent="0.25"/>
    <row r="101" s="403" customFormat="1" x14ac:dyDescent="0.25"/>
    <row r="102" s="403" customFormat="1" x14ac:dyDescent="0.25"/>
    <row r="103" s="403" customFormat="1" x14ac:dyDescent="0.25"/>
    <row r="104" s="403" customFormat="1" x14ac:dyDescent="0.25"/>
    <row r="105" s="403" customFormat="1" x14ac:dyDescent="0.25"/>
    <row r="106" s="403" customFormat="1" x14ac:dyDescent="0.25"/>
    <row r="107" s="403" customFormat="1" x14ac:dyDescent="0.25"/>
    <row r="108" s="403" customFormat="1" x14ac:dyDescent="0.25"/>
    <row r="109" s="403" customFormat="1" x14ac:dyDescent="0.25"/>
    <row r="110" s="403" customFormat="1" x14ac:dyDescent="0.25"/>
    <row r="111" s="403" customFormat="1" x14ac:dyDescent="0.25"/>
    <row r="112" s="403" customFormat="1" x14ac:dyDescent="0.25"/>
    <row r="113" s="403" customFormat="1" x14ac:dyDescent="0.25"/>
    <row r="114" s="403" customFormat="1" x14ac:dyDescent="0.25"/>
    <row r="115" s="403" customFormat="1" x14ac:dyDescent="0.25"/>
    <row r="116" s="403" customFormat="1" x14ac:dyDescent="0.25"/>
    <row r="117" s="403" customFormat="1" x14ac:dyDescent="0.25"/>
    <row r="118" s="403" customFormat="1" x14ac:dyDescent="0.25"/>
    <row r="119" s="403" customFormat="1" x14ac:dyDescent="0.25"/>
    <row r="120" s="403" customFormat="1" x14ac:dyDescent="0.25"/>
    <row r="121" s="403" customFormat="1" x14ac:dyDescent="0.25"/>
    <row r="122" s="403" customFormat="1" x14ac:dyDescent="0.25"/>
    <row r="123" s="403" customFormat="1" x14ac:dyDescent="0.25"/>
    <row r="124" s="403" customFormat="1" x14ac:dyDescent="0.25"/>
    <row r="125" s="403" customFormat="1" x14ac:dyDescent="0.25"/>
    <row r="126" s="403" customFormat="1" x14ac:dyDescent="0.25"/>
    <row r="127" s="403" customFormat="1" x14ac:dyDescent="0.25"/>
    <row r="128" s="403" customFormat="1" x14ac:dyDescent="0.25"/>
    <row r="129" s="403" customFormat="1" x14ac:dyDescent="0.25"/>
    <row r="130" s="403" customFormat="1" x14ac:dyDescent="0.25"/>
    <row r="131" s="403" customFormat="1" x14ac:dyDescent="0.25"/>
    <row r="132" s="403" customFormat="1" x14ac:dyDescent="0.25"/>
    <row r="133" s="403" customFormat="1" x14ac:dyDescent="0.25"/>
    <row r="134" s="403" customFormat="1" x14ac:dyDescent="0.25"/>
    <row r="135" s="403" customFormat="1" x14ac:dyDescent="0.25"/>
    <row r="136" s="403" customFormat="1" x14ac:dyDescent="0.25"/>
    <row r="137" s="403" customFormat="1" x14ac:dyDescent="0.25"/>
    <row r="138" s="403" customFormat="1" x14ac:dyDescent="0.25"/>
    <row r="139" s="403" customFormat="1" x14ac:dyDescent="0.25"/>
    <row r="140" s="403" customFormat="1" x14ac:dyDescent="0.25"/>
    <row r="141" s="403" customFormat="1" x14ac:dyDescent="0.25"/>
    <row r="142" s="403" customFormat="1" x14ac:dyDescent="0.25"/>
    <row r="143" s="403" customFormat="1" x14ac:dyDescent="0.25"/>
    <row r="144" s="403" customFormat="1" x14ac:dyDescent="0.25"/>
    <row r="145" s="403" customFormat="1" x14ac:dyDescent="0.25"/>
    <row r="146" s="403" customFormat="1" x14ac:dyDescent="0.25"/>
    <row r="147" s="403" customFormat="1" x14ac:dyDescent="0.25"/>
    <row r="148" s="403" customFormat="1" x14ac:dyDescent="0.25"/>
    <row r="149" s="403" customFormat="1" x14ac:dyDescent="0.25"/>
    <row r="150" s="403" customFormat="1" x14ac:dyDescent="0.25"/>
    <row r="151" s="403" customFormat="1" x14ac:dyDescent="0.25"/>
    <row r="152" s="403" customFormat="1" x14ac:dyDescent="0.25"/>
    <row r="153" s="403" customFormat="1" x14ac:dyDescent="0.25"/>
    <row r="154" s="403" customFormat="1" x14ac:dyDescent="0.25"/>
    <row r="155" s="403" customFormat="1" x14ac:dyDescent="0.25"/>
    <row r="156" s="403" customFormat="1" x14ac:dyDescent="0.25"/>
    <row r="157" s="403" customFormat="1" x14ac:dyDescent="0.25"/>
    <row r="158" s="403" customFormat="1" x14ac:dyDescent="0.25"/>
    <row r="159" s="403" customFormat="1" x14ac:dyDescent="0.25"/>
    <row r="160" s="403" customFormat="1" x14ac:dyDescent="0.25"/>
    <row r="161" s="403" customFormat="1" x14ac:dyDescent="0.25"/>
    <row r="162" s="403" customFormat="1" x14ac:dyDescent="0.25"/>
    <row r="163" s="403" customFormat="1" x14ac:dyDescent="0.25"/>
    <row r="164" s="403" customFormat="1" x14ac:dyDescent="0.25"/>
    <row r="165" s="403" customFormat="1" x14ac:dyDescent="0.25"/>
    <row r="166" s="403" customFormat="1" x14ac:dyDescent="0.25"/>
    <row r="167" s="403" customFormat="1" x14ac:dyDescent="0.25"/>
    <row r="168" s="403" customFormat="1" x14ac:dyDescent="0.25"/>
    <row r="169" s="403" customFormat="1" x14ac:dyDescent="0.25"/>
    <row r="170" s="403" customFormat="1" x14ac:dyDescent="0.25"/>
    <row r="171" s="403" customFormat="1" x14ac:dyDescent="0.25"/>
    <row r="172" s="403" customFormat="1" x14ac:dyDescent="0.25"/>
    <row r="173" s="403" customFormat="1" x14ac:dyDescent="0.25"/>
    <row r="174" s="403" customFormat="1" x14ac:dyDescent="0.25"/>
    <row r="175" s="403" customFormat="1" x14ac:dyDescent="0.25"/>
    <row r="176" s="403" customFormat="1" x14ac:dyDescent="0.25"/>
    <row r="177" s="403" customFormat="1" x14ac:dyDescent="0.25"/>
    <row r="178" s="403" customFormat="1" x14ac:dyDescent="0.25"/>
    <row r="179" s="403" customFormat="1" x14ac:dyDescent="0.25"/>
    <row r="180" s="403" customFormat="1" x14ac:dyDescent="0.25"/>
    <row r="181" s="403" customFormat="1" x14ac:dyDescent="0.25"/>
    <row r="182" s="403" customFormat="1" x14ac:dyDescent="0.25"/>
    <row r="183" s="403" customFormat="1" x14ac:dyDescent="0.25"/>
    <row r="184" s="403" customFormat="1" x14ac:dyDescent="0.25"/>
    <row r="185" s="403" customFormat="1" x14ac:dyDescent="0.25"/>
    <row r="186" s="403" customFormat="1" x14ac:dyDescent="0.25"/>
    <row r="187" s="403" customFormat="1" x14ac:dyDescent="0.25"/>
    <row r="188" s="403" customFormat="1" x14ac:dyDescent="0.25"/>
    <row r="189" s="403" customFormat="1" x14ac:dyDescent="0.25"/>
    <row r="190" s="403" customFormat="1" x14ac:dyDescent="0.25"/>
    <row r="191" s="403" customFormat="1" x14ac:dyDescent="0.25"/>
    <row r="192" s="403" customFormat="1" x14ac:dyDescent="0.25"/>
    <row r="193" s="403" customFormat="1" x14ac:dyDescent="0.25"/>
    <row r="194" s="403" customFormat="1" x14ac:dyDescent="0.25"/>
    <row r="195" s="403" customFormat="1" x14ac:dyDescent="0.25"/>
    <row r="196" s="403" customFormat="1" x14ac:dyDescent="0.25"/>
    <row r="197" s="403" customFormat="1" x14ac:dyDescent="0.25"/>
    <row r="198" s="403" customFormat="1" x14ac:dyDescent="0.25"/>
    <row r="199" s="403" customFormat="1" x14ac:dyDescent="0.25"/>
    <row r="200" s="403" customFormat="1" x14ac:dyDescent="0.25"/>
    <row r="201" s="403" customFormat="1" x14ac:dyDescent="0.25"/>
    <row r="202" s="403" customFormat="1" x14ac:dyDescent="0.25"/>
    <row r="203" s="403" customFormat="1" x14ac:dyDescent="0.25"/>
    <row r="204" s="403" customFormat="1" x14ac:dyDescent="0.25"/>
    <row r="205" s="403" customFormat="1" x14ac:dyDescent="0.25"/>
    <row r="206" s="403" customFormat="1" x14ac:dyDescent="0.25"/>
    <row r="207" s="403" customFormat="1" x14ac:dyDescent="0.25"/>
    <row r="208" s="403" customFormat="1" x14ac:dyDescent="0.25"/>
    <row r="209" s="403" customFormat="1" x14ac:dyDescent="0.25"/>
    <row r="210" s="403" customFormat="1" x14ac:dyDescent="0.25"/>
    <row r="211" s="403" customFormat="1" x14ac:dyDescent="0.25"/>
    <row r="212" s="403" customFormat="1" x14ac:dyDescent="0.25"/>
    <row r="213" s="403" customFormat="1" x14ac:dyDescent="0.25"/>
    <row r="214" s="403" customFormat="1" x14ac:dyDescent="0.25"/>
    <row r="215" s="403" customFormat="1" x14ac:dyDescent="0.25"/>
    <row r="216" s="403" customFormat="1" x14ac:dyDescent="0.25"/>
    <row r="217" s="403" customFormat="1" x14ac:dyDescent="0.25"/>
    <row r="218" s="403" customFormat="1" x14ac:dyDescent="0.25"/>
    <row r="219" s="403" customFormat="1" x14ac:dyDescent="0.25"/>
    <row r="220" s="403" customFormat="1" x14ac:dyDescent="0.25"/>
    <row r="221" s="403" customFormat="1" x14ac:dyDescent="0.25"/>
    <row r="222" s="403" customFormat="1" x14ac:dyDescent="0.25"/>
    <row r="223" s="403" customFormat="1" x14ac:dyDescent="0.25"/>
    <row r="224" s="403" customFormat="1" x14ac:dyDescent="0.25"/>
    <row r="225" s="403" customFormat="1" x14ac:dyDescent="0.25"/>
    <row r="226" s="403" customFormat="1" x14ac:dyDescent="0.25"/>
    <row r="227" s="403" customFormat="1" x14ac:dyDescent="0.25"/>
    <row r="228" s="403" customFormat="1" x14ac:dyDescent="0.25"/>
    <row r="229" s="403" customFormat="1" x14ac:dyDescent="0.25"/>
    <row r="230" s="403" customFormat="1" x14ac:dyDescent="0.25"/>
    <row r="231" s="403" customFormat="1" x14ac:dyDescent="0.25"/>
    <row r="232" s="403" customFormat="1" x14ac:dyDescent="0.25"/>
    <row r="233" s="403" customFormat="1" x14ac:dyDescent="0.25"/>
    <row r="234" s="403" customFormat="1" x14ac:dyDescent="0.25"/>
    <row r="235" s="403" customFormat="1" x14ac:dyDescent="0.25"/>
    <row r="236" s="403" customFormat="1" x14ac:dyDescent="0.25"/>
    <row r="237" s="403" customFormat="1" x14ac:dyDescent="0.25"/>
    <row r="238" s="403" customFormat="1" x14ac:dyDescent="0.25"/>
    <row r="239" s="403" customFormat="1" x14ac:dyDescent="0.25"/>
    <row r="240" s="403" customFormat="1" x14ac:dyDescent="0.25"/>
    <row r="241" s="403" customFormat="1" x14ac:dyDescent="0.25"/>
    <row r="242" s="403" customFormat="1" x14ac:dyDescent="0.25"/>
    <row r="243" s="403" customFormat="1" x14ac:dyDescent="0.25"/>
    <row r="244" s="403" customFormat="1" x14ac:dyDescent="0.25"/>
    <row r="245" s="403" customFormat="1" x14ac:dyDescent="0.25"/>
    <row r="246" s="403" customFormat="1" x14ac:dyDescent="0.25"/>
    <row r="247" s="403" customFormat="1" x14ac:dyDescent="0.25"/>
    <row r="248" s="403" customFormat="1" x14ac:dyDescent="0.25"/>
    <row r="249" s="403" customFormat="1" x14ac:dyDescent="0.25"/>
    <row r="250" s="403" customFormat="1" x14ac:dyDescent="0.25"/>
    <row r="251" s="403" customFormat="1" x14ac:dyDescent="0.25"/>
    <row r="252" s="403" customFormat="1" x14ac:dyDescent="0.25"/>
    <row r="253" s="403" customFormat="1" x14ac:dyDescent="0.25"/>
    <row r="254" s="403" customFormat="1" x14ac:dyDescent="0.25"/>
    <row r="255" s="403" customFormat="1" x14ac:dyDescent="0.25"/>
    <row r="256" s="403" customFormat="1" x14ac:dyDescent="0.25"/>
    <row r="257" s="403" customFormat="1" x14ac:dyDescent="0.25"/>
    <row r="258" s="403" customFormat="1" x14ac:dyDescent="0.25"/>
    <row r="259" s="403" customFormat="1" x14ac:dyDescent="0.25"/>
    <row r="260" s="403" customFormat="1" x14ac:dyDescent="0.25"/>
    <row r="261" s="403" customFormat="1" x14ac:dyDescent="0.25"/>
    <row r="262" s="403" customFormat="1" x14ac:dyDescent="0.25"/>
    <row r="263" s="403" customFormat="1" x14ac:dyDescent="0.25"/>
    <row r="264" s="403" customFormat="1" x14ac:dyDescent="0.25"/>
    <row r="265" s="403" customFormat="1" x14ac:dyDescent="0.25"/>
    <row r="266" s="403" customFormat="1" x14ac:dyDescent="0.25"/>
    <row r="267" s="403" customFormat="1" x14ac:dyDescent="0.25"/>
    <row r="268" s="403" customFormat="1" x14ac:dyDescent="0.25"/>
    <row r="269" s="403" customFormat="1" x14ac:dyDescent="0.25"/>
    <row r="270" s="403" customFormat="1" x14ac:dyDescent="0.25"/>
    <row r="271" s="403" customFormat="1" x14ac:dyDescent="0.25"/>
    <row r="272" s="403" customFormat="1" x14ac:dyDescent="0.25"/>
    <row r="273" s="403" customFormat="1" x14ac:dyDescent="0.25"/>
    <row r="274" s="403" customFormat="1" x14ac:dyDescent="0.25"/>
    <row r="275" s="403" customFormat="1" x14ac:dyDescent="0.25"/>
    <row r="276" s="403" customFormat="1" x14ac:dyDescent="0.25"/>
    <row r="277" s="403" customFormat="1" x14ac:dyDescent="0.25"/>
    <row r="278" s="403" customFormat="1" x14ac:dyDescent="0.25"/>
    <row r="279" s="403" customFormat="1" x14ac:dyDescent="0.25"/>
    <row r="280" s="403" customFormat="1" x14ac:dyDescent="0.25"/>
    <row r="281" s="403" customFormat="1" x14ac:dyDescent="0.25"/>
    <row r="282" s="403" customFormat="1" x14ac:dyDescent="0.25"/>
    <row r="283" s="403" customFormat="1" x14ac:dyDescent="0.25"/>
    <row r="284" s="403" customFormat="1" x14ac:dyDescent="0.25"/>
    <row r="285" s="403" customFormat="1" x14ac:dyDescent="0.25"/>
    <row r="286" s="403" customFormat="1" x14ac:dyDescent="0.25"/>
    <row r="287" s="403" customFormat="1" x14ac:dyDescent="0.25"/>
    <row r="288" s="403" customFormat="1" x14ac:dyDescent="0.25"/>
    <row r="289" s="403" customFormat="1" x14ac:dyDescent="0.25"/>
    <row r="290" s="403" customFormat="1" x14ac:dyDescent="0.25"/>
    <row r="291" s="403" customFormat="1" x14ac:dyDescent="0.25"/>
    <row r="292" s="403" customFormat="1" x14ac:dyDescent="0.25"/>
    <row r="293" s="403" customFormat="1" x14ac:dyDescent="0.25"/>
    <row r="294" s="403" customFormat="1" x14ac:dyDescent="0.25"/>
    <row r="295" s="403" customFormat="1" x14ac:dyDescent="0.25"/>
    <row r="296" s="403" customFormat="1" x14ac:dyDescent="0.25"/>
    <row r="297" s="403" customFormat="1" x14ac:dyDescent="0.25"/>
    <row r="298" s="403" customFormat="1" x14ac:dyDescent="0.25"/>
    <row r="299" s="403" customFormat="1" x14ac:dyDescent="0.25"/>
    <row r="300" s="403" customFormat="1" x14ac:dyDescent="0.25"/>
    <row r="301" s="403" customFormat="1" x14ac:dyDescent="0.25"/>
    <row r="302" s="403" customFormat="1" x14ac:dyDescent="0.25"/>
    <row r="303" s="403" customFormat="1" x14ac:dyDescent="0.25"/>
    <row r="304" s="403" customFormat="1" x14ac:dyDescent="0.25"/>
    <row r="305" s="403" customFormat="1" x14ac:dyDescent="0.25"/>
    <row r="306" s="403" customFormat="1" x14ac:dyDescent="0.25"/>
    <row r="307" s="403" customFormat="1" x14ac:dyDescent="0.25"/>
    <row r="308" s="403" customFormat="1" x14ac:dyDescent="0.25"/>
    <row r="309" s="403" customFormat="1" x14ac:dyDescent="0.25"/>
    <row r="310" s="403" customFormat="1" x14ac:dyDescent="0.25"/>
    <row r="311" s="403" customFormat="1" x14ac:dyDescent="0.25"/>
    <row r="312" s="403" customFormat="1" x14ac:dyDescent="0.25"/>
    <row r="313" s="403" customFormat="1" x14ac:dyDescent="0.25"/>
    <row r="314" s="403" customFormat="1" x14ac:dyDescent="0.25"/>
    <row r="315" s="403" customFormat="1" x14ac:dyDescent="0.25"/>
    <row r="316" s="403" customFormat="1" x14ac:dyDescent="0.25"/>
    <row r="317" s="403" customFormat="1" x14ac:dyDescent="0.25"/>
    <row r="318" s="403" customFormat="1" x14ac:dyDescent="0.25"/>
    <row r="319" s="403" customFormat="1" x14ac:dyDescent="0.25"/>
    <row r="320" s="403" customFormat="1" x14ac:dyDescent="0.25"/>
    <row r="321" s="403" customFormat="1" x14ac:dyDescent="0.25"/>
    <row r="322" s="403" customFormat="1" x14ac:dyDescent="0.25"/>
    <row r="323" s="403" customFormat="1" x14ac:dyDescent="0.25"/>
    <row r="324" s="403" customFormat="1" x14ac:dyDescent="0.25"/>
    <row r="325" s="403" customFormat="1" x14ac:dyDescent="0.25"/>
    <row r="326" s="403" customFormat="1" x14ac:dyDescent="0.25"/>
    <row r="327" s="403" customFormat="1" x14ac:dyDescent="0.25"/>
    <row r="328" s="403" customFormat="1" x14ac:dyDescent="0.25"/>
    <row r="329" s="403" customFormat="1" x14ac:dyDescent="0.25"/>
    <row r="330" s="403" customFormat="1" x14ac:dyDescent="0.25"/>
    <row r="331" s="403" customFormat="1" x14ac:dyDescent="0.25"/>
    <row r="332" s="403" customFormat="1" x14ac:dyDescent="0.25"/>
    <row r="333" s="403" customFormat="1" x14ac:dyDescent="0.25"/>
    <row r="334" s="403" customFormat="1" x14ac:dyDescent="0.25"/>
    <row r="335" s="403" customFormat="1" x14ac:dyDescent="0.25"/>
    <row r="336" s="403" customFormat="1" x14ac:dyDescent="0.25"/>
    <row r="337" s="403" customFormat="1" x14ac:dyDescent="0.25"/>
    <row r="338" s="403" customFormat="1" x14ac:dyDescent="0.25"/>
    <row r="339" s="403" customFormat="1" x14ac:dyDescent="0.25"/>
    <row r="340" s="403" customFormat="1" x14ac:dyDescent="0.25"/>
    <row r="341" s="403" customFormat="1" x14ac:dyDescent="0.25"/>
    <row r="342" s="403" customFormat="1" x14ac:dyDescent="0.25"/>
    <row r="343" s="403" customFormat="1" x14ac:dyDescent="0.25"/>
    <row r="344" s="403" customFormat="1" x14ac:dyDescent="0.25"/>
    <row r="345" s="403" customFormat="1" x14ac:dyDescent="0.25"/>
    <row r="346" s="403" customFormat="1" x14ac:dyDescent="0.25"/>
    <row r="347" s="403" customFormat="1" x14ac:dyDescent="0.25"/>
    <row r="348" s="403" customFormat="1" x14ac:dyDescent="0.25"/>
    <row r="349" s="403" customFormat="1" x14ac:dyDescent="0.25"/>
    <row r="350" s="403" customFormat="1" x14ac:dyDescent="0.25"/>
    <row r="351" s="403" customFormat="1" x14ac:dyDescent="0.25"/>
    <row r="352" s="403" customFormat="1" x14ac:dyDescent="0.25"/>
    <row r="353" s="403" customFormat="1" x14ac:dyDescent="0.25"/>
    <row r="354" s="403" customFormat="1" x14ac:dyDescent="0.25"/>
    <row r="355" s="403" customFormat="1" x14ac:dyDescent="0.25"/>
    <row r="356" s="403" customFormat="1" x14ac:dyDescent="0.25"/>
    <row r="357" s="403" customFormat="1" x14ac:dyDescent="0.25"/>
    <row r="358" s="403" customFormat="1" x14ac:dyDescent="0.25"/>
    <row r="359" s="403" customFormat="1" x14ac:dyDescent="0.25"/>
    <row r="360" s="403" customFormat="1" x14ac:dyDescent="0.25"/>
    <row r="361" s="403" customFormat="1" x14ac:dyDescent="0.25"/>
    <row r="362" s="403" customFormat="1" x14ac:dyDescent="0.25"/>
    <row r="363" s="403" customFormat="1" x14ac:dyDescent="0.25"/>
    <row r="364" s="403" customFormat="1" x14ac:dyDescent="0.25"/>
    <row r="365" s="403" customFormat="1" x14ac:dyDescent="0.25"/>
    <row r="366" s="403" customFormat="1" x14ac:dyDescent="0.25"/>
    <row r="367" s="403" customFormat="1" x14ac:dyDescent="0.25"/>
    <row r="368" s="403" customFormat="1" x14ac:dyDescent="0.25"/>
    <row r="369" s="403" customFormat="1" x14ac:dyDescent="0.25"/>
    <row r="370" s="403" customFormat="1" x14ac:dyDescent="0.25"/>
    <row r="371" s="403" customFormat="1" x14ac:dyDescent="0.25"/>
    <row r="372" s="403" customFormat="1" x14ac:dyDescent="0.25"/>
    <row r="373" s="403" customFormat="1" x14ac:dyDescent="0.25"/>
    <row r="374" s="403" customFormat="1" x14ac:dyDescent="0.25"/>
    <row r="375" s="403" customFormat="1" x14ac:dyDescent="0.25"/>
    <row r="376" s="403" customFormat="1" x14ac:dyDescent="0.25"/>
    <row r="377" s="403" customFormat="1" x14ac:dyDescent="0.25"/>
    <row r="378" s="403" customFormat="1" x14ac:dyDescent="0.25"/>
    <row r="379" s="403" customFormat="1" x14ac:dyDescent="0.25"/>
    <row r="380" s="403" customFormat="1" x14ac:dyDescent="0.25"/>
    <row r="381" s="403" customFormat="1" x14ac:dyDescent="0.25"/>
    <row r="382" s="403" customFormat="1" x14ac:dyDescent="0.25"/>
    <row r="383" s="403" customFormat="1" x14ac:dyDescent="0.25"/>
    <row r="384" s="403" customFormat="1" x14ac:dyDescent="0.25"/>
    <row r="385" s="403" customFormat="1" x14ac:dyDescent="0.25"/>
    <row r="386" s="403" customFormat="1" x14ac:dyDescent="0.25"/>
    <row r="387" s="403" customFormat="1" x14ac:dyDescent="0.25"/>
    <row r="388" s="403" customFormat="1" x14ac:dyDescent="0.25"/>
    <row r="389" s="403" customFormat="1" x14ac:dyDescent="0.25"/>
    <row r="390" s="403" customFormat="1" x14ac:dyDescent="0.25"/>
    <row r="391" s="403" customFormat="1" x14ac:dyDescent="0.25"/>
    <row r="392" s="403" customFormat="1" x14ac:dyDescent="0.25"/>
    <row r="393" s="403" customFormat="1" x14ac:dyDescent="0.25"/>
    <row r="394" s="403" customFormat="1" x14ac:dyDescent="0.25"/>
    <row r="395" s="403" customFormat="1" x14ac:dyDescent="0.25"/>
    <row r="396" s="403" customFormat="1" x14ac:dyDescent="0.25"/>
    <row r="397" s="403" customFormat="1" x14ac:dyDescent="0.25"/>
    <row r="398" s="403" customFormat="1" x14ac:dyDescent="0.25"/>
    <row r="399" s="403" customFormat="1" x14ac:dyDescent="0.25"/>
    <row r="400" s="403" customFormat="1" x14ac:dyDescent="0.25"/>
    <row r="401" s="403" customFormat="1" x14ac:dyDescent="0.25"/>
    <row r="402" s="403" customFormat="1" x14ac:dyDescent="0.25"/>
    <row r="403" s="403" customFormat="1" x14ac:dyDescent="0.25"/>
    <row r="404" s="403" customFormat="1" x14ac:dyDescent="0.25"/>
    <row r="405" s="403" customFormat="1" x14ac:dyDescent="0.25"/>
    <row r="406" s="403" customFormat="1" x14ac:dyDescent="0.25"/>
    <row r="407" s="403" customFormat="1" x14ac:dyDescent="0.25"/>
    <row r="408" s="403" customFormat="1" x14ac:dyDescent="0.25"/>
    <row r="409" s="403" customFormat="1" x14ac:dyDescent="0.25"/>
    <row r="410" s="403" customFormat="1" x14ac:dyDescent="0.25"/>
    <row r="411" s="403" customFormat="1" x14ac:dyDescent="0.25"/>
    <row r="412" s="403" customFormat="1" x14ac:dyDescent="0.25"/>
    <row r="413" s="403" customFormat="1" x14ac:dyDescent="0.25"/>
    <row r="414" s="403" customFormat="1" x14ac:dyDescent="0.25"/>
    <row r="415" s="403" customFormat="1" x14ac:dyDescent="0.25"/>
    <row r="416" s="403" customFormat="1" x14ac:dyDescent="0.25"/>
    <row r="417" s="403" customFormat="1" x14ac:dyDescent="0.25"/>
    <row r="418" s="403" customFormat="1" x14ac:dyDescent="0.25"/>
    <row r="419" s="403" customFormat="1" x14ac:dyDescent="0.25"/>
    <row r="420" s="403" customFormat="1" x14ac:dyDescent="0.25"/>
    <row r="421" s="403" customFormat="1" x14ac:dyDescent="0.25"/>
    <row r="422" s="403" customFormat="1" x14ac:dyDescent="0.25"/>
    <row r="423" s="403" customFormat="1" x14ac:dyDescent="0.25"/>
    <row r="424" s="403" customFormat="1" x14ac:dyDescent="0.25"/>
    <row r="425" s="403" customFormat="1" x14ac:dyDescent="0.25"/>
    <row r="426" s="403" customFormat="1" x14ac:dyDescent="0.25"/>
    <row r="427" s="403" customFormat="1" x14ac:dyDescent="0.25"/>
    <row r="428" s="403" customFormat="1" x14ac:dyDescent="0.25"/>
    <row r="429" s="403" customFormat="1" x14ac:dyDescent="0.25"/>
    <row r="430" s="403" customFormat="1" x14ac:dyDescent="0.25"/>
    <row r="431" s="403" customFormat="1" x14ac:dyDescent="0.25"/>
    <row r="432" s="403" customFormat="1" x14ac:dyDescent="0.25"/>
    <row r="433" s="403" customFormat="1" x14ac:dyDescent="0.25"/>
    <row r="434" s="403" customFormat="1" x14ac:dyDescent="0.25"/>
    <row r="435" s="403" customFormat="1" x14ac:dyDescent="0.25"/>
    <row r="436" s="403" customFormat="1" x14ac:dyDescent="0.25"/>
    <row r="437" s="403" customFormat="1" x14ac:dyDescent="0.25"/>
    <row r="438" s="403" customFormat="1" x14ac:dyDescent="0.25"/>
    <row r="439" s="403" customFormat="1" x14ac:dyDescent="0.25"/>
    <row r="440" s="403" customFormat="1" x14ac:dyDescent="0.25"/>
    <row r="441" s="403" customFormat="1" x14ac:dyDescent="0.25"/>
    <row r="442" s="403" customFormat="1" x14ac:dyDescent="0.25"/>
    <row r="443" s="403" customFormat="1" x14ac:dyDescent="0.25"/>
    <row r="444" s="403" customFormat="1" x14ac:dyDescent="0.25"/>
    <row r="445" s="403" customFormat="1" x14ac:dyDescent="0.25"/>
    <row r="446" s="403" customFormat="1" x14ac:dyDescent="0.25"/>
    <row r="447" s="403" customFormat="1" x14ac:dyDescent="0.25"/>
    <row r="448" s="403" customFormat="1" x14ac:dyDescent="0.25"/>
    <row r="449" s="403" customFormat="1" x14ac:dyDescent="0.25"/>
    <row r="450" s="403" customFormat="1" x14ac:dyDescent="0.25"/>
    <row r="451" s="403" customFormat="1" x14ac:dyDescent="0.25"/>
    <row r="452" s="403" customFormat="1" x14ac:dyDescent="0.25"/>
    <row r="453" s="403" customFormat="1" x14ac:dyDescent="0.25"/>
    <row r="454" s="403" customFormat="1" x14ac:dyDescent="0.25"/>
    <row r="455" s="403" customFormat="1" x14ac:dyDescent="0.25"/>
    <row r="456" s="403" customFormat="1" x14ac:dyDescent="0.25"/>
    <row r="457" s="403" customFormat="1" x14ac:dyDescent="0.25"/>
    <row r="458" s="403" customFormat="1" x14ac:dyDescent="0.25"/>
    <row r="459" s="403" customFormat="1" x14ac:dyDescent="0.25"/>
    <row r="460" s="403" customFormat="1" x14ac:dyDescent="0.25"/>
    <row r="461" s="403" customFormat="1" x14ac:dyDescent="0.25"/>
    <row r="462" s="403" customFormat="1" x14ac:dyDescent="0.25"/>
    <row r="463" s="403" customFormat="1" x14ac:dyDescent="0.25"/>
  </sheetData>
  <mergeCells count="6">
    <mergeCell ref="A5:J5"/>
    <mergeCell ref="A6:J6"/>
    <mergeCell ref="A10:E10"/>
    <mergeCell ref="A17:H17"/>
    <mergeCell ref="A20:H20"/>
    <mergeCell ref="A7:J7"/>
  </mergeCells>
  <hyperlinks>
    <hyperlink ref="A14" r:id="rId1" display="mailto:joubert.nadia@ccmsa.msa.fr" xr:uid="{6081C823-DA28-4D84-AC12-6DD5D7468CDD}"/>
    <hyperlink ref="A23" r:id="rId2" xr:uid="{DD867E2E-1C8C-4F75-9B92-715649E05E49}"/>
    <hyperlink ref="A17" r:id="rId3" xr:uid="{09171848-36BB-487F-9521-5EA5CCBB0B65}"/>
    <hyperlink ref="A20" r:id="rId4" xr:uid="{F047FCD5-7D18-49BE-AF09-B63235906C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indexed="47"/>
  </sheetPr>
  <dimension ref="A1:GN137"/>
  <sheetViews>
    <sheetView zoomScale="110" zoomScaleNormal="110" workbookViewId="0">
      <pane xSplit="1" ySplit="6" topLeftCell="GC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baseColWidth="10" defaultColWidth="33" defaultRowHeight="11.5" outlineLevelCol="1" x14ac:dyDescent="0.25"/>
  <cols>
    <col min="1" max="1" width="90" style="4" customWidth="1"/>
    <col min="2" max="3" width="9" style="4" customWidth="1"/>
    <col min="4" max="4" width="9.1796875" style="4" customWidth="1"/>
    <col min="5" max="6" width="9" style="4" customWidth="1"/>
    <col min="7" max="7" width="9.1796875" style="4" customWidth="1"/>
    <col min="8" max="9" width="9" style="4" customWidth="1"/>
    <col min="10" max="10" width="9.1796875" style="4" customWidth="1"/>
    <col min="11" max="12" width="9" style="4" customWidth="1"/>
    <col min="13" max="13" width="9.1796875" style="4" customWidth="1"/>
    <col min="14" max="15" width="9" style="4" customWidth="1"/>
    <col min="16" max="16" width="9.1796875" style="4" customWidth="1"/>
    <col min="17" max="18" width="9" style="4" customWidth="1"/>
    <col min="19" max="19" width="9.1796875" style="4" customWidth="1"/>
    <col min="20" max="21" width="9" style="4" customWidth="1"/>
    <col min="22" max="22" width="9.453125" style="4" customWidth="1"/>
    <col min="23" max="24" width="9" style="4" customWidth="1"/>
    <col min="25" max="25" width="9.1796875" style="4" customWidth="1"/>
    <col min="26" max="27" width="9" style="4" customWidth="1"/>
    <col min="28" max="28" width="9.1796875" style="4" customWidth="1"/>
    <col min="29" max="30" width="9" style="4" customWidth="1"/>
    <col min="31" max="31" width="9.1796875" style="4" customWidth="1"/>
    <col min="32" max="32" width="9" style="4" customWidth="1"/>
    <col min="33" max="33" width="13" style="4" customWidth="1"/>
    <col min="34" max="34" width="9.1796875" style="4" customWidth="1"/>
    <col min="35" max="35" width="9" style="4" customWidth="1"/>
    <col min="36" max="36" width="13" style="4" customWidth="1"/>
    <col min="37" max="37" width="9.1796875" style="4" customWidth="1"/>
    <col min="38" max="38" width="9" style="4" customWidth="1"/>
    <col min="39" max="39" width="13" style="4" customWidth="1"/>
    <col min="40" max="40" width="9.1796875" style="4" customWidth="1"/>
    <col min="41" max="41" width="9" style="4" customWidth="1"/>
    <col min="42" max="42" width="13" style="4" customWidth="1"/>
    <col min="43" max="43" width="9.1796875" style="4" customWidth="1"/>
    <col min="44" max="44" width="9" style="76" customWidth="1"/>
    <col min="45" max="45" width="13" style="76" customWidth="1"/>
    <col min="46" max="46" width="9.1796875" style="76" customWidth="1"/>
    <col min="47" max="48" width="9" style="4" customWidth="1"/>
    <col min="49" max="52" width="12" style="4" customWidth="1"/>
    <col min="53" max="61" width="12" style="76" customWidth="1"/>
    <col min="62" max="64" width="12" style="111" customWidth="1"/>
    <col min="65" max="84" width="12" style="4" customWidth="1"/>
    <col min="85" max="85" width="9.453125" style="4" customWidth="1"/>
    <col min="86" max="88" width="12" style="4" customWidth="1"/>
    <col min="89" max="90" width="12" style="4" customWidth="1" outlineLevel="1"/>
    <col min="91" max="91" width="12" style="4" customWidth="1"/>
    <col min="92" max="93" width="12" style="4" customWidth="1" outlineLevel="1"/>
    <col min="94" max="94" width="12" style="4" customWidth="1"/>
    <col min="95" max="96" width="12" style="126" customWidth="1" outlineLevel="1"/>
    <col min="97" max="97" width="12" style="126" customWidth="1"/>
    <col min="98" max="99" width="12" style="126" customWidth="1" outlineLevel="1"/>
    <col min="100" max="100" width="12" style="126" customWidth="1"/>
    <col min="101" max="102" width="12" style="126" customWidth="1" outlineLevel="1"/>
    <col min="103" max="103" width="12" style="126" customWidth="1"/>
    <col min="104" max="105" width="12" style="126" customWidth="1" outlineLevel="1"/>
    <col min="106" max="106" width="12" style="126" customWidth="1"/>
    <col min="107" max="107" width="10.1796875" style="4" customWidth="1" outlineLevel="1"/>
    <col min="108" max="108" width="15.26953125" style="4" customWidth="1" outlineLevel="1"/>
    <col min="109" max="109" width="13.453125" style="4" customWidth="1"/>
    <col min="110" max="110" width="15.453125" style="4" customWidth="1" outlineLevel="1"/>
    <col min="111" max="111" width="13.453125" style="4" customWidth="1" outlineLevel="1"/>
    <col min="112" max="112" width="13.81640625" style="4" customWidth="1"/>
    <col min="113" max="114" width="14" style="4" customWidth="1" outlineLevel="1"/>
    <col min="115" max="115" width="14" style="126" customWidth="1"/>
    <col min="116" max="117" width="14" style="126" customWidth="1" outlineLevel="1"/>
    <col min="118" max="118" width="14" style="126" customWidth="1"/>
    <col min="119" max="119" width="10" style="126" customWidth="1" outlineLevel="1"/>
    <col min="120" max="120" width="9.26953125" style="126" customWidth="1" outlineLevel="1"/>
    <col min="121" max="121" width="12.26953125" style="126" customWidth="1"/>
    <col min="122" max="123" width="11.7265625" style="126" customWidth="1" outlineLevel="1"/>
    <col min="124" max="124" width="11.7265625" style="126" customWidth="1"/>
    <col min="125" max="125" width="9.7265625" style="198" customWidth="1" outlineLevel="1"/>
    <col min="126" max="126" width="8.81640625" style="198" customWidth="1" outlineLevel="1"/>
    <col min="127" max="127" width="12.1796875" style="198" customWidth="1"/>
    <col min="128" max="128" width="9.7265625" style="198" customWidth="1" outlineLevel="1"/>
    <col min="129" max="129" width="8.81640625" style="198" customWidth="1" outlineLevel="1"/>
    <col min="130" max="130" width="12.1796875" style="198" customWidth="1"/>
    <col min="131" max="131" width="9.7265625" style="198" customWidth="1" outlineLevel="1"/>
    <col min="132" max="132" width="8.81640625" style="198" customWidth="1" outlineLevel="1"/>
    <col min="133" max="133" width="12.1796875" style="198" customWidth="1"/>
    <col min="134" max="134" width="9.7265625" style="198" customWidth="1" outlineLevel="1"/>
    <col min="135" max="135" width="8.81640625" style="198" customWidth="1" outlineLevel="1"/>
    <col min="136" max="136" width="12.1796875" style="198" customWidth="1"/>
    <col min="137" max="137" width="9.7265625" style="198" customWidth="1" outlineLevel="1"/>
    <col min="138" max="138" width="8.81640625" style="198" customWidth="1" outlineLevel="1"/>
    <col min="139" max="139" width="12.1796875" style="198" customWidth="1"/>
    <col min="140" max="140" width="9.7265625" style="198" customWidth="1" outlineLevel="1"/>
    <col min="141" max="141" width="8.81640625" style="198" customWidth="1" outlineLevel="1"/>
    <col min="142" max="142" width="12.1796875" style="198" customWidth="1"/>
    <col min="143" max="143" width="9.7265625" style="198" customWidth="1" outlineLevel="1"/>
    <col min="144" max="144" width="8.81640625" style="198" customWidth="1" outlineLevel="1"/>
    <col min="145" max="145" width="12.1796875" style="198" customWidth="1"/>
    <col min="146" max="146" width="9.7265625" style="198" customWidth="1" outlineLevel="1"/>
    <col min="147" max="147" width="8.81640625" style="198" customWidth="1" outlineLevel="1"/>
    <col min="148" max="148" width="12.1796875" style="198" customWidth="1"/>
    <col min="149" max="149" width="9.7265625" style="198" customWidth="1" outlineLevel="1"/>
    <col min="150" max="150" width="8.81640625" style="198" customWidth="1" outlineLevel="1"/>
    <col min="151" max="151" width="12.1796875" style="198" customWidth="1"/>
    <col min="152" max="152" width="9.7265625" style="198" customWidth="1" outlineLevel="1"/>
    <col min="153" max="153" width="8.81640625" style="198" customWidth="1" outlineLevel="1"/>
    <col min="154" max="154" width="12.1796875" style="198" customWidth="1"/>
    <col min="155" max="155" width="9.7265625" style="198" customWidth="1" outlineLevel="1"/>
    <col min="156" max="156" width="8.81640625" style="198" customWidth="1" outlineLevel="1"/>
    <col min="157" max="157" width="12.1796875" style="198" customWidth="1"/>
    <col min="158" max="158" width="9.7265625" style="198" customWidth="1" outlineLevel="1"/>
    <col min="159" max="159" width="8.81640625" style="198" customWidth="1" outlineLevel="1"/>
    <col min="160" max="160" width="12.1796875" style="198" customWidth="1"/>
    <col min="161" max="161" width="9.7265625" style="198" customWidth="1" outlineLevel="1"/>
    <col min="162" max="162" width="8.81640625" style="198" customWidth="1" outlineLevel="1"/>
    <col min="163" max="163" width="12.1796875" style="198" customWidth="1"/>
    <col min="164" max="164" width="9.7265625" style="198" customWidth="1" outlineLevel="1"/>
    <col min="165" max="165" width="8.81640625" style="198" customWidth="1" outlineLevel="1"/>
    <col min="166" max="166" width="12.1796875" style="198" customWidth="1"/>
    <col min="167" max="167" width="9.7265625" style="198" customWidth="1" outlineLevel="1"/>
    <col min="168" max="168" width="8.81640625" style="198" customWidth="1" outlineLevel="1"/>
    <col min="169" max="169" width="12.1796875" style="198" customWidth="1"/>
    <col min="170" max="170" width="9.7265625" style="252" customWidth="1" outlineLevel="1"/>
    <col min="171" max="171" width="8.81640625" style="252" customWidth="1" outlineLevel="1"/>
    <col min="172" max="172" width="12.1796875" style="252" customWidth="1"/>
    <col min="173" max="173" width="9.7265625" style="252" customWidth="1" outlineLevel="1"/>
    <col min="174" max="174" width="8.81640625" style="252" customWidth="1" outlineLevel="1"/>
    <col min="175" max="175" width="12.1796875" style="252" customWidth="1"/>
    <col min="176" max="176" width="9.7265625" style="252" customWidth="1" outlineLevel="1"/>
    <col min="177" max="177" width="8.81640625" style="252" customWidth="1" outlineLevel="1"/>
    <col min="178" max="178" width="12.1796875" style="252" customWidth="1"/>
    <col min="179" max="179" width="9.7265625" style="252" customWidth="1" outlineLevel="1"/>
    <col min="180" max="180" width="8.81640625" style="252" customWidth="1" outlineLevel="1"/>
    <col min="181" max="181" width="12.1796875" style="252" customWidth="1"/>
    <col min="182" max="182" width="9.7265625" style="252" customWidth="1" outlineLevel="1"/>
    <col min="183" max="183" width="8.81640625" style="252" customWidth="1" outlineLevel="1"/>
    <col min="184" max="184" width="12.1796875" style="252" customWidth="1"/>
    <col min="185" max="185" width="9.7265625" style="252" customWidth="1" outlineLevel="1"/>
    <col min="186" max="186" width="8.81640625" style="252" customWidth="1" outlineLevel="1"/>
    <col min="187" max="187" width="12.1796875" style="252" customWidth="1"/>
    <col min="188" max="188" width="9.7265625" style="252" customWidth="1" outlineLevel="1"/>
    <col min="189" max="189" width="8.81640625" style="252" customWidth="1" outlineLevel="1"/>
    <col min="190" max="190" width="12.1796875" style="252" customWidth="1"/>
    <col min="191" max="191" width="9.7265625" style="252" customWidth="1" outlineLevel="1"/>
    <col min="192" max="192" width="8.81640625" style="252" customWidth="1" outlineLevel="1"/>
    <col min="193" max="193" width="12.1796875" style="252" customWidth="1"/>
    <col min="194" max="194" width="9.7265625" style="252" customWidth="1" outlineLevel="1"/>
    <col min="195" max="195" width="8.81640625" style="252" customWidth="1" outlineLevel="1"/>
    <col min="196" max="196" width="12.1796875" style="252" customWidth="1"/>
    <col min="197" max="16384" width="33" style="4"/>
  </cols>
  <sheetData>
    <row r="1" spans="1:196" x14ac:dyDescent="0.25">
      <c r="A1" s="81" t="s">
        <v>17</v>
      </c>
      <c r="AR1" s="4"/>
      <c r="AS1" s="4"/>
      <c r="AT1" s="4"/>
      <c r="DC1" s="126"/>
      <c r="DD1" s="126"/>
      <c r="DE1" s="126"/>
      <c r="DF1" s="126"/>
      <c r="DG1" s="126"/>
      <c r="DH1" s="140">
        <f>DH7+DH9</f>
        <v>1934975</v>
      </c>
      <c r="DI1" s="126"/>
      <c r="DJ1" s="126"/>
      <c r="FN1" s="198"/>
      <c r="FO1" s="198"/>
      <c r="FP1" s="198"/>
      <c r="FQ1" s="198"/>
      <c r="FR1" s="198"/>
      <c r="FS1" s="198"/>
      <c r="FT1" s="198"/>
      <c r="FU1" s="198"/>
      <c r="FV1" s="198"/>
      <c r="FW1" s="198"/>
      <c r="FX1" s="198"/>
      <c r="FY1" s="198"/>
      <c r="FZ1" s="198"/>
      <c r="GA1" s="198"/>
      <c r="GB1" s="198"/>
      <c r="GC1" s="198"/>
      <c r="GD1" s="198"/>
      <c r="GE1" s="198"/>
      <c r="GF1" s="198"/>
      <c r="GG1" s="198"/>
      <c r="GH1" s="198"/>
      <c r="GI1" s="198"/>
      <c r="GJ1" s="198"/>
      <c r="GK1" s="198"/>
      <c r="GL1" s="198"/>
      <c r="GM1" s="198"/>
      <c r="GN1" s="198"/>
    </row>
    <row r="2" spans="1:196" x14ac:dyDescent="0.25">
      <c r="A2" s="81" t="s">
        <v>19</v>
      </c>
      <c r="D2" s="33">
        <f>D7/D10</f>
        <v>0.70876924528271723</v>
      </c>
      <c r="G2" s="33">
        <f>G7/G10</f>
        <v>0.70878434122432421</v>
      </c>
      <c r="J2" s="33">
        <f>J7/J10</f>
        <v>0.70811500443781195</v>
      </c>
      <c r="M2" s="33">
        <f>M7/M10</f>
        <v>0.70710666215672879</v>
      </c>
      <c r="P2" s="33">
        <f>P7/P10</f>
        <v>0.70610983906921065</v>
      </c>
      <c r="S2" s="33">
        <f>S7/S10</f>
        <v>0.70595080527645382</v>
      </c>
      <c r="V2" s="33">
        <f>V7/V10</f>
        <v>0.7068197896561863</v>
      </c>
      <c r="Y2" s="33">
        <f>Y7/Y10</f>
        <v>0.70679459041341008</v>
      </c>
      <c r="AB2" s="33">
        <f>AB7/AB10</f>
        <v>0.70528204784422521</v>
      </c>
      <c r="AE2" s="33">
        <f>AE7/AE10</f>
        <v>0.70531720042182389</v>
      </c>
      <c r="AH2" s="33">
        <f>AH7/AH10</f>
        <v>0.70499379725160161</v>
      </c>
      <c r="AK2" s="33">
        <f>AK7/AK10</f>
        <v>0.70403163987424033</v>
      </c>
      <c r="AN2" s="33">
        <f>AN7/AN10</f>
        <v>0.70257811729602659</v>
      </c>
      <c r="AQ2" s="33">
        <f>AQ7/AQ10</f>
        <v>0.70190883394113102</v>
      </c>
      <c r="AR2" s="4"/>
      <c r="AS2" s="4"/>
      <c r="AT2" s="33">
        <f>AT7/AT10</f>
        <v>0.70149356286270947</v>
      </c>
      <c r="AW2" s="33">
        <f>AW7/AW10</f>
        <v>0.70042117759221545</v>
      </c>
      <c r="AZ2" s="33">
        <f>AZ7/AZ10</f>
        <v>0.69929090477245082</v>
      </c>
      <c r="BA2" s="4"/>
      <c r="BB2" s="4"/>
      <c r="BC2" s="33">
        <f>BC7/BC10</f>
        <v>0.6998079846580465</v>
      </c>
      <c r="BD2" s="4"/>
      <c r="BE2" s="4"/>
      <c r="BF2" s="33">
        <f>BF7/BF10</f>
        <v>0.69958723207759588</v>
      </c>
      <c r="BG2" s="4"/>
      <c r="BH2" s="4"/>
      <c r="BI2" s="33">
        <f>BI7/BI10</f>
        <v>0.70040420612182264</v>
      </c>
      <c r="BL2" s="33">
        <f>BL7/BL10</f>
        <v>0.70037585276254588</v>
      </c>
      <c r="BO2" s="33">
        <f>BO7/BO10</f>
        <v>0.70052984494043347</v>
      </c>
      <c r="BR2" s="33">
        <f>BR7/BR10</f>
        <v>0.70123709265789136</v>
      </c>
      <c r="BU2" s="33">
        <f>BU7/BU10</f>
        <v>0.70224116284161053</v>
      </c>
      <c r="BX2" s="33">
        <f>BX7/BX10</f>
        <v>0.70295815964427633</v>
      </c>
      <c r="CA2" s="33">
        <f>CA7/CA10</f>
        <v>0.70430902004942775</v>
      </c>
      <c r="CC2" s="71"/>
      <c r="CD2" s="33">
        <f>CG7/CG10</f>
        <v>0.70462011820336634</v>
      </c>
      <c r="CG2" s="33">
        <f>CG7/CG10</f>
        <v>0.70462011820336634</v>
      </c>
      <c r="CJ2" s="33">
        <f>CJ7/CJ10</f>
        <v>0.70486418631618863</v>
      </c>
      <c r="CM2" s="33">
        <f>CM7/CM10</f>
        <v>0.70594210420606562</v>
      </c>
      <c r="CP2" s="33">
        <f>CS7/CS10</f>
        <v>0.70751628022137614</v>
      </c>
      <c r="CS2" s="127">
        <f>CS7/CS10</f>
        <v>0.70751628022137614</v>
      </c>
      <c r="CV2" s="127">
        <f>CV7/CV10</f>
        <v>0.70719388166201402</v>
      </c>
      <c r="CY2" s="127">
        <f>CY7/CY10</f>
        <v>0.70798954887292742</v>
      </c>
      <c r="DB2" s="127">
        <f>DB7/DB10</f>
        <v>0.70921977362748256</v>
      </c>
      <c r="DC2" s="126"/>
      <c r="DD2" s="126"/>
      <c r="DE2" s="127">
        <f>DE7/DE10</f>
        <v>0.70957761721361046</v>
      </c>
      <c r="DF2" s="126"/>
      <c r="DG2" s="126">
        <f>DG10/DH10</f>
        <v>0.51459523734570034</v>
      </c>
      <c r="DH2" s="127">
        <f>DH7/DH10</f>
        <v>0.70925844088204626</v>
      </c>
      <c r="DI2" s="126"/>
      <c r="DJ2" s="126"/>
      <c r="DK2" s="127">
        <f>DK7/DK10</f>
        <v>0.70972737050338985</v>
      </c>
      <c r="DN2" s="127">
        <f>DN7/DN10</f>
        <v>0.71013259687186325</v>
      </c>
      <c r="FN2" s="198"/>
      <c r="FO2" s="198"/>
      <c r="FP2" s="198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</row>
    <row r="3" spans="1:196" x14ac:dyDescent="0.25">
      <c r="A3" s="82" t="s">
        <v>70</v>
      </c>
      <c r="B3" s="3"/>
      <c r="C3" s="3"/>
      <c r="D3" s="33">
        <f>D8/D10</f>
        <v>0.22659026915014557</v>
      </c>
      <c r="E3" s="3"/>
      <c r="F3" s="3"/>
      <c r="G3" s="33">
        <f>G8/G10</f>
        <v>0.22665547482914744</v>
      </c>
      <c r="H3" s="3"/>
      <c r="I3" s="3"/>
      <c r="J3" s="33">
        <f>J8/J10</f>
        <v>0.22723154832901002</v>
      </c>
      <c r="K3" s="3"/>
      <c r="L3" s="3"/>
      <c r="M3" s="33">
        <f>M8/M10</f>
        <v>0.22800448015520994</v>
      </c>
      <c r="N3" s="3"/>
      <c r="O3" s="3"/>
      <c r="P3" s="33">
        <f>P8/P10</f>
        <v>0.22886473381825892</v>
      </c>
      <c r="Q3" s="3"/>
      <c r="R3" s="3"/>
      <c r="S3" s="33">
        <f>S8/S10</f>
        <v>0.22907665239164879</v>
      </c>
      <c r="T3" s="3"/>
      <c r="U3" s="3"/>
      <c r="V3" s="33">
        <f>V8/V10</f>
        <v>0.22778727185179309</v>
      </c>
      <c r="W3" s="3"/>
      <c r="X3" s="3"/>
      <c r="Y3" s="33">
        <f>Y8/Y10</f>
        <v>0.22772347031685441</v>
      </c>
      <c r="Z3" s="3"/>
      <c r="AA3" s="3"/>
      <c r="AB3" s="33">
        <f>AB8/AB10</f>
        <v>0.22980809393833254</v>
      </c>
      <c r="AC3" s="3"/>
      <c r="AD3" s="3"/>
      <c r="AE3" s="33">
        <f>AE8/AE10</f>
        <v>0.22978496499337928</v>
      </c>
      <c r="AF3" s="3"/>
      <c r="AG3" s="3"/>
      <c r="AH3" s="33">
        <f>AH8/AH10</f>
        <v>0.23011225210316583</v>
      </c>
      <c r="AI3" s="3"/>
      <c r="AJ3" s="3"/>
      <c r="AK3" s="33">
        <f>AK8/AK10</f>
        <v>0.23092973872028008</v>
      </c>
      <c r="AL3" s="3"/>
      <c r="AM3" s="3"/>
      <c r="AN3" s="33">
        <f>AN8/AN10</f>
        <v>0.2322703241752474</v>
      </c>
      <c r="AO3" s="3"/>
      <c r="AP3" s="3"/>
      <c r="AQ3" s="33">
        <f>AQ8/AQ10</f>
        <v>0.23297306495391404</v>
      </c>
      <c r="AR3" s="3"/>
      <c r="AS3" s="3"/>
      <c r="AT3" s="33">
        <f>AT8/AT10</f>
        <v>0.23340120621170665</v>
      </c>
      <c r="AU3" s="3"/>
      <c r="AV3" s="3"/>
      <c r="AW3" s="33">
        <f>AW8/AW10</f>
        <v>0.23434652633550679</v>
      </c>
      <c r="AX3" s="3"/>
      <c r="AY3" s="3"/>
      <c r="AZ3" s="33">
        <f>AZ8/AZ10</f>
        <v>0.23533183121013998</v>
      </c>
      <c r="BA3" s="3"/>
      <c r="BB3" s="3"/>
      <c r="BC3" s="33">
        <f>BC8/BC10</f>
        <v>0.23499875121766317</v>
      </c>
      <c r="BD3" s="3"/>
      <c r="BE3" s="3"/>
      <c r="BF3" s="33">
        <f>BF8/BF10</f>
        <v>0.23531277122648162</v>
      </c>
      <c r="BG3" s="3"/>
      <c r="BH3" s="3"/>
      <c r="BI3" s="33">
        <f>BI8/BI10</f>
        <v>0.23468941768930038</v>
      </c>
      <c r="BJ3" s="113"/>
      <c r="BK3" s="113"/>
      <c r="BL3" s="33">
        <f>BL8/BL10</f>
        <v>0.23482701875576625</v>
      </c>
      <c r="BM3" s="3"/>
      <c r="BN3" s="3"/>
      <c r="BO3" s="33">
        <f>BO8/BO10</f>
        <v>0.23480751958375162</v>
      </c>
      <c r="BP3" s="3"/>
      <c r="BQ3" s="3"/>
      <c r="BR3" s="33">
        <f>BR8/BR10</f>
        <v>0.23425235118953375</v>
      </c>
      <c r="BS3" s="3"/>
      <c r="BT3" s="3"/>
      <c r="BU3" s="33">
        <f>BU8/BU10</f>
        <v>0.23353367467538419</v>
      </c>
      <c r="BV3" s="3"/>
      <c r="BW3" s="3"/>
      <c r="BX3" s="33">
        <f>BX8/BX10</f>
        <v>0.23307100893303659</v>
      </c>
      <c r="BY3" s="3"/>
      <c r="BZ3" s="3"/>
      <c r="CA3" s="33">
        <f>CA8/CA10</f>
        <v>0.23208961115705479</v>
      </c>
      <c r="CB3" s="3"/>
      <c r="CC3" s="3"/>
      <c r="CD3" s="33">
        <f>CG8/CG10</f>
        <v>0.23199586136531833</v>
      </c>
      <c r="CE3" s="3"/>
      <c r="CF3" s="3"/>
      <c r="CG3" s="33">
        <f>CG8/CG10</f>
        <v>0.23199586136531833</v>
      </c>
      <c r="CH3" s="3"/>
      <c r="CI3" s="3"/>
      <c r="CJ3" s="33">
        <f>CJ8/CJ10</f>
        <v>0.23191307541420811</v>
      </c>
      <c r="CK3" s="3"/>
      <c r="CL3" s="3"/>
      <c r="CM3" s="33">
        <f>CM8/CM10</f>
        <v>0.2311170503650056</v>
      </c>
      <c r="CN3" s="3"/>
      <c r="CO3" s="3"/>
      <c r="CP3" s="33">
        <f>CS8/CS10</f>
        <v>0.22996457474617457</v>
      </c>
      <c r="CQ3" s="128"/>
      <c r="CR3" s="128"/>
      <c r="CS3" s="127">
        <f>CS8/CS10</f>
        <v>0.22996457474617457</v>
      </c>
      <c r="CT3" s="128"/>
      <c r="CU3" s="128"/>
      <c r="CV3" s="127">
        <f>CV8/CV10</f>
        <v>0.23030852468685711</v>
      </c>
      <c r="CW3" s="128"/>
      <c r="CX3" s="128"/>
      <c r="CY3" s="127">
        <f>CY8/CY10</f>
        <v>0.229782533106826</v>
      </c>
      <c r="CZ3" s="128"/>
      <c r="DA3" s="128"/>
      <c r="DB3" s="127">
        <f>DB8/DB10</f>
        <v>0.22888176425952192</v>
      </c>
      <c r="DC3" s="128"/>
      <c r="DD3" s="128"/>
      <c r="DE3" s="127">
        <f>DE8/DE10</f>
        <v>0.22861786612343635</v>
      </c>
      <c r="DF3" s="128"/>
      <c r="DG3" s="128"/>
      <c r="DH3" s="127">
        <f>DH8/DH10</f>
        <v>0.22893480449957224</v>
      </c>
      <c r="DI3" s="128"/>
      <c r="DJ3" s="128"/>
      <c r="DK3" s="127">
        <f>DK8/DK10</f>
        <v>0.22863009839885789</v>
      </c>
      <c r="DL3" s="128"/>
      <c r="DM3" s="128"/>
      <c r="DN3" s="127">
        <f>DN8/DN10</f>
        <v>0.22843077200469761</v>
      </c>
      <c r="FN3" s="198"/>
      <c r="FO3" s="198"/>
      <c r="FP3" s="198"/>
      <c r="FQ3" s="198"/>
      <c r="FR3" s="198"/>
      <c r="FS3" s="198"/>
      <c r="FT3" s="198"/>
      <c r="FU3" s="198"/>
      <c r="FV3" s="198"/>
      <c r="FW3" s="198"/>
      <c r="FX3" s="198"/>
      <c r="FY3" s="198"/>
      <c r="FZ3" s="198"/>
      <c r="GA3" s="198"/>
      <c r="GB3" s="198"/>
      <c r="GC3" s="198"/>
      <c r="GD3" s="198"/>
      <c r="GE3" s="198"/>
      <c r="GF3" s="198"/>
      <c r="GG3" s="198"/>
      <c r="GH3" s="198"/>
      <c r="GI3" s="198"/>
      <c r="GJ3" s="198"/>
      <c r="GK3" s="198"/>
      <c r="GL3" s="198"/>
      <c r="GM3" s="198"/>
      <c r="GN3" s="198"/>
    </row>
    <row r="4" spans="1:196" ht="12" thickBot="1" x14ac:dyDescent="0.3">
      <c r="A4" s="3" t="s">
        <v>154</v>
      </c>
      <c r="B4" s="3"/>
      <c r="C4" s="3"/>
      <c r="D4" s="33">
        <f>D9/D10</f>
        <v>6.4640485567137237E-2</v>
      </c>
      <c r="E4" s="3"/>
      <c r="F4" s="3"/>
      <c r="G4" s="33">
        <f>G9/G10</f>
        <v>6.4560183946528363E-2</v>
      </c>
      <c r="H4" s="3"/>
      <c r="I4" s="3"/>
      <c r="J4" s="33">
        <f>J9/J10</f>
        <v>6.4653447233178063E-2</v>
      </c>
      <c r="K4" s="3"/>
      <c r="L4" s="3"/>
      <c r="M4" s="33">
        <f>M9/M10</f>
        <v>6.4888857688061213E-2</v>
      </c>
      <c r="N4" s="3"/>
      <c r="O4" s="3"/>
      <c r="P4" s="33">
        <f>P9/P10</f>
        <v>6.5025427112530412E-2</v>
      </c>
      <c r="Q4" s="3"/>
      <c r="R4" s="3"/>
      <c r="S4" s="33">
        <f>S9/S10</f>
        <v>6.4972542331897351E-2</v>
      </c>
      <c r="T4" s="3"/>
      <c r="U4" s="3"/>
      <c r="V4" s="33">
        <f>V9/V10</f>
        <v>6.5392938492020575E-2</v>
      </c>
      <c r="W4" s="3"/>
      <c r="X4" s="3"/>
      <c r="Y4" s="33">
        <f>Y9/Y10</f>
        <v>6.5481939269735459E-2</v>
      </c>
      <c r="Z4" s="3"/>
      <c r="AA4" s="3"/>
      <c r="AB4" s="33">
        <f>AB9/AB10</f>
        <v>6.4909858217442232E-2</v>
      </c>
      <c r="AC4" s="3"/>
      <c r="AD4" s="3"/>
      <c r="AE4" s="33">
        <f>AE9/AE10</f>
        <v>6.4897834584796893E-2</v>
      </c>
      <c r="AF4" s="3"/>
      <c r="AG4" s="3"/>
      <c r="AH4" s="33">
        <f>AH9/AH10</f>
        <v>6.4893950645232526E-2</v>
      </c>
      <c r="AI4" s="3"/>
      <c r="AJ4" s="3"/>
      <c r="AK4" s="33">
        <f>AK9/AK10</f>
        <v>6.503862140547953E-2</v>
      </c>
      <c r="AL4" s="3"/>
      <c r="AM4" s="3"/>
      <c r="AN4" s="33">
        <f>AN9/AN10</f>
        <v>6.5151558528725978E-2</v>
      </c>
      <c r="AO4" s="3"/>
      <c r="AP4" s="3"/>
      <c r="AQ4" s="33">
        <f>AQ9/AQ10</f>
        <v>6.5118101104954987E-2</v>
      </c>
      <c r="AR4" s="3"/>
      <c r="AS4" s="3"/>
      <c r="AT4" s="33">
        <f>AT9/AT10</f>
        <v>6.5105230925583915E-2</v>
      </c>
      <c r="AU4" s="3"/>
      <c r="AV4" s="3"/>
      <c r="AW4" s="33">
        <f>AW9/AW10</f>
        <v>6.5232296072277804E-2</v>
      </c>
      <c r="AX4" s="3"/>
      <c r="AY4" s="3"/>
      <c r="AZ4" s="33">
        <f>AZ9/AZ10</f>
        <v>6.5377264017409217E-2</v>
      </c>
      <c r="BA4" s="3"/>
      <c r="BB4" s="3"/>
      <c r="BC4" s="33">
        <f>BC9/BC10</f>
        <v>6.5193264124290384E-2</v>
      </c>
      <c r="BD4" s="3"/>
      <c r="BE4" s="3"/>
      <c r="BF4" s="33">
        <f>BF9/BF10</f>
        <v>6.5099996695922521E-2</v>
      </c>
      <c r="BG4" s="3"/>
      <c r="BH4" s="3"/>
      <c r="BI4" s="33">
        <f>BI9/BI10</f>
        <v>6.4906376188876985E-2</v>
      </c>
      <c r="BJ4" s="113"/>
      <c r="BK4" s="113"/>
      <c r="BL4" s="33">
        <f>BL9/BL10</f>
        <v>6.4797128481687893E-2</v>
      </c>
      <c r="BM4" s="3"/>
      <c r="BN4" s="3"/>
      <c r="BO4" s="33">
        <f>BO9/BO10</f>
        <v>6.4662635475814856E-2</v>
      </c>
      <c r="BP4" s="3"/>
      <c r="BQ4" s="3"/>
      <c r="BR4" s="33">
        <f>BR9/BR10</f>
        <v>6.4510556152574894E-2</v>
      </c>
      <c r="BS4" s="3"/>
      <c r="BT4" s="3"/>
      <c r="BU4" s="33">
        <f>BU9/BU10</f>
        <v>6.4225162483005277E-2</v>
      </c>
      <c r="BV4" s="3"/>
      <c r="BW4" s="3"/>
      <c r="BX4" s="33">
        <f>BX9/BX10</f>
        <v>6.3970831422687127E-2</v>
      </c>
      <c r="BY4" s="3"/>
      <c r="BZ4" s="3"/>
      <c r="CA4" s="33">
        <f>CA9/CA10</f>
        <v>6.3601368793517452E-2</v>
      </c>
      <c r="CB4" s="3"/>
      <c r="CC4" s="3"/>
      <c r="CD4" s="33">
        <f>CG9/CG10</f>
        <v>6.3384020431315344E-2</v>
      </c>
      <c r="CE4" s="3"/>
      <c r="CF4" s="3"/>
      <c r="CG4" s="33">
        <f>CG9/CG10</f>
        <v>6.3384020431315344E-2</v>
      </c>
      <c r="CH4" s="3"/>
      <c r="CI4" s="3"/>
      <c r="CJ4" s="33">
        <f>CJ9/CJ10</f>
        <v>6.3222738269603229E-2</v>
      </c>
      <c r="CK4" s="3"/>
      <c r="CL4" s="3"/>
      <c r="CM4" s="33">
        <f>CM9/CM10</f>
        <v>6.2940845428928804E-2</v>
      </c>
      <c r="CN4" s="3"/>
      <c r="CO4" s="3"/>
      <c r="CP4" s="33">
        <f>CS9/CS10</f>
        <v>6.2519145032449347E-2</v>
      </c>
      <c r="CQ4" s="128"/>
      <c r="CR4" s="128"/>
      <c r="CS4" s="127">
        <f>CS9/CS10</f>
        <v>6.2519145032449347E-2</v>
      </c>
      <c r="CT4" s="128"/>
      <c r="CU4" s="128"/>
      <c r="CV4" s="127">
        <f>CV9/CV10</f>
        <v>6.2497593651128829E-2</v>
      </c>
      <c r="CW4" s="128"/>
      <c r="CX4" s="128"/>
      <c r="CY4" s="127">
        <f>CY9/CY10</f>
        <v>6.2227918020246575E-2</v>
      </c>
      <c r="CZ4" s="128"/>
      <c r="DA4" s="128"/>
      <c r="DB4" s="127">
        <f>DB9/DB10</f>
        <v>6.1898462112995566E-2</v>
      </c>
      <c r="DC4" s="128"/>
      <c r="DD4" s="128"/>
      <c r="DE4" s="127">
        <f>DE9/DE10</f>
        <v>6.1804516662953175E-2</v>
      </c>
      <c r="DF4" s="128"/>
      <c r="DG4" s="128"/>
      <c r="DH4" s="127">
        <f>DH9/DH10</f>
        <v>6.1806754618381553E-2</v>
      </c>
      <c r="DI4" s="128"/>
      <c r="DJ4" s="128"/>
      <c r="DK4" s="127">
        <f>DK9/DK10</f>
        <v>6.1642531097752258E-2</v>
      </c>
      <c r="DL4" s="128"/>
      <c r="DM4" s="128"/>
      <c r="DN4" s="127">
        <f>DN9/DN10</f>
        <v>6.1436631123439132E-2</v>
      </c>
      <c r="FN4" s="198"/>
      <c r="FO4" s="198"/>
      <c r="FP4" s="198"/>
      <c r="FQ4" s="198"/>
      <c r="FR4" s="198"/>
      <c r="FS4" s="198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</row>
    <row r="5" spans="1:196" s="185" customFormat="1" ht="24" customHeight="1" x14ac:dyDescent="0.25">
      <c r="A5" s="184"/>
      <c r="B5" s="444" t="s">
        <v>15</v>
      </c>
      <c r="C5" s="445"/>
      <c r="D5" s="446"/>
      <c r="E5" s="444" t="s">
        <v>20</v>
      </c>
      <c r="F5" s="445"/>
      <c r="G5" s="446"/>
      <c r="H5" s="444" t="s">
        <v>21</v>
      </c>
      <c r="I5" s="445"/>
      <c r="J5" s="446"/>
      <c r="K5" s="444" t="s">
        <v>22</v>
      </c>
      <c r="L5" s="445"/>
      <c r="M5" s="446"/>
      <c r="N5" s="444" t="s">
        <v>23</v>
      </c>
      <c r="O5" s="445"/>
      <c r="P5" s="445"/>
      <c r="Q5" s="444" t="s">
        <v>25</v>
      </c>
      <c r="R5" s="445"/>
      <c r="S5" s="446"/>
      <c r="T5" s="444" t="s">
        <v>26</v>
      </c>
      <c r="U5" s="445"/>
      <c r="V5" s="446"/>
      <c r="W5" s="444" t="s">
        <v>27</v>
      </c>
      <c r="X5" s="445"/>
      <c r="Y5" s="446"/>
      <c r="Z5" s="444" t="s">
        <v>24</v>
      </c>
      <c r="AA5" s="445"/>
      <c r="AB5" s="446"/>
      <c r="AC5" s="444" t="s">
        <v>33</v>
      </c>
      <c r="AD5" s="445"/>
      <c r="AE5" s="446"/>
      <c r="AF5" s="444" t="s">
        <v>34</v>
      </c>
      <c r="AG5" s="445"/>
      <c r="AH5" s="446"/>
      <c r="AI5" s="444" t="s">
        <v>73</v>
      </c>
      <c r="AJ5" s="445"/>
      <c r="AK5" s="446"/>
      <c r="AL5" s="444" t="s">
        <v>82</v>
      </c>
      <c r="AM5" s="445"/>
      <c r="AN5" s="446"/>
      <c r="AO5" s="444" t="s">
        <v>105</v>
      </c>
      <c r="AP5" s="445"/>
      <c r="AQ5" s="446"/>
      <c r="AR5" s="444" t="s">
        <v>109</v>
      </c>
      <c r="AS5" s="445"/>
      <c r="AT5" s="446"/>
      <c r="AU5" s="444" t="s">
        <v>134</v>
      </c>
      <c r="AV5" s="445"/>
      <c r="AW5" s="446"/>
      <c r="AX5" s="444" t="s">
        <v>138</v>
      </c>
      <c r="AY5" s="445"/>
      <c r="AZ5" s="446"/>
      <c r="BA5" s="444" t="s">
        <v>144</v>
      </c>
      <c r="BB5" s="445"/>
      <c r="BC5" s="446"/>
      <c r="BD5" s="444" t="s">
        <v>149</v>
      </c>
      <c r="BE5" s="445"/>
      <c r="BF5" s="446"/>
      <c r="BG5" s="444" t="s">
        <v>157</v>
      </c>
      <c r="BH5" s="445"/>
      <c r="BI5" s="446"/>
      <c r="BJ5" s="444" t="s">
        <v>163</v>
      </c>
      <c r="BK5" s="445"/>
      <c r="BL5" s="446"/>
      <c r="BM5" s="444" t="s">
        <v>180</v>
      </c>
      <c r="BN5" s="445"/>
      <c r="BO5" s="446"/>
      <c r="BP5" s="444" t="s">
        <v>174</v>
      </c>
      <c r="BQ5" s="445"/>
      <c r="BR5" s="446"/>
      <c r="BS5" s="444" t="s">
        <v>177</v>
      </c>
      <c r="BT5" s="445"/>
      <c r="BU5" s="446"/>
      <c r="BV5" s="444" t="s">
        <v>191</v>
      </c>
      <c r="BW5" s="445"/>
      <c r="BX5" s="446"/>
      <c r="BY5" s="444" t="s">
        <v>197</v>
      </c>
      <c r="BZ5" s="445"/>
      <c r="CA5" s="446"/>
      <c r="CB5" s="444" t="s">
        <v>202</v>
      </c>
      <c r="CC5" s="445"/>
      <c r="CD5" s="446"/>
      <c r="CE5" s="444" t="s">
        <v>205</v>
      </c>
      <c r="CF5" s="445"/>
      <c r="CG5" s="446"/>
      <c r="CH5" s="444" t="s">
        <v>209</v>
      </c>
      <c r="CI5" s="445"/>
      <c r="CJ5" s="446"/>
      <c r="CK5" s="444" t="s">
        <v>214</v>
      </c>
      <c r="CL5" s="445"/>
      <c r="CM5" s="446"/>
      <c r="CN5" s="444" t="s">
        <v>223</v>
      </c>
      <c r="CO5" s="445"/>
      <c r="CP5" s="446"/>
      <c r="CQ5" s="433" t="s">
        <v>227</v>
      </c>
      <c r="CR5" s="434"/>
      <c r="CS5" s="435"/>
      <c r="CT5" s="433" t="s">
        <v>238</v>
      </c>
      <c r="CU5" s="434"/>
      <c r="CV5" s="435"/>
      <c r="CW5" s="433" t="s">
        <v>239</v>
      </c>
      <c r="CX5" s="434"/>
      <c r="CY5" s="435"/>
      <c r="CZ5" s="433" t="s">
        <v>247</v>
      </c>
      <c r="DA5" s="434"/>
      <c r="DB5" s="435"/>
      <c r="DC5" s="433" t="s">
        <v>254</v>
      </c>
      <c r="DD5" s="434"/>
      <c r="DE5" s="435"/>
      <c r="DF5" s="433" t="s">
        <v>255</v>
      </c>
      <c r="DG5" s="434"/>
      <c r="DH5" s="435"/>
      <c r="DI5" s="433" t="s">
        <v>259</v>
      </c>
      <c r="DJ5" s="434"/>
      <c r="DK5" s="435"/>
      <c r="DL5" s="433" t="s">
        <v>268</v>
      </c>
      <c r="DM5" s="434"/>
      <c r="DN5" s="435"/>
      <c r="DO5" s="433" t="s">
        <v>273</v>
      </c>
      <c r="DP5" s="434"/>
      <c r="DQ5" s="435"/>
      <c r="DR5" s="433" t="s">
        <v>276</v>
      </c>
      <c r="DS5" s="434"/>
      <c r="DT5" s="435"/>
      <c r="DU5" s="441" t="s">
        <v>279</v>
      </c>
      <c r="DV5" s="442"/>
      <c r="DW5" s="443"/>
      <c r="DX5" s="441" t="s">
        <v>303</v>
      </c>
      <c r="DY5" s="442"/>
      <c r="DZ5" s="443"/>
      <c r="EA5" s="441" t="s">
        <v>308</v>
      </c>
      <c r="EB5" s="442"/>
      <c r="EC5" s="443"/>
      <c r="ED5" s="441" t="s">
        <v>316</v>
      </c>
      <c r="EE5" s="442"/>
      <c r="EF5" s="443"/>
      <c r="EG5" s="441" t="s">
        <v>318</v>
      </c>
      <c r="EH5" s="442"/>
      <c r="EI5" s="443"/>
      <c r="EJ5" s="441" t="s">
        <v>323</v>
      </c>
      <c r="EK5" s="442"/>
      <c r="EL5" s="443"/>
      <c r="EM5" s="441" t="s">
        <v>329</v>
      </c>
      <c r="EN5" s="442"/>
      <c r="EO5" s="443"/>
      <c r="EP5" s="441" t="s">
        <v>333</v>
      </c>
      <c r="EQ5" s="442"/>
      <c r="ER5" s="443"/>
      <c r="ES5" s="441" t="s">
        <v>336</v>
      </c>
      <c r="ET5" s="442"/>
      <c r="EU5" s="443"/>
      <c r="EV5" s="441" t="s">
        <v>344</v>
      </c>
      <c r="EW5" s="442"/>
      <c r="EX5" s="443"/>
      <c r="EY5" s="441" t="s">
        <v>350</v>
      </c>
      <c r="EZ5" s="442"/>
      <c r="FA5" s="443"/>
      <c r="FB5" s="433" t="s">
        <v>354</v>
      </c>
      <c r="FC5" s="434"/>
      <c r="FD5" s="435"/>
      <c r="FE5" s="433" t="s">
        <v>359</v>
      </c>
      <c r="FF5" s="434"/>
      <c r="FG5" s="435"/>
      <c r="FH5" s="433" t="s">
        <v>364</v>
      </c>
      <c r="FI5" s="434"/>
      <c r="FJ5" s="435"/>
      <c r="FK5" s="433" t="s">
        <v>370</v>
      </c>
      <c r="FL5" s="434"/>
      <c r="FM5" s="435"/>
      <c r="FN5" s="433" t="s">
        <v>372</v>
      </c>
      <c r="FO5" s="434"/>
      <c r="FP5" s="435"/>
      <c r="FQ5" s="433" t="s">
        <v>385</v>
      </c>
      <c r="FR5" s="434"/>
      <c r="FS5" s="435"/>
      <c r="FT5" s="433" t="s">
        <v>398</v>
      </c>
      <c r="FU5" s="434"/>
      <c r="FV5" s="435"/>
      <c r="FW5" s="433" t="s">
        <v>397</v>
      </c>
      <c r="FX5" s="434"/>
      <c r="FY5" s="435"/>
      <c r="FZ5" s="433" t="s">
        <v>409</v>
      </c>
      <c r="GA5" s="434"/>
      <c r="GB5" s="435"/>
      <c r="GC5" s="433" t="s">
        <v>415</v>
      </c>
      <c r="GD5" s="434"/>
      <c r="GE5" s="435"/>
      <c r="GF5" s="433" t="s">
        <v>419</v>
      </c>
      <c r="GG5" s="434"/>
      <c r="GH5" s="435"/>
      <c r="GI5" s="433" t="s">
        <v>423</v>
      </c>
      <c r="GJ5" s="434"/>
      <c r="GK5" s="435"/>
      <c r="GL5" s="433" t="s">
        <v>427</v>
      </c>
      <c r="GM5" s="434"/>
      <c r="GN5" s="435"/>
    </row>
    <row r="6" spans="1:196" ht="12" thickBot="1" x14ac:dyDescent="0.3">
      <c r="A6" s="3"/>
      <c r="B6" s="34" t="s">
        <v>0</v>
      </c>
      <c r="C6" s="35" t="s">
        <v>1</v>
      </c>
      <c r="D6" s="36" t="s">
        <v>5</v>
      </c>
      <c r="E6" s="34" t="s">
        <v>0</v>
      </c>
      <c r="F6" s="35" t="s">
        <v>1</v>
      </c>
      <c r="G6" s="36" t="s">
        <v>5</v>
      </c>
      <c r="H6" s="34" t="s">
        <v>0</v>
      </c>
      <c r="I6" s="35" t="s">
        <v>1</v>
      </c>
      <c r="J6" s="36" t="s">
        <v>5</v>
      </c>
      <c r="K6" s="34" t="s">
        <v>0</v>
      </c>
      <c r="L6" s="35" t="s">
        <v>1</v>
      </c>
      <c r="M6" s="36" t="s">
        <v>5</v>
      </c>
      <c r="N6" s="34" t="s">
        <v>0</v>
      </c>
      <c r="O6" s="35" t="s">
        <v>1</v>
      </c>
      <c r="P6" s="37" t="s">
        <v>5</v>
      </c>
      <c r="Q6" s="34" t="s">
        <v>0</v>
      </c>
      <c r="R6" s="35" t="s">
        <v>1</v>
      </c>
      <c r="S6" s="36" t="s">
        <v>5</v>
      </c>
      <c r="T6" s="34" t="s">
        <v>0</v>
      </c>
      <c r="U6" s="35" t="s">
        <v>1</v>
      </c>
      <c r="V6" s="36" t="s">
        <v>5</v>
      </c>
      <c r="W6" s="34" t="s">
        <v>0</v>
      </c>
      <c r="X6" s="35" t="s">
        <v>1</v>
      </c>
      <c r="Y6" s="36" t="s">
        <v>5</v>
      </c>
      <c r="Z6" s="34" t="s">
        <v>0</v>
      </c>
      <c r="AA6" s="35" t="s">
        <v>1</v>
      </c>
      <c r="AB6" s="36" t="s">
        <v>5</v>
      </c>
      <c r="AC6" s="34" t="s">
        <v>0</v>
      </c>
      <c r="AD6" s="35" t="s">
        <v>1</v>
      </c>
      <c r="AE6" s="36" t="s">
        <v>5</v>
      </c>
      <c r="AF6" s="34" t="s">
        <v>0</v>
      </c>
      <c r="AG6" s="35" t="s">
        <v>1</v>
      </c>
      <c r="AH6" s="36" t="s">
        <v>5</v>
      </c>
      <c r="AI6" s="34" t="s">
        <v>0</v>
      </c>
      <c r="AJ6" s="35" t="s">
        <v>1</v>
      </c>
      <c r="AK6" s="36" t="s">
        <v>5</v>
      </c>
      <c r="AL6" s="34" t="s">
        <v>0</v>
      </c>
      <c r="AM6" s="35" t="s">
        <v>1</v>
      </c>
      <c r="AN6" s="36" t="s">
        <v>5</v>
      </c>
      <c r="AO6" s="34" t="s">
        <v>0</v>
      </c>
      <c r="AP6" s="35" t="s">
        <v>1</v>
      </c>
      <c r="AQ6" s="36" t="s">
        <v>5</v>
      </c>
      <c r="AR6" s="34" t="s">
        <v>0</v>
      </c>
      <c r="AS6" s="35" t="s">
        <v>1</v>
      </c>
      <c r="AT6" s="36" t="s">
        <v>5</v>
      </c>
      <c r="AU6" s="34" t="s">
        <v>0</v>
      </c>
      <c r="AV6" s="35" t="s">
        <v>1</v>
      </c>
      <c r="AW6" s="36" t="s">
        <v>5</v>
      </c>
      <c r="AX6" s="34" t="s">
        <v>0</v>
      </c>
      <c r="AY6" s="35" t="s">
        <v>1</v>
      </c>
      <c r="AZ6" s="36" t="s">
        <v>5</v>
      </c>
      <c r="BA6" s="34" t="s">
        <v>0</v>
      </c>
      <c r="BB6" s="35" t="s">
        <v>1</v>
      </c>
      <c r="BC6" s="36" t="s">
        <v>5</v>
      </c>
      <c r="BD6" s="34" t="s">
        <v>0</v>
      </c>
      <c r="BE6" s="35" t="s">
        <v>1</v>
      </c>
      <c r="BF6" s="36" t="s">
        <v>5</v>
      </c>
      <c r="BG6" s="34" t="s">
        <v>0</v>
      </c>
      <c r="BH6" s="35" t="s">
        <v>1</v>
      </c>
      <c r="BI6" s="36" t="s">
        <v>5</v>
      </c>
      <c r="BJ6" s="34" t="s">
        <v>0</v>
      </c>
      <c r="BK6" s="35" t="s">
        <v>1</v>
      </c>
      <c r="BL6" s="36" t="s">
        <v>5</v>
      </c>
      <c r="BM6" s="34" t="s">
        <v>0</v>
      </c>
      <c r="BN6" s="35" t="s">
        <v>1</v>
      </c>
      <c r="BO6" s="36" t="s">
        <v>5</v>
      </c>
      <c r="BP6" s="34" t="s">
        <v>0</v>
      </c>
      <c r="BQ6" s="35" t="s">
        <v>1</v>
      </c>
      <c r="BR6" s="36" t="s">
        <v>5</v>
      </c>
      <c r="BS6" s="34" t="s">
        <v>0</v>
      </c>
      <c r="BT6" s="35" t="s">
        <v>1</v>
      </c>
      <c r="BU6" s="36" t="s">
        <v>5</v>
      </c>
      <c r="BV6" s="34" t="s">
        <v>0</v>
      </c>
      <c r="BW6" s="35" t="s">
        <v>1</v>
      </c>
      <c r="BX6" s="36" t="s">
        <v>5</v>
      </c>
      <c r="BY6" s="34" t="s">
        <v>0</v>
      </c>
      <c r="BZ6" s="35" t="s">
        <v>1</v>
      </c>
      <c r="CA6" s="36" t="s">
        <v>5</v>
      </c>
      <c r="CB6" s="34" t="s">
        <v>0</v>
      </c>
      <c r="CC6" s="35" t="s">
        <v>1</v>
      </c>
      <c r="CD6" s="36" t="s">
        <v>5</v>
      </c>
      <c r="CE6" s="34" t="s">
        <v>0</v>
      </c>
      <c r="CF6" s="35" t="s">
        <v>1</v>
      </c>
      <c r="CG6" s="36" t="s">
        <v>5</v>
      </c>
      <c r="CH6" s="34" t="s">
        <v>0</v>
      </c>
      <c r="CI6" s="35" t="s">
        <v>1</v>
      </c>
      <c r="CJ6" s="36" t="s">
        <v>5</v>
      </c>
      <c r="CK6" s="34" t="s">
        <v>0</v>
      </c>
      <c r="CL6" s="35" t="s">
        <v>1</v>
      </c>
      <c r="CM6" s="36" t="s">
        <v>5</v>
      </c>
      <c r="CN6" s="34" t="s">
        <v>0</v>
      </c>
      <c r="CO6" s="35" t="s">
        <v>1</v>
      </c>
      <c r="CP6" s="36" t="s">
        <v>5</v>
      </c>
      <c r="CQ6" s="129" t="s">
        <v>0</v>
      </c>
      <c r="CR6" s="130" t="s">
        <v>1</v>
      </c>
      <c r="CS6" s="131" t="s">
        <v>5</v>
      </c>
      <c r="CT6" s="129" t="s">
        <v>0</v>
      </c>
      <c r="CU6" s="130" t="s">
        <v>1</v>
      </c>
      <c r="CV6" s="131" t="s">
        <v>5</v>
      </c>
      <c r="CW6" s="129" t="s">
        <v>0</v>
      </c>
      <c r="CX6" s="130" t="s">
        <v>1</v>
      </c>
      <c r="CY6" s="131" t="s">
        <v>5</v>
      </c>
      <c r="CZ6" s="129" t="s">
        <v>0</v>
      </c>
      <c r="DA6" s="130" t="s">
        <v>1</v>
      </c>
      <c r="DB6" s="131" t="s">
        <v>5</v>
      </c>
      <c r="DC6" s="129" t="s">
        <v>0</v>
      </c>
      <c r="DD6" s="130" t="s">
        <v>1</v>
      </c>
      <c r="DE6" s="131" t="s">
        <v>5</v>
      </c>
      <c r="DF6" s="129" t="s">
        <v>0</v>
      </c>
      <c r="DG6" s="130" t="s">
        <v>1</v>
      </c>
      <c r="DH6" s="131" t="s">
        <v>5</v>
      </c>
      <c r="DI6" s="129" t="s">
        <v>0</v>
      </c>
      <c r="DJ6" s="130" t="s">
        <v>1</v>
      </c>
      <c r="DK6" s="131" t="s">
        <v>5</v>
      </c>
      <c r="DL6" s="129" t="s">
        <v>0</v>
      </c>
      <c r="DM6" s="130" t="s">
        <v>1</v>
      </c>
      <c r="DN6" s="131" t="s">
        <v>5</v>
      </c>
      <c r="DO6" s="129" t="s">
        <v>0</v>
      </c>
      <c r="DP6" s="130" t="s">
        <v>1</v>
      </c>
      <c r="DQ6" s="131" t="s">
        <v>5</v>
      </c>
      <c r="DR6" s="129" t="s">
        <v>0</v>
      </c>
      <c r="DS6" s="130" t="s">
        <v>1</v>
      </c>
      <c r="DT6" s="131" t="s">
        <v>5</v>
      </c>
      <c r="DU6" s="199" t="s">
        <v>0</v>
      </c>
      <c r="DV6" s="200" t="s">
        <v>1</v>
      </c>
      <c r="DW6" s="201" t="s">
        <v>5</v>
      </c>
      <c r="DX6" s="199" t="s">
        <v>0</v>
      </c>
      <c r="DY6" s="200" t="s">
        <v>1</v>
      </c>
      <c r="DZ6" s="201" t="s">
        <v>5</v>
      </c>
      <c r="EA6" s="199" t="s">
        <v>0</v>
      </c>
      <c r="EB6" s="200" t="s">
        <v>1</v>
      </c>
      <c r="EC6" s="201" t="s">
        <v>5</v>
      </c>
      <c r="ED6" s="199" t="s">
        <v>0</v>
      </c>
      <c r="EE6" s="200" t="s">
        <v>1</v>
      </c>
      <c r="EF6" s="201" t="s">
        <v>5</v>
      </c>
      <c r="EG6" s="199" t="s">
        <v>0</v>
      </c>
      <c r="EH6" s="200" t="s">
        <v>1</v>
      </c>
      <c r="EI6" s="201" t="s">
        <v>5</v>
      </c>
      <c r="EJ6" s="199" t="s">
        <v>0</v>
      </c>
      <c r="EK6" s="200" t="s">
        <v>1</v>
      </c>
      <c r="EL6" s="201" t="s">
        <v>5</v>
      </c>
      <c r="EM6" s="199" t="s">
        <v>0</v>
      </c>
      <c r="EN6" s="200" t="s">
        <v>1</v>
      </c>
      <c r="EO6" s="201" t="s">
        <v>5</v>
      </c>
      <c r="EP6" s="199" t="s">
        <v>0</v>
      </c>
      <c r="EQ6" s="200" t="s">
        <v>1</v>
      </c>
      <c r="ER6" s="201" t="s">
        <v>5</v>
      </c>
      <c r="ES6" s="199" t="s">
        <v>0</v>
      </c>
      <c r="ET6" s="200" t="s">
        <v>1</v>
      </c>
      <c r="EU6" s="201" t="s">
        <v>5</v>
      </c>
      <c r="EV6" s="199" t="s">
        <v>0</v>
      </c>
      <c r="EW6" s="200" t="s">
        <v>1</v>
      </c>
      <c r="EX6" s="201" t="s">
        <v>5</v>
      </c>
      <c r="EY6" s="199" t="s">
        <v>0</v>
      </c>
      <c r="EZ6" s="200" t="s">
        <v>1</v>
      </c>
      <c r="FA6" s="201" t="s">
        <v>5</v>
      </c>
      <c r="FB6" s="199" t="s">
        <v>0</v>
      </c>
      <c r="FC6" s="200" t="s">
        <v>1</v>
      </c>
      <c r="FD6" s="201" t="s">
        <v>5</v>
      </c>
      <c r="FE6" s="199" t="s">
        <v>0</v>
      </c>
      <c r="FF6" s="200" t="s">
        <v>1</v>
      </c>
      <c r="FG6" s="201" t="s">
        <v>5</v>
      </c>
      <c r="FH6" s="199" t="s">
        <v>0</v>
      </c>
      <c r="FI6" s="200" t="s">
        <v>1</v>
      </c>
      <c r="FJ6" s="201" t="s">
        <v>5</v>
      </c>
      <c r="FK6" s="199" t="s">
        <v>0</v>
      </c>
      <c r="FL6" s="200" t="s">
        <v>1</v>
      </c>
      <c r="FM6" s="201" t="s">
        <v>5</v>
      </c>
      <c r="FN6" s="129" t="s">
        <v>0</v>
      </c>
      <c r="FO6" s="130" t="s">
        <v>1</v>
      </c>
      <c r="FP6" s="131" t="s">
        <v>5</v>
      </c>
      <c r="FQ6" s="129" t="s">
        <v>0</v>
      </c>
      <c r="FR6" s="366" t="s">
        <v>1</v>
      </c>
      <c r="FS6" s="131" t="s">
        <v>5</v>
      </c>
      <c r="FT6" s="129" t="s">
        <v>0</v>
      </c>
      <c r="FU6" s="383" t="s">
        <v>1</v>
      </c>
      <c r="FV6" s="131" t="s">
        <v>5</v>
      </c>
      <c r="FW6" s="129" t="s">
        <v>0</v>
      </c>
      <c r="FX6" s="385" t="s">
        <v>1</v>
      </c>
      <c r="FY6" s="131" t="s">
        <v>5</v>
      </c>
      <c r="FZ6" s="129" t="s">
        <v>0</v>
      </c>
      <c r="GA6" s="386" t="s">
        <v>1</v>
      </c>
      <c r="GB6" s="131" t="s">
        <v>5</v>
      </c>
      <c r="GC6" s="129" t="s">
        <v>0</v>
      </c>
      <c r="GD6" s="391" t="s">
        <v>1</v>
      </c>
      <c r="GE6" s="131" t="s">
        <v>5</v>
      </c>
      <c r="GF6" s="129" t="s">
        <v>0</v>
      </c>
      <c r="GG6" s="392" t="s">
        <v>1</v>
      </c>
      <c r="GH6" s="131" t="s">
        <v>5</v>
      </c>
      <c r="GI6" s="129" t="s">
        <v>0</v>
      </c>
      <c r="GJ6" s="393" t="s">
        <v>1</v>
      </c>
      <c r="GK6" s="131" t="s">
        <v>5</v>
      </c>
      <c r="GL6" s="129" t="s">
        <v>0</v>
      </c>
      <c r="GM6" s="394" t="s">
        <v>1</v>
      </c>
      <c r="GN6" s="131" t="s">
        <v>5</v>
      </c>
    </row>
    <row r="7" spans="1:196" x14ac:dyDescent="0.25">
      <c r="A7" s="38" t="s">
        <v>2</v>
      </c>
      <c r="B7" s="7">
        <f>D7-C7</f>
        <v>1266442</v>
      </c>
      <c r="C7" s="8">
        <f>[1]SAS_SA_4T2008!$A$14</f>
        <v>506652</v>
      </c>
      <c r="D7" s="9">
        <f>[1]SAS_SA_4T2008!$A$24</f>
        <v>1773094</v>
      </c>
      <c r="E7" s="7">
        <f>[2]SAS_SA_1T2009!$A$4</f>
        <v>1265378</v>
      </c>
      <c r="F7" s="8">
        <f>[2]SAS_SA_1T2009!$A$14</f>
        <v>509564</v>
      </c>
      <c r="G7" s="9">
        <f>[2]SAS_SA_1T2009!$A$24</f>
        <v>1774942</v>
      </c>
      <c r="H7" s="7">
        <f>[3]SAS_SA_3T2009!$A$4</f>
        <v>1258388</v>
      </c>
      <c r="I7" s="8">
        <f>[3]SAS_SA_3T2009!$A$14</f>
        <v>514368</v>
      </c>
      <c r="J7" s="9">
        <f>[3]SAS_SA_3T2009!$A$24</f>
        <v>1772756</v>
      </c>
      <c r="K7" s="7">
        <f>[3]SAS_SA_3T2009!$A$4</f>
        <v>1258388</v>
      </c>
      <c r="L7" s="8">
        <f>[3]SAS_SA_3T2009!$A$14</f>
        <v>514368</v>
      </c>
      <c r="M7" s="9">
        <f>[3]SAS_SA_3T2009!$A$24</f>
        <v>1772756</v>
      </c>
      <c r="N7" s="7">
        <f>[4]SAS_SA_4T2009!$A$4</f>
        <v>1255701</v>
      </c>
      <c r="O7" s="8">
        <f>[4]SAS_SA_4T2009!$A$14</f>
        <v>516300</v>
      </c>
      <c r="P7" s="16">
        <f>[4]SAS_SA_4T2009!$A$24</f>
        <v>1772001</v>
      </c>
      <c r="Q7" s="7">
        <f>[5]SAS_SA_1T2010!$A$4</f>
        <v>1255851</v>
      </c>
      <c r="R7" s="8">
        <f>[5]SAS_SA_1T2010!$A$14</f>
        <v>519203</v>
      </c>
      <c r="S7" s="16">
        <f>[5]SAS_SA_1T2010!$A$24</f>
        <v>1775054</v>
      </c>
      <c r="T7" s="7">
        <f>[6]SAS_SA_3T2010!$A$4</f>
        <v>1240394</v>
      </c>
      <c r="U7" s="8">
        <f>[6]SAS_SA_3T2010!$A$14</f>
        <v>524036</v>
      </c>
      <c r="V7" s="16">
        <f>[6]SAS_SA_3T2010!$A$24</f>
        <v>1764430</v>
      </c>
      <c r="W7" s="7">
        <f>[6]SAS_SA_3T2010!$A$4</f>
        <v>1240394</v>
      </c>
      <c r="X7" s="8">
        <f>[6]SAS_SA_3T2010!$A$14</f>
        <v>524036</v>
      </c>
      <c r="Y7" s="16">
        <f>[6]SAS_SA_3T2010!$A$24</f>
        <v>1764430</v>
      </c>
      <c r="Z7" s="7">
        <f>[7]SAS_SA_2010_4T!$A$4</f>
        <v>1250149</v>
      </c>
      <c r="AA7" s="8">
        <f>[7]SAS_SA_2010_4T!$A$14</f>
        <v>527848</v>
      </c>
      <c r="AB7" s="9">
        <f>[7]SAS_SA_2010_4T!$A$24</f>
        <v>1777997</v>
      </c>
      <c r="AC7" s="7">
        <f>[8]SAS_SA_2011_1T!$A$4</f>
        <v>1248613</v>
      </c>
      <c r="AD7" s="8">
        <f>[8]SAS_SA_2011_1T!$A$14</f>
        <v>530465</v>
      </c>
      <c r="AE7" s="9">
        <f>[8]SAS_SA_2011_1T!$A$24</f>
        <v>1779078</v>
      </c>
      <c r="AF7" s="7">
        <f>[9]SAS_SA_2011_2T!$A$4</f>
        <v>1245523</v>
      </c>
      <c r="AG7" s="8">
        <f>[9]SAS_SA_2011_2T!$A$14</f>
        <v>532661</v>
      </c>
      <c r="AH7" s="9">
        <f>[9]SAS_SA_2011_2T!$A$24</f>
        <v>1778184</v>
      </c>
      <c r="AI7" s="7">
        <f>[10]SAS_SA_2011_3T!$A$4</f>
        <v>1240842</v>
      </c>
      <c r="AJ7" s="8">
        <f>[10]SAS_SA_2011_3T!$A$14</f>
        <v>533574</v>
      </c>
      <c r="AK7" s="9">
        <f>[10]SAS_SA_2011_3T!$A$24</f>
        <v>1774416</v>
      </c>
      <c r="AL7" s="7">
        <f>[11]SAS_SA_2011_4T!$A$4</f>
        <v>1234127</v>
      </c>
      <c r="AM7" s="8">
        <f>[11]SAS_SA_2011_4T!$A$14</f>
        <v>532812</v>
      </c>
      <c r="AN7" s="9">
        <f>[11]SAS_SA_2011_4T!$A$24</f>
        <v>1766939</v>
      </c>
      <c r="AO7" s="7">
        <f>'[12]120612-17H07S59-PROGRAM-TdB_STO'!$A$4</f>
        <v>1228338</v>
      </c>
      <c r="AP7" s="8">
        <f>'[12]120612-17H07S59-PROGRAM-TdB_STO'!$A$14</f>
        <v>532985</v>
      </c>
      <c r="AQ7" s="9">
        <f>'[12]120612-17H07S59-PROGRAM-TdB_STO'!$A$24</f>
        <v>1761323</v>
      </c>
      <c r="AR7" s="7">
        <f>[13]SAS_SA_2012_2T!$A$4</f>
        <v>1222692</v>
      </c>
      <c r="AS7" s="8">
        <f>[13]SAS_SA_2012_2T!$A$14</f>
        <v>533293</v>
      </c>
      <c r="AT7" s="9">
        <f>[13]SAS_SA_2012_2T!$A$24</f>
        <v>1755985</v>
      </c>
      <c r="AU7" s="7">
        <f>'[14]121105-09H31S06-PROGRAM-TdB_STO'!$A$4</f>
        <v>1216110</v>
      </c>
      <c r="AV7" s="8">
        <f>'[14]121105-09H31S06-PROGRAM-TdB_STO'!$A$14</f>
        <v>533872</v>
      </c>
      <c r="AW7" s="9">
        <f>'[14]121105-09H31S06-PROGRAM-TdB_STO'!$A$24</f>
        <v>1749982</v>
      </c>
      <c r="AX7" s="7">
        <f>[15]SAS_SA_2012_4T!$A$4</f>
        <v>1209559</v>
      </c>
      <c r="AY7" s="8">
        <f>[15]SAS_SA_2012_4T!$A$14</f>
        <v>533404</v>
      </c>
      <c r="AZ7" s="9">
        <f>[15]SAS_SA_2012_4T!$A$24</f>
        <v>1742963</v>
      </c>
      <c r="BA7" s="7">
        <f>[16]SAS_SA_2013_1T!$A$4</f>
        <v>1207225</v>
      </c>
      <c r="BB7" s="8">
        <f>[16]SAS_SA_2013_1T!$A$14</f>
        <v>535595</v>
      </c>
      <c r="BC7" s="9">
        <f>[16]SAS_SA_2013_1T!$A$24</f>
        <v>1742820</v>
      </c>
      <c r="BD7" s="7">
        <f>[17]SAS_SA_2013_2T!$A$4</f>
        <v>1200377</v>
      </c>
      <c r="BE7" s="8">
        <f>[17]SAS_SA_2013_2T!$A$14</f>
        <v>535846</v>
      </c>
      <c r="BF7" s="9">
        <f>[17]SAS_SA_2013_2T!$A$24</f>
        <v>1736223</v>
      </c>
      <c r="BG7" s="7">
        <f>[18]SAS_SA_2013_3T!$A$4</f>
        <v>1201724</v>
      </c>
      <c r="BH7" s="8">
        <f>[18]SAS_SA_2013_3T!$A$14</f>
        <v>541809</v>
      </c>
      <c r="BI7" s="9">
        <f>[18]SAS_SA_2013_3T!$A$24</f>
        <v>1743533</v>
      </c>
      <c r="BJ7" s="7">
        <f>[19]SAS_SA_2013_4T!$A$4</f>
        <v>1201868</v>
      </c>
      <c r="BK7" s="8">
        <f>[19]SAS_SA_2013_4T!$A$14</f>
        <v>545658</v>
      </c>
      <c r="BL7" s="9">
        <f>[19]SAS_SA_2013_4T!$A$24</f>
        <v>1747526</v>
      </c>
      <c r="BM7" s="7">
        <f>[20]SAS_SA_2014_1T!$A$4</f>
        <v>1200903</v>
      </c>
      <c r="BN7" s="8">
        <f>[20]SAS_SA_2014_1T!$A$14</f>
        <v>547761</v>
      </c>
      <c r="BO7" s="9">
        <f>[20]SAS_SA_2014_1T!$A$24</f>
        <v>1748664</v>
      </c>
      <c r="BP7" s="7">
        <f>[21]SAS_SA_2014_2T!$A$4</f>
        <v>1198949</v>
      </c>
      <c r="BQ7" s="8">
        <f>[21]SAS_SA_2014_2T!$A$14</f>
        <v>550498</v>
      </c>
      <c r="BR7" s="9">
        <f>[21]SAS_SA_2014_2T!$A$24</f>
        <v>1749447</v>
      </c>
      <c r="BS7" s="7">
        <f>[22]SAS_SA_2014_3T!$A$4</f>
        <v>1199545</v>
      </c>
      <c r="BT7" s="8">
        <f>[22]SAS_SA_2014_3T!$A$14</f>
        <v>555053</v>
      </c>
      <c r="BU7" s="9">
        <f>[22]SAS_SA_2014_3T!$A$24</f>
        <v>1754598</v>
      </c>
      <c r="BV7" s="7">
        <f>[23]SAS_SA_2014_4T!$A$4</f>
        <v>1200406</v>
      </c>
      <c r="BW7" s="8">
        <f>[23]SAS_SA_2014_4T!$A$14</f>
        <v>559461</v>
      </c>
      <c r="BX7" s="9">
        <f>[23]SAS_SA_2014_4T!$A$24</f>
        <v>1759867</v>
      </c>
      <c r="BY7" s="7">
        <f>[24]SAS_SA_2015_1T!$A$4</f>
        <v>1201690</v>
      </c>
      <c r="BZ7" s="8">
        <f>[24]SAS_SA_2015_1T!$A$14</f>
        <v>564648</v>
      </c>
      <c r="CA7" s="9">
        <f>[24]SAS_SA_2015_1T!$A$24</f>
        <v>1766338</v>
      </c>
      <c r="CB7" s="7">
        <f>[25]SAS_SA_2015_2T!$A$4</f>
        <v>1198151</v>
      </c>
      <c r="CC7" s="8">
        <f>[25]SAS_SA_2015_2T!$A$14</f>
        <v>566372</v>
      </c>
      <c r="CD7" s="9">
        <f>[25]SAS_SA_2015_2T!$A$24</f>
        <v>1764523</v>
      </c>
      <c r="CE7" s="7">
        <f>[26]SAS_SA_2015_3T!$A$4</f>
        <v>1196597</v>
      </c>
      <c r="CF7" s="8">
        <f>[26]SAS_SA_2015_3T!$A$14</f>
        <v>568599</v>
      </c>
      <c r="CG7" s="9">
        <f>[26]SAS_SA_2015_3T!$A$24</f>
        <v>1765196</v>
      </c>
      <c r="CH7" s="7">
        <f>[27]SAS_SA_2015_4T!$A$4</f>
        <v>1195587</v>
      </c>
      <c r="CI7" s="8">
        <f>[27]SAS_SA_2015_4T!$A$14</f>
        <v>572027</v>
      </c>
      <c r="CJ7" s="9">
        <f>[27]SAS_SA_2015_4T!$A$24</f>
        <v>1767614</v>
      </c>
      <c r="CK7" s="7">
        <f>[28]SAS_SA_2016_1T!$A$4</f>
        <v>1197316</v>
      </c>
      <c r="CL7" s="8">
        <f>[28]SAS_SA_2016_1T!$A$14</f>
        <v>577666</v>
      </c>
      <c r="CM7" s="9">
        <f>[28]SAS_SA_2016_1T!$A$24</f>
        <v>1774982</v>
      </c>
      <c r="CN7" s="7">
        <f>'[29]160822-11H12S04-PROGRAM-TdB_STO'!$A$4</f>
        <v>1196694</v>
      </c>
      <c r="CO7" s="8">
        <f>'[29]160822-11H12S04-PROGRAM-TdB_STO'!$A$14</f>
        <v>581715</v>
      </c>
      <c r="CP7" s="9">
        <f>'[29]160822-11H12S04-PROGRAM-TdB_STO'!$A$24</f>
        <v>1778409</v>
      </c>
      <c r="CQ7" s="132">
        <f>[30]SAS_SA_2016_3T!$A$4</f>
        <v>1197125</v>
      </c>
      <c r="CR7" s="133">
        <f>[30]SAS_SA_2016_3T!$A$14</f>
        <v>585983</v>
      </c>
      <c r="CS7" s="134">
        <f>[30]SAS_SA_2016_3T!$A$24</f>
        <v>1783108</v>
      </c>
      <c r="CT7" s="132">
        <f>[31]SAS_SA_2016_4T!$A$4</f>
        <v>1194864</v>
      </c>
      <c r="CU7" s="133">
        <f>[31]SAS_SA_2016_4T!$A$14</f>
        <v>586824</v>
      </c>
      <c r="CV7" s="134">
        <f>[31]SAS_SA_2016_4T!$A$24</f>
        <v>1781688</v>
      </c>
      <c r="CW7" s="132">
        <f>[32]SAS_SA_2017_1T!$A$4</f>
        <v>1192562</v>
      </c>
      <c r="CX7" s="133">
        <f>[32]SAS_SA_2017_1T!$A$14</f>
        <v>589076</v>
      </c>
      <c r="CY7" s="134">
        <f>[32]SAS_SA_2017_1T!$A$24</f>
        <v>1781638</v>
      </c>
      <c r="CZ7" s="132">
        <f>[33]SAS_SA_2017_2T!$A$4</f>
        <v>1192271</v>
      </c>
      <c r="DA7" s="133">
        <f>[33]SAS_SA_2017_2T!$A$14</f>
        <v>592899</v>
      </c>
      <c r="DB7" s="134">
        <f>[33]SAS_SA_2017_2T!$A$24</f>
        <v>1785170</v>
      </c>
      <c r="DC7" s="132">
        <f>[34]SAS_SA_2017_3T!$A$4</f>
        <v>1189037</v>
      </c>
      <c r="DD7" s="133">
        <f>[34]SAS_SA_2017_3T!$A$14</f>
        <v>594387</v>
      </c>
      <c r="DE7" s="134">
        <f>[34]SAS_SA_2017_3T!$A$24</f>
        <v>1783424</v>
      </c>
      <c r="DF7" s="132">
        <f>[35]SAS_SA_2017_4T!$A$4</f>
        <v>1185096</v>
      </c>
      <c r="DG7" s="133">
        <f>[35]SAS_SA_2017_4T!$A$14</f>
        <v>594776</v>
      </c>
      <c r="DH7" s="134">
        <f>[35]SAS_SA_2017_4T!$A$24</f>
        <v>1779872</v>
      </c>
      <c r="DI7" s="132">
        <f>[36]SAS_SA_2018_1T!$A$4</f>
        <v>1179119</v>
      </c>
      <c r="DJ7" s="133">
        <f>[36]SAS_SA_2018_1T!$A$14</f>
        <v>594643</v>
      </c>
      <c r="DK7" s="134">
        <f>[36]SAS_SA_2018_1T!$A$24</f>
        <v>1773762</v>
      </c>
      <c r="DL7" s="132">
        <f>[37]SAS_SA_2018_2T!$A$4</f>
        <v>1170677</v>
      </c>
      <c r="DM7" s="133">
        <f>[37]SAS_SA_2018_2T!$A$14</f>
        <v>593771</v>
      </c>
      <c r="DN7" s="134">
        <f>[37]SAS_SA_2018_2T!$A$24</f>
        <v>1764448</v>
      </c>
      <c r="DO7" s="132">
        <f>[38]SAS_SA_2018_3T!$A$4</f>
        <v>1165076</v>
      </c>
      <c r="DP7" s="133">
        <f>[38]SAS_SA_2018_3T!$A$14</f>
        <v>594198</v>
      </c>
      <c r="DQ7" s="183">
        <f>[38]SAS_SA_2018_3T!$A$24</f>
        <v>1759274</v>
      </c>
      <c r="DR7" s="132">
        <f>'[39]190227-14H32S38-PROGRAM-TdB_STO'!$A$4</f>
        <v>1160847</v>
      </c>
      <c r="DS7" s="133">
        <f>'[39]190227-14H32S38-PROGRAM-TdB_STO'!$A$14</f>
        <v>594029</v>
      </c>
      <c r="DT7" s="183">
        <f>'[39]190227-14H32S38-PROGRAM-TdB_STO'!$A$24</f>
        <v>1754876</v>
      </c>
      <c r="DU7" s="202">
        <f>[40]SAS_SA_2019_1T!$A$4</f>
        <v>1153128</v>
      </c>
      <c r="DV7" s="203">
        <f>[40]SAS_SA_2019_1T!$A$14</f>
        <v>593063</v>
      </c>
      <c r="DW7" s="204">
        <f>[40]SAS_SA_2019_1T!$A$24</f>
        <v>1746191</v>
      </c>
      <c r="DX7" s="202">
        <f>[41]SAS_SA_2019_2T!$A$4</f>
        <v>1144093</v>
      </c>
      <c r="DY7" s="203">
        <f>[41]SAS_SA_2019_2T!$A$14</f>
        <v>590605</v>
      </c>
      <c r="DZ7" s="204">
        <f>[41]SAS_SA_2019_2T!$A$24</f>
        <v>1734698</v>
      </c>
      <c r="EA7" s="202">
        <f>[42]SAS_SA_2019_3T!$A$4</f>
        <v>1135073</v>
      </c>
      <c r="EB7" s="203">
        <f>[42]SAS_SA_2019_3T!$A$14</f>
        <v>588646</v>
      </c>
      <c r="EC7" s="204">
        <f>[42]SAS_SA_2019_3T!$A$24</f>
        <v>1723719</v>
      </c>
      <c r="ED7" s="202">
        <f>[43]SAS_SA_2019_4T!$A$4</f>
        <v>1132327</v>
      </c>
      <c r="EE7" s="203">
        <f>[43]SAS_SA_2019_4T!$A$14</f>
        <v>590473</v>
      </c>
      <c r="EF7" s="204">
        <f>[43]SAS_SA_2019_4T!$A$24</f>
        <v>1722800</v>
      </c>
      <c r="EG7" s="202">
        <f>[44]SAS_SA_2020_1T!$A$13</f>
        <v>1126031</v>
      </c>
      <c r="EH7" s="203">
        <f>[44]SAS_SA_2020_1T!$A$21</f>
        <v>589920</v>
      </c>
      <c r="EI7" s="204">
        <f>[44]SAS_SA_2020_1T!$A$29</f>
        <v>1715951</v>
      </c>
      <c r="EJ7" s="202">
        <f>[45]SAS_SA_2020_2T!$A$13</f>
        <v>1116162</v>
      </c>
      <c r="EK7" s="203">
        <f>[45]SAS_SA_2020_2T!$A$21</f>
        <v>587970</v>
      </c>
      <c r="EL7" s="204">
        <f>[45]SAS_SA_2020_2T!$A$29</f>
        <v>1704132</v>
      </c>
      <c r="EM7" s="202">
        <f>[46]SAS_SA_2020_3T!$A$13</f>
        <v>1107893</v>
      </c>
      <c r="EN7" s="203">
        <f>[46]SAS_SA_2020_3T!$A$21</f>
        <v>586353</v>
      </c>
      <c r="EO7" s="204">
        <f>[46]SAS_SA_2020_3T!$A$29</f>
        <v>1694246</v>
      </c>
      <c r="EP7" s="202">
        <f>[47]SAS_SA_2020_4T!$A$13</f>
        <v>1097078</v>
      </c>
      <c r="EQ7" s="203">
        <f>[47]SAS_SA_2020_4T!$A$21</f>
        <v>583845</v>
      </c>
      <c r="ER7" s="204">
        <f>[47]SAS_SA_2020_4T!$A$29</f>
        <v>1680923</v>
      </c>
      <c r="ES7" s="202">
        <f>[48]SAS_SA_2021_1T!$A$13</f>
        <v>1087741</v>
      </c>
      <c r="ET7" s="203">
        <f>[48]SAS_SA_2021_1T!$A$21</f>
        <v>582575</v>
      </c>
      <c r="EU7" s="204">
        <f>[48]SAS_SA_2021_1T!$A$29</f>
        <v>1670316</v>
      </c>
      <c r="EV7" s="202">
        <f>[49]SAS_SA_2021_2T!$A$13</f>
        <v>1078308</v>
      </c>
      <c r="EW7" s="203">
        <f>[49]SAS_SA_2021_2T!$A$21</f>
        <v>580880</v>
      </c>
      <c r="EX7" s="204">
        <f>[49]SAS_SA_2021_2T!$A$29</f>
        <v>1659188</v>
      </c>
      <c r="EY7" s="202">
        <f>[50]SAS_SA_2021_3T!$A$13</f>
        <v>1071026</v>
      </c>
      <c r="EZ7" s="203">
        <f>[50]SAS_SA_2021_3T!$A$21</f>
        <v>579608</v>
      </c>
      <c r="FA7" s="204">
        <f>[50]SAS_SA_2021_3T!$A$29</f>
        <v>1650634</v>
      </c>
      <c r="FB7" s="202">
        <f>[51]SAS_SA_2021_4T!$A$9</f>
        <v>1064147</v>
      </c>
      <c r="FC7" s="203">
        <f>[51]SAS_SA_2021_4T!$A$14</f>
        <v>577638</v>
      </c>
      <c r="FD7" s="204">
        <f>[51]SAS_SA_2021_4T!$A$19</f>
        <v>1641785</v>
      </c>
      <c r="FE7" s="202">
        <f>[52]SAS_SA_2022_1T!$A$9</f>
        <v>1057122</v>
      </c>
      <c r="FF7" s="203">
        <f>[52]SAS_SA_2022_1T!$A$14</f>
        <v>576877</v>
      </c>
      <c r="FG7" s="204">
        <f>[52]SAS_SA_2022_1T!$A$19</f>
        <v>1633999</v>
      </c>
      <c r="FH7" s="202">
        <f>[53]SAS_SA_2022_2T!$A$9</f>
        <v>1049945</v>
      </c>
      <c r="FI7" s="203">
        <f>[53]SAS_SA_2022_2T!$A$14</f>
        <v>576126</v>
      </c>
      <c r="FJ7" s="204">
        <f>[53]SAS_SA_2022_2T!$A$19</f>
        <v>1626071</v>
      </c>
      <c r="FK7" s="202">
        <f>[54]SAS_SA_2022_3T!$A$9</f>
        <v>1043717</v>
      </c>
      <c r="FL7" s="203">
        <f>[54]SAS_SA_2022_3T!$A$14</f>
        <v>575294</v>
      </c>
      <c r="FM7" s="204">
        <f>[54]SAS_SA_2022_3T!$A$19</f>
        <v>1619011</v>
      </c>
      <c r="FN7" s="132">
        <f>[55]SAS_SA_2022_4T!$A$9</f>
        <v>1037432</v>
      </c>
      <c r="FO7" s="133">
        <f>[55]SAS_SA_2022_4T!$A$14</f>
        <v>573605</v>
      </c>
      <c r="FP7" s="134">
        <f>[55]SAS_SA_2022_4T!$A$19</f>
        <v>1611037</v>
      </c>
      <c r="FQ7" s="132">
        <f>[56]SAS_SA_2023_1T!$A$9</f>
        <v>1029763</v>
      </c>
      <c r="FR7" s="133">
        <f>[56]SAS_SA_2023_1T!$A$14</f>
        <v>572578</v>
      </c>
      <c r="FS7" s="134">
        <f>[56]SAS_SA_2023_1T!$A$19</f>
        <v>1602341</v>
      </c>
      <c r="FT7" s="132">
        <f>[57]SAS_SA_2023_2T!$A$9</f>
        <v>1023601</v>
      </c>
      <c r="FU7" s="133">
        <f>[57]SAS_SA_2023_2T!$A$14</f>
        <v>571674</v>
      </c>
      <c r="FV7" s="134">
        <f>[57]SAS_SA_2023_2T!$A$19</f>
        <v>1595275</v>
      </c>
      <c r="FW7" s="132">
        <f>[58]SAS_SA_2023_3T!$A$9</f>
        <v>1018555</v>
      </c>
      <c r="FX7" s="133">
        <f>[58]SAS_SA_2023_3T!$A$14</f>
        <v>571125</v>
      </c>
      <c r="FY7" s="134">
        <f>[58]SAS_SA_2023_3T!$A$19</f>
        <v>1589680</v>
      </c>
      <c r="FZ7" s="132">
        <f>[59]SAS_SA_2023_4T!$A$9</f>
        <v>1013469</v>
      </c>
      <c r="GA7" s="133">
        <f>[59]SAS_SA_2023_4T!$A$14</f>
        <v>569414</v>
      </c>
      <c r="GB7" s="134">
        <f>[59]SAS_SA_2023_4T!$A$19</f>
        <v>1582883</v>
      </c>
      <c r="GC7" s="132">
        <f>[60]SAS_SA_2024_1T!$A$9</f>
        <v>1005644</v>
      </c>
      <c r="GD7" s="133">
        <f>[60]SAS_SA_2024_1T!$A$14</f>
        <v>567851</v>
      </c>
      <c r="GE7" s="134">
        <f>[60]SAS_SA_2024_1T!$A$19</f>
        <v>1573495</v>
      </c>
      <c r="GF7" s="132">
        <f>[61]SAS_SA_2024_2T!$A$9</f>
        <v>998834</v>
      </c>
      <c r="GG7" s="133">
        <f>[61]SAS_SA_2024_2T!$A$14</f>
        <v>566860</v>
      </c>
      <c r="GH7" s="134">
        <f>[61]SAS_SA_2024_2T!$A$19</f>
        <v>1565694</v>
      </c>
      <c r="GI7" s="132">
        <f>[62]SAS_SA_2024_3T!$A$9</f>
        <v>993078</v>
      </c>
      <c r="GJ7" s="133">
        <f>[62]SAS_SA_2024_3T!$A$14</f>
        <v>566059</v>
      </c>
      <c r="GK7" s="134">
        <f>[62]SAS_SA_2024_3T!$A$19</f>
        <v>1559137</v>
      </c>
      <c r="GL7" s="132">
        <f>[63]SAS_SA_2024_4T!$A$9</f>
        <v>987157</v>
      </c>
      <c r="GM7" s="133">
        <f>[63]SAS_SA_2024_4T!$A$14</f>
        <v>564520</v>
      </c>
      <c r="GN7" s="134">
        <f>[63]SAS_SA_2024_4T!$A$19</f>
        <v>1551677</v>
      </c>
    </row>
    <row r="8" spans="1:196" x14ac:dyDescent="0.25">
      <c r="A8" s="39" t="s">
        <v>3</v>
      </c>
      <c r="B8" s="7">
        <f>[1]SAS_SA_4T2008!$B$4</f>
        <v>10395</v>
      </c>
      <c r="C8" s="8">
        <f>[1]SAS_SA_4T2008!$B$14</f>
        <v>556455</v>
      </c>
      <c r="D8" s="9">
        <f>[1]SAS_SA_4T2008!$B$24</f>
        <v>566850</v>
      </c>
      <c r="E8" s="7">
        <f>[2]SAS_SA_1T2009!$B$4</f>
        <v>10515</v>
      </c>
      <c r="F8" s="8">
        <f>[2]SAS_SA_1T2009!$B$14</f>
        <v>557077</v>
      </c>
      <c r="G8" s="9">
        <f>[2]SAS_SA_1T2009!$B$24</f>
        <v>567592</v>
      </c>
      <c r="H8" s="7">
        <f>[64]SAS_SA_2T2009!$B$4</f>
        <v>10718</v>
      </c>
      <c r="I8" s="8">
        <f>[64]SAS_SA_2T2009!$B$14</f>
        <v>558153</v>
      </c>
      <c r="J8" s="9">
        <f>[64]SAS_SA_2T2009!$B$24</f>
        <v>568871</v>
      </c>
      <c r="K8" s="7">
        <f>[3]SAS_SA_3T2009!$B$4</f>
        <v>10918</v>
      </c>
      <c r="L8" s="8">
        <f>[3]SAS_SA_3T2009!$B$14</f>
        <v>560702</v>
      </c>
      <c r="M8" s="9">
        <f>[3]SAS_SA_3T2009!$B$24</f>
        <v>571620</v>
      </c>
      <c r="N8" s="7">
        <f>[4]SAS_SA_4T2009!$B$4</f>
        <v>11115</v>
      </c>
      <c r="O8" s="8">
        <f>[4]SAS_SA_4T2009!$B$14</f>
        <v>563227</v>
      </c>
      <c r="P8" s="16">
        <f>[4]SAS_SA_4T2009!$B$24</f>
        <v>574342</v>
      </c>
      <c r="Q8" s="7">
        <f>[5]SAS_SA_1T2010!$B$4</f>
        <v>11275</v>
      </c>
      <c r="R8" s="8">
        <f>[5]SAS_SA_1T2010!$B$14</f>
        <v>564719</v>
      </c>
      <c r="S8" s="16">
        <f>[5]SAS_SA_1T2010!$B$24</f>
        <v>575994</v>
      </c>
      <c r="T8" s="7">
        <f>[65]SAS_SA_2T2010!$B$4</f>
        <v>11178</v>
      </c>
      <c r="U8" s="8">
        <f>[65]SAS_SA_2T2010!$B$14</f>
        <v>557446</v>
      </c>
      <c r="V8" s="16">
        <f>[65]SAS_SA_2T2010!$B$24</f>
        <v>568624</v>
      </c>
      <c r="W8" s="7">
        <f>[6]SAS_SA_3T2010!$B$4</f>
        <v>11295</v>
      </c>
      <c r="X8" s="8">
        <f>[6]SAS_SA_3T2010!$B$14</f>
        <v>557190</v>
      </c>
      <c r="Y8" s="16">
        <f>[6]SAS_SA_3T2010!$B$24</f>
        <v>568485</v>
      </c>
      <c r="Z8" s="7">
        <f>[7]SAS_SA_2010_4T!$B$4</f>
        <v>11722</v>
      </c>
      <c r="AA8" s="8">
        <f>[7]SAS_SA_2010_4T!$B$14</f>
        <v>567618</v>
      </c>
      <c r="AB8" s="9">
        <f>[7]SAS_SA_2010_4T!$B$24</f>
        <v>579340</v>
      </c>
      <c r="AC8" s="7">
        <f>[8]SAS_SA_2011_1T!$B$4</f>
        <v>11801</v>
      </c>
      <c r="AD8" s="8">
        <f>[8]SAS_SA_2011_1T!$B$14</f>
        <v>567804</v>
      </c>
      <c r="AE8" s="9">
        <f>[8]SAS_SA_2011_1T!$B$24</f>
        <v>579605</v>
      </c>
      <c r="AF8" s="7">
        <f>[9]SAS_SA_2011_2T!$B$4</f>
        <v>11949</v>
      </c>
      <c r="AG8" s="8">
        <f>[9]SAS_SA_2011_2T!$B$14</f>
        <v>568456</v>
      </c>
      <c r="AH8" s="9">
        <f>[9]SAS_SA_2011_2T!$B$24</f>
        <v>580405</v>
      </c>
      <c r="AI8" s="7">
        <f>[10]SAS_SA_2011_3T!$B$4</f>
        <v>12180</v>
      </c>
      <c r="AJ8" s="8">
        <f>[10]SAS_SA_2011_3T!$B$14</f>
        <v>569847</v>
      </c>
      <c r="AK8" s="9">
        <f>[10]SAS_SA_2011_3T!$B$24</f>
        <v>582027</v>
      </c>
      <c r="AL8" s="7">
        <f>[11]SAS_SA_2011_4T!$B$4</f>
        <v>12340</v>
      </c>
      <c r="AM8" s="8">
        <f>[11]SAS_SA_2011_4T!$B$14</f>
        <v>571805</v>
      </c>
      <c r="AN8" s="9">
        <f>[11]SAS_SA_2011_4T!$B$24</f>
        <v>584145</v>
      </c>
      <c r="AO8" s="7">
        <f>'[12]120612-17H07S59-PROGRAM-TdB_STO'!$B$4</f>
        <v>12485</v>
      </c>
      <c r="AP8" s="8">
        <f>'[12]120612-17H07S59-PROGRAM-TdB_STO'!$B$14</f>
        <v>572122</v>
      </c>
      <c r="AQ8" s="9">
        <f>'[12]120612-17H07S59-PROGRAM-TdB_STO'!$B$24</f>
        <v>584607</v>
      </c>
      <c r="AR8" s="7">
        <f>[13]SAS_SA_2012_2T!$B$4</f>
        <v>12587</v>
      </c>
      <c r="AS8" s="8">
        <f>[13]SAS_SA_2012_2T!$B$14</f>
        <v>571665</v>
      </c>
      <c r="AT8" s="9">
        <f>[13]SAS_SA_2012_2T!$B$24</f>
        <v>584252</v>
      </c>
      <c r="AU8" s="7">
        <f>'[14]121105-09H31S06-PROGRAM-TdB_STO'!$B$4</f>
        <v>12743</v>
      </c>
      <c r="AV8" s="8">
        <f>'[14]121105-09H31S06-PROGRAM-TdB_STO'!$B$14</f>
        <v>572765</v>
      </c>
      <c r="AW8" s="9">
        <f>'[14]121105-09H31S06-PROGRAM-TdB_STO'!$B$24</f>
        <v>585508</v>
      </c>
      <c r="AX8" s="7">
        <f>[15]SAS_SA_2012_4T!$B$4</f>
        <v>12894</v>
      </c>
      <c r="AY8" s="8">
        <f>[15]SAS_SA_2012_4T!$B$14</f>
        <v>573664</v>
      </c>
      <c r="AZ8" s="9">
        <f>[15]SAS_SA_2012_4T!$B$24</f>
        <v>586558</v>
      </c>
      <c r="BA8" s="7">
        <f>[16]SAS_SA_2013_1T!$B$4</f>
        <v>13030</v>
      </c>
      <c r="BB8" s="8">
        <f>[16]SAS_SA_2013_1T!$B$14</f>
        <v>572217</v>
      </c>
      <c r="BC8" s="9">
        <f>[16]SAS_SA_2013_1T!$B$24</f>
        <v>585247</v>
      </c>
      <c r="BD8" s="7">
        <f>[17]SAS_SA_2013_2T!$B$4</f>
        <v>13105</v>
      </c>
      <c r="BE8" s="8">
        <f>[17]SAS_SA_2013_2T!$B$14</f>
        <v>570890</v>
      </c>
      <c r="BF8" s="9">
        <f>[17]SAS_SA_2013_2T!$B$24</f>
        <v>583995</v>
      </c>
      <c r="BG8" s="7">
        <f>[18]SAS_SA_2013_3T!$B$4</f>
        <v>13238</v>
      </c>
      <c r="BH8" s="8">
        <f>[18]SAS_SA_2013_3T!$B$14</f>
        <v>570980</v>
      </c>
      <c r="BI8" s="9">
        <f>[18]SAS_SA_2013_3T!$B$24</f>
        <v>584218</v>
      </c>
      <c r="BJ8" s="7">
        <f>[19]SAS_SA_2013_4T!$B$4</f>
        <v>13446</v>
      </c>
      <c r="BK8" s="8">
        <f>[19]SAS_SA_2013_4T!$B$14</f>
        <v>572477</v>
      </c>
      <c r="BL8" s="9">
        <f>[19]SAS_SA_2013_4T!$B$24</f>
        <v>585923</v>
      </c>
      <c r="BM8" s="7">
        <f>[20]SAS_SA_2014_1T!$B$4</f>
        <v>13659</v>
      </c>
      <c r="BN8" s="8">
        <f>[20]SAS_SA_2014_1T!$B$14</f>
        <v>572468</v>
      </c>
      <c r="BO8" s="9">
        <f>[20]SAS_SA_2014_1T!$B$24</f>
        <v>586127</v>
      </c>
      <c r="BP8" s="7">
        <f>[21]SAS_SA_2014_2T!$B$4</f>
        <v>13745</v>
      </c>
      <c r="BQ8" s="8">
        <f>[21]SAS_SA_2014_2T!$B$14</f>
        <v>570668</v>
      </c>
      <c r="BR8" s="9">
        <f>[21]SAS_SA_2014_2T!$B$24</f>
        <v>584413</v>
      </c>
      <c r="BS8" s="7">
        <f>[22]SAS_SA_2014_3T!$B$4</f>
        <v>13784</v>
      </c>
      <c r="BT8" s="8">
        <f>[22]SAS_SA_2014_3T!$B$14</f>
        <v>569716</v>
      </c>
      <c r="BU8" s="9">
        <f>[22]SAS_SA_2014_3T!$B$24</f>
        <v>583500</v>
      </c>
      <c r="BV8" s="7">
        <f>[23]SAS_SA_2014_4T!$B$4</f>
        <v>13912</v>
      </c>
      <c r="BW8" s="8">
        <f>[23]SAS_SA_2014_4T!$B$14</f>
        <v>569585</v>
      </c>
      <c r="BX8" s="9">
        <f>[23]SAS_SA_2014_4T!$B$24</f>
        <v>583497</v>
      </c>
      <c r="BY8" s="7">
        <f>[24]SAS_SA_2015_1T!$B$4</f>
        <v>13971</v>
      </c>
      <c r="BZ8" s="8">
        <f>[24]SAS_SA_2015_1T!$B$14</f>
        <v>568087</v>
      </c>
      <c r="CA8" s="9">
        <f>[24]SAS_SA_2015_1T!$B$24</f>
        <v>582058</v>
      </c>
      <c r="CB8" s="7">
        <f>[25]SAS_SA_2015_2T!$B$4</f>
        <v>14086</v>
      </c>
      <c r="CC8" s="8">
        <f>[25]SAS_SA_2015_2T!$B$14</f>
        <v>566654</v>
      </c>
      <c r="CD8" s="9">
        <f>[25]SAS_SA_2015_2T!$B$24</f>
        <v>580740</v>
      </c>
      <c r="CE8" s="7">
        <f>[26]SAS_SA_2015_3T!$B$4</f>
        <v>14304</v>
      </c>
      <c r="CF8" s="8">
        <f>[26]SAS_SA_2015_3T!$B$14</f>
        <v>566886</v>
      </c>
      <c r="CG8" s="9">
        <f>[26]SAS_SA_2015_3T!$B$24</f>
        <v>581190</v>
      </c>
      <c r="CH8" s="7">
        <f>[27]SAS_SA_2015_4T!$B$4</f>
        <v>14451</v>
      </c>
      <c r="CI8" s="8">
        <f>[27]SAS_SA_2015_4T!$B$14</f>
        <v>567126</v>
      </c>
      <c r="CJ8" s="9">
        <f>[27]SAS_SA_2015_4T!$B$24</f>
        <v>581577</v>
      </c>
      <c r="CK8" s="7">
        <f>[28]SAS_SA_2016_1T!$B$4</f>
        <v>14631</v>
      </c>
      <c r="CL8" s="8">
        <f>[28]SAS_SA_2016_1T!$B$14</f>
        <v>566477</v>
      </c>
      <c r="CM8" s="9">
        <f>[28]SAS_SA_2016_1T!$B$24</f>
        <v>581108</v>
      </c>
      <c r="CN8" s="7">
        <f>'[29]160822-11H12S04-PROGRAM-TdB_STO'!$B$4</f>
        <v>14711</v>
      </c>
      <c r="CO8" s="8">
        <f>'[29]160822-11H12S04-PROGRAM-TdB_STO'!$B$14</f>
        <v>565057</v>
      </c>
      <c r="CP8" s="9">
        <f>'[29]160822-11H12S04-PROGRAM-TdB_STO'!$B$24</f>
        <v>579768</v>
      </c>
      <c r="CQ8" s="132">
        <f>[30]SAS_SA_2016_3T!$B$4</f>
        <v>14877</v>
      </c>
      <c r="CR8" s="133">
        <f>[30]SAS_SA_2016_3T!$B$14</f>
        <v>564688</v>
      </c>
      <c r="CS8" s="134">
        <f>[30]SAS_SA_2016_3T!$B$24</f>
        <v>579565</v>
      </c>
      <c r="CT8" s="132">
        <f>[31]SAS_SA_2016_4T!$B$4</f>
        <v>15092</v>
      </c>
      <c r="CU8" s="133">
        <f>[31]SAS_SA_2016_4T!$B$14</f>
        <v>565142</v>
      </c>
      <c r="CV8" s="134">
        <f>[31]SAS_SA_2016_4T!$B$24</f>
        <v>580234</v>
      </c>
      <c r="CW8" s="132">
        <f>[32]SAS_SA_2017_1T!$B$4</f>
        <v>15213</v>
      </c>
      <c r="CX8" s="133">
        <f>[32]SAS_SA_2017_1T!$B$14</f>
        <v>563029</v>
      </c>
      <c r="CY8" s="134">
        <f>[32]SAS_SA_2017_1T!$B$24</f>
        <v>578242</v>
      </c>
      <c r="CZ8" s="132">
        <f>[33]SAS_SA_2017_2T!$B$4</f>
        <v>15305</v>
      </c>
      <c r="DA8" s="133">
        <f>[33]SAS_SA_2017_2T!$B$14</f>
        <v>560811</v>
      </c>
      <c r="DB8" s="134">
        <f>[33]SAS_SA_2017_2T!$B$24</f>
        <v>576116</v>
      </c>
      <c r="DC8" s="132">
        <f>[34]SAS_SA_2017_3T!$B$4</f>
        <v>15435</v>
      </c>
      <c r="DD8" s="133">
        <f>[34]SAS_SA_2017_3T!$B$14</f>
        <v>559164</v>
      </c>
      <c r="DE8" s="134">
        <f>[34]SAS_SA_2017_3T!$B$24</f>
        <v>574599</v>
      </c>
      <c r="DF8" s="132">
        <f>[35]SAS_SA_2017_4T!$B$4</f>
        <v>15633</v>
      </c>
      <c r="DG8" s="133">
        <f>[35]SAS_SA_2017_4T!$B$14</f>
        <v>558875</v>
      </c>
      <c r="DH8" s="134">
        <f>[35]SAS_SA_2017_4T!$B$24</f>
        <v>574508</v>
      </c>
      <c r="DI8" s="132">
        <f>[36]SAS_SA_2018_1T!$B$4</f>
        <v>15621</v>
      </c>
      <c r="DJ8" s="133">
        <f>[36]SAS_SA_2018_1T!$B$14</f>
        <v>555775</v>
      </c>
      <c r="DK8" s="134">
        <f>[36]SAS_SA_2018_1T!$B$24</f>
        <v>571396</v>
      </c>
      <c r="DL8" s="132">
        <f>[37]SAS_SA_2018_2T!$B$4</f>
        <v>15660</v>
      </c>
      <c r="DM8" s="133">
        <f>[37]SAS_SA_2018_2T!$B$14</f>
        <v>551916</v>
      </c>
      <c r="DN8" s="134">
        <f>[37]SAS_SA_2018_2T!$B$24</f>
        <v>567576</v>
      </c>
      <c r="DO8" s="132">
        <f>[38]SAS_SA_2018_3T!$B$4</f>
        <v>15738</v>
      </c>
      <c r="DP8" s="196">
        <f>[38]SAS_SA_2018_3T!$B$14</f>
        <v>550462</v>
      </c>
      <c r="DQ8" s="183">
        <f>[38]SAS_SA_2018_3T!$B$24</f>
        <v>566200</v>
      </c>
      <c r="DR8" s="132">
        <f>'[39]190227-14H32S38-PROGRAM-TdB_STO'!$B$4</f>
        <v>15879</v>
      </c>
      <c r="DS8" s="196">
        <f>'[39]190227-14H32S38-PROGRAM-TdB_STO'!$B$14</f>
        <v>550111</v>
      </c>
      <c r="DT8" s="183">
        <f>'[39]190227-14H32S38-PROGRAM-TdB_STO'!$B$24</f>
        <v>565990</v>
      </c>
      <c r="DU8" s="202">
        <f>[40]SAS_SA_2019_1T!$B$4</f>
        <v>15978</v>
      </c>
      <c r="DV8" s="203">
        <f>[40]SAS_SA_2019_1T!$B$14</f>
        <v>547744</v>
      </c>
      <c r="DW8" s="204">
        <f>[40]SAS_SA_2019_1T!$B$24</f>
        <v>563722</v>
      </c>
      <c r="DX8" s="202">
        <f>[41]SAS_SA_2019_2T!$B$4</f>
        <v>15931</v>
      </c>
      <c r="DY8" s="203">
        <f>[41]SAS_SA_2019_2T!$B$14</f>
        <v>544499</v>
      </c>
      <c r="DZ8" s="204">
        <f>[41]SAS_SA_2019_2T!$B$24</f>
        <v>560430</v>
      </c>
      <c r="EA8" s="202">
        <f>[42]SAS_SA_2019_3T!$B$4</f>
        <v>15898</v>
      </c>
      <c r="EB8" s="203">
        <f>[42]SAS_SA_2019_3T!$B$14</f>
        <v>541518</v>
      </c>
      <c r="EC8" s="204">
        <f>[42]SAS_SA_2019_3T!$B$24</f>
        <v>557416</v>
      </c>
      <c r="ED8" s="202">
        <f>[43]SAS_SA_2019_4T!$B$4</f>
        <v>16219</v>
      </c>
      <c r="EE8" s="203">
        <f>[43]SAS_SA_2019_4T!$B$14</f>
        <v>542439</v>
      </c>
      <c r="EF8" s="204">
        <f>[43]SAS_SA_2019_4T!$B$24</f>
        <v>558658</v>
      </c>
      <c r="EG8" s="202">
        <f>[44]SAS_SA_2020_1T!$B$13</f>
        <v>16280</v>
      </c>
      <c r="EH8" s="203">
        <f>[44]SAS_SA_2020_1T!$B$21</f>
        <v>539776</v>
      </c>
      <c r="EI8" s="204">
        <f>[44]SAS_SA_2020_1T!$B$29</f>
        <v>556056</v>
      </c>
      <c r="EJ8" s="202">
        <f>[45]SAS_SA_2020_2T!$B$13</f>
        <v>16316</v>
      </c>
      <c r="EK8" s="203">
        <f>[45]SAS_SA_2020_2T!$B$21</f>
        <v>535982</v>
      </c>
      <c r="EL8" s="204">
        <f>[45]SAS_SA_2020_2T!$B$29</f>
        <v>552298</v>
      </c>
      <c r="EM8" s="202">
        <f>[46]SAS_SA_2020_3T!$B$13</f>
        <v>16324</v>
      </c>
      <c r="EN8" s="203">
        <f>[46]SAS_SA_2020_3T!$B$21</f>
        <v>532443</v>
      </c>
      <c r="EO8" s="204">
        <f>[46]SAS_SA_2020_3T!$B$29</f>
        <v>548767</v>
      </c>
      <c r="EP8" s="202">
        <f>[47]SAS_SA_2020_4T!$B$13</f>
        <v>16404</v>
      </c>
      <c r="EQ8" s="203">
        <f>[47]SAS_SA_2020_4T!$B$21</f>
        <v>528707</v>
      </c>
      <c r="ER8" s="204">
        <f>[47]SAS_SA_2020_4T!$B$29</f>
        <v>545111</v>
      </c>
      <c r="ES8" s="202">
        <f>[48]SAS_SA_2021_1T!$B$13</f>
        <v>16391</v>
      </c>
      <c r="ET8" s="203">
        <f>[48]SAS_SA_2021_1T!$B$21</f>
        <v>524433</v>
      </c>
      <c r="EU8" s="204">
        <f>[48]SAS_SA_2021_1T!$B$29</f>
        <v>540824</v>
      </c>
      <c r="EV8" s="202">
        <f>[49]SAS_SA_2021_2T!$B$13</f>
        <v>16394</v>
      </c>
      <c r="EW8" s="203">
        <f>[49]SAS_SA_2021_2T!$B$21</f>
        <v>521583</v>
      </c>
      <c r="EX8" s="204">
        <f>[49]SAS_SA_2021_2T!$B$29</f>
        <v>537977</v>
      </c>
      <c r="EY8" s="202">
        <f>[50]SAS_SA_2021_3T!$B$13</f>
        <v>16494</v>
      </c>
      <c r="EZ8" s="203">
        <f>[50]SAS_SA_2021_3T!$B$21</f>
        <v>520112</v>
      </c>
      <c r="FA8" s="204">
        <f>[50]SAS_SA_2021_3T!$B$29</f>
        <v>536606</v>
      </c>
      <c r="FB8" s="202">
        <f>[51]SAS_SA_2021_4T!$B$9</f>
        <v>16578</v>
      </c>
      <c r="FC8" s="203">
        <f>[51]SAS_SA_2021_4T!$B$14</f>
        <v>518117</v>
      </c>
      <c r="FD8" s="204">
        <f>[51]SAS_SA_2021_4T!$B$19</f>
        <v>534695</v>
      </c>
      <c r="FE8" s="202">
        <f>[52]SAS_SA_2022_1T!$B$9</f>
        <v>16622</v>
      </c>
      <c r="FF8" s="203">
        <f>[52]SAS_SA_2022_1T!$B$14</f>
        <v>514583</v>
      </c>
      <c r="FG8" s="204">
        <f>[52]SAS_SA_2022_1T!$B$19</f>
        <v>531205</v>
      </c>
      <c r="FH8" s="202">
        <f>[53]SAS_SA_2022_2T!$B$9</f>
        <v>16626</v>
      </c>
      <c r="FI8" s="203">
        <f>[53]SAS_SA_2022_2T!$B$14</f>
        <v>511138</v>
      </c>
      <c r="FJ8" s="204">
        <f>[53]SAS_SA_2022_2T!$B$19</f>
        <v>527764</v>
      </c>
      <c r="FK8" s="202">
        <f>[54]SAS_SA_2022_3T!$B$9</f>
        <v>16639</v>
      </c>
      <c r="FL8" s="203">
        <f>[54]SAS_SA_2022_3T!$B$14</f>
        <v>508336</v>
      </c>
      <c r="FM8" s="204">
        <f>[54]SAS_SA_2022_3T!$B$19</f>
        <v>524975</v>
      </c>
      <c r="FN8" s="132">
        <f>[55]SAS_SA_2022_4T!$B$9</f>
        <v>16686</v>
      </c>
      <c r="FO8" s="133">
        <f>[55]SAS_SA_2022_4T!$B$14</f>
        <v>505494</v>
      </c>
      <c r="FP8" s="134">
        <f>[55]SAS_SA_2022_4T!$B$19</f>
        <v>522180</v>
      </c>
      <c r="FQ8" s="132">
        <f>[56]SAS_SA_2023_1T!$B$9</f>
        <v>16718</v>
      </c>
      <c r="FR8" s="133">
        <f>[56]SAS_SA_2023_1T!$B$14</f>
        <v>501847</v>
      </c>
      <c r="FS8" s="134">
        <f>[56]SAS_SA_2023_1T!$B$19</f>
        <v>518565</v>
      </c>
      <c r="FT8" s="132">
        <f>[57]SAS_SA_2023_2T!$B$9</f>
        <v>16771</v>
      </c>
      <c r="FU8" s="133">
        <f>[57]SAS_SA_2023_2T!$B$14</f>
        <v>499078</v>
      </c>
      <c r="FV8" s="134">
        <f>[57]SAS_SA_2023_2T!$B$19</f>
        <v>515849</v>
      </c>
      <c r="FW8" s="132">
        <f>[58]SAS_SA_2023_3T!$B$9</f>
        <v>16898</v>
      </c>
      <c r="FX8" s="133">
        <f>[58]SAS_SA_2023_3T!$B$14</f>
        <v>497392</v>
      </c>
      <c r="FY8" s="134">
        <f>[58]SAS_SA_2023_3T!$B$19</f>
        <v>514290</v>
      </c>
      <c r="FZ8" s="132">
        <f>[59]SAS_SA_2023_4T!$B$9</f>
        <v>17094</v>
      </c>
      <c r="GA8" s="133">
        <f>[59]SAS_SA_2023_4T!$B$14</f>
        <v>497135</v>
      </c>
      <c r="GB8" s="134">
        <f>[59]SAS_SA_2023_4T!$B$19</f>
        <v>514229</v>
      </c>
      <c r="GC8" s="132">
        <f>[60]SAS_SA_2024_1T!$B$9</f>
        <v>17015</v>
      </c>
      <c r="GD8" s="133">
        <f>[60]SAS_SA_2024_1T!$B$14</f>
        <v>492844</v>
      </c>
      <c r="GE8" s="134">
        <f>[60]SAS_SA_2024_1T!$B$19</f>
        <v>509859</v>
      </c>
      <c r="GF8" s="132">
        <f>[61]SAS_SA_2024_2T!$B$9</f>
        <v>16967</v>
      </c>
      <c r="GG8" s="133">
        <f>[61]SAS_SA_2024_2T!$B$14</f>
        <v>489151</v>
      </c>
      <c r="GH8" s="134">
        <f>[61]SAS_SA_2024_2T!$B$19</f>
        <v>506118</v>
      </c>
      <c r="GI8" s="132">
        <f>[62]SAS_SA_2024_3T!$B$9</f>
        <v>17006</v>
      </c>
      <c r="GJ8" s="133">
        <f>[62]SAS_SA_2024_3T!$B$14</f>
        <v>486161</v>
      </c>
      <c r="GK8" s="134">
        <f>[62]SAS_SA_2024_3T!$B$19</f>
        <v>503167</v>
      </c>
      <c r="GL8" s="132">
        <f>[63]SAS_SA_2024_4T!$B$9</f>
        <v>17092</v>
      </c>
      <c r="GM8" s="133">
        <f>[63]SAS_SA_2024_4T!$B$14</f>
        <v>484255</v>
      </c>
      <c r="GN8" s="134">
        <f>[63]SAS_SA_2024_4T!$B$19</f>
        <v>501347</v>
      </c>
    </row>
    <row r="9" spans="1:196" x14ac:dyDescent="0.25">
      <c r="A9" s="39" t="s">
        <v>4</v>
      </c>
      <c r="B9" s="7">
        <f>[1]SAS_SA_4T2008!$C$4</f>
        <v>15761</v>
      </c>
      <c r="C9" s="8">
        <f>[1]SAS_SA_4T2008!$C$14</f>
        <v>145947</v>
      </c>
      <c r="D9" s="9">
        <f>[1]SAS_SA_4T2008!$C$24</f>
        <v>161708</v>
      </c>
      <c r="E9" s="7">
        <f>[2]SAS_SA_1T2009!$C$4</f>
        <v>15829</v>
      </c>
      <c r="F9" s="8">
        <f>[2]SAS_SA_1T2009!$C$14</f>
        <v>145843</v>
      </c>
      <c r="G9" s="9">
        <f>[2]SAS_SA_1T2009!$C$24</f>
        <v>161672</v>
      </c>
      <c r="H9" s="7">
        <f>[64]SAS_SA_2T2009!$C$4</f>
        <v>15956</v>
      </c>
      <c r="I9" s="8">
        <f>[64]SAS_SA_2T2009!$C$14</f>
        <v>145903</v>
      </c>
      <c r="J9" s="9">
        <f>[64]SAS_SA_2T2009!$C$24</f>
        <v>161859</v>
      </c>
      <c r="K9" s="7">
        <f>[3]SAS_SA_3T2009!$C$4</f>
        <v>16219</v>
      </c>
      <c r="L9" s="8">
        <f>[3]SAS_SA_3T2009!$C$14</f>
        <v>146461</v>
      </c>
      <c r="M9" s="9">
        <f>[3]SAS_SA_3T2009!$C$24</f>
        <v>162680</v>
      </c>
      <c r="N9" s="7">
        <f>[4]SAS_SA_4T2009!$C$4</f>
        <v>16359</v>
      </c>
      <c r="O9" s="8">
        <f>[4]SAS_SA_4T2009!$C$14</f>
        <v>146824</v>
      </c>
      <c r="P9" s="16">
        <f>[4]SAS_SA_4T2009!$C$24</f>
        <v>163183</v>
      </c>
      <c r="Q9" s="7">
        <f>[5]SAS_SA_1T2010!$C$4</f>
        <v>16503</v>
      </c>
      <c r="R9" s="8">
        <f>[5]SAS_SA_1T2010!$C$14</f>
        <v>146865</v>
      </c>
      <c r="S9" s="16">
        <f>[5]SAS_SA_1T2010!$C$24</f>
        <v>163368</v>
      </c>
      <c r="T9" s="7">
        <f>[65]SAS_SA_2T2010!$C$4</f>
        <v>16550</v>
      </c>
      <c r="U9" s="8">
        <f>[65]SAS_SA_2T2010!$C$14</f>
        <v>146690</v>
      </c>
      <c r="V9" s="16">
        <f>[65]SAS_SA_2T2010!$C$24</f>
        <v>163240</v>
      </c>
      <c r="W9" s="7">
        <f>[6]SAS_SA_3T2010!$C$4</f>
        <v>16625</v>
      </c>
      <c r="X9" s="8">
        <f>[6]SAS_SA_3T2010!$C$14</f>
        <v>146843</v>
      </c>
      <c r="Y9" s="16">
        <f>[6]SAS_SA_3T2010!$C$24</f>
        <v>163468</v>
      </c>
      <c r="Z9" s="7">
        <f>[7]SAS_SA_2010_4T!$C$4</f>
        <v>16767</v>
      </c>
      <c r="AA9" s="8">
        <f>[7]SAS_SA_2010_4T!$C$14</f>
        <v>146869</v>
      </c>
      <c r="AB9" s="9">
        <f>[7]SAS_SA_2010_4T!$C$24</f>
        <v>163636</v>
      </c>
      <c r="AC9" s="7">
        <f>[8]SAS_SA_2011_1T!$C$4</f>
        <v>16886</v>
      </c>
      <c r="AD9" s="8">
        <f>[8]SAS_SA_2011_1T!$C$14</f>
        <v>146811</v>
      </c>
      <c r="AE9" s="9">
        <f>[8]SAS_SA_2011_1T!$C$24</f>
        <v>163697</v>
      </c>
      <c r="AF9" s="7">
        <f>[9]SAS_SA_2011_2T!$C$4</f>
        <v>17006</v>
      </c>
      <c r="AG9" s="8">
        <f>[9]SAS_SA_2011_2T!$C$14</f>
        <v>146674</v>
      </c>
      <c r="AH9" s="9">
        <f>[9]SAS_SA_2011_2T!$C$24</f>
        <v>163680</v>
      </c>
      <c r="AI9" s="7">
        <f>[10]SAS_SA_2011_3T!$C$4</f>
        <v>17084</v>
      </c>
      <c r="AJ9" s="8">
        <f>[10]SAS_SA_2011_3T!$C$14</f>
        <v>146837</v>
      </c>
      <c r="AK9" s="9">
        <f>[10]SAS_SA_2011_3T!$C$24</f>
        <v>163921</v>
      </c>
      <c r="AL9" s="7">
        <f>[11]SAS_SA_2011_4T!$C$4</f>
        <v>17160</v>
      </c>
      <c r="AM9" s="8">
        <f>[11]SAS_SA_2011_4T!$C$14</f>
        <v>146692</v>
      </c>
      <c r="AN9" s="9">
        <f>[11]SAS_SA_2011_4T!$C$24</f>
        <v>163852</v>
      </c>
      <c r="AO9" s="7">
        <f>'[12]120612-17H07S59-PROGRAM-TdB_STO'!$C$4</f>
        <v>17166</v>
      </c>
      <c r="AP9" s="8">
        <f>'[12]120612-17H07S59-PROGRAM-TdB_STO'!$C$14</f>
        <v>146237</v>
      </c>
      <c r="AQ9" s="9">
        <f>'[12]120612-17H07S59-PROGRAM-TdB_STO'!$C$24</f>
        <v>163403</v>
      </c>
      <c r="AR9" s="7">
        <f>[13]SAS_SA_2012_2T!$C$4</f>
        <v>17179</v>
      </c>
      <c r="AS9" s="8">
        <f>[13]SAS_SA_2012_2T!$C$14</f>
        <v>145793</v>
      </c>
      <c r="AT9" s="9">
        <f>[13]SAS_SA_2012_2T!$C$24</f>
        <v>162972</v>
      </c>
      <c r="AU9" s="7">
        <f>'[14]121105-09H31S06-PROGRAM-TdB_STO'!$C$4</f>
        <v>17251</v>
      </c>
      <c r="AV9" s="8">
        <f>'[14]121105-09H31S06-PROGRAM-TdB_STO'!$C$14</f>
        <v>145730</v>
      </c>
      <c r="AW9" s="9">
        <f>'[14]121105-09H31S06-PROGRAM-TdB_STO'!$C$24</f>
        <v>162981</v>
      </c>
      <c r="AX9" s="7">
        <f>[15]SAS_SA_2012_4T!$C$4</f>
        <v>17347</v>
      </c>
      <c r="AY9" s="8">
        <f>[15]SAS_SA_2012_4T!$C$14</f>
        <v>145604</v>
      </c>
      <c r="AZ9" s="9">
        <f>[15]SAS_SA_2012_4T!$C$24</f>
        <v>162951</v>
      </c>
      <c r="BA9" s="7">
        <f>[16]SAS_SA_2013_1T!$C$4</f>
        <v>17297</v>
      </c>
      <c r="BB9" s="8">
        <f>[16]SAS_SA_2013_1T!$C$14</f>
        <v>145062</v>
      </c>
      <c r="BC9" s="9">
        <f>[16]SAS_SA_2013_1T!$C$24</f>
        <v>162359</v>
      </c>
      <c r="BD9" s="7">
        <f>[17]SAS_SA_2013_2T!$C$4</f>
        <v>17294</v>
      </c>
      <c r="BE9" s="8">
        <f>[17]SAS_SA_2013_2T!$C$14</f>
        <v>144270</v>
      </c>
      <c r="BF9" s="9">
        <f>[17]SAS_SA_2013_2T!$C$24</f>
        <v>161564</v>
      </c>
      <c r="BG9" s="7">
        <f>[18]SAS_SA_2013_3T!$C$4</f>
        <v>17339</v>
      </c>
      <c r="BH9" s="8">
        <f>[18]SAS_SA_2013_3T!$C$14</f>
        <v>144234</v>
      </c>
      <c r="BI9" s="9">
        <f>[18]SAS_SA_2013_3T!$C$24</f>
        <v>161573</v>
      </c>
      <c r="BJ9" s="7">
        <f>[19]SAS_SA_2013_4T!$C$4</f>
        <v>17392</v>
      </c>
      <c r="BK9" s="8">
        <f>[19]SAS_SA_2013_4T!$C$14</f>
        <v>144285</v>
      </c>
      <c r="BL9" s="9">
        <f>[19]SAS_SA_2013_4T!$C$24</f>
        <v>161677</v>
      </c>
      <c r="BM9" s="7">
        <f>[20]SAS_SA_2014_1T!$C$4</f>
        <v>17409</v>
      </c>
      <c r="BN9" s="8">
        <f>[20]SAS_SA_2014_1T!$C$14</f>
        <v>144002</v>
      </c>
      <c r="BO9" s="9">
        <f>[20]SAS_SA_2014_1T!$C$24</f>
        <v>161411</v>
      </c>
      <c r="BP9" s="7">
        <f>[21]SAS_SA_2014_2T!$C$4</f>
        <v>17389</v>
      </c>
      <c r="BQ9" s="8">
        <f>[21]SAS_SA_2014_2T!$C$14</f>
        <v>143552</v>
      </c>
      <c r="BR9" s="9">
        <f>[21]SAS_SA_2014_2T!$C$24</f>
        <v>160941</v>
      </c>
      <c r="BS9" s="7">
        <f>[22]SAS_SA_2014_3T!$C$4</f>
        <v>17349</v>
      </c>
      <c r="BT9" s="8">
        <f>[22]SAS_SA_2014_3T!$C$14</f>
        <v>143122</v>
      </c>
      <c r="BU9" s="9">
        <f>[22]SAS_SA_2014_3T!$C$24</f>
        <v>160471</v>
      </c>
      <c r="BV9" s="7">
        <f>[23]SAS_SA_2014_4T!$C$4</f>
        <v>17365</v>
      </c>
      <c r="BW9" s="8">
        <f>[23]SAS_SA_2014_4T!$C$14</f>
        <v>142787</v>
      </c>
      <c r="BX9" s="9">
        <f>[23]SAS_SA_2014_4T!$C$24</f>
        <v>160152</v>
      </c>
      <c r="BY9" s="7">
        <f>[24]SAS_SA_2015_1T!$C$4</f>
        <v>17317</v>
      </c>
      <c r="BZ9" s="8">
        <f>[24]SAS_SA_2015_1T!$C$14</f>
        <v>142189</v>
      </c>
      <c r="CA9" s="9">
        <f>[24]SAS_SA_2015_1T!$C$24</f>
        <v>159506</v>
      </c>
      <c r="CB9" s="7">
        <f>[25]SAS_SA_2015_2T!$C$4</f>
        <v>17310</v>
      </c>
      <c r="CC9" s="8">
        <f>[25]SAS_SA_2015_2T!$C$14</f>
        <v>141538</v>
      </c>
      <c r="CD9" s="9">
        <f>[25]SAS_SA_2015_2T!$C$24</f>
        <v>158848</v>
      </c>
      <c r="CE9" s="7">
        <f>[26]SAS_SA_2015_3T!$C$4</f>
        <v>17420</v>
      </c>
      <c r="CF9" s="8">
        <f>[26]SAS_SA_2015_3T!$C$14</f>
        <v>141368</v>
      </c>
      <c r="CG9" s="9">
        <f>[26]SAS_SA_2015_3T!$C$24</f>
        <v>158788</v>
      </c>
      <c r="CH9" s="7">
        <f>[27]SAS_SA_2015_4T!$C$4</f>
        <v>17451</v>
      </c>
      <c r="CI9" s="8">
        <f>[27]SAS_SA_2015_4T!$C$14</f>
        <v>141095</v>
      </c>
      <c r="CJ9" s="9">
        <f>[27]SAS_SA_2015_4T!$C$24</f>
        <v>158546</v>
      </c>
      <c r="CK9" s="7">
        <f>[28]SAS_SA_2016_1T!$C$4</f>
        <v>17446</v>
      </c>
      <c r="CL9" s="8">
        <f>[28]SAS_SA_2016_1T!$C$14</f>
        <v>140809</v>
      </c>
      <c r="CM9" s="9">
        <f>[28]SAS_SA_2016_1T!$C$24</f>
        <v>158255</v>
      </c>
      <c r="CN9" s="7">
        <f>'[29]160822-11H12S04-PROGRAM-TdB_STO'!$C$4</f>
        <v>17432</v>
      </c>
      <c r="CO9" s="8">
        <f>'[29]160822-11H12S04-PROGRAM-TdB_STO'!$C$14</f>
        <v>140336</v>
      </c>
      <c r="CP9" s="9">
        <f>'[29]160822-11H12S04-PROGRAM-TdB_STO'!$C$24</f>
        <v>157768</v>
      </c>
      <c r="CQ9" s="132">
        <f>[30]SAS_SA_2016_3T!$C$4</f>
        <v>17434</v>
      </c>
      <c r="CR9" s="133">
        <f>[30]SAS_SA_2016_3T!$C$14</f>
        <v>140129</v>
      </c>
      <c r="CS9" s="134">
        <f>[30]SAS_SA_2016_3T!$C$24</f>
        <v>157563</v>
      </c>
      <c r="CT9" s="132">
        <f>[31]SAS_SA_2016_4T!$C$4</f>
        <v>17500</v>
      </c>
      <c r="CU9" s="133">
        <f>[31]SAS_SA_2016_4T!$C$14</f>
        <v>139955</v>
      </c>
      <c r="CV9" s="134">
        <f>[31]SAS_SA_2016_4T!$C$24</f>
        <v>157455</v>
      </c>
      <c r="CW9" s="132">
        <f>[32]SAS_SA_2017_1T!$C$4</f>
        <v>17429</v>
      </c>
      <c r="CX9" s="133">
        <f>[32]SAS_SA_2017_1T!$C$14</f>
        <v>139166</v>
      </c>
      <c r="CY9" s="134">
        <f>[32]SAS_SA_2017_1T!$C$24</f>
        <v>156595</v>
      </c>
      <c r="CZ9" s="132">
        <f>[33]SAS_SA_2017_2T!$C$4</f>
        <v>17380</v>
      </c>
      <c r="DA9" s="133">
        <f>[33]SAS_SA_2017_2T!$C$14</f>
        <v>138424</v>
      </c>
      <c r="DB9" s="134">
        <f>[33]SAS_SA_2017_2T!$C$24</f>
        <v>155804</v>
      </c>
      <c r="DC9" s="132">
        <f>[34]SAS_SA_2017_3T!$C$4</f>
        <v>17363</v>
      </c>
      <c r="DD9" s="133">
        <f>[34]SAS_SA_2017_3T!$C$14</f>
        <v>137974</v>
      </c>
      <c r="DE9" s="134">
        <f>[34]SAS_SA_2017_3T!$C$24</f>
        <v>155337</v>
      </c>
      <c r="DF9" s="132">
        <f>[35]SAS_SA_2017_4T!$C$4</f>
        <v>17386</v>
      </c>
      <c r="DG9" s="133">
        <f>[35]SAS_SA_2017_4T!$C$14</f>
        <v>137717</v>
      </c>
      <c r="DH9" s="134">
        <f>[35]SAS_SA_2017_4T!$C$24</f>
        <v>155103</v>
      </c>
      <c r="DI9" s="132">
        <f>[36]SAS_SA_2018_1T!$C$4</f>
        <v>17257</v>
      </c>
      <c r="DJ9" s="133">
        <f>[36]SAS_SA_2018_1T!$C$14</f>
        <v>136801</v>
      </c>
      <c r="DK9" s="134">
        <f>[36]SAS_SA_2018_1T!$C$24</f>
        <v>154058</v>
      </c>
      <c r="DL9" s="132">
        <f>[37]SAS_SA_2018_2T!$C$4</f>
        <v>17069</v>
      </c>
      <c r="DM9" s="133">
        <f>[37]SAS_SA_2018_2T!$C$14</f>
        <v>135581</v>
      </c>
      <c r="DN9" s="134">
        <f>[37]SAS_SA_2018_2T!$C$24</f>
        <v>152650</v>
      </c>
      <c r="DO9" s="132">
        <f>[38]SAS_SA_2018_3T!$C$4</f>
        <v>17035</v>
      </c>
      <c r="DP9" s="196">
        <f>[38]SAS_SA_2018_3T!$C$14</f>
        <v>135102</v>
      </c>
      <c r="DQ9" s="183">
        <f>[38]SAS_SA_2018_3T!$C$24</f>
        <v>152137</v>
      </c>
      <c r="DR9" s="132">
        <f>'[39]190227-14H32S38-PROGRAM-TdB_STO'!$C$4</f>
        <v>17040</v>
      </c>
      <c r="DS9" s="196">
        <f>'[39]190227-14H32S38-PROGRAM-TdB_STO'!$C$14</f>
        <v>134779</v>
      </c>
      <c r="DT9" s="183">
        <f>'[39]190227-14H32S38-PROGRAM-TdB_STO'!$C$24</f>
        <v>151819</v>
      </c>
      <c r="DU9" s="202">
        <f>[40]SAS_SA_2019_1T!$C$4</f>
        <v>16941</v>
      </c>
      <c r="DV9" s="203">
        <f>[40]SAS_SA_2019_1T!$C$14</f>
        <v>133924</v>
      </c>
      <c r="DW9" s="204">
        <f>[40]SAS_SA_2019_1T!$C$24</f>
        <v>150865</v>
      </c>
      <c r="DX9" s="202">
        <f>[41]SAS_SA_2019_2T!$C$4</f>
        <v>16852</v>
      </c>
      <c r="DY9" s="203">
        <f>[41]SAS_SA_2019_2T!$C$14</f>
        <v>132781</v>
      </c>
      <c r="DZ9" s="204">
        <f>[41]SAS_SA_2019_2T!$C$24</f>
        <v>149633</v>
      </c>
      <c r="EA9" s="202">
        <f>[42]SAS_SA_2019_3T!$C$4</f>
        <v>16825</v>
      </c>
      <c r="EB9" s="203">
        <f>[42]SAS_SA_2019_3T!$C$14</f>
        <v>132091</v>
      </c>
      <c r="EC9" s="204">
        <f>[42]SAS_SA_2019_3T!$C$24</f>
        <v>148916</v>
      </c>
      <c r="ED9" s="202">
        <f>[43]SAS_SA_2019_4T!$C$4</f>
        <v>16857</v>
      </c>
      <c r="EE9" s="203">
        <f>[43]SAS_SA_2019_4T!$C$14</f>
        <v>131706</v>
      </c>
      <c r="EF9" s="204">
        <f>[43]SAS_SA_2019_4T!$C$24</f>
        <v>148563</v>
      </c>
      <c r="EG9" s="202">
        <f>[44]SAS_SA_2020_1T!$C$13</f>
        <v>16831</v>
      </c>
      <c r="EH9" s="203">
        <f>[44]SAS_SA_2020_1T!$C$21</f>
        <v>130982</v>
      </c>
      <c r="EI9" s="204">
        <f>[44]SAS_SA_2020_1T!$C$29</f>
        <v>147813</v>
      </c>
      <c r="EJ9" s="202">
        <f>[45]SAS_SA_2020_2T!$C$13</f>
        <v>16740</v>
      </c>
      <c r="EK9" s="203">
        <f>[45]SAS_SA_2020_2T!$C$21</f>
        <v>129915</v>
      </c>
      <c r="EL9" s="204">
        <f>[45]SAS_SA_2020_2T!$C$29</f>
        <v>146655</v>
      </c>
      <c r="EM9" s="202">
        <f>[46]SAS_SA_2020_3T!$C$13</f>
        <v>16693</v>
      </c>
      <c r="EN9" s="203">
        <f>[46]SAS_SA_2020_3T!$C$21</f>
        <v>129042</v>
      </c>
      <c r="EO9" s="204">
        <f>[46]SAS_SA_2020_3T!$C$29</f>
        <v>145735</v>
      </c>
      <c r="EP9" s="202">
        <f>[47]SAS_SA_2020_4T!$C$13</f>
        <v>16657</v>
      </c>
      <c r="EQ9" s="203">
        <f>[47]SAS_SA_2020_4T!$C$21</f>
        <v>128202</v>
      </c>
      <c r="ER9" s="204">
        <f>EP9+EQ9</f>
        <v>144859</v>
      </c>
      <c r="ES9" s="202">
        <f>[48]SAS_SA_2021_1T!$C$13</f>
        <v>16460</v>
      </c>
      <c r="ET9" s="203">
        <f>[48]SAS_SA_2021_1T!$C$21</f>
        <v>127094</v>
      </c>
      <c r="EU9" s="204">
        <f>ES9+ET9</f>
        <v>143554</v>
      </c>
      <c r="EV9" s="202">
        <f>[49]SAS_SA_2021_2T!$C$13</f>
        <v>16333</v>
      </c>
      <c r="EW9" s="203">
        <f>[49]SAS_SA_2021_2T!$C$21</f>
        <v>125970</v>
      </c>
      <c r="EX9" s="204">
        <f>[49]SAS_SA_2021_2T!$C$29</f>
        <v>142303</v>
      </c>
      <c r="EY9" s="202">
        <f>[50]SAS_SA_2021_3T!$C$13</f>
        <v>16282</v>
      </c>
      <c r="EZ9" s="203">
        <f>[50]SAS_SA_2021_3T!$C$21</f>
        <v>125375</v>
      </c>
      <c r="FA9" s="204">
        <f>[50]SAS_SA_2021_3T!$C$29</f>
        <v>141657</v>
      </c>
      <c r="FB9" s="202">
        <f>[51]SAS_SA_2021_4T!$C$9</f>
        <v>16242</v>
      </c>
      <c r="FC9" s="203">
        <f>[51]SAS_SA_2021_4T!$C$14</f>
        <v>124911</v>
      </c>
      <c r="FD9" s="204">
        <f>[51]SAS_SA_2021_4T!$C$19</f>
        <v>141153</v>
      </c>
      <c r="FE9" s="202">
        <f>[52]SAS_SA_2022_1T!$C$9</f>
        <v>16118</v>
      </c>
      <c r="FF9" s="203">
        <f>[52]SAS_SA_2022_1T!$C$14</f>
        <v>123799</v>
      </c>
      <c r="FG9" s="204">
        <f>[52]SAS_SA_2022_1T!$C$19</f>
        <v>139917</v>
      </c>
      <c r="FH9" s="202">
        <f>[53]SAS_SA_2022_2T!$C$9</f>
        <v>16054</v>
      </c>
      <c r="FI9" s="203">
        <f>[53]SAS_SA_2022_2T!$C$14</f>
        <v>122653</v>
      </c>
      <c r="FJ9" s="204">
        <f>[53]SAS_SA_2022_2T!$C$19</f>
        <v>138707</v>
      </c>
      <c r="FK9" s="202">
        <f>[54]SAS_SA_2022_3T!$C$9</f>
        <v>15951</v>
      </c>
      <c r="FL9" s="203">
        <f>[54]SAS_SA_2022_3T!$C$14</f>
        <v>121852</v>
      </c>
      <c r="FM9" s="204">
        <f>[54]SAS_SA_2022_3T!$C$19</f>
        <v>137803</v>
      </c>
      <c r="FN9" s="132">
        <f>[55]SAS_SA_2022_4T!$C$9</f>
        <v>15833</v>
      </c>
      <c r="FO9" s="133">
        <f>[55]SAS_SA_2022_4T!$C$14</f>
        <v>120598</v>
      </c>
      <c r="FP9" s="134">
        <f>[55]SAS_SA_2022_4T!$C$19</f>
        <v>136431</v>
      </c>
      <c r="FQ9" s="132">
        <f>[56]SAS_SA_2023_1T!$C$9</f>
        <v>15756</v>
      </c>
      <c r="FR9" s="133">
        <f>[56]SAS_SA_2023_1T!$C$14</f>
        <v>119564</v>
      </c>
      <c r="FS9" s="134">
        <f>[56]SAS_SA_2023_1T!$C$19</f>
        <v>135320</v>
      </c>
      <c r="FT9" s="132">
        <f>[57]SAS_SA_2023_2T!$C$9</f>
        <v>15644</v>
      </c>
      <c r="FU9" s="133">
        <f>[57]SAS_SA_2023_2T!$C$14</f>
        <v>118676</v>
      </c>
      <c r="FV9" s="134">
        <f>[57]SAS_SA_2023_2T!$C$19</f>
        <v>134320</v>
      </c>
      <c r="FW9" s="132">
        <f>[58]SAS_SA_2023_3T!$C$9</f>
        <v>15601</v>
      </c>
      <c r="FX9" s="133">
        <f>[58]SAS_SA_2023_3T!$C$14</f>
        <v>118093</v>
      </c>
      <c r="FY9" s="134">
        <f>[58]SAS_SA_2023_3T!$C$19</f>
        <v>133694</v>
      </c>
      <c r="FZ9" s="132">
        <f>[59]SAS_SA_2023_4T!$C$9</f>
        <v>15597</v>
      </c>
      <c r="GA9" s="133">
        <f>[59]SAS_SA_2023_4T!$C$14</f>
        <v>117368</v>
      </c>
      <c r="GB9" s="134">
        <f>[59]SAS_SA_2023_4T!$C$19</f>
        <v>132965</v>
      </c>
      <c r="GC9" s="132">
        <f>[60]SAS_SA_2024_1T!$C$9</f>
        <v>15567</v>
      </c>
      <c r="GD9" s="133">
        <f>[60]SAS_SA_2024_1T!$C$14</f>
        <v>116467</v>
      </c>
      <c r="GE9" s="134">
        <f>[60]SAS_SA_2024_1T!$C$19</f>
        <v>132034</v>
      </c>
      <c r="GF9" s="132">
        <f>[61]SAS_SA_2024_2T!$C$9</f>
        <v>15455</v>
      </c>
      <c r="GG9" s="133">
        <f>[61]SAS_SA_2024_2T!$C$14</f>
        <v>115485</v>
      </c>
      <c r="GH9" s="134">
        <f>[61]SAS_SA_2024_2T!$C$19</f>
        <v>130940</v>
      </c>
      <c r="GI9" s="132">
        <f>[62]SAS_SA_2024_3T!$C$9</f>
        <v>15358</v>
      </c>
      <c r="GJ9" s="133">
        <f>[62]SAS_SA_2024_3T!$C$14</f>
        <v>114663</v>
      </c>
      <c r="GK9" s="134">
        <f>[62]SAS_SA_2024_3T!$C$19</f>
        <v>130021</v>
      </c>
      <c r="GL9" s="132">
        <f>[63]SAS_SA_2024_4T!$C$9</f>
        <v>15293</v>
      </c>
      <c r="GM9" s="133">
        <f>[63]SAS_SA_2024_4T!$C$14</f>
        <v>114071</v>
      </c>
      <c r="GN9" s="134">
        <f>[63]SAS_SA_2024_4T!$C$19</f>
        <v>129364</v>
      </c>
    </row>
    <row r="10" spans="1:196" ht="12" thickBot="1" x14ac:dyDescent="0.3">
      <c r="A10" s="40" t="s">
        <v>5</v>
      </c>
      <c r="B10" s="11">
        <f t="shared" ref="B10:M10" si="0">B7+B8+B9</f>
        <v>1292598</v>
      </c>
      <c r="C10" s="12">
        <f t="shared" si="0"/>
        <v>1209054</v>
      </c>
      <c r="D10" s="13">
        <f t="shared" si="0"/>
        <v>2501652</v>
      </c>
      <c r="E10" s="11">
        <f t="shared" si="0"/>
        <v>1291722</v>
      </c>
      <c r="F10" s="12">
        <f t="shared" si="0"/>
        <v>1212484</v>
      </c>
      <c r="G10" s="13">
        <f t="shared" si="0"/>
        <v>2504206</v>
      </c>
      <c r="H10" s="11">
        <f t="shared" si="0"/>
        <v>1285062</v>
      </c>
      <c r="I10" s="12">
        <f t="shared" si="0"/>
        <v>1218424</v>
      </c>
      <c r="J10" s="13">
        <f t="shared" si="0"/>
        <v>2503486</v>
      </c>
      <c r="K10" s="11">
        <f t="shared" si="0"/>
        <v>1285525</v>
      </c>
      <c r="L10" s="12">
        <f t="shared" si="0"/>
        <v>1221531</v>
      </c>
      <c r="M10" s="13">
        <f t="shared" si="0"/>
        <v>2507056</v>
      </c>
      <c r="N10" s="11">
        <f t="shared" ref="N10:S10" si="1">N7+N8+N9</f>
        <v>1283175</v>
      </c>
      <c r="O10" s="12">
        <f t="shared" si="1"/>
        <v>1226351</v>
      </c>
      <c r="P10" s="17">
        <f t="shared" si="1"/>
        <v>2509526</v>
      </c>
      <c r="Q10" s="11">
        <f t="shared" si="1"/>
        <v>1283629</v>
      </c>
      <c r="R10" s="12">
        <f t="shared" si="1"/>
        <v>1230787</v>
      </c>
      <c r="S10" s="17">
        <f t="shared" si="1"/>
        <v>2514416</v>
      </c>
      <c r="T10" s="11">
        <f t="shared" ref="T10:Y10" si="2">T7+T8+T9</f>
        <v>1268122</v>
      </c>
      <c r="U10" s="12">
        <f t="shared" si="2"/>
        <v>1228172</v>
      </c>
      <c r="V10" s="17">
        <f t="shared" si="2"/>
        <v>2496294</v>
      </c>
      <c r="W10" s="11">
        <f t="shared" si="2"/>
        <v>1268314</v>
      </c>
      <c r="X10" s="12">
        <f t="shared" si="2"/>
        <v>1228069</v>
      </c>
      <c r="Y10" s="17">
        <f t="shared" si="2"/>
        <v>2496383</v>
      </c>
      <c r="Z10" s="11">
        <f t="shared" ref="Z10:AH10" si="3">Z7+Z8+Z9</f>
        <v>1278638</v>
      </c>
      <c r="AA10" s="12">
        <f t="shared" si="3"/>
        <v>1242335</v>
      </c>
      <c r="AB10" s="13">
        <f t="shared" si="3"/>
        <v>2520973</v>
      </c>
      <c r="AC10" s="11">
        <f t="shared" si="3"/>
        <v>1277300</v>
      </c>
      <c r="AD10" s="12">
        <f t="shared" si="3"/>
        <v>1245080</v>
      </c>
      <c r="AE10" s="13">
        <f t="shared" si="3"/>
        <v>2522380</v>
      </c>
      <c r="AF10" s="11">
        <f t="shared" si="3"/>
        <v>1274478</v>
      </c>
      <c r="AG10" s="12">
        <f t="shared" si="3"/>
        <v>1247791</v>
      </c>
      <c r="AH10" s="13">
        <f t="shared" si="3"/>
        <v>2522269</v>
      </c>
      <c r="AI10" s="11">
        <f t="shared" ref="AI10:AN10" si="4">AI7+AI8+AI9</f>
        <v>1270106</v>
      </c>
      <c r="AJ10" s="12">
        <f t="shared" si="4"/>
        <v>1250258</v>
      </c>
      <c r="AK10" s="13">
        <f t="shared" si="4"/>
        <v>2520364</v>
      </c>
      <c r="AL10" s="11">
        <f t="shared" si="4"/>
        <v>1263627</v>
      </c>
      <c r="AM10" s="12">
        <f t="shared" si="4"/>
        <v>1251309</v>
      </c>
      <c r="AN10" s="13">
        <f t="shared" si="4"/>
        <v>2514936</v>
      </c>
      <c r="AO10" s="11">
        <f t="shared" ref="AO10:AT10" si="5">AO7+AO8+AO9</f>
        <v>1257989</v>
      </c>
      <c r="AP10" s="12">
        <f t="shared" si="5"/>
        <v>1251344</v>
      </c>
      <c r="AQ10" s="13">
        <f t="shared" si="5"/>
        <v>2509333</v>
      </c>
      <c r="AR10" s="11">
        <f t="shared" si="5"/>
        <v>1252458</v>
      </c>
      <c r="AS10" s="12">
        <f t="shared" si="5"/>
        <v>1250751</v>
      </c>
      <c r="AT10" s="13">
        <f t="shared" si="5"/>
        <v>2503209</v>
      </c>
      <c r="AU10" s="11">
        <f t="shared" ref="AU10:AZ10" si="6">AU7+AU8+AU9</f>
        <v>1246104</v>
      </c>
      <c r="AV10" s="12">
        <f t="shared" si="6"/>
        <v>1252367</v>
      </c>
      <c r="AW10" s="13">
        <f t="shared" si="6"/>
        <v>2498471</v>
      </c>
      <c r="AX10" s="11">
        <f t="shared" si="6"/>
        <v>1239800</v>
      </c>
      <c r="AY10" s="12">
        <f t="shared" si="6"/>
        <v>1252672</v>
      </c>
      <c r="AZ10" s="13">
        <f t="shared" si="6"/>
        <v>2492472</v>
      </c>
      <c r="BA10" s="11">
        <f t="shared" ref="BA10:BF10" si="7">BA7+BA8+BA9</f>
        <v>1237552</v>
      </c>
      <c r="BB10" s="12">
        <f t="shared" si="7"/>
        <v>1252874</v>
      </c>
      <c r="BC10" s="13">
        <f t="shared" si="7"/>
        <v>2490426</v>
      </c>
      <c r="BD10" s="11">
        <f t="shared" si="7"/>
        <v>1230776</v>
      </c>
      <c r="BE10" s="12">
        <f t="shared" si="7"/>
        <v>1251006</v>
      </c>
      <c r="BF10" s="13">
        <f t="shared" si="7"/>
        <v>2481782</v>
      </c>
      <c r="BG10" s="11">
        <f t="shared" ref="BG10:BI10" si="8">BG7+BG8+BG9</f>
        <v>1232301</v>
      </c>
      <c r="BH10" s="12">
        <f t="shared" si="8"/>
        <v>1257023</v>
      </c>
      <c r="BI10" s="13">
        <f t="shared" si="8"/>
        <v>2489324</v>
      </c>
      <c r="BJ10" s="11">
        <f t="shared" ref="BJ10:BL10" si="9">BJ7+BJ8+BJ9</f>
        <v>1232706</v>
      </c>
      <c r="BK10" s="12">
        <f t="shared" si="9"/>
        <v>1262420</v>
      </c>
      <c r="BL10" s="13">
        <f t="shared" si="9"/>
        <v>2495126</v>
      </c>
      <c r="BM10" s="11">
        <f t="shared" ref="BM10:BO10" si="10">BM7+BM8+BM9</f>
        <v>1231971</v>
      </c>
      <c r="BN10" s="12">
        <f t="shared" si="10"/>
        <v>1264231</v>
      </c>
      <c r="BO10" s="13">
        <f t="shared" si="10"/>
        <v>2496202</v>
      </c>
      <c r="BP10" s="11">
        <f t="shared" ref="BP10:BR10" si="11">BP7+BP8+BP9</f>
        <v>1230083</v>
      </c>
      <c r="BQ10" s="12">
        <f t="shared" si="11"/>
        <v>1264718</v>
      </c>
      <c r="BR10" s="13">
        <f t="shared" si="11"/>
        <v>2494801</v>
      </c>
      <c r="BS10" s="11">
        <f t="shared" ref="BS10:BU10" si="12">BS7+BS8+BS9</f>
        <v>1230678</v>
      </c>
      <c r="BT10" s="12">
        <f t="shared" si="12"/>
        <v>1267891</v>
      </c>
      <c r="BU10" s="13">
        <f t="shared" si="12"/>
        <v>2498569</v>
      </c>
      <c r="BV10" s="11">
        <f t="shared" ref="BV10:BX10" si="13">BV7+BV8+BV9</f>
        <v>1231683</v>
      </c>
      <c r="BW10" s="12">
        <f t="shared" si="13"/>
        <v>1271833</v>
      </c>
      <c r="BX10" s="13">
        <f t="shared" si="13"/>
        <v>2503516</v>
      </c>
      <c r="BY10" s="11">
        <f t="shared" ref="BY10:CA10" si="14">BY7+BY8+BY9</f>
        <v>1232978</v>
      </c>
      <c r="BZ10" s="12">
        <f t="shared" si="14"/>
        <v>1274924</v>
      </c>
      <c r="CA10" s="13">
        <f t="shared" si="14"/>
        <v>2507902</v>
      </c>
      <c r="CB10" s="11">
        <f>CE7+CE8+CE9</f>
        <v>1228321</v>
      </c>
      <c r="CC10" s="12">
        <f>CF7+CF8+CF9</f>
        <v>1276853</v>
      </c>
      <c r="CD10" s="13">
        <f>CG7+CG8+CG9</f>
        <v>2505174</v>
      </c>
      <c r="CE10" s="11">
        <f t="shared" ref="CE10:CG10" si="15">CE7+CE8+CE9</f>
        <v>1228321</v>
      </c>
      <c r="CF10" s="12">
        <f t="shared" si="15"/>
        <v>1276853</v>
      </c>
      <c r="CG10" s="13">
        <f t="shared" si="15"/>
        <v>2505174</v>
      </c>
      <c r="CH10" s="11">
        <f t="shared" ref="CH10:CJ10" si="16">CH7+CH8+CH9</f>
        <v>1227489</v>
      </c>
      <c r="CI10" s="12">
        <f t="shared" si="16"/>
        <v>1280248</v>
      </c>
      <c r="CJ10" s="13">
        <f t="shared" si="16"/>
        <v>2507737</v>
      </c>
      <c r="CK10" s="11">
        <f t="shared" ref="CK10:CM10" si="17">CK7+CK8+CK9</f>
        <v>1229393</v>
      </c>
      <c r="CL10" s="12">
        <f t="shared" si="17"/>
        <v>1284952</v>
      </c>
      <c r="CM10" s="13">
        <f t="shared" si="17"/>
        <v>2514345</v>
      </c>
      <c r="CN10" s="11">
        <f>CQ7+CQ8+CQ9</f>
        <v>1229436</v>
      </c>
      <c r="CO10" s="12">
        <f t="shared" ref="CO10" si="18">CO7+CO8+CO9</f>
        <v>1287108</v>
      </c>
      <c r="CP10" s="13">
        <f>CP7+CP8+CP9</f>
        <v>2515945</v>
      </c>
      <c r="CQ10" s="135">
        <f t="shared" ref="CQ10:CS10" si="19">CQ7+CQ8+CQ9</f>
        <v>1229436</v>
      </c>
      <c r="CR10" s="136">
        <f t="shared" si="19"/>
        <v>1290800</v>
      </c>
      <c r="CS10" s="137">
        <f t="shared" si="19"/>
        <v>2520236</v>
      </c>
      <c r="CT10" s="135">
        <f t="shared" ref="CT10:CV10" si="20">CT7+CT8+CT9</f>
        <v>1227456</v>
      </c>
      <c r="CU10" s="136">
        <f t="shared" si="20"/>
        <v>1291921</v>
      </c>
      <c r="CV10" s="137">
        <f t="shared" si="20"/>
        <v>2519377</v>
      </c>
      <c r="CW10" s="135">
        <f t="shared" ref="CW10:CY10" si="21">CW7+CW8+CW9</f>
        <v>1225204</v>
      </c>
      <c r="CX10" s="136">
        <f t="shared" si="21"/>
        <v>1291271</v>
      </c>
      <c r="CY10" s="137">
        <f t="shared" si="21"/>
        <v>2516475</v>
      </c>
      <c r="CZ10" s="135">
        <f t="shared" ref="CZ10:DB10" si="22">CZ7+CZ8+CZ9</f>
        <v>1224956</v>
      </c>
      <c r="DA10" s="136">
        <f t="shared" si="22"/>
        <v>1292134</v>
      </c>
      <c r="DB10" s="137">
        <f t="shared" si="22"/>
        <v>2517090</v>
      </c>
      <c r="DC10" s="135">
        <f t="shared" ref="DC10:DE10" si="23">DC7+DC8+DC9</f>
        <v>1221835</v>
      </c>
      <c r="DD10" s="136">
        <f t="shared" si="23"/>
        <v>1291525</v>
      </c>
      <c r="DE10" s="137">
        <f t="shared" si="23"/>
        <v>2513360</v>
      </c>
      <c r="DF10" s="135">
        <f t="shared" ref="DF10:DH10" si="24">DF7+DF8+DF9</f>
        <v>1218115</v>
      </c>
      <c r="DG10" s="136">
        <f t="shared" si="24"/>
        <v>1291368</v>
      </c>
      <c r="DH10" s="137">
        <f t="shared" si="24"/>
        <v>2509483</v>
      </c>
      <c r="DI10" s="135">
        <f t="shared" ref="DI10:DK10" si="25">DI7+DI8+DI9</f>
        <v>1211997</v>
      </c>
      <c r="DJ10" s="136">
        <f t="shared" si="25"/>
        <v>1287219</v>
      </c>
      <c r="DK10" s="137">
        <f t="shared" si="25"/>
        <v>2499216</v>
      </c>
      <c r="DL10" s="135">
        <f t="shared" ref="DL10:DN10" si="26">DL7+DL8+DL9</f>
        <v>1203406</v>
      </c>
      <c r="DM10" s="136">
        <f t="shared" si="26"/>
        <v>1281268</v>
      </c>
      <c r="DN10" s="137">
        <f t="shared" si="26"/>
        <v>2484674</v>
      </c>
      <c r="DO10" s="132">
        <f>DO9+DO8+DO7</f>
        <v>1197849</v>
      </c>
      <c r="DP10" s="132">
        <f t="shared" ref="DP10:DQ10" si="27">DP9+DP8+DP7</f>
        <v>1279762</v>
      </c>
      <c r="DQ10" s="132">
        <f t="shared" si="27"/>
        <v>2477611</v>
      </c>
      <c r="DR10" s="132">
        <f>DR9+DR8+DR7</f>
        <v>1193766</v>
      </c>
      <c r="DS10" s="132">
        <f t="shared" ref="DS10" si="28">DS9+DS8+DS7</f>
        <v>1278919</v>
      </c>
      <c r="DT10" s="132">
        <f>DT9+DT8+DT7</f>
        <v>2472685</v>
      </c>
      <c r="DU10" s="205">
        <f>SUM(DU7:DU9)</f>
        <v>1186047</v>
      </c>
      <c r="DV10" s="205">
        <f t="shared" ref="DV10:DW10" si="29">SUM(DV7:DV9)</f>
        <v>1274731</v>
      </c>
      <c r="DW10" s="205">
        <f t="shared" si="29"/>
        <v>2460778</v>
      </c>
      <c r="DX10" s="205">
        <f>SUM(DX7:DX9)</f>
        <v>1176876</v>
      </c>
      <c r="DY10" s="205">
        <f t="shared" ref="DY10:DZ10" si="30">SUM(DY7:DY9)</f>
        <v>1267885</v>
      </c>
      <c r="DZ10" s="205">
        <f t="shared" si="30"/>
        <v>2444761</v>
      </c>
      <c r="EA10" s="205">
        <f>SUM(EA7:EA9)</f>
        <v>1167796</v>
      </c>
      <c r="EB10" s="205">
        <f t="shared" ref="EB10:EC10" si="31">SUM(EB7:EB9)</f>
        <v>1262255</v>
      </c>
      <c r="EC10" s="205">
        <f t="shared" si="31"/>
        <v>2430051</v>
      </c>
      <c r="ED10" s="205">
        <f>SUM(ED7:ED9)</f>
        <v>1165403</v>
      </c>
      <c r="EE10" s="205">
        <f t="shared" ref="EE10:EF10" si="32">SUM(EE7:EE9)</f>
        <v>1264618</v>
      </c>
      <c r="EF10" s="205">
        <f t="shared" si="32"/>
        <v>2430021</v>
      </c>
      <c r="EG10" s="205">
        <f>SUM(EG7:EG9)</f>
        <v>1159142</v>
      </c>
      <c r="EH10" s="205">
        <f t="shared" ref="EH10:EI10" si="33">SUM(EH7:EH9)</f>
        <v>1260678</v>
      </c>
      <c r="EI10" s="205">
        <f t="shared" si="33"/>
        <v>2419820</v>
      </c>
      <c r="EJ10" s="205">
        <f>SUM(EJ7:EJ9)</f>
        <v>1149218</v>
      </c>
      <c r="EK10" s="205">
        <f t="shared" ref="EK10:EL10" si="34">SUM(EK7:EK9)</f>
        <v>1253867</v>
      </c>
      <c r="EL10" s="205">
        <f t="shared" si="34"/>
        <v>2403085</v>
      </c>
      <c r="EM10" s="205">
        <f>SUM(EM7:EM9)</f>
        <v>1140910</v>
      </c>
      <c r="EN10" s="205">
        <f t="shared" ref="EN10:EO10" si="35">SUM(EN7:EN9)</f>
        <v>1247838</v>
      </c>
      <c r="EO10" s="205">
        <f t="shared" si="35"/>
        <v>2388748</v>
      </c>
      <c r="EP10" s="205">
        <f>SUM(EP7:EP9)</f>
        <v>1130139</v>
      </c>
      <c r="EQ10" s="205">
        <f t="shared" ref="EQ10:ER10" si="36">SUM(EQ7:EQ9)</f>
        <v>1240754</v>
      </c>
      <c r="ER10" s="205">
        <f t="shared" si="36"/>
        <v>2370893</v>
      </c>
      <c r="ES10" s="205">
        <f>SUM(ES7:ES9)</f>
        <v>1120592</v>
      </c>
      <c r="ET10" s="205">
        <f t="shared" ref="ET10:EU10" si="37">SUM(ET7:ET9)</f>
        <v>1234102</v>
      </c>
      <c r="EU10" s="205">
        <f t="shared" si="37"/>
        <v>2354694</v>
      </c>
      <c r="EV10" s="205">
        <f>SUM(EV7:EV9)</f>
        <v>1111035</v>
      </c>
      <c r="EW10" s="205">
        <f t="shared" ref="EW10:EX10" si="38">SUM(EW7:EW9)</f>
        <v>1228433</v>
      </c>
      <c r="EX10" s="205">
        <f t="shared" si="38"/>
        <v>2339468</v>
      </c>
      <c r="EY10" s="205">
        <f>SUM(EY7:EY9)</f>
        <v>1103802</v>
      </c>
      <c r="EZ10" s="205">
        <f t="shared" ref="EZ10:FA10" si="39">SUM(EZ7:EZ9)</f>
        <v>1225095</v>
      </c>
      <c r="FA10" s="205">
        <f t="shared" si="39"/>
        <v>2328897</v>
      </c>
      <c r="FB10" s="205">
        <f>SUM(FB7:FB9)</f>
        <v>1096967</v>
      </c>
      <c r="FC10" s="205">
        <f t="shared" ref="FC10:FD10" si="40">SUM(FC7:FC9)</f>
        <v>1220666</v>
      </c>
      <c r="FD10" s="205">
        <f t="shared" si="40"/>
        <v>2317633</v>
      </c>
      <c r="FE10" s="205">
        <f>SUM(FE7:FE9)</f>
        <v>1089862</v>
      </c>
      <c r="FF10" s="205">
        <f t="shared" ref="FF10:FG10" si="41">SUM(FF7:FF9)</f>
        <v>1215259</v>
      </c>
      <c r="FG10" s="205">
        <f t="shared" si="41"/>
        <v>2305121</v>
      </c>
      <c r="FH10" s="205">
        <f>SUM(FH7:FH9)</f>
        <v>1082625</v>
      </c>
      <c r="FI10" s="205">
        <f t="shared" ref="FI10:FJ10" si="42">SUM(FI7:FI9)</f>
        <v>1209917</v>
      </c>
      <c r="FJ10" s="205">
        <f t="shared" si="42"/>
        <v>2292542</v>
      </c>
      <c r="FK10" s="205">
        <f>SUM(FK7:FK9)</f>
        <v>1076307</v>
      </c>
      <c r="FL10" s="205">
        <f t="shared" ref="FL10:FM10" si="43">SUM(FL7:FL9)</f>
        <v>1205482</v>
      </c>
      <c r="FM10" s="205">
        <f t="shared" si="43"/>
        <v>2281789</v>
      </c>
      <c r="FN10" s="135">
        <f>SUM(FN7:FN9)</f>
        <v>1069951</v>
      </c>
      <c r="FO10" s="135">
        <f t="shared" ref="FO10:FP10" si="44">SUM(FO7:FO9)</f>
        <v>1199697</v>
      </c>
      <c r="FP10" s="135">
        <f t="shared" si="44"/>
        <v>2269648</v>
      </c>
      <c r="FQ10" s="135">
        <f>SUM(FQ7:FQ9)</f>
        <v>1062237</v>
      </c>
      <c r="FR10" s="135">
        <f t="shared" ref="FR10:FS10" si="45">SUM(FR7:FR9)</f>
        <v>1193989</v>
      </c>
      <c r="FS10" s="135">
        <f t="shared" si="45"/>
        <v>2256226</v>
      </c>
      <c r="FT10" s="135">
        <f>SUM(FT7:FT9)</f>
        <v>1056016</v>
      </c>
      <c r="FU10" s="135">
        <f t="shared" ref="FU10:FV10" si="46">SUM(FU7:FU9)</f>
        <v>1189428</v>
      </c>
      <c r="FV10" s="135">
        <f t="shared" si="46"/>
        <v>2245444</v>
      </c>
      <c r="FW10" s="135">
        <f>SUM(FW7:FW9)</f>
        <v>1051054</v>
      </c>
      <c r="FX10" s="135">
        <f t="shared" ref="FX10:FY10" si="47">SUM(FX7:FX9)</f>
        <v>1186610</v>
      </c>
      <c r="FY10" s="135">
        <f t="shared" si="47"/>
        <v>2237664</v>
      </c>
      <c r="FZ10" s="135">
        <f>SUM(FZ7:FZ9)</f>
        <v>1046160</v>
      </c>
      <c r="GA10" s="135">
        <f t="shared" ref="GA10:GB10" si="48">SUM(GA7:GA9)</f>
        <v>1183917</v>
      </c>
      <c r="GB10" s="135">
        <f t="shared" si="48"/>
        <v>2230077</v>
      </c>
      <c r="GC10" s="135">
        <f>SUM(GC7:GC9)</f>
        <v>1038226</v>
      </c>
      <c r="GD10" s="135">
        <f t="shared" ref="GD10:GE10" si="49">SUM(GD7:GD9)</f>
        <v>1177162</v>
      </c>
      <c r="GE10" s="135">
        <f t="shared" si="49"/>
        <v>2215388</v>
      </c>
      <c r="GF10" s="135">
        <f>SUM(GF7:GF9)</f>
        <v>1031256</v>
      </c>
      <c r="GG10" s="135">
        <f t="shared" ref="GG10:GH10" si="50">SUM(GG7:GG9)</f>
        <v>1171496</v>
      </c>
      <c r="GH10" s="135">
        <f t="shared" si="50"/>
        <v>2202752</v>
      </c>
      <c r="GI10" s="135">
        <f>SUM(GI7:GI9)</f>
        <v>1025442</v>
      </c>
      <c r="GJ10" s="135">
        <f t="shared" ref="GJ10:GK10" si="51">SUM(GJ7:GJ9)</f>
        <v>1166883</v>
      </c>
      <c r="GK10" s="135">
        <f t="shared" si="51"/>
        <v>2192325</v>
      </c>
      <c r="GL10" s="135">
        <f>SUM(GL7:GL9)</f>
        <v>1019542</v>
      </c>
      <c r="GM10" s="135">
        <f t="shared" ref="GM10:GN10" si="52">SUM(GM7:GM9)</f>
        <v>1162846</v>
      </c>
      <c r="GN10" s="135">
        <f t="shared" si="52"/>
        <v>2182388</v>
      </c>
    </row>
    <row r="11" spans="1:196" x14ac:dyDescent="0.25">
      <c r="A11" s="14"/>
      <c r="B11" s="15"/>
      <c r="C11" s="15"/>
      <c r="D11" s="41">
        <f>(D7+D9)/D10</f>
        <v>0.77340973084985443</v>
      </c>
      <c r="E11" s="15"/>
      <c r="F11" s="15"/>
      <c r="G11" s="41">
        <f>(G7+G9)/G10</f>
        <v>0.7733445251708525</v>
      </c>
      <c r="H11" s="15"/>
      <c r="I11" s="15"/>
      <c r="J11" s="41">
        <f>(J7+J9)/J10</f>
        <v>0.77276845167098995</v>
      </c>
      <c r="K11" s="15"/>
      <c r="L11" s="15"/>
      <c r="M11" s="41">
        <f>(M7+M9)/M10</f>
        <v>0.77199551984479009</v>
      </c>
      <c r="N11" s="15"/>
      <c r="O11" s="15"/>
      <c r="P11" s="41">
        <f>(P7+P9)/P10</f>
        <v>0.77113526618174111</v>
      </c>
      <c r="Q11" s="15"/>
      <c r="R11" s="15"/>
      <c r="S11" s="41">
        <f>(S7+S9)/S10</f>
        <v>0.77092334760835124</v>
      </c>
      <c r="T11" s="15"/>
      <c r="U11" s="15"/>
      <c r="V11" s="41">
        <f>(V7+V9)/V10</f>
        <v>0.77221272814820685</v>
      </c>
      <c r="W11" s="15"/>
      <c r="X11" s="15"/>
      <c r="Y11" s="41">
        <f>(Y7+Y9)/Y10</f>
        <v>0.77227652968314553</v>
      </c>
      <c r="Z11" s="15"/>
      <c r="AA11" s="15"/>
      <c r="AB11" s="41">
        <f>(AB7+AB9)/AB10</f>
        <v>0.77019190606166743</v>
      </c>
      <c r="AC11" s="41">
        <f>(AC7+AC9)/(AE7+AE9)</f>
        <v>0.65138731968447194</v>
      </c>
      <c r="AD11" s="66">
        <f>(AD8+AD9)/(AE8+AE9)</f>
        <v>0.96140599648595049</v>
      </c>
      <c r="AE11" s="41">
        <f>(AE7+AE9)/AE10</f>
        <v>0.7702150350066207</v>
      </c>
      <c r="AF11" s="41">
        <f>(AF7+AF9)/(AH7+AH9)</f>
        <v>0.65016345119946606</v>
      </c>
      <c r="AG11" s="66">
        <f>(AG8+AG9)/(AH8+AH9)</f>
        <v>0.96108643501750468</v>
      </c>
      <c r="AH11" s="41">
        <f>(AH7+AH9)/AH10</f>
        <v>0.76988774789683412</v>
      </c>
      <c r="AI11" s="41">
        <f>(AI7+AI9)/(AK7+AK9)</f>
        <v>0.64897177322622435</v>
      </c>
      <c r="AJ11" s="66">
        <f>(AJ8+AJ9)/(AK8+AK9)</f>
        <v>0.96076938338865447</v>
      </c>
      <c r="AK11" s="41">
        <f>(AK7+AK9)/AK10</f>
        <v>0.76907026127971989</v>
      </c>
      <c r="AL11" s="41">
        <f>(AL7+AL9)/(AN7+AN9)</f>
        <v>0.64806962535043933</v>
      </c>
      <c r="AM11" s="66">
        <f>(AM8+AM9)/(AN8+AN9)</f>
        <v>0.96056133914975594</v>
      </c>
      <c r="AN11" s="41">
        <f>(AN7+AN9)/AN10</f>
        <v>0.7677296758247526</v>
      </c>
      <c r="AO11" s="41">
        <f>(AO7+AO9)/(AQ7+AQ9)</f>
        <v>0.64710717265730289</v>
      </c>
      <c r="AP11" s="66">
        <f>(AP8+AP9)/(AQ8+AQ9)</f>
        <v>0.9603601556128929</v>
      </c>
      <c r="AQ11" s="41">
        <f>(AQ7+AQ9)/AQ10</f>
        <v>0.76702693504608599</v>
      </c>
      <c r="AR11" s="41">
        <f>(AR7+AR9)/(AT7+AT9)</f>
        <v>0.64611713550642358</v>
      </c>
      <c r="AS11" s="66">
        <f>(AS8+AS9)/(AT8+AT9)</f>
        <v>0.96016455574232096</v>
      </c>
      <c r="AT11" s="41">
        <f>(AT7+AT9)/AT10</f>
        <v>0.76659879378829332</v>
      </c>
      <c r="AU11" s="41">
        <f>(AU7+AU9)/(AW7+AW9)</f>
        <v>0.64473855479693021</v>
      </c>
      <c r="AV11" s="66">
        <f>(AV8+AV9)/(AW8+AW9)</f>
        <v>0.95992726680018015</v>
      </c>
      <c r="AW11" s="41">
        <f>(AW7+AW9)/AW10</f>
        <v>0.76565347366449321</v>
      </c>
      <c r="AX11" s="41">
        <f>(AX7+AX9)/(AZ7+AZ9)</f>
        <v>0.64373628610734801</v>
      </c>
      <c r="AY11" s="66">
        <f>(AY8+AY9)/(AZ8+AZ9)</f>
        <v>0.95965225234119933</v>
      </c>
      <c r="AZ11" s="41">
        <f>(AZ7+AZ9)/AZ10</f>
        <v>0.76466816878985999</v>
      </c>
      <c r="BA11" s="41">
        <f>(BA7+BA9)/(BC7+BC9)</f>
        <v>0.64273330747399593</v>
      </c>
      <c r="BB11" s="66">
        <f>(BB8+BB9)/(BC8+BC9)</f>
        <v>0.95943451497179</v>
      </c>
      <c r="BC11" s="41">
        <f>(BC7+BC9)/BC10</f>
        <v>0.76500124878233688</v>
      </c>
      <c r="BD11" s="41">
        <f>(BD7+BD9)/(BF7+BF9)</f>
        <v>0.64162680005711914</v>
      </c>
      <c r="BE11" s="66">
        <f>(BE8+BE9)/(BF8+BF9)</f>
        <v>0.95922656691153885</v>
      </c>
      <c r="BF11" s="41">
        <f>(BF7+BF9)/BF10</f>
        <v>0.76468722877351836</v>
      </c>
      <c r="BG11" s="41">
        <f>(BG7+BG9)/(BI7+BI9)</f>
        <v>0.63989247842377273</v>
      </c>
      <c r="BH11" s="66">
        <f>(BH8+BH9)/(BI8+BI9)</f>
        <v>0.95900057790989701</v>
      </c>
      <c r="BI11" s="41">
        <f>(BI7+BI9)/BI10</f>
        <v>0.76531058231069959</v>
      </c>
      <c r="BJ11" s="41">
        <f>(BJ7+BJ9)/(BL7+BL9)</f>
        <v>0.63862250373585205</v>
      </c>
      <c r="BK11" s="66">
        <f>(BK8+BK9)/(BL8+BL9)</f>
        <v>0.95875066880684856</v>
      </c>
      <c r="BL11" s="41">
        <f>(BL7+BL9)/BL10</f>
        <v>0.76517298124423372</v>
      </c>
      <c r="BM11" s="41">
        <f>(BM7+BM9)/(BO7+BO9)</f>
        <v>0.63783464000104706</v>
      </c>
      <c r="BN11" s="66">
        <f>(BN8+BN9)/(BO8+BO9)</f>
        <v>0.95843957096495425</v>
      </c>
      <c r="BO11" s="41">
        <f>(BO7+BO9)/BO10</f>
        <v>0.76519248041624832</v>
      </c>
      <c r="BP11" s="41">
        <f>(BP7+BP9)/(BR7+BR9)</f>
        <v>0.63669683854798087</v>
      </c>
      <c r="BQ11" s="66">
        <f>(BQ8+BQ9)/(BR8+BR9)</f>
        <v>0.95822924409072741</v>
      </c>
      <c r="BR11" s="41">
        <f>(BR7+BR9)/BR10</f>
        <v>0.7657476488104662</v>
      </c>
      <c r="BS11" s="41">
        <f>(BS7+BS9)/(BU7+BU9)</f>
        <v>0.63543089047966417</v>
      </c>
      <c r="BT11" s="66">
        <f>(BT8+BT9)/(BU8+BU9)</f>
        <v>0.95815293875702146</v>
      </c>
      <c r="BU11" s="41">
        <f>(BU7+BU9)/BU10</f>
        <v>0.76646632532461578</v>
      </c>
      <c r="BV11" s="41">
        <f>(BV7+BV9)/(BX7+BX9)</f>
        <v>0.63424945273979061</v>
      </c>
      <c r="BW11" s="66">
        <f>(BW8+BW9)/(BX8+BX9)</f>
        <v>0.95794117923913025</v>
      </c>
      <c r="BX11" s="41">
        <f>(BX7+BX9)/BX10</f>
        <v>0.76692899106696344</v>
      </c>
      <c r="BY11" s="41">
        <f>(BY7+BY9)/(CA7+CA9)</f>
        <v>0.63297286799969266</v>
      </c>
      <c r="BZ11" s="66">
        <f>(BZ8+BZ9)/(CA8+CA9)</f>
        <v>0.95780809208645512</v>
      </c>
      <c r="CA11" s="41">
        <f>(CA7+CA9)/CA10</f>
        <v>0.76791038884294527</v>
      </c>
      <c r="CB11" s="41">
        <f>(CE7+CE9)/(CG7+CG9)</f>
        <v>0.63099121406415026</v>
      </c>
      <c r="CC11" s="66">
        <f>(CF8+CF9)/(CG8+CG9)</f>
        <v>0.95712845517028888</v>
      </c>
      <c r="CD11" s="41">
        <f>(CG7+CG9)/CG10</f>
        <v>0.76800413863468164</v>
      </c>
      <c r="CE11" s="41">
        <f>(CE7+CE9)/(CG7+CG9)</f>
        <v>0.63099121406415026</v>
      </c>
      <c r="CF11" s="66">
        <f>(CF8+CF9)/(CG8+CG9)</f>
        <v>0.95712845517028888</v>
      </c>
      <c r="CG11" s="41">
        <f>(CG7+CG9)/CG10</f>
        <v>0.76800413863468164</v>
      </c>
      <c r="CH11" s="41">
        <f>(CH7+CH9)/(CJ7+CJ9)</f>
        <v>0.62977011255555093</v>
      </c>
      <c r="CI11" s="66">
        <f>(CI8+CI9)/(CJ8+CJ9)</f>
        <v>0.95689635371417991</v>
      </c>
      <c r="CJ11" s="41">
        <f>(CJ7+CJ9)/CJ10</f>
        <v>0.76808692458579186</v>
      </c>
      <c r="CK11" s="41">
        <f>(CK7+CK9)/(CM7+CM9)</f>
        <v>0.6283564819005637</v>
      </c>
      <c r="CL11" s="66">
        <f>(CL8+CL9)/(CM8+CM9)</f>
        <v>0.95661535673275511</v>
      </c>
      <c r="CM11" s="41">
        <f>(CM7+CM9)/CM10</f>
        <v>0.76888294963499437</v>
      </c>
      <c r="CN11" s="41">
        <f>(CQ7+CQ9)/(CS7+CS9)</f>
        <v>0.62584487530343891</v>
      </c>
      <c r="CO11" s="66">
        <f>(CO8+CO9)/(CS8+CS9)</f>
        <v>0.95694777569160305</v>
      </c>
      <c r="CP11" s="41">
        <f>(CS7+CS9)/CS10</f>
        <v>0.7700354252538254</v>
      </c>
      <c r="CQ11" s="138">
        <f>(CQ7+CQ9)/(CS7+CS9)</f>
        <v>0.62584487530343891</v>
      </c>
      <c r="CR11" s="139">
        <f>(CR8+CR9)/(CS8+CS9)</f>
        <v>0.95616636459339488</v>
      </c>
      <c r="CS11" s="138">
        <f>(CS7+CS9)/CS10</f>
        <v>0.7700354252538254</v>
      </c>
      <c r="CT11" s="138">
        <f>(CT7+CT9)/(CV7+CV9)</f>
        <v>0.6252060833058728</v>
      </c>
      <c r="CU11" s="139">
        <f>(CU8+CU9)/(CV8+CV9)</f>
        <v>0.95581878000078624</v>
      </c>
      <c r="CV11" s="138">
        <f>(CV7+CV9)/CV10</f>
        <v>0.76969147531314286</v>
      </c>
      <c r="CW11" s="138">
        <f>(CW7+CW9)/(CY7+CY9)</f>
        <v>0.62427530642600759</v>
      </c>
      <c r="CX11" s="139">
        <f>(CX8+CX9)/(CY8+CY9)</f>
        <v>0.95557926451716502</v>
      </c>
      <c r="CY11" s="138">
        <f>(CY7+CY9)/CY10</f>
        <v>0.77021746689317394</v>
      </c>
      <c r="CZ11" s="138">
        <f>(CZ7+CZ9)/(DB7+DB9)</f>
        <v>0.6232185490377512</v>
      </c>
      <c r="DA11" s="139">
        <f>(DA8+DA9)/(DB8+DB9)</f>
        <v>0.95534348016176629</v>
      </c>
      <c r="DB11" s="138">
        <f>(DB7+DB9)/DB10</f>
        <v>0.77111823574047811</v>
      </c>
      <c r="DC11" s="138">
        <f>(DC7+DC9)/(DE7+DE9)</f>
        <v>0.62225307812566888</v>
      </c>
      <c r="DD11" s="139">
        <f>(DD8+DD9)/(DE8+DE9)</f>
        <v>0.95506729357094322</v>
      </c>
      <c r="DE11" s="138">
        <f>(DE7+DE9)/DE10</f>
        <v>0.77138213387656362</v>
      </c>
      <c r="DF11" s="138">
        <f>(DF7+DF9)/(DH7+DH9)</f>
        <v>0.62144575511311517</v>
      </c>
      <c r="DG11" s="139">
        <f>(DG8+DG9)/(DH8+DH9)</f>
        <v>0.95474437748334384</v>
      </c>
      <c r="DH11" s="138">
        <f>(DH7+DH9)/DH10</f>
        <v>0.77106519550042774</v>
      </c>
      <c r="DI11" s="138">
        <f>(DI7+DI9)/(DK7+DK9)</f>
        <v>0.62058490937950639</v>
      </c>
      <c r="DJ11" s="138">
        <f>(DJ8+DJ9)/(DK8+DK9)</f>
        <v>0.95467941454592575</v>
      </c>
      <c r="DK11" s="138">
        <f>(DK7+DK9)/DK10</f>
        <v>0.77136990160114216</v>
      </c>
      <c r="DL11" s="138">
        <f>(DL7+DL9)/(DN7+DN9)</f>
        <v>0.61955413859907005</v>
      </c>
      <c r="DM11" s="138">
        <f>(DM8+DM9)/(DN8+DN9)</f>
        <v>0.95455731950804334</v>
      </c>
      <c r="DN11" s="138">
        <f>(DN7+DN9)/DN10</f>
        <v>0.77156922799530236</v>
      </c>
      <c r="EC11" s="239">
        <f>EA10+EB10</f>
        <v>2430051</v>
      </c>
      <c r="EE11" s="198">
        <f>(EE9+EE7)/(EF9+EF7)</f>
        <v>0.38591069717633619</v>
      </c>
      <c r="EF11" s="239">
        <f>ED10+EE10</f>
        <v>2430021</v>
      </c>
      <c r="EI11" s="239">
        <f>EG10+EH10</f>
        <v>2419820</v>
      </c>
      <c r="EK11" s="239"/>
      <c r="EL11" s="239">
        <f>EJ10+EK10</f>
        <v>2403085</v>
      </c>
      <c r="EN11" s="239"/>
      <c r="EO11" s="239">
        <f>EM10+EN10</f>
        <v>2388748</v>
      </c>
      <c r="EQ11" s="239"/>
      <c r="ER11" s="239">
        <f>EP10+EQ10</f>
        <v>2370893</v>
      </c>
      <c r="ET11" s="239"/>
      <c r="EU11" s="239">
        <f>ES10+ET10</f>
        <v>2354694</v>
      </c>
      <c r="EW11" s="239"/>
      <c r="EX11" s="239">
        <f>EV10+EW10</f>
        <v>2339468</v>
      </c>
      <c r="EZ11" s="239"/>
      <c r="FA11" s="239">
        <f>EY10+EZ10</f>
        <v>2328897</v>
      </c>
      <c r="FC11" s="239"/>
      <c r="FD11" s="239">
        <f>FB10+FC10</f>
        <v>2317633</v>
      </c>
      <c r="FF11" s="239"/>
      <c r="FG11" s="239">
        <f>FE10+FF10</f>
        <v>2305121</v>
      </c>
      <c r="FI11" s="239"/>
      <c r="FJ11" s="239">
        <f>FH10+FI10</f>
        <v>2292542</v>
      </c>
      <c r="FL11" s="239"/>
      <c r="FM11" s="239">
        <f>FK10+FL10</f>
        <v>2281789</v>
      </c>
      <c r="FN11" s="198"/>
      <c r="FO11" s="239"/>
      <c r="FP11" s="239">
        <f>FN10+FO10</f>
        <v>2269648</v>
      </c>
      <c r="FQ11" s="198"/>
      <c r="FR11" s="239"/>
      <c r="FS11" s="239">
        <f>FQ10+FR10</f>
        <v>2256226</v>
      </c>
      <c r="FT11" s="198"/>
      <c r="FU11" s="239"/>
      <c r="FV11" s="239">
        <f>FT10+FU10</f>
        <v>2245444</v>
      </c>
      <c r="FW11" s="198"/>
      <c r="FX11" s="239"/>
      <c r="FY11" s="239">
        <f>FW10+FX10</f>
        <v>2237664</v>
      </c>
      <c r="FZ11" s="198"/>
      <c r="GA11" s="239"/>
      <c r="GB11" s="239">
        <f>FZ10+GA10</f>
        <v>2230077</v>
      </c>
      <c r="GC11" s="198"/>
      <c r="GD11" s="239"/>
      <c r="GE11" s="239">
        <f>GC10+GD10</f>
        <v>2215388</v>
      </c>
      <c r="GF11" s="198"/>
      <c r="GG11" s="239"/>
      <c r="GH11" s="239">
        <f>GF10+GG10</f>
        <v>2202752</v>
      </c>
      <c r="GI11" s="198"/>
      <c r="GJ11" s="239"/>
      <c r="GK11" s="239">
        <f>GI10+GJ10</f>
        <v>2192325</v>
      </c>
      <c r="GL11" s="198"/>
      <c r="GM11" s="239"/>
      <c r="GN11" s="239">
        <f>GL10+GM10</f>
        <v>2182388</v>
      </c>
    </row>
    <row r="12" spans="1:196" ht="12" thickBot="1" x14ac:dyDescent="0.3">
      <c r="A12" s="3" t="s">
        <v>16</v>
      </c>
      <c r="B12" s="3"/>
      <c r="C12" s="3"/>
      <c r="AM12" s="4">
        <f>(AM9+AM7)/(AN7+AN9)</f>
        <v>0.35193037464956073</v>
      </c>
      <c r="AR12" s="4"/>
      <c r="AS12" s="4"/>
      <c r="AT12" s="4"/>
      <c r="AU12" s="76"/>
      <c r="AV12" s="76"/>
      <c r="AW12" s="76"/>
      <c r="BG12" s="76" t="s">
        <v>158</v>
      </c>
      <c r="BH12" s="111"/>
      <c r="BI12" s="111"/>
      <c r="BV12" s="71"/>
      <c r="CM12" s="71"/>
      <c r="CP12" s="71"/>
      <c r="CS12" s="140"/>
      <c r="CV12" s="140"/>
      <c r="CY12" s="140"/>
      <c r="DB12" s="140"/>
      <c r="DC12" s="126"/>
      <c r="DD12" s="126"/>
      <c r="DE12" s="140"/>
      <c r="DF12" s="126"/>
      <c r="DG12" s="126"/>
      <c r="DH12" s="140"/>
      <c r="DI12" s="126"/>
      <c r="DJ12" s="126"/>
      <c r="DK12" s="140"/>
      <c r="DN12" s="127">
        <f>DN8/DN10</f>
        <v>0.22843077200469761</v>
      </c>
      <c r="FN12" s="198"/>
      <c r="FO12" s="198"/>
      <c r="FP12" s="198"/>
      <c r="FQ12" s="198"/>
      <c r="FR12" s="198"/>
      <c r="FS12" s="198"/>
      <c r="FT12" s="198"/>
      <c r="FU12" s="198"/>
      <c r="FV12" s="198"/>
      <c r="FW12" s="198"/>
      <c r="FX12" s="198"/>
      <c r="FY12" s="198"/>
      <c r="FZ12" s="198"/>
      <c r="GA12" s="198"/>
      <c r="GB12" s="198"/>
      <c r="GC12" s="198"/>
      <c r="GD12" s="198"/>
      <c r="GE12" s="198"/>
      <c r="GF12" s="198"/>
      <c r="GG12" s="198"/>
      <c r="GH12" s="198"/>
      <c r="GI12" s="198"/>
      <c r="GJ12" s="198"/>
      <c r="GK12" s="198"/>
      <c r="GL12" s="198"/>
      <c r="GM12" s="198"/>
      <c r="GN12" s="198"/>
    </row>
    <row r="13" spans="1:196" s="185" customFormat="1" ht="24" customHeight="1" x14ac:dyDescent="0.25">
      <c r="A13" s="184"/>
      <c r="B13" s="444" t="str">
        <f>B5</f>
        <v>Situation au 31/12/2008</v>
      </c>
      <c r="C13" s="445"/>
      <c r="D13" s="446"/>
      <c r="E13" s="444" t="str">
        <f>E5</f>
        <v>Situation au 31/03/2009</v>
      </c>
      <c r="F13" s="445"/>
      <c r="G13" s="446"/>
      <c r="H13" s="444" t="str">
        <f>H5</f>
        <v>Situation au 30/06/2009</v>
      </c>
      <c r="I13" s="445"/>
      <c r="J13" s="446"/>
      <c r="K13" s="444" t="str">
        <f>K5</f>
        <v>Situation au 30/09/2009</v>
      </c>
      <c r="L13" s="445"/>
      <c r="M13" s="446"/>
      <c r="N13" s="444" t="str">
        <f>N5</f>
        <v>Situation au 31/12/2009</v>
      </c>
      <c r="O13" s="445"/>
      <c r="P13" s="445"/>
      <c r="Q13" s="444" t="str">
        <f>Q5</f>
        <v>Situation au 31/03/2010</v>
      </c>
      <c r="R13" s="445"/>
      <c r="S13" s="446"/>
      <c r="T13" s="444" t="str">
        <f>T5</f>
        <v>Situation au 30/06/2010</v>
      </c>
      <c r="U13" s="445"/>
      <c r="V13" s="446"/>
      <c r="W13" s="444" t="str">
        <f>W5</f>
        <v>Situation au 31/09/2010</v>
      </c>
      <c r="X13" s="445"/>
      <c r="Y13" s="446"/>
      <c r="Z13" s="444" t="str">
        <f>Z5</f>
        <v>Situation au 31/12/2010</v>
      </c>
      <c r="AA13" s="445"/>
      <c r="AB13" s="446"/>
      <c r="AC13" s="444" t="str">
        <f>AC5</f>
        <v>Situation au 31/03/2011</v>
      </c>
      <c r="AD13" s="445"/>
      <c r="AE13" s="446"/>
      <c r="AF13" s="444" t="str">
        <f>AF5</f>
        <v>Situation au 30/06/2011</v>
      </c>
      <c r="AG13" s="445"/>
      <c r="AH13" s="446"/>
      <c r="AI13" s="444" t="str">
        <f>AI5</f>
        <v>Situation au 30/09/2011</v>
      </c>
      <c r="AJ13" s="445"/>
      <c r="AK13" s="446"/>
      <c r="AL13" s="444" t="str">
        <f>AL5</f>
        <v>Situation au 31/12/2011</v>
      </c>
      <c r="AM13" s="445"/>
      <c r="AN13" s="446"/>
      <c r="AO13" s="444" t="str">
        <f>AO5</f>
        <v>Situation au 31/03/2012</v>
      </c>
      <c r="AP13" s="445"/>
      <c r="AQ13" s="446"/>
      <c r="AR13" s="444" t="str">
        <f>AR5</f>
        <v>Situation au 30/06/2012</v>
      </c>
      <c r="AS13" s="445"/>
      <c r="AT13" s="446"/>
      <c r="AU13" s="444" t="str">
        <f>AU5</f>
        <v>Situation au 30/09/2012</v>
      </c>
      <c r="AV13" s="445"/>
      <c r="AW13" s="446"/>
      <c r="AX13" s="444" t="str">
        <f>AX5</f>
        <v>Situation au 31/12/2012</v>
      </c>
      <c r="AY13" s="445"/>
      <c r="AZ13" s="446"/>
      <c r="BA13" s="444" t="str">
        <f>BA5</f>
        <v>Situation au 31/03/2013</v>
      </c>
      <c r="BB13" s="445"/>
      <c r="BC13" s="446"/>
      <c r="BD13" s="444" t="str">
        <f>BD5</f>
        <v>Situation au 31/06/2013</v>
      </c>
      <c r="BE13" s="445"/>
      <c r="BF13" s="446"/>
      <c r="BG13" s="444" t="str">
        <f>BG5</f>
        <v>Situation au 31/09/2013</v>
      </c>
      <c r="BH13" s="445"/>
      <c r="BI13" s="446"/>
      <c r="BJ13" s="444" t="str">
        <f>BJ5</f>
        <v>Situation au 31/12/2013</v>
      </c>
      <c r="BK13" s="445"/>
      <c r="BL13" s="446"/>
      <c r="BM13" s="444" t="str">
        <f>BM5</f>
        <v>Situation au 31/03/2014</v>
      </c>
      <c r="BN13" s="445"/>
      <c r="BO13" s="446"/>
      <c r="BP13" s="444" t="str">
        <f>BP5</f>
        <v>Situation au 30/06/2014</v>
      </c>
      <c r="BQ13" s="445"/>
      <c r="BR13" s="446"/>
      <c r="BS13" s="444" t="str">
        <f>BS5</f>
        <v>Situation au 30/09/2014</v>
      </c>
      <c r="BT13" s="445"/>
      <c r="BU13" s="446"/>
      <c r="BV13" s="444" t="str">
        <f>BV5</f>
        <v>Situation au 31/12/2014</v>
      </c>
      <c r="BW13" s="445"/>
      <c r="BX13" s="446"/>
      <c r="BY13" s="444" t="str">
        <f>BY5</f>
        <v>Situation au 31/03/2015</v>
      </c>
      <c r="BZ13" s="445"/>
      <c r="CA13" s="446"/>
      <c r="CB13" s="444" t="str">
        <f>CE5</f>
        <v>Situation au 30/09/2015</v>
      </c>
      <c r="CC13" s="445"/>
      <c r="CD13" s="446"/>
      <c r="CE13" s="444" t="str">
        <f>CE5</f>
        <v>Situation au 30/09/2015</v>
      </c>
      <c r="CF13" s="445"/>
      <c r="CG13" s="446"/>
      <c r="CH13" s="444" t="str">
        <f>CH5</f>
        <v>Situation au 31/12/2015</v>
      </c>
      <c r="CI13" s="445"/>
      <c r="CJ13" s="446"/>
      <c r="CK13" s="444" t="str">
        <f>CK5</f>
        <v>Situation au 31/03/2016</v>
      </c>
      <c r="CL13" s="445"/>
      <c r="CM13" s="446"/>
      <c r="CN13" s="444" t="str">
        <f>CN5</f>
        <v>Situation au 30/06/2016</v>
      </c>
      <c r="CO13" s="445"/>
      <c r="CP13" s="446"/>
      <c r="CQ13" s="433" t="str">
        <f>CQ5</f>
        <v>Situation au 30/09/2016</v>
      </c>
      <c r="CR13" s="434"/>
      <c r="CS13" s="435"/>
      <c r="CT13" s="433" t="str">
        <f>CT5</f>
        <v>Situation au 31/12/2016</v>
      </c>
      <c r="CU13" s="434"/>
      <c r="CV13" s="435"/>
      <c r="CW13" s="433" t="str">
        <f>CW5</f>
        <v>Situation au 31/03/2017</v>
      </c>
      <c r="CX13" s="434"/>
      <c r="CY13" s="435"/>
      <c r="CZ13" s="433" t="str">
        <f>CZ5</f>
        <v>Situation au 30/06/2017</v>
      </c>
      <c r="DA13" s="434"/>
      <c r="DB13" s="435"/>
      <c r="DC13" s="433" t="str">
        <f>DC5</f>
        <v>Situation au 30/09/2017</v>
      </c>
      <c r="DD13" s="434"/>
      <c r="DE13" s="435"/>
      <c r="DF13" s="433" t="str">
        <f>DF5</f>
        <v>Situation au 31/12/2017</v>
      </c>
      <c r="DG13" s="434"/>
      <c r="DH13" s="435"/>
      <c r="DI13" s="433" t="str">
        <f>DI5</f>
        <v>Situation au 31/03/2018</v>
      </c>
      <c r="DJ13" s="434"/>
      <c r="DK13" s="435"/>
      <c r="DL13" s="433" t="str">
        <f>DL5</f>
        <v>Situation au 30/06/2018</v>
      </c>
      <c r="DM13" s="434"/>
      <c r="DN13" s="435"/>
      <c r="DO13" s="433" t="s">
        <v>273</v>
      </c>
      <c r="DP13" s="434"/>
      <c r="DQ13" s="435"/>
      <c r="DR13" s="433" t="s">
        <v>276</v>
      </c>
      <c r="DS13" s="434"/>
      <c r="DT13" s="435"/>
      <c r="DU13" s="441" t="str">
        <f>DU5</f>
        <v>Situation au 31/03/2019</v>
      </c>
      <c r="DV13" s="442"/>
      <c r="DW13" s="443"/>
      <c r="DX13" s="441" t="str">
        <f>DX5</f>
        <v>Situation au 30/06/2019</v>
      </c>
      <c r="DY13" s="442"/>
      <c r="DZ13" s="443"/>
      <c r="EA13" s="441" t="str">
        <f>EA5</f>
        <v>Situation au 30/09/2019</v>
      </c>
      <c r="EB13" s="442"/>
      <c r="EC13" s="443"/>
      <c r="ED13" s="441" t="str">
        <f>ED5</f>
        <v>Situation au 31/12/2019</v>
      </c>
      <c r="EE13" s="442"/>
      <c r="EF13" s="443"/>
      <c r="EG13" s="441" t="str">
        <f>EG5</f>
        <v>Situation au 31/03/2020</v>
      </c>
      <c r="EH13" s="442"/>
      <c r="EI13" s="443"/>
      <c r="EJ13" s="441" t="str">
        <f>EJ5</f>
        <v>Situation au 30/06/2020</v>
      </c>
      <c r="EK13" s="442"/>
      <c r="EL13" s="443"/>
      <c r="EM13" s="441" t="str">
        <f>EM5</f>
        <v>Situation au 30/09/2020</v>
      </c>
      <c r="EN13" s="442"/>
      <c r="EO13" s="443"/>
      <c r="EP13" s="441" t="str">
        <f>EP5</f>
        <v>Situation au 31/12/2020</v>
      </c>
      <c r="EQ13" s="442"/>
      <c r="ER13" s="443"/>
      <c r="ES13" s="441" t="str">
        <f>ES5</f>
        <v>Situation au 31/03/2021</v>
      </c>
      <c r="ET13" s="442"/>
      <c r="EU13" s="443"/>
      <c r="EV13" s="441" t="str">
        <f>EV5</f>
        <v>Situation au 30/06/2021</v>
      </c>
      <c r="EW13" s="442"/>
      <c r="EX13" s="443"/>
      <c r="EY13" s="441" t="str">
        <f>EY5</f>
        <v>Situation au 30/09/2021</v>
      </c>
      <c r="EZ13" s="442"/>
      <c r="FA13" s="443"/>
      <c r="FB13" s="433" t="str">
        <f>FB5</f>
        <v>Situation au 31/12/2021</v>
      </c>
      <c r="FC13" s="434"/>
      <c r="FD13" s="435"/>
      <c r="FE13" s="433" t="str">
        <f>FE5</f>
        <v>Situation au 31/03/2022</v>
      </c>
      <c r="FF13" s="434"/>
      <c r="FG13" s="435"/>
      <c r="FH13" s="433" t="str">
        <f>FH5</f>
        <v>Situation au 30/06/2022</v>
      </c>
      <c r="FI13" s="434"/>
      <c r="FJ13" s="435"/>
      <c r="FK13" s="433" t="str">
        <f>FK5</f>
        <v>Situation au 30/09/2022</v>
      </c>
      <c r="FL13" s="434"/>
      <c r="FM13" s="435"/>
      <c r="FN13" s="433" t="str">
        <f>FN5</f>
        <v>Situation au 31/12/2022</v>
      </c>
      <c r="FO13" s="434"/>
      <c r="FP13" s="435"/>
      <c r="FQ13" s="433" t="str">
        <f>FQ5</f>
        <v>Situation au 31/03/2023</v>
      </c>
      <c r="FR13" s="434"/>
      <c r="FS13" s="435"/>
      <c r="FT13" s="433" t="str">
        <f>FT5</f>
        <v>Situation au 30/06/2023</v>
      </c>
      <c r="FU13" s="434"/>
      <c r="FV13" s="435"/>
      <c r="FW13" s="433" t="str">
        <f>FW5</f>
        <v>Situation au 30/09/2023</v>
      </c>
      <c r="FX13" s="434"/>
      <c r="FY13" s="435"/>
      <c r="FZ13" s="433" t="str">
        <f>FZ5</f>
        <v>Situation au 31/12/2023</v>
      </c>
      <c r="GA13" s="434"/>
      <c r="GB13" s="435"/>
      <c r="GC13" s="433" t="str">
        <f>GC5</f>
        <v>Situation au 31/03/2024</v>
      </c>
      <c r="GD13" s="434"/>
      <c r="GE13" s="435"/>
      <c r="GF13" s="433" t="str">
        <f>GF5</f>
        <v>Situation au 30/06/2024</v>
      </c>
      <c r="GG13" s="434"/>
      <c r="GH13" s="435"/>
      <c r="GI13" s="433" t="str">
        <f>GI5</f>
        <v>Situation au 30/09/2024</v>
      </c>
      <c r="GJ13" s="434"/>
      <c r="GK13" s="435"/>
      <c r="GL13" s="433" t="str">
        <f>GL5</f>
        <v>Situation au 31/12/2024</v>
      </c>
      <c r="GM13" s="434"/>
      <c r="GN13" s="435"/>
    </row>
    <row r="14" spans="1:196" ht="12" thickBot="1" x14ac:dyDescent="0.3">
      <c r="A14" s="3"/>
      <c r="B14" s="34" t="str">
        <f>B6</f>
        <v>Hommes</v>
      </c>
      <c r="C14" s="35" t="str">
        <f t="shared" ref="C14:P14" si="53">C6</f>
        <v>Femmes</v>
      </c>
      <c r="D14" s="36" t="str">
        <f t="shared" si="53"/>
        <v>Ensemble</v>
      </c>
      <c r="E14" s="34" t="str">
        <f t="shared" si="53"/>
        <v>Hommes</v>
      </c>
      <c r="F14" s="35" t="str">
        <f t="shared" si="53"/>
        <v>Femmes</v>
      </c>
      <c r="G14" s="36" t="str">
        <f t="shared" si="53"/>
        <v>Ensemble</v>
      </c>
      <c r="H14" s="34" t="str">
        <f t="shared" si="53"/>
        <v>Hommes</v>
      </c>
      <c r="I14" s="35" t="str">
        <f t="shared" si="53"/>
        <v>Femmes</v>
      </c>
      <c r="J14" s="36" t="str">
        <f t="shared" si="53"/>
        <v>Ensemble</v>
      </c>
      <c r="K14" s="34" t="str">
        <f t="shared" si="53"/>
        <v>Hommes</v>
      </c>
      <c r="L14" s="35" t="str">
        <f t="shared" si="53"/>
        <v>Femmes</v>
      </c>
      <c r="M14" s="36" t="str">
        <f t="shared" si="53"/>
        <v>Ensemble</v>
      </c>
      <c r="N14" s="34" t="str">
        <f t="shared" si="53"/>
        <v>Hommes</v>
      </c>
      <c r="O14" s="35" t="str">
        <f t="shared" si="53"/>
        <v>Femmes</v>
      </c>
      <c r="P14" s="37" t="str">
        <f t="shared" si="53"/>
        <v>Ensemble</v>
      </c>
      <c r="Q14" s="34" t="str">
        <f>Q6</f>
        <v>Hommes</v>
      </c>
      <c r="R14" s="35" t="str">
        <f>R6</f>
        <v>Femmes</v>
      </c>
      <c r="S14" s="36" t="str">
        <f>S6</f>
        <v>Ensemble</v>
      </c>
      <c r="T14" s="34" t="str">
        <f>T6</f>
        <v>Hommes</v>
      </c>
      <c r="U14" s="35" t="str">
        <f>U6</f>
        <v>Femmes</v>
      </c>
      <c r="V14" s="36" t="str">
        <f>V6</f>
        <v>Ensemble</v>
      </c>
      <c r="W14" s="34" t="str">
        <f>W6</f>
        <v>Hommes</v>
      </c>
      <c r="X14" s="35" t="str">
        <f>X6</f>
        <v>Femmes</v>
      </c>
      <c r="Y14" s="36" t="str">
        <f>Y6</f>
        <v>Ensemble</v>
      </c>
      <c r="Z14" s="34" t="str">
        <f>Z6</f>
        <v>Hommes</v>
      </c>
      <c r="AA14" s="35" t="str">
        <f>AA6</f>
        <v>Femmes</v>
      </c>
      <c r="AB14" s="36" t="str">
        <f>AB6</f>
        <v>Ensemble</v>
      </c>
      <c r="AC14" s="34" t="str">
        <f>AC6</f>
        <v>Hommes</v>
      </c>
      <c r="AD14" s="35" t="str">
        <f>AD6</f>
        <v>Femmes</v>
      </c>
      <c r="AE14" s="36" t="str">
        <f>AE6</f>
        <v>Ensemble</v>
      </c>
      <c r="AF14" s="34" t="str">
        <f>AF6</f>
        <v>Hommes</v>
      </c>
      <c r="AG14" s="35" t="str">
        <f>AG6</f>
        <v>Femmes</v>
      </c>
      <c r="AH14" s="36" t="str">
        <f>AH6</f>
        <v>Ensemble</v>
      </c>
      <c r="AI14" s="34" t="str">
        <f>AI6</f>
        <v>Hommes</v>
      </c>
      <c r="AJ14" s="35" t="str">
        <f>AJ6</f>
        <v>Femmes</v>
      </c>
      <c r="AK14" s="36" t="str">
        <f>AK6</f>
        <v>Ensemble</v>
      </c>
      <c r="AL14" s="34" t="str">
        <f>AL6</f>
        <v>Hommes</v>
      </c>
      <c r="AM14" s="35" t="str">
        <f>AM6</f>
        <v>Femmes</v>
      </c>
      <c r="AN14" s="36" t="str">
        <f>AN6</f>
        <v>Ensemble</v>
      </c>
      <c r="AO14" s="34" t="str">
        <f>AO6</f>
        <v>Hommes</v>
      </c>
      <c r="AP14" s="35" t="str">
        <f>AP6</f>
        <v>Femmes</v>
      </c>
      <c r="AQ14" s="36" t="str">
        <f>AQ6</f>
        <v>Ensemble</v>
      </c>
      <c r="AR14" s="34" t="str">
        <f>AR6</f>
        <v>Hommes</v>
      </c>
      <c r="AS14" s="35" t="str">
        <f>AS6</f>
        <v>Femmes</v>
      </c>
      <c r="AT14" s="36" t="str">
        <f>AT6</f>
        <v>Ensemble</v>
      </c>
      <c r="AU14" s="34" t="str">
        <f>AU6</f>
        <v>Hommes</v>
      </c>
      <c r="AV14" s="35" t="str">
        <f>AV6</f>
        <v>Femmes</v>
      </c>
      <c r="AW14" s="36" t="str">
        <f>AW6</f>
        <v>Ensemble</v>
      </c>
      <c r="AX14" s="34" t="str">
        <f>AX6</f>
        <v>Hommes</v>
      </c>
      <c r="AY14" s="35" t="str">
        <f>AY6</f>
        <v>Femmes</v>
      </c>
      <c r="AZ14" s="36" t="str">
        <f>AZ6</f>
        <v>Ensemble</v>
      </c>
      <c r="BA14" s="34" t="str">
        <f>BA6</f>
        <v>Hommes</v>
      </c>
      <c r="BB14" s="35" t="str">
        <f>BB6</f>
        <v>Femmes</v>
      </c>
      <c r="BC14" s="36" t="str">
        <f>BC6</f>
        <v>Ensemble</v>
      </c>
      <c r="BD14" s="34" t="str">
        <f>BD6</f>
        <v>Hommes</v>
      </c>
      <c r="BE14" s="35" t="str">
        <f>BE6</f>
        <v>Femmes</v>
      </c>
      <c r="BF14" s="36" t="str">
        <f>BF6</f>
        <v>Ensemble</v>
      </c>
      <c r="BG14" s="34" t="str">
        <f>BG6</f>
        <v>Hommes</v>
      </c>
      <c r="BH14" s="35" t="str">
        <f>BH6</f>
        <v>Femmes</v>
      </c>
      <c r="BI14" s="36" t="str">
        <f>BI6</f>
        <v>Ensemble</v>
      </c>
      <c r="BJ14" s="34" t="str">
        <f>BJ6</f>
        <v>Hommes</v>
      </c>
      <c r="BK14" s="35" t="str">
        <f>BK6</f>
        <v>Femmes</v>
      </c>
      <c r="BL14" s="36" t="str">
        <f>BL6</f>
        <v>Ensemble</v>
      </c>
      <c r="BM14" s="34" t="str">
        <f>BM6</f>
        <v>Hommes</v>
      </c>
      <c r="BN14" s="35" t="str">
        <f>BN6</f>
        <v>Femmes</v>
      </c>
      <c r="BO14" s="36" t="str">
        <f>BO6</f>
        <v>Ensemble</v>
      </c>
      <c r="BP14" s="34" t="str">
        <f>BP6</f>
        <v>Hommes</v>
      </c>
      <c r="BQ14" s="35" t="str">
        <f>BQ6</f>
        <v>Femmes</v>
      </c>
      <c r="BR14" s="36" t="str">
        <f>BR6</f>
        <v>Ensemble</v>
      </c>
      <c r="BS14" s="34" t="str">
        <f>BS6</f>
        <v>Hommes</v>
      </c>
      <c r="BT14" s="35" t="str">
        <f>BT6</f>
        <v>Femmes</v>
      </c>
      <c r="BU14" s="36" t="str">
        <f>BU6</f>
        <v>Ensemble</v>
      </c>
      <c r="BV14" s="34" t="str">
        <f>BV6</f>
        <v>Hommes</v>
      </c>
      <c r="BW14" s="35" t="str">
        <f>BW6</f>
        <v>Femmes</v>
      </c>
      <c r="BX14" s="36" t="str">
        <f>BX6</f>
        <v>Ensemble</v>
      </c>
      <c r="BY14" s="34" t="str">
        <f>BY6</f>
        <v>Hommes</v>
      </c>
      <c r="BZ14" s="35" t="str">
        <f>BZ6</f>
        <v>Femmes</v>
      </c>
      <c r="CA14" s="36" t="str">
        <f>CA6</f>
        <v>Ensemble</v>
      </c>
      <c r="CB14" s="34" t="str">
        <f>CE6</f>
        <v>Hommes</v>
      </c>
      <c r="CC14" s="35" t="str">
        <f>CF6</f>
        <v>Femmes</v>
      </c>
      <c r="CD14" s="36" t="str">
        <f>CG6</f>
        <v>Ensemble</v>
      </c>
      <c r="CE14" s="34" t="str">
        <f>CE6</f>
        <v>Hommes</v>
      </c>
      <c r="CF14" s="35" t="str">
        <f>CF6</f>
        <v>Femmes</v>
      </c>
      <c r="CG14" s="36" t="str">
        <f>CG6</f>
        <v>Ensemble</v>
      </c>
      <c r="CH14" s="34" t="str">
        <f>CH6</f>
        <v>Hommes</v>
      </c>
      <c r="CI14" s="35" t="str">
        <f>CI6</f>
        <v>Femmes</v>
      </c>
      <c r="CJ14" s="36" t="str">
        <f>CJ6</f>
        <v>Ensemble</v>
      </c>
      <c r="CK14" s="34" t="str">
        <f>CK6</f>
        <v>Hommes</v>
      </c>
      <c r="CL14" s="35" t="str">
        <f>CL6</f>
        <v>Femmes</v>
      </c>
      <c r="CM14" s="36" t="str">
        <f>CM6</f>
        <v>Ensemble</v>
      </c>
      <c r="CN14" s="34" t="str">
        <f>CQ6</f>
        <v>Hommes</v>
      </c>
      <c r="CO14" s="35" t="str">
        <f>CO6</f>
        <v>Femmes</v>
      </c>
      <c r="CP14" s="36" t="str">
        <f>CS6</f>
        <v>Ensemble</v>
      </c>
      <c r="CQ14" s="129" t="str">
        <f>CQ6</f>
        <v>Hommes</v>
      </c>
      <c r="CR14" s="130" t="str">
        <f>CR6</f>
        <v>Femmes</v>
      </c>
      <c r="CS14" s="131" t="str">
        <f>CS6</f>
        <v>Ensemble</v>
      </c>
      <c r="CT14" s="129" t="str">
        <f>CT6</f>
        <v>Hommes</v>
      </c>
      <c r="CU14" s="130" t="str">
        <f>CU6</f>
        <v>Femmes</v>
      </c>
      <c r="CV14" s="131" t="str">
        <f>CV6</f>
        <v>Ensemble</v>
      </c>
      <c r="CW14" s="129" t="str">
        <f>CW6</f>
        <v>Hommes</v>
      </c>
      <c r="CX14" s="130" t="str">
        <f>CX6</f>
        <v>Femmes</v>
      </c>
      <c r="CY14" s="131" t="str">
        <f>CY6</f>
        <v>Ensemble</v>
      </c>
      <c r="CZ14" s="129" t="str">
        <f>CZ6</f>
        <v>Hommes</v>
      </c>
      <c r="DA14" s="130" t="str">
        <f>DA6</f>
        <v>Femmes</v>
      </c>
      <c r="DB14" s="131" t="str">
        <f>DB6</f>
        <v>Ensemble</v>
      </c>
      <c r="DC14" s="129" t="str">
        <f>DC6</f>
        <v>Hommes</v>
      </c>
      <c r="DD14" s="130" t="str">
        <f>DD6</f>
        <v>Femmes</v>
      </c>
      <c r="DE14" s="131" t="str">
        <f>DE6</f>
        <v>Ensemble</v>
      </c>
      <c r="DF14" s="129" t="str">
        <f>DF6</f>
        <v>Hommes</v>
      </c>
      <c r="DG14" s="130" t="str">
        <f>DG6</f>
        <v>Femmes</v>
      </c>
      <c r="DH14" s="131" t="str">
        <f>DH6</f>
        <v>Ensemble</v>
      </c>
      <c r="DI14" s="129" t="str">
        <f>DI6</f>
        <v>Hommes</v>
      </c>
      <c r="DJ14" s="130" t="str">
        <f>DJ6</f>
        <v>Femmes</v>
      </c>
      <c r="DK14" s="131" t="str">
        <f>DK6</f>
        <v>Ensemble</v>
      </c>
      <c r="DL14" s="129" t="str">
        <f>DL6</f>
        <v>Hommes</v>
      </c>
      <c r="DM14" s="130" t="str">
        <f>DM6</f>
        <v>Femmes</v>
      </c>
      <c r="DN14" s="131" t="str">
        <f>DN6</f>
        <v>Ensemble</v>
      </c>
      <c r="DO14" s="129" t="s">
        <v>0</v>
      </c>
      <c r="DP14" s="130" t="s">
        <v>1</v>
      </c>
      <c r="DQ14" s="131" t="s">
        <v>5</v>
      </c>
      <c r="DR14" s="129" t="s">
        <v>0</v>
      </c>
      <c r="DS14" s="130" t="s">
        <v>1</v>
      </c>
      <c r="DT14" s="131" t="s">
        <v>5</v>
      </c>
      <c r="DU14" s="199" t="str">
        <f>DU6</f>
        <v>Hommes</v>
      </c>
      <c r="DV14" s="200" t="str">
        <f>DV6</f>
        <v>Femmes</v>
      </c>
      <c r="DW14" s="201" t="str">
        <f>DW6</f>
        <v>Ensemble</v>
      </c>
      <c r="DX14" s="199" t="str">
        <f>DX6</f>
        <v>Hommes</v>
      </c>
      <c r="DY14" s="200" t="str">
        <f>DY6</f>
        <v>Femmes</v>
      </c>
      <c r="DZ14" s="201" t="str">
        <f>DZ6</f>
        <v>Ensemble</v>
      </c>
      <c r="EA14" s="199" t="str">
        <f>EA6</f>
        <v>Hommes</v>
      </c>
      <c r="EB14" s="200" t="str">
        <f>EB6</f>
        <v>Femmes</v>
      </c>
      <c r="EC14" s="201" t="str">
        <f>EC6</f>
        <v>Ensemble</v>
      </c>
      <c r="ED14" s="199" t="str">
        <f>ED6</f>
        <v>Hommes</v>
      </c>
      <c r="EE14" s="200" t="str">
        <f>EE6</f>
        <v>Femmes</v>
      </c>
      <c r="EF14" s="201" t="str">
        <f>EF6</f>
        <v>Ensemble</v>
      </c>
      <c r="EG14" s="199" t="str">
        <f>EG6</f>
        <v>Hommes</v>
      </c>
      <c r="EH14" s="200" t="str">
        <f>EH6</f>
        <v>Femmes</v>
      </c>
      <c r="EI14" s="201" t="str">
        <f>EI6</f>
        <v>Ensemble</v>
      </c>
      <c r="EJ14" s="199" t="str">
        <f>EJ6</f>
        <v>Hommes</v>
      </c>
      <c r="EK14" s="200" t="str">
        <f>EK6</f>
        <v>Femmes</v>
      </c>
      <c r="EL14" s="201" t="str">
        <f>EL6</f>
        <v>Ensemble</v>
      </c>
      <c r="EM14" s="199" t="str">
        <f>EM6</f>
        <v>Hommes</v>
      </c>
      <c r="EN14" s="200" t="str">
        <f>EN6</f>
        <v>Femmes</v>
      </c>
      <c r="EO14" s="201" t="str">
        <f>EO6</f>
        <v>Ensemble</v>
      </c>
      <c r="EP14" s="199" t="str">
        <f>EP6</f>
        <v>Hommes</v>
      </c>
      <c r="EQ14" s="200" t="str">
        <f>EQ6</f>
        <v>Femmes</v>
      </c>
      <c r="ER14" s="201" t="str">
        <f>ER6</f>
        <v>Ensemble</v>
      </c>
      <c r="ES14" s="199" t="str">
        <f>ES6</f>
        <v>Hommes</v>
      </c>
      <c r="ET14" s="200" t="str">
        <f>ET6</f>
        <v>Femmes</v>
      </c>
      <c r="EU14" s="201" t="str">
        <f>EU6</f>
        <v>Ensemble</v>
      </c>
      <c r="EV14" s="199" t="str">
        <f>EV6</f>
        <v>Hommes</v>
      </c>
      <c r="EW14" s="200" t="str">
        <f>EW6</f>
        <v>Femmes</v>
      </c>
      <c r="EX14" s="201" t="str">
        <f>EX6</f>
        <v>Ensemble</v>
      </c>
      <c r="EY14" s="199" t="str">
        <f>EY6</f>
        <v>Hommes</v>
      </c>
      <c r="EZ14" s="200" t="str">
        <f>EZ6</f>
        <v>Femmes</v>
      </c>
      <c r="FA14" s="201" t="str">
        <f>FA6</f>
        <v>Ensemble</v>
      </c>
      <c r="FB14" s="199" t="str">
        <f>FB6</f>
        <v>Hommes</v>
      </c>
      <c r="FC14" s="200" t="str">
        <f>FC6</f>
        <v>Femmes</v>
      </c>
      <c r="FD14" s="201" t="str">
        <f>FD6</f>
        <v>Ensemble</v>
      </c>
      <c r="FE14" s="199" t="str">
        <f>FE6</f>
        <v>Hommes</v>
      </c>
      <c r="FF14" s="200" t="str">
        <f>FF6</f>
        <v>Femmes</v>
      </c>
      <c r="FG14" s="201" t="str">
        <f>FG6</f>
        <v>Ensemble</v>
      </c>
      <c r="FH14" s="199" t="str">
        <f>FH6</f>
        <v>Hommes</v>
      </c>
      <c r="FI14" s="200" t="str">
        <f>FI6</f>
        <v>Femmes</v>
      </c>
      <c r="FJ14" s="201" t="str">
        <f>FJ6</f>
        <v>Ensemble</v>
      </c>
      <c r="FK14" s="199" t="str">
        <f>FK6</f>
        <v>Hommes</v>
      </c>
      <c r="FL14" s="200" t="str">
        <f>FL6</f>
        <v>Femmes</v>
      </c>
      <c r="FM14" s="201" t="str">
        <f>FM6</f>
        <v>Ensemble</v>
      </c>
      <c r="FN14" s="129" t="str">
        <f>FN6</f>
        <v>Hommes</v>
      </c>
      <c r="FO14" s="130" t="str">
        <f>FO6</f>
        <v>Femmes</v>
      </c>
      <c r="FP14" s="131" t="str">
        <f>FP6</f>
        <v>Ensemble</v>
      </c>
      <c r="FQ14" s="129" t="str">
        <f>FQ6</f>
        <v>Hommes</v>
      </c>
      <c r="FR14" s="366" t="str">
        <f>FR6</f>
        <v>Femmes</v>
      </c>
      <c r="FS14" s="131" t="str">
        <f>FS6</f>
        <v>Ensemble</v>
      </c>
      <c r="FT14" s="129" t="str">
        <f>FT6</f>
        <v>Hommes</v>
      </c>
      <c r="FU14" s="383" t="str">
        <f>FU6</f>
        <v>Femmes</v>
      </c>
      <c r="FV14" s="131" t="str">
        <f>FV6</f>
        <v>Ensemble</v>
      </c>
      <c r="FW14" s="129" t="str">
        <f>FW6</f>
        <v>Hommes</v>
      </c>
      <c r="FX14" s="385" t="str">
        <f>FX6</f>
        <v>Femmes</v>
      </c>
      <c r="FY14" s="131" t="str">
        <f>FY6</f>
        <v>Ensemble</v>
      </c>
      <c r="FZ14" s="129" t="str">
        <f>FZ6</f>
        <v>Hommes</v>
      </c>
      <c r="GA14" s="386" t="str">
        <f>GA6</f>
        <v>Femmes</v>
      </c>
      <c r="GB14" s="131" t="str">
        <f>GB6</f>
        <v>Ensemble</v>
      </c>
      <c r="GC14" s="129" t="str">
        <f>GC6</f>
        <v>Hommes</v>
      </c>
      <c r="GD14" s="391" t="str">
        <f>GD6</f>
        <v>Femmes</v>
      </c>
      <c r="GE14" s="131" t="str">
        <f>GE6</f>
        <v>Ensemble</v>
      </c>
      <c r="GF14" s="129" t="str">
        <f>GF6</f>
        <v>Hommes</v>
      </c>
      <c r="GG14" s="392" t="str">
        <f>GG6</f>
        <v>Femmes</v>
      </c>
      <c r="GH14" s="131" t="str">
        <f>GH6</f>
        <v>Ensemble</v>
      </c>
      <c r="GI14" s="129" t="str">
        <f>GI6</f>
        <v>Hommes</v>
      </c>
      <c r="GJ14" s="393" t="str">
        <f>GJ6</f>
        <v>Femmes</v>
      </c>
      <c r="GK14" s="131" t="str">
        <f>GK6</f>
        <v>Ensemble</v>
      </c>
      <c r="GL14" s="129" t="str">
        <f>GL6</f>
        <v>Hommes</v>
      </c>
      <c r="GM14" s="394" t="str">
        <f>GM6</f>
        <v>Femmes</v>
      </c>
      <c r="GN14" s="131" t="str">
        <f>GN6</f>
        <v>Ensemble</v>
      </c>
    </row>
    <row r="15" spans="1:196" x14ac:dyDescent="0.25">
      <c r="A15" s="38" t="s">
        <v>6</v>
      </c>
      <c r="B15" s="7">
        <f>[1]SAS_SA_4T2008!$A166</f>
        <v>14204</v>
      </c>
      <c r="C15" s="8">
        <f>[1]SAS_SA_4T2008!$A$176</f>
        <v>88</v>
      </c>
      <c r="D15" s="9">
        <f>[1]SAS_SA_4T2008!$A$186</f>
        <v>14292</v>
      </c>
      <c r="E15" s="7">
        <f>[2]SAS_SA_1T2009!$A166</f>
        <v>13948</v>
      </c>
      <c r="F15" s="8">
        <f>[2]SAS_SA_1T2009!$A$176</f>
        <v>83</v>
      </c>
      <c r="G15" s="9">
        <f>[2]SAS_SA_1T2009!$A$186</f>
        <v>14031</v>
      </c>
      <c r="H15" s="7">
        <f>[64]SAS_SA_2T2009!$A166</f>
        <v>13660</v>
      </c>
      <c r="I15" s="8">
        <f>[64]SAS_SA_2T2009!$A$176</f>
        <v>80</v>
      </c>
      <c r="J15" s="9">
        <f>[64]SAS_SA_2T2009!$A$186</f>
        <v>13740</v>
      </c>
      <c r="K15" s="7">
        <f>[3]SAS_SA_3T2009!$A166</f>
        <v>13522</v>
      </c>
      <c r="L15" s="8">
        <f>[3]SAS_SA_3T2009!$A$176</f>
        <v>73</v>
      </c>
      <c r="M15" s="9">
        <f>[3]SAS_SA_3T2009!$A$186</f>
        <v>13595</v>
      </c>
      <c r="N15" s="7">
        <f>[4]SAS_SA_4T2009!$A166</f>
        <v>13339</v>
      </c>
      <c r="O15" s="8">
        <f>[4]SAS_SA_4T2009!$A$176</f>
        <v>74</v>
      </c>
      <c r="P15" s="16">
        <f>[4]SAS_SA_4T2009!$A$186</f>
        <v>13413</v>
      </c>
      <c r="Q15" s="7">
        <f>[5]SAS_SA_1T2010!$A166</f>
        <v>13200</v>
      </c>
      <c r="R15" s="8">
        <f>[5]SAS_SA_1T2010!$A$176</f>
        <v>80</v>
      </c>
      <c r="S15" s="16">
        <f>[5]SAS_SA_1T2010!$A$186</f>
        <v>13280</v>
      </c>
      <c r="T15" s="7">
        <f>[65]SAS_SA_2T2010!$A166</f>
        <v>12632</v>
      </c>
      <c r="U15" s="8">
        <f>[65]SAS_SA_2T2010!$A$176</f>
        <v>65</v>
      </c>
      <c r="V15" s="16">
        <f>[65]SAS_SA_2T2010!$A$186</f>
        <v>12697</v>
      </c>
      <c r="W15" s="7">
        <f>[6]SAS_SA_3T2010!$A166</f>
        <v>12424</v>
      </c>
      <c r="X15" s="8">
        <f>[6]SAS_SA_3T2010!$A$176</f>
        <v>63</v>
      </c>
      <c r="Y15" s="16">
        <f>[6]SAS_SA_3T2010!$A$186</f>
        <v>12487</v>
      </c>
      <c r="Z15" s="7">
        <f>[7]SAS_SA_2010_4T!$A166</f>
        <v>12535</v>
      </c>
      <c r="AA15" s="8">
        <f>[7]SAS_SA_2010_4T!$A$176</f>
        <v>64</v>
      </c>
      <c r="AB15" s="9">
        <f>[7]SAS_SA_2010_4T!$A$186</f>
        <v>12599</v>
      </c>
      <c r="AC15" s="7">
        <f>[8]SAS_SA_2011_1T!$A159</f>
        <v>12241</v>
      </c>
      <c r="AD15" s="8">
        <f>[8]SAS_SA_2011_1T!$A$169</f>
        <v>66</v>
      </c>
      <c r="AE15" s="9">
        <f>[8]SAS_SA_2011_1T!$A$179</f>
        <v>12307</v>
      </c>
      <c r="AF15" s="7">
        <f>[9]SAS_SA_2011_2T!$A159</f>
        <v>11936</v>
      </c>
      <c r="AG15" s="8">
        <f>[9]SAS_SA_2011_2T!$A$169</f>
        <v>60</v>
      </c>
      <c r="AH15" s="9">
        <f>[9]SAS_SA_2011_2T!$A$179</f>
        <v>11996</v>
      </c>
      <c r="AI15" s="7">
        <f>[10]SAS_SA_2011_3T!$A159</f>
        <v>11690</v>
      </c>
      <c r="AJ15" s="8">
        <f>[10]SAS_SA_2011_3T!$A$169</f>
        <v>66</v>
      </c>
      <c r="AK15" s="9">
        <f>[10]SAS_SA_2011_3T!$A$179</f>
        <v>11756</v>
      </c>
      <c r="AL15" s="7">
        <f>[11]SAS_SA_2011_4T!$A159</f>
        <v>11416</v>
      </c>
      <c r="AM15" s="8">
        <f>[11]SAS_SA_2011_4T!$A$169</f>
        <v>60</v>
      </c>
      <c r="AN15" s="9">
        <f>[11]SAS_SA_2011_4T!$A$179</f>
        <v>11476</v>
      </c>
      <c r="AO15" s="7">
        <f>'[12]120612-17H07S59-PROGRAM-TdB_STO'!$A159</f>
        <v>11124</v>
      </c>
      <c r="AP15" s="8">
        <f>'[12]120612-17H07S59-PROGRAM-TdB_STO'!$A$169</f>
        <v>58</v>
      </c>
      <c r="AQ15" s="9">
        <f>'[12]120612-17H07S59-PROGRAM-TdB_STO'!$A$179</f>
        <v>11182</v>
      </c>
      <c r="AR15" s="7">
        <f>[13]SAS_SA_2012_2T!$A159</f>
        <v>10766</v>
      </c>
      <c r="AS15" s="8">
        <f>[13]SAS_SA_2012_2T!$A$169</f>
        <v>59</v>
      </c>
      <c r="AT15" s="9">
        <f>[13]SAS_SA_2012_2T!$A$179</f>
        <v>10825</v>
      </c>
      <c r="AU15" s="7">
        <f>'[14]121105-09H31S06-PROGRAM-TdB_STO'!$A159</f>
        <v>10431</v>
      </c>
      <c r="AV15" s="8">
        <f>'[14]121105-09H31S06-PROGRAM-TdB_STO'!$A$169</f>
        <v>58</v>
      </c>
      <c r="AW15" s="9">
        <f>'[14]121105-09H31S06-PROGRAM-TdB_STO'!$A$179</f>
        <v>10489</v>
      </c>
      <c r="AX15" s="7">
        <f>[15]SAS_SA_2012_4T!$A159</f>
        <v>10159</v>
      </c>
      <c r="AY15" s="8">
        <f>[15]SAS_SA_2012_4T!$A$169</f>
        <v>61</v>
      </c>
      <c r="AZ15" s="9">
        <f>[15]SAS_SA_2012_4T!$A$179</f>
        <v>10220</v>
      </c>
      <c r="BA15" s="7">
        <f>[16]SAS_SA_2013_1T!$A159</f>
        <v>9873</v>
      </c>
      <c r="BB15" s="8">
        <f>[16]SAS_SA_2013_1T!$A$169</f>
        <v>56</v>
      </c>
      <c r="BC15" s="9">
        <f>[16]SAS_SA_2013_1T!$A$179</f>
        <v>9929</v>
      </c>
      <c r="BD15" s="7">
        <f>[17]SAS_SA_2013_2T!$A159</f>
        <v>9527</v>
      </c>
      <c r="BE15" s="8">
        <f>[17]SAS_SA_2013_2T!$A$169</f>
        <v>52</v>
      </c>
      <c r="BF15" s="9">
        <f>[17]SAS_SA_2013_2T!$A$179</f>
        <v>9579</v>
      </c>
      <c r="BG15" s="7">
        <f>[18]SAS_SA_2013_3T!$A159</f>
        <v>9338</v>
      </c>
      <c r="BH15" s="8">
        <f>[18]SAS_SA_2013_3T!$A$169</f>
        <v>53</v>
      </c>
      <c r="BI15" s="9">
        <f>[18]SAS_SA_2013_3T!$A$179</f>
        <v>9391</v>
      </c>
      <c r="BJ15" s="7">
        <f>[19]SAS_SA_2013_4T!$A159</f>
        <v>9120</v>
      </c>
      <c r="BK15" s="8">
        <f>[19]SAS_SA_2013_4T!$A$169</f>
        <v>50</v>
      </c>
      <c r="BL15" s="9">
        <f>[19]SAS_SA_2013_4T!$A$179</f>
        <v>9170</v>
      </c>
      <c r="BM15" s="7">
        <f>[20]SAS_SA_2014_1T!$A159</f>
        <v>8880</v>
      </c>
      <c r="BN15" s="8">
        <f>[20]SAS_SA_2014_1T!$A$169</f>
        <v>48</v>
      </c>
      <c r="BO15" s="9">
        <f>[20]SAS_SA_2014_1T!$A$179</f>
        <v>8928</v>
      </c>
      <c r="BP15" s="7">
        <f>[21]SAS_SA_2014_2T!$A159</f>
        <v>8575</v>
      </c>
      <c r="BQ15" s="8">
        <f>[21]SAS_SA_2014_2T!$A$169</f>
        <v>47</v>
      </c>
      <c r="BR15" s="9">
        <f>[21]SAS_SA_2014_2T!$A$179</f>
        <v>8622</v>
      </c>
      <c r="BS15" s="7">
        <f>[22]SAS_SA_2014_3T!$A159</f>
        <v>8351</v>
      </c>
      <c r="BT15" s="8">
        <f>[22]SAS_SA_2014_3T!$A$169</f>
        <v>46</v>
      </c>
      <c r="BU15" s="9">
        <f>[22]SAS_SA_2014_3T!$A$179</f>
        <v>8397</v>
      </c>
      <c r="BV15" s="7">
        <f>[23]SAS_SA_2014_4T!$A159</f>
        <v>8080</v>
      </c>
      <c r="BW15" s="8">
        <f>[23]SAS_SA_2014_4T!$A$169</f>
        <v>45</v>
      </c>
      <c r="BX15" s="9">
        <f>[23]SAS_SA_2014_4T!$A$179</f>
        <v>8125</v>
      </c>
      <c r="BY15" s="7">
        <f>[24]SAS_SA_2015_1T!$A159</f>
        <v>7851</v>
      </c>
      <c r="BZ15" s="8">
        <f>[24]SAS_SA_2015_1T!$A$169</f>
        <v>42</v>
      </c>
      <c r="CA15" s="9">
        <f>[24]SAS_SA_2015_1T!$A$179</f>
        <v>7893</v>
      </c>
      <c r="CB15" s="7">
        <f>[25]SAS_SA_2015_2T!$A159</f>
        <v>7581</v>
      </c>
      <c r="CC15" s="8">
        <f>[25]SAS_SA_2015_2T!$A$169</f>
        <v>40</v>
      </c>
      <c r="CD15" s="9">
        <f>[25]SAS_SA_2015_2T!$A$179</f>
        <v>7621</v>
      </c>
      <c r="CE15" s="7">
        <f>[26]SAS_SA_2015_3T!$A159</f>
        <v>7375</v>
      </c>
      <c r="CF15" s="8">
        <f>[26]SAS_SA_2015_3T!$A$169</f>
        <v>36</v>
      </c>
      <c r="CG15" s="9">
        <f>[26]SAS_SA_2015_3T!$A$179</f>
        <v>7411</v>
      </c>
      <c r="CH15" s="7">
        <f>[27]SAS_SA_2015_4T!$A159</f>
        <v>7155</v>
      </c>
      <c r="CI15" s="8">
        <f>[27]SAS_SA_2015_4T!$A$169</f>
        <v>35</v>
      </c>
      <c r="CJ15" s="9">
        <f>[27]SAS_SA_2015_4T!$A$179</f>
        <v>7190</v>
      </c>
      <c r="CK15" s="7">
        <f>[28]SAS_SA_2016_1T!$A159</f>
        <v>6951</v>
      </c>
      <c r="CL15" s="8">
        <f>[28]SAS_SA_2016_1T!$A$169</f>
        <v>32</v>
      </c>
      <c r="CM15" s="9">
        <f>[28]SAS_SA_2016_1T!$A$179</f>
        <v>6983</v>
      </c>
      <c r="CN15" s="7">
        <f>'[29]160822-11H12S04-PROGRAM-TdB_STO'!$A159</f>
        <v>6720</v>
      </c>
      <c r="CO15" s="8">
        <f>'[29]160822-11H12S04-PROGRAM-TdB_STO'!$A$169</f>
        <v>32</v>
      </c>
      <c r="CP15" s="9">
        <f>'[29]160822-11H12S04-PROGRAM-TdB_STO'!$A$179</f>
        <v>6752</v>
      </c>
      <c r="CQ15" s="132">
        <f>[30]SAS_SA_2016_3T!$A159</f>
        <v>6485</v>
      </c>
      <c r="CR15" s="133">
        <f>[30]SAS_SA_2016_3T!$A$169</f>
        <v>32</v>
      </c>
      <c r="CS15" s="134">
        <f>[30]SAS_SA_2016_3T!$A$179</f>
        <v>6517</v>
      </c>
      <c r="CT15" s="132">
        <f>[31]SAS_SA_2016_4T!$A159</f>
        <v>6298</v>
      </c>
      <c r="CU15" s="133">
        <f>[31]SAS_SA_2016_4T!$A$169</f>
        <v>30</v>
      </c>
      <c r="CV15" s="134">
        <f>[31]SAS_SA_2016_4T!$A$179</f>
        <v>6328</v>
      </c>
      <c r="CW15" s="132">
        <f>[32]SAS_SA_2017_1T!$A159</f>
        <v>6046</v>
      </c>
      <c r="CX15" s="133">
        <f>[32]SAS_SA_2017_1T!$A$169</f>
        <v>29</v>
      </c>
      <c r="CY15" s="134">
        <f>[32]SAS_SA_2017_1T!$A$179</f>
        <v>6075</v>
      </c>
      <c r="CZ15" s="132">
        <f>[33]SAS_SA_2017_2T!$A159</f>
        <v>5848</v>
      </c>
      <c r="DA15" s="133">
        <f>[33]SAS_SA_2017_2T!$A$169</f>
        <v>28</v>
      </c>
      <c r="DB15" s="134">
        <f>[33]SAS_SA_2017_2T!$A$179</f>
        <v>5876</v>
      </c>
      <c r="DC15" s="132">
        <f>[34]SAS_SA_2017_3T!$A159</f>
        <v>5659</v>
      </c>
      <c r="DD15" s="133">
        <f>[34]SAS_SA_2017_3T!$A$169</f>
        <v>28</v>
      </c>
      <c r="DE15" s="134">
        <f>[34]SAS_SA_2017_3T!$A$179</f>
        <v>5687</v>
      </c>
      <c r="DF15" s="132">
        <f>[35]SAS_SA_2017_4T!$A159</f>
        <v>5409</v>
      </c>
      <c r="DG15" s="133">
        <f>[35]SAS_SA_2017_4T!$A$169</f>
        <v>25</v>
      </c>
      <c r="DH15" s="134">
        <f>[35]SAS_SA_2017_4T!$A$179</f>
        <v>5434</v>
      </c>
      <c r="DI15" s="132">
        <f>[36]SAS_SA_2018_1T!$A159</f>
        <v>5300</v>
      </c>
      <c r="DJ15" s="133">
        <f>[36]SAS_SA_2018_1T!$A$169</f>
        <v>24</v>
      </c>
      <c r="DK15" s="134">
        <f>[36]SAS_SA_2018_1T!$A$179</f>
        <v>5324</v>
      </c>
      <c r="DL15" s="132">
        <f>[37]SAS_SA_2018_2T!$A159</f>
        <v>5095</v>
      </c>
      <c r="DM15" s="133">
        <f>[37]SAS_SA_2018_2T!$A$169</f>
        <v>23</v>
      </c>
      <c r="DN15" s="134">
        <f>[37]SAS_SA_2018_2T!$A$179</f>
        <v>5118</v>
      </c>
      <c r="DO15" s="132">
        <f>[38]SAS_SA_2018_3T!$A159</f>
        <v>4909</v>
      </c>
      <c r="DP15" s="133">
        <f>[38]SAS_SA_2018_3T!$A$169</f>
        <v>21</v>
      </c>
      <c r="DQ15" s="134">
        <f>[38]SAS_SA_2018_3T!$A$179</f>
        <v>4930</v>
      </c>
      <c r="DR15" s="132">
        <f>'[39]190227-14H32S38-PROGRAM-TdB_STO'!$A$159</f>
        <v>4703</v>
      </c>
      <c r="DS15" s="133">
        <f>'[39]190227-14H32S38-PROGRAM-TdB_STO'!$A$169</f>
        <v>22</v>
      </c>
      <c r="DT15" s="134">
        <f>'[39]190227-14H32S38-PROGRAM-TdB_STO'!$A$179</f>
        <v>4725</v>
      </c>
      <c r="DU15" s="202">
        <f>[40]SAS_SA_2019_1T!$A$159</f>
        <v>4604</v>
      </c>
      <c r="DV15" s="203">
        <f>[40]SAS_SA_2019_1T!$A$169</f>
        <v>20</v>
      </c>
      <c r="DW15" s="204">
        <f>[40]SAS_SA_2019_1T!$A$179</f>
        <v>4624</v>
      </c>
      <c r="DX15" s="202">
        <f>[41]SAS_SA_2019_2T!$A$159</f>
        <v>4375</v>
      </c>
      <c r="DY15" s="203">
        <f>[41]SAS_SA_2019_2T!$A$169</f>
        <v>18</v>
      </c>
      <c r="DZ15" s="204">
        <f>[41]SAS_SA_2019_2T!$A$179</f>
        <v>4393</v>
      </c>
      <c r="EA15" s="202">
        <f>[42]SAS_SA_2019_3T!$A$159</f>
        <v>4226</v>
      </c>
      <c r="EB15" s="203">
        <f>[42]SAS_SA_2019_3T!$A$169</f>
        <v>18</v>
      </c>
      <c r="EC15" s="204">
        <f>[42]SAS_SA_2019_3T!$A$179</f>
        <v>4244</v>
      </c>
      <c r="ED15" s="202">
        <f>[43]SAS_SA_2019_4T!$A$159</f>
        <v>4094</v>
      </c>
      <c r="EE15" s="203">
        <f>[43]SAS_SA_2019_4T!$A$169</f>
        <v>16</v>
      </c>
      <c r="EF15" s="204">
        <f>[43]SAS_SA_2019_4T!$A$179</f>
        <v>4110</v>
      </c>
      <c r="EG15" s="202">
        <f>[44]SAS_SA_2020_1T!$A$146</f>
        <v>3910</v>
      </c>
      <c r="EH15" s="203">
        <f>[44]SAS_SA_2020_1T!$A$154</f>
        <v>16</v>
      </c>
      <c r="EI15" s="204">
        <f>[44]SAS_SA_2020_1T!$A$162</f>
        <v>3926</v>
      </c>
      <c r="EJ15" s="202">
        <f>[45]SAS_SA_2020_2T!$A$146</f>
        <v>3792</v>
      </c>
      <c r="EK15" s="203">
        <f>[45]SAS_SA_2020_2T!$A$154</f>
        <v>15</v>
      </c>
      <c r="EL15" s="204">
        <f>[45]SAS_SA_2020_2T!$A$162</f>
        <v>3807</v>
      </c>
      <c r="EM15" s="202">
        <f>[46]SAS_SA_2020_3T!$A$146</f>
        <v>3622</v>
      </c>
      <c r="EN15" s="203">
        <f>[46]SAS_SA_2020_3T!$A$154</f>
        <v>14</v>
      </c>
      <c r="EO15" s="204">
        <f>[46]SAS_SA_2020_3T!$A$162</f>
        <v>3636</v>
      </c>
      <c r="EP15" s="202">
        <f>[47]SAS_SA_2020_4T!$A$146</f>
        <v>3415</v>
      </c>
      <c r="EQ15" s="203">
        <f>[47]SAS_SA_2020_4T!$A$154</f>
        <v>14</v>
      </c>
      <c r="ER15" s="204">
        <f>[47]SAS_SA_2020_4T!$A$162</f>
        <v>3429</v>
      </c>
      <c r="ES15" s="202">
        <f>[48]SAS_SA_2021_1T!$A$146</f>
        <v>3233</v>
      </c>
      <c r="ET15" s="203">
        <f>[48]SAS_SA_2021_1T!$A$154</f>
        <v>12</v>
      </c>
      <c r="EU15" s="204">
        <f>[48]SAS_SA_2021_1T!$A$162</f>
        <v>3245</v>
      </c>
      <c r="EV15" s="202">
        <f>[49]SAS_SA_2021_2T!$A$146</f>
        <v>3030</v>
      </c>
      <c r="EW15" s="203">
        <f>[49]SAS_SA_2021_2T!$A$154</f>
        <v>13</v>
      </c>
      <c r="EX15" s="204">
        <f>[49]SAS_SA_2021_2T!$A$162</f>
        <v>3043</v>
      </c>
      <c r="EY15" s="202">
        <f>[50]SAS_SA_2021_3T!$A$146</f>
        <v>2878</v>
      </c>
      <c r="EZ15" s="203">
        <f>[50]SAS_SA_2021_3T!$A$154</f>
        <v>11</v>
      </c>
      <c r="FA15" s="204">
        <f>[50]SAS_SA_2021_3T!$A$162</f>
        <v>2889</v>
      </c>
      <c r="FB15" s="202">
        <f>[51]SAS_SA_2021_4T!$A$109</f>
        <v>2724</v>
      </c>
      <c r="FC15" s="203">
        <f>[51]SAS_SA_2021_4T!$A$114</f>
        <v>10</v>
      </c>
      <c r="FD15" s="204">
        <f>[51]SAS_SA_2021_4T!$A$119</f>
        <v>2734</v>
      </c>
      <c r="FE15" s="202">
        <f>[52]SAS_SA_2022_1T!$A$109</f>
        <v>2652</v>
      </c>
      <c r="FF15" s="203">
        <f>[52]SAS_SA_2022_1T!$A$114</f>
        <v>10</v>
      </c>
      <c r="FG15" s="204">
        <f>[52]SAS_SA_2022_1T!$A$119</f>
        <v>2662</v>
      </c>
      <c r="FH15" s="202">
        <f>[53]SAS_SA_2022_2T!$A$109</f>
        <v>2507</v>
      </c>
      <c r="FI15" s="203">
        <f>[53]SAS_SA_2022_2T!$A$114</f>
        <v>11</v>
      </c>
      <c r="FJ15" s="204">
        <f>[53]SAS_SA_2022_2T!$A$119</f>
        <v>2518</v>
      </c>
      <c r="FK15" s="202">
        <f>[54]SAS_SA_2022_3T!$A$109</f>
        <v>2394</v>
      </c>
      <c r="FL15" s="203">
        <f>[54]SAS_SA_2022_3T!$A$114</f>
        <v>10</v>
      </c>
      <c r="FM15" s="204">
        <f>[54]SAS_SA_2022_3T!$A$119</f>
        <v>2404</v>
      </c>
      <c r="FN15" s="132">
        <f>[55]SAS_SA_2022_4T!$A$109</f>
        <v>2297</v>
      </c>
      <c r="FO15" s="133">
        <f>[55]SAS_SA_2022_4T!$A$114</f>
        <v>6</v>
      </c>
      <c r="FP15" s="134">
        <f>[55]SAS_SA_2022_4T!$A$119</f>
        <v>2303</v>
      </c>
      <c r="FQ15" s="132">
        <f>[56]SAS_SA_2023_1T!$A$109</f>
        <v>2184</v>
      </c>
      <c r="FR15" s="133">
        <f>[56]SAS_SA_2023_1T!$A$114</f>
        <v>6</v>
      </c>
      <c r="FS15" s="134">
        <f>[56]SAS_SA_2023_1T!$A$119</f>
        <v>2190</v>
      </c>
      <c r="FT15" s="132">
        <f>[57]SAS_SA_2023_2T!$A$109</f>
        <v>2109</v>
      </c>
      <c r="FU15" s="133">
        <f>[57]SAS_SA_2023_2T!$A$114</f>
        <v>6</v>
      </c>
      <c r="FV15" s="134">
        <f>[57]SAS_SA_2023_2T!$A$119</f>
        <v>2115</v>
      </c>
      <c r="FW15" s="132">
        <f>[58]SAS_SA_2023_3T!$A$109</f>
        <v>2036</v>
      </c>
      <c r="FX15" s="133">
        <f>[58]SAS_SA_2023_3T!$A$114</f>
        <v>6</v>
      </c>
      <c r="FY15" s="134">
        <f>[58]SAS_SA_2023_3T!$A$119</f>
        <v>2042</v>
      </c>
      <c r="FZ15" s="132">
        <f>[59]SAS_SA_2023_4T!$A$109</f>
        <v>1956</v>
      </c>
      <c r="GA15" s="133">
        <f>[59]SAS_SA_2023_4T!$A$114</f>
        <v>5</v>
      </c>
      <c r="GB15" s="134">
        <f>[59]SAS_SA_2023_4T!$A$119</f>
        <v>1961</v>
      </c>
      <c r="GC15" s="132">
        <f>[60]SAS_SA_2024_1T!$A$109</f>
        <v>1870</v>
      </c>
      <c r="GD15" s="133">
        <f>[60]SAS_SA_2024_1T!$A$114</f>
        <v>5</v>
      </c>
      <c r="GE15" s="134">
        <f>[60]SAS_SA_2024_1T!$A$119</f>
        <v>1875</v>
      </c>
      <c r="GF15" s="132">
        <f>[61]SAS_SA_2024_2T!$A$109</f>
        <v>1748</v>
      </c>
      <c r="GG15" s="133">
        <f>[61]SAS_SA_2024_2T!$A$114</f>
        <v>5</v>
      </c>
      <c r="GH15" s="134">
        <f>[61]SAS_SA_2024_2T!$A$119</f>
        <v>1753</v>
      </c>
      <c r="GI15" s="132">
        <f>[62]SAS_SA_2024_3T!$A$109</f>
        <v>1653</v>
      </c>
      <c r="GJ15" s="133">
        <f>[62]SAS_SA_2024_3T!$A$114</f>
        <v>5</v>
      </c>
      <c r="GK15" s="134">
        <f>[62]SAS_SA_2024_3T!$A$119</f>
        <v>1658</v>
      </c>
      <c r="GL15" s="132">
        <f>[63]SAS_SA_2024_4T!$A$109</f>
        <v>1615</v>
      </c>
      <c r="GM15" s="133">
        <f>[63]SAS_SA_2024_4T!$A$114</f>
        <v>4</v>
      </c>
      <c r="GN15" s="134">
        <f>[63]SAS_SA_2024_4T!$A$119</f>
        <v>1619</v>
      </c>
    </row>
    <row r="16" spans="1:196" x14ac:dyDescent="0.25">
      <c r="A16" s="39" t="s">
        <v>18</v>
      </c>
      <c r="B16" s="7">
        <f>[1]SAS_SA_4T2008!$B$166</f>
        <v>596339</v>
      </c>
      <c r="C16" s="8">
        <f>[1]SAS_SA_4T2008!$B$176</f>
        <v>635223</v>
      </c>
      <c r="D16" s="9">
        <f>[1]SAS_SA_4T2008!$B$186</f>
        <v>1231562</v>
      </c>
      <c r="E16" s="7">
        <f>[2]SAS_SA_1T2009!$B$166</f>
        <v>595341</v>
      </c>
      <c r="F16" s="8">
        <f>[2]SAS_SA_1T2009!$B$176</f>
        <v>636136</v>
      </c>
      <c r="G16" s="9">
        <f>[2]SAS_SA_1T2009!$B$186</f>
        <v>1231477</v>
      </c>
      <c r="H16" s="7">
        <f>[64]SAS_SA_2T2009!$B$166</f>
        <v>592193</v>
      </c>
      <c r="I16" s="8">
        <f>[64]SAS_SA_2T2009!$B$176</f>
        <v>636388</v>
      </c>
      <c r="J16" s="9">
        <f>[64]SAS_SA_2T2009!$B$186</f>
        <v>1228581</v>
      </c>
      <c r="K16" s="7">
        <f>[3]SAS_SA_3T2009!$B$166</f>
        <v>590447</v>
      </c>
      <c r="L16" s="8">
        <f>[3]SAS_SA_3T2009!$B$176</f>
        <v>639391</v>
      </c>
      <c r="M16" s="9">
        <f>[3]SAS_SA_3T2009!$B$186</f>
        <v>1229838</v>
      </c>
      <c r="N16" s="7">
        <f>[4]SAS_SA_4T2009!$B$166</f>
        <v>588361</v>
      </c>
      <c r="O16" s="8">
        <f>[4]SAS_SA_4T2009!$B$176</f>
        <v>641118</v>
      </c>
      <c r="P16" s="16">
        <f>[4]SAS_SA_4T2009!$B$186</f>
        <v>1229479</v>
      </c>
      <c r="Q16" s="7">
        <f>[5]SAS_SA_1T2010!$B$166</f>
        <v>587878</v>
      </c>
      <c r="R16" s="8">
        <f>[5]SAS_SA_1T2010!$B$176</f>
        <v>642567</v>
      </c>
      <c r="S16" s="16">
        <f>[5]SAS_SA_1T2010!$B$186</f>
        <v>1230445</v>
      </c>
      <c r="T16" s="7">
        <f>[65]SAS_SA_2T2010!$B$166</f>
        <v>582022</v>
      </c>
      <c r="U16" s="8">
        <f>[65]SAS_SA_2T2010!$B$176</f>
        <v>639510</v>
      </c>
      <c r="V16" s="16">
        <f>[65]SAS_SA_2T2010!$B$186</f>
        <v>1221532</v>
      </c>
      <c r="W16" s="7">
        <f>[6]SAS_SA_3T2010!$B$166</f>
        <v>579537</v>
      </c>
      <c r="X16" s="8">
        <f>[6]SAS_SA_3T2010!$B$176</f>
        <v>640006</v>
      </c>
      <c r="Y16" s="16">
        <f>[6]SAS_SA_3T2010!$B$186</f>
        <v>1219543</v>
      </c>
      <c r="Z16" s="7">
        <f>[7]SAS_SA_2010_4T!$B$166</f>
        <v>581920</v>
      </c>
      <c r="AA16" s="8">
        <f>[7]SAS_SA_2010_4T!$B$176</f>
        <v>645376</v>
      </c>
      <c r="AB16" s="9">
        <f>[7]SAS_SA_2010_4T!$B$186</f>
        <v>1227296</v>
      </c>
      <c r="AC16" s="7">
        <f>[8]SAS_SA_2011_1T!$B$159</f>
        <v>580663</v>
      </c>
      <c r="AD16" s="8">
        <f>[8]SAS_SA_2011_1T!$B$169</f>
        <v>645917</v>
      </c>
      <c r="AE16" s="9">
        <f>[8]SAS_SA_2011_1T!$B$179</f>
        <v>1226580</v>
      </c>
      <c r="AF16" s="7">
        <f>[9]SAS_SA_2011_2T!$B$159</f>
        <v>578318</v>
      </c>
      <c r="AG16" s="8">
        <f>[9]SAS_SA_2011_2T!$B$169</f>
        <v>646330</v>
      </c>
      <c r="AH16" s="9">
        <f>[9]SAS_SA_2011_2T!$B$179</f>
        <v>1224648</v>
      </c>
      <c r="AI16" s="7">
        <f>[10]SAS_SA_2011_3T!$B$159</f>
        <v>575379</v>
      </c>
      <c r="AJ16" s="8">
        <f>[10]SAS_SA_2011_3T!$B$169</f>
        <v>646896</v>
      </c>
      <c r="AK16" s="9">
        <f>[10]SAS_SA_2011_3T!$B$179</f>
        <v>1222275</v>
      </c>
      <c r="AL16" s="7">
        <f>[11]SAS_SA_2011_4T!$B$159</f>
        <v>571771</v>
      </c>
      <c r="AM16" s="8">
        <f>[11]SAS_SA_2011_4T!$B$169</f>
        <v>646608</v>
      </c>
      <c r="AN16" s="9">
        <f>[11]SAS_SA_2011_4T!$B$179</f>
        <v>1218379</v>
      </c>
      <c r="AO16" s="7">
        <f>'[12]120612-17H07S59-PROGRAM-TdB_STO'!$B$159</f>
        <v>568581</v>
      </c>
      <c r="AP16" s="8">
        <f>'[12]120612-17H07S59-PROGRAM-TdB_STO'!$B$169</f>
        <v>645728</v>
      </c>
      <c r="AQ16" s="9">
        <f>'[12]120612-17H07S59-PROGRAM-TdB_STO'!$B$179</f>
        <v>1214309</v>
      </c>
      <c r="AR16" s="7">
        <f>[13]SAS_SA_2012_2T!$B$159</f>
        <v>565239</v>
      </c>
      <c r="AS16" s="8">
        <f>[13]SAS_SA_2012_2T!$B$169</f>
        <v>644399</v>
      </c>
      <c r="AT16" s="9">
        <f>[13]SAS_SA_2012_2T!$B$179</f>
        <v>1209638</v>
      </c>
      <c r="AU16" s="7">
        <f>'[14]121105-09H31S06-PROGRAM-TdB_STO'!$B$159</f>
        <v>561602</v>
      </c>
      <c r="AV16" s="8">
        <f>'[14]121105-09H31S06-PROGRAM-TdB_STO'!$B$169</f>
        <v>644197</v>
      </c>
      <c r="AW16" s="9">
        <f>'[14]121105-09H31S06-PROGRAM-TdB_STO'!$B$179</f>
        <v>1205799</v>
      </c>
      <c r="AX16" s="7">
        <f>[15]SAS_SA_2012_4T!$B$159</f>
        <v>558281</v>
      </c>
      <c r="AY16" s="8">
        <f>[15]SAS_SA_2012_4T!$B$169</f>
        <v>643782</v>
      </c>
      <c r="AZ16" s="9">
        <f>[15]SAS_SA_2012_4T!$B$179</f>
        <v>1202063</v>
      </c>
      <c r="BA16" s="7">
        <f>[16]SAS_SA_2013_1T!$B$159</f>
        <v>556186</v>
      </c>
      <c r="BB16" s="8">
        <f>[16]SAS_SA_2013_1T!$B$169</f>
        <v>642510</v>
      </c>
      <c r="BC16" s="9">
        <f>[16]SAS_SA_2013_1T!$B$179</f>
        <v>1198696</v>
      </c>
      <c r="BD16" s="7">
        <f>[17]SAS_SA_2013_2T!$B$159</f>
        <v>552249</v>
      </c>
      <c r="BE16" s="8">
        <f>[17]SAS_SA_2013_2T!$B$169</f>
        <v>640532</v>
      </c>
      <c r="BF16" s="9">
        <f>[17]SAS_SA_2013_2T!$B$179</f>
        <v>1192781</v>
      </c>
      <c r="BG16" s="7">
        <f>[18]SAS_SA_2013_3T!$B$159</f>
        <v>551428</v>
      </c>
      <c r="BH16" s="8">
        <f>[18]SAS_SA_2013_3T!$B$169</f>
        <v>641861</v>
      </c>
      <c r="BI16" s="9">
        <f>[18]SAS_SA_2013_3T!$B$179</f>
        <v>1193289</v>
      </c>
      <c r="BJ16" s="7">
        <f>[19]SAS_SA_2013_4T!$B$159</f>
        <v>550364</v>
      </c>
      <c r="BK16" s="8">
        <f>[19]SAS_SA_2013_4T!$B$169</f>
        <v>643143</v>
      </c>
      <c r="BL16" s="9">
        <f>[19]SAS_SA_2013_4T!$B$179</f>
        <v>1193507</v>
      </c>
      <c r="BM16" s="7">
        <f>[20]SAS_SA_2014_1T!$B$159</f>
        <v>549083</v>
      </c>
      <c r="BN16" s="8">
        <f>[20]SAS_SA_2014_1T!$B$169</f>
        <v>642486</v>
      </c>
      <c r="BO16" s="9">
        <f>[20]SAS_SA_2014_1T!$B$179</f>
        <v>1191569</v>
      </c>
      <c r="BP16" s="7">
        <f>[21]SAS_SA_2014_2T!$B$159</f>
        <v>547033</v>
      </c>
      <c r="BQ16" s="8">
        <f>[21]SAS_SA_2014_2T!$B$169</f>
        <v>641103</v>
      </c>
      <c r="BR16" s="9">
        <f>[21]SAS_SA_2014_2T!$B$179</f>
        <v>1188136</v>
      </c>
      <c r="BS16" s="7">
        <f>[22]SAS_SA_2014_3T!$B$159</f>
        <v>545846</v>
      </c>
      <c r="BT16" s="8">
        <f>[22]SAS_SA_2014_3T!$B$169</f>
        <v>641035</v>
      </c>
      <c r="BU16" s="9">
        <f>[22]SAS_SA_2014_3T!$B$179</f>
        <v>1186881</v>
      </c>
      <c r="BV16" s="7">
        <f>[23]SAS_SA_2014_4T!$B$159</f>
        <v>544785</v>
      </c>
      <c r="BW16" s="8">
        <f>[23]SAS_SA_2014_4T!$B$169</f>
        <v>641475</v>
      </c>
      <c r="BX16" s="9">
        <f>[23]SAS_SA_2014_4T!$B$179</f>
        <v>1186260</v>
      </c>
      <c r="BY16" s="7">
        <f>[24]SAS_SA_2015_1T!$B$159</f>
        <v>543864</v>
      </c>
      <c r="BZ16" s="8">
        <f>[24]SAS_SA_2015_1T!$B$169</f>
        <v>640923</v>
      </c>
      <c r="CA16" s="9">
        <f>[24]SAS_SA_2015_1T!$B$179</f>
        <v>1184787</v>
      </c>
      <c r="CB16" s="7">
        <f>[25]SAS_SA_2015_2T!$B$159</f>
        <v>541068</v>
      </c>
      <c r="CC16" s="8">
        <f>[25]SAS_SA_2015_2T!$B$169</f>
        <v>639345</v>
      </c>
      <c r="CD16" s="9">
        <f>[25]SAS_SA_2015_2T!$B$179</f>
        <v>1180413</v>
      </c>
      <c r="CE16" s="7">
        <f>[26]SAS_SA_2015_3T!$B$159</f>
        <v>539154</v>
      </c>
      <c r="CF16" s="8">
        <f>[26]SAS_SA_2015_3T!$B$169</f>
        <v>638597</v>
      </c>
      <c r="CG16" s="9">
        <f>[26]SAS_SA_2015_3T!$B$179</f>
        <v>1177751</v>
      </c>
      <c r="CH16" s="7">
        <f>[27]SAS_SA_2015_4T!$B$159</f>
        <v>537347</v>
      </c>
      <c r="CI16" s="8">
        <f>[27]SAS_SA_2015_4T!$B$169</f>
        <v>638785</v>
      </c>
      <c r="CJ16" s="9">
        <f>[27]SAS_SA_2015_4T!$B$179</f>
        <v>1176132</v>
      </c>
      <c r="CK16" s="7">
        <f>[28]SAS_SA_2016_1T!$B$159</f>
        <v>536447</v>
      </c>
      <c r="CL16" s="8">
        <f>[28]SAS_SA_2016_1T!$B$169</f>
        <v>639102</v>
      </c>
      <c r="CM16" s="9">
        <f>[28]SAS_SA_2016_1T!$B$179</f>
        <v>1175549</v>
      </c>
      <c r="CN16" s="7">
        <f>'[29]160822-11H12S04-PROGRAM-TdB_STO'!$B$159</f>
        <v>534457</v>
      </c>
      <c r="CO16" s="8">
        <f>'[29]160822-11H12S04-PROGRAM-TdB_STO'!$B$169</f>
        <v>638265</v>
      </c>
      <c r="CP16" s="9">
        <f>'[29]160822-11H12S04-PROGRAM-TdB_STO'!$B$179</f>
        <v>1172722</v>
      </c>
      <c r="CQ16" s="132">
        <f>[30]SAS_SA_2016_3T!$B$159</f>
        <v>533014</v>
      </c>
      <c r="CR16" s="133">
        <f>[30]SAS_SA_2016_3T!$B$169</f>
        <v>638323</v>
      </c>
      <c r="CS16" s="134">
        <f>[30]SAS_SA_2016_3T!$B$179</f>
        <v>1171337</v>
      </c>
      <c r="CT16" s="132">
        <f>[31]SAS_SA_2016_4T!$B$159</f>
        <v>530896</v>
      </c>
      <c r="CU16" s="133">
        <f>[31]SAS_SA_2016_4T!$B$169</f>
        <v>637635</v>
      </c>
      <c r="CV16" s="134">
        <f>[31]SAS_SA_2016_4T!$B$179</f>
        <v>1168531</v>
      </c>
      <c r="CW16" s="132">
        <f>[32]SAS_SA_2017_1T!$B$159</f>
        <v>527978</v>
      </c>
      <c r="CX16" s="133">
        <f>[32]SAS_SA_2017_1T!$B$169</f>
        <v>635314</v>
      </c>
      <c r="CY16" s="134">
        <f>[32]SAS_SA_2017_1T!$B$179</f>
        <v>1163292</v>
      </c>
      <c r="CZ16" s="132">
        <f>[33]SAS_SA_2017_2T!$B$159</f>
        <v>526121</v>
      </c>
      <c r="DA16" s="133">
        <f>[33]SAS_SA_2017_2T!$B$169</f>
        <v>633889</v>
      </c>
      <c r="DB16" s="134">
        <f>[33]SAS_SA_2017_2T!$B$179</f>
        <v>1160010</v>
      </c>
      <c r="DC16" s="132">
        <f>[34]SAS_SA_2017_3T!$B$159</f>
        <v>523447</v>
      </c>
      <c r="DD16" s="133">
        <f>[34]SAS_SA_2017_3T!$B$169</f>
        <v>632236</v>
      </c>
      <c r="DE16" s="134">
        <f>[34]SAS_SA_2017_3T!$B$179</f>
        <v>1155683</v>
      </c>
      <c r="DF16" s="132">
        <f>[35]SAS_SA_2017_4T!$B$159</f>
        <v>520763</v>
      </c>
      <c r="DG16" s="133">
        <f>[35]SAS_SA_2017_4T!$B$169</f>
        <v>631009</v>
      </c>
      <c r="DH16" s="134">
        <f>[35]SAS_SA_2017_4T!$B$179</f>
        <v>1151772</v>
      </c>
      <c r="DI16" s="132">
        <f>[36]SAS_SA_2018_1T!$B$159</f>
        <v>517161</v>
      </c>
      <c r="DJ16" s="133">
        <f>[36]SAS_SA_2018_1T!$B$169</f>
        <v>627697</v>
      </c>
      <c r="DK16" s="134">
        <f>[36]SAS_SA_2018_1T!$B$179</f>
        <v>1144858</v>
      </c>
      <c r="DL16" s="132">
        <f>[37]SAS_SA_2018_2T!$B$159</f>
        <v>512255</v>
      </c>
      <c r="DM16" s="133">
        <f>[37]SAS_SA_2018_2T!$B$169</f>
        <v>623456</v>
      </c>
      <c r="DN16" s="134">
        <f>[37]SAS_SA_2018_2T!$B$179</f>
        <v>1135711</v>
      </c>
      <c r="DO16" s="132">
        <f>[38]SAS_SA_2018_3T!$B$159</f>
        <v>508651</v>
      </c>
      <c r="DP16" s="133">
        <f>[38]SAS_SA_2018_3T!$B$169</f>
        <v>621484</v>
      </c>
      <c r="DQ16" s="134">
        <f>[38]SAS_SA_2018_3T!$B$179</f>
        <v>1130135</v>
      </c>
      <c r="DR16" s="132">
        <f>'[39]190227-14H32S38-PROGRAM-TdB_STO'!$B$159</f>
        <v>505677</v>
      </c>
      <c r="DS16" s="133">
        <f>'[39]190227-14H32S38-PROGRAM-TdB_STO'!$B$169</f>
        <v>620021</v>
      </c>
      <c r="DT16" s="134">
        <f>'[39]190227-14H32S38-PROGRAM-TdB_STO'!$B$179</f>
        <v>1125698</v>
      </c>
      <c r="DU16" s="202">
        <f>[40]SAS_SA_2019_1T!$B$159</f>
        <v>501226</v>
      </c>
      <c r="DV16" s="203">
        <f>[40]SAS_SA_2019_1T!$B$169</f>
        <v>616796</v>
      </c>
      <c r="DW16" s="204">
        <f>[40]SAS_SA_2019_1T!$B$179</f>
        <v>1118022</v>
      </c>
      <c r="DX16" s="202">
        <f>[41]SAS_SA_2019_2T!$B$159</f>
        <v>496319</v>
      </c>
      <c r="DY16" s="203">
        <f>[41]SAS_SA_2019_2T!$B$169</f>
        <v>612761</v>
      </c>
      <c r="DZ16" s="204">
        <f>[41]SAS_SA_2019_2T!$B$179</f>
        <v>1109080</v>
      </c>
      <c r="EA16" s="202">
        <f>[42]SAS_SA_2019_3T!$B$159</f>
        <v>491654</v>
      </c>
      <c r="EB16" s="203">
        <f>[42]SAS_SA_2019_3T!$B$169</f>
        <v>609359</v>
      </c>
      <c r="EC16" s="204">
        <f>[42]SAS_SA_2019_3T!$B$179</f>
        <v>1101013</v>
      </c>
      <c r="ED16" s="202">
        <f>[43]SAS_SA_2019_4T!$B$159</f>
        <v>489217</v>
      </c>
      <c r="EE16" s="203">
        <f>[43]SAS_SA_2019_4T!$B$169</f>
        <v>608748</v>
      </c>
      <c r="EF16" s="204">
        <f>[43]SAS_SA_2019_4T!$B$179</f>
        <v>1097965</v>
      </c>
      <c r="EG16" s="202">
        <f>[44]SAS_SA_2020_1T!$B$146</f>
        <v>485258</v>
      </c>
      <c r="EH16" s="203">
        <f>[44]SAS_SA_2020_1T!$B$154</f>
        <v>605605</v>
      </c>
      <c r="EI16" s="204">
        <f>[44]SAS_SA_2020_1T!$B$162</f>
        <v>1090863</v>
      </c>
      <c r="EJ16" s="202">
        <f>[45]SAS_SA_2020_2T!$B$146</f>
        <v>479960</v>
      </c>
      <c r="EK16" s="203">
        <f>[45]SAS_SA_2020_2T!$B$154</f>
        <v>601054</v>
      </c>
      <c r="EL16" s="204">
        <f>[45]SAS_SA_2020_2T!$B$162</f>
        <v>1081014</v>
      </c>
      <c r="EM16" s="202">
        <f>[46]SAS_SA_2020_3T!$B$146</f>
        <v>475625</v>
      </c>
      <c r="EN16" s="203">
        <f>[46]SAS_SA_2020_3T!$B$154</f>
        <v>597143</v>
      </c>
      <c r="EO16" s="204">
        <f>[46]SAS_SA_2020_3T!$B$162</f>
        <v>1072768</v>
      </c>
      <c r="EP16" s="202">
        <f>[47]SAS_SA_2020_4T!$B$146</f>
        <v>469626</v>
      </c>
      <c r="EQ16" s="203">
        <f>[47]SAS_SA_2020_4T!$B$154</f>
        <v>592456</v>
      </c>
      <c r="ER16" s="204">
        <f>[47]SAS_SA_2020_4T!$B$162</f>
        <v>1062082</v>
      </c>
      <c r="ES16" s="202">
        <f>[48]SAS_SA_2021_1T!$B$146</f>
        <v>463971</v>
      </c>
      <c r="ET16" s="203">
        <f>[48]SAS_SA_2021_1T!$B$154</f>
        <v>587773</v>
      </c>
      <c r="EU16" s="204">
        <f>[48]SAS_SA_2021_1T!$B$162</f>
        <v>1051744</v>
      </c>
      <c r="EV16" s="202">
        <f>[49]SAS_SA_2021_2T!$B$146</f>
        <v>458648</v>
      </c>
      <c r="EW16" s="203">
        <f>[49]SAS_SA_2021_2T!$B$154</f>
        <v>583735</v>
      </c>
      <c r="EX16" s="204">
        <f>[49]SAS_SA_2021_2T!$B$162</f>
        <v>1042383</v>
      </c>
      <c r="EY16" s="202">
        <f>[50]SAS_SA_2021_3T!$B$146</f>
        <v>454341</v>
      </c>
      <c r="EZ16" s="203">
        <f>[50]SAS_SA_2021_3T!$B$154</f>
        <v>581069</v>
      </c>
      <c r="FA16" s="204">
        <f>[50]SAS_SA_2021_3T!$B$162</f>
        <v>1035410</v>
      </c>
      <c r="FB16" s="202">
        <f>[51]SAS_SA_2021_4T!$B$109</f>
        <v>450097</v>
      </c>
      <c r="FC16" s="203">
        <f>[51]SAS_SA_2021_4T!$B$114</f>
        <v>577747</v>
      </c>
      <c r="FD16" s="204">
        <f>[51]SAS_SA_2021_4T!$B$119</f>
        <v>1027844</v>
      </c>
      <c r="FE16" s="202">
        <f>[52]SAS_SA_2022_1T!$B$109</f>
        <v>445672</v>
      </c>
      <c r="FF16" s="203">
        <f>[52]SAS_SA_2022_1T!$B$114</f>
        <v>573844</v>
      </c>
      <c r="FG16" s="204">
        <f>[52]SAS_SA_2022_1T!$B$119</f>
        <v>1019516</v>
      </c>
      <c r="FH16" s="202">
        <f>[53]SAS_SA_2022_2T!$B$109</f>
        <v>441284</v>
      </c>
      <c r="FI16" s="203">
        <f>[53]SAS_SA_2022_2T!$B$114</f>
        <v>569974</v>
      </c>
      <c r="FJ16" s="204">
        <f>[53]SAS_SA_2022_2T!$B$119</f>
        <v>1011258</v>
      </c>
      <c r="FK16" s="202">
        <f>[54]SAS_SA_2022_3T!$B$109</f>
        <v>437495</v>
      </c>
      <c r="FL16" s="203">
        <f>[54]SAS_SA_2022_3T!$B$114</f>
        <v>566687</v>
      </c>
      <c r="FM16" s="204">
        <f>[54]SAS_SA_2022_3T!$B$119</f>
        <v>1004182</v>
      </c>
      <c r="FN16" s="132">
        <f>[55]SAS_SA_2022_4T!$B$109</f>
        <v>433685</v>
      </c>
      <c r="FO16" s="133">
        <f>[55]SAS_SA_2022_4T!$B$114</f>
        <v>562452</v>
      </c>
      <c r="FP16" s="134">
        <f>[55]SAS_SA_2022_4T!$B$119</f>
        <v>996137</v>
      </c>
      <c r="FQ16" s="132">
        <f>[56]SAS_SA_2023_1T!$B$109</f>
        <v>428937</v>
      </c>
      <c r="FR16" s="133">
        <f>[56]SAS_SA_2023_1T!$B$114</f>
        <v>558094</v>
      </c>
      <c r="FS16" s="134">
        <f>[56]SAS_SA_2023_1T!$B$119</f>
        <v>987031</v>
      </c>
      <c r="FT16" s="132">
        <f>[57]SAS_SA_2023_2T!$B$109</f>
        <v>425347</v>
      </c>
      <c r="FU16" s="133">
        <f>[57]SAS_SA_2023_2T!$B$114</f>
        <v>554911</v>
      </c>
      <c r="FV16" s="134">
        <f>[57]SAS_SA_2023_2T!$B$119</f>
        <v>980258</v>
      </c>
      <c r="FW16" s="132">
        <f>[58]SAS_SA_2023_3T!$B$109</f>
        <v>422091</v>
      </c>
      <c r="FX16" s="133">
        <f>[58]SAS_SA_2023_3T!$B$114</f>
        <v>552359</v>
      </c>
      <c r="FY16" s="134">
        <f>[58]SAS_SA_2023_3T!$B$119</f>
        <v>974450</v>
      </c>
      <c r="FZ16" s="132">
        <f>[59]SAS_SA_2023_4T!$B$109</f>
        <v>419063</v>
      </c>
      <c r="GA16" s="133">
        <f>[59]SAS_SA_2023_4T!$B$114</f>
        <v>549931</v>
      </c>
      <c r="GB16" s="134">
        <f>[59]SAS_SA_2023_4T!$B$119</f>
        <v>968994</v>
      </c>
      <c r="GC16" s="132">
        <f>[60]SAS_SA_2024_1T!$B$109</f>
        <v>414436</v>
      </c>
      <c r="GD16" s="133">
        <f>[60]SAS_SA_2024_1T!$B$114</f>
        <v>545232</v>
      </c>
      <c r="GE16" s="134">
        <f>[60]SAS_SA_2024_1T!$B$119</f>
        <v>959668</v>
      </c>
      <c r="GF16" s="132">
        <f>[61]SAS_SA_2024_2T!$B$109</f>
        <v>410536</v>
      </c>
      <c r="GG16" s="133">
        <f>[61]SAS_SA_2024_2T!$B$114</f>
        <v>541199</v>
      </c>
      <c r="GH16" s="134">
        <f>[61]SAS_SA_2024_2T!$B$119</f>
        <v>951735</v>
      </c>
      <c r="GI16" s="132">
        <f>[62]SAS_SA_2024_3T!$B$109</f>
        <v>406950</v>
      </c>
      <c r="GJ16" s="133">
        <f>[62]SAS_SA_2024_3T!$B$114</f>
        <v>537675</v>
      </c>
      <c r="GK16" s="134">
        <f>[62]SAS_SA_2024_3T!$B$119</f>
        <v>944625</v>
      </c>
      <c r="GL16" s="132">
        <f>[63]SAS_SA_2024_4T!$B$109</f>
        <v>403345</v>
      </c>
      <c r="GM16" s="133">
        <f>[63]SAS_SA_2024_4T!$B$114</f>
        <v>534559</v>
      </c>
      <c r="GN16" s="134">
        <f>[63]SAS_SA_2024_4T!$B$119</f>
        <v>937904</v>
      </c>
    </row>
    <row r="17" spans="1:196" x14ac:dyDescent="0.25">
      <c r="A17" s="39" t="s">
        <v>7</v>
      </c>
      <c r="B17" s="7">
        <f>[1]SAS_SA_4T2008!$C$166</f>
        <v>7</v>
      </c>
      <c r="C17" s="8">
        <f>[1]SAS_SA_4T2008!$C$176</f>
        <v>162</v>
      </c>
      <c r="D17" s="9">
        <f>[1]SAS_SA_4T2008!$C$186</f>
        <v>169</v>
      </c>
      <c r="E17" s="7">
        <f>[2]SAS_SA_1T2009!$C$166</f>
        <v>8</v>
      </c>
      <c r="F17" s="8">
        <f>[2]SAS_SA_1T2009!$C$176</f>
        <v>183</v>
      </c>
      <c r="G17" s="9">
        <f>[2]SAS_SA_1T2009!$C$186</f>
        <v>191</v>
      </c>
      <c r="H17" s="7">
        <f>[64]SAS_SA_2T2009!$C$166</f>
        <v>9</v>
      </c>
      <c r="I17" s="8">
        <f>[64]SAS_SA_2T2009!$C$176</f>
        <v>193</v>
      </c>
      <c r="J17" s="9">
        <f>[64]SAS_SA_2T2009!$C$186</f>
        <v>202</v>
      </c>
      <c r="K17" s="7">
        <f>[3]SAS_SA_3T2009!$C$166</f>
        <v>8</v>
      </c>
      <c r="L17" s="8">
        <f>[3]SAS_SA_3T2009!$C$176</f>
        <v>194</v>
      </c>
      <c r="M17" s="9">
        <f>[3]SAS_SA_3T2009!$C$186</f>
        <v>202</v>
      </c>
      <c r="N17" s="7">
        <f>[4]SAS_SA_4T2009!$C$166</f>
        <v>4</v>
      </c>
      <c r="O17" s="8">
        <f>[4]SAS_SA_4T2009!$C$176</f>
        <v>170</v>
      </c>
      <c r="P17" s="16">
        <f>[4]SAS_SA_4T2009!$C$186</f>
        <v>174</v>
      </c>
      <c r="Q17" s="7">
        <f>[5]SAS_SA_1T2010!$C$166</f>
        <v>6</v>
      </c>
      <c r="R17" s="8">
        <f>[5]SAS_SA_1T2010!$C$176</f>
        <v>179</v>
      </c>
      <c r="S17" s="16">
        <f>[5]SAS_SA_1T2010!$C$186</f>
        <v>185</v>
      </c>
      <c r="T17" s="7">
        <f>[65]SAS_SA_2T2010!$C$166</f>
        <v>12</v>
      </c>
      <c r="U17" s="8">
        <f>[65]SAS_SA_2T2010!$C$176</f>
        <v>185</v>
      </c>
      <c r="V17" s="16">
        <f>[65]SAS_SA_2T2010!$C$186</f>
        <v>197</v>
      </c>
      <c r="W17" s="7">
        <f>[6]SAS_SA_3T2010!$C$166</f>
        <v>12</v>
      </c>
      <c r="X17" s="8">
        <f>[6]SAS_SA_3T2010!$C$176</f>
        <v>187</v>
      </c>
      <c r="Y17" s="16">
        <f>[6]SAS_SA_3T2010!$C$186</f>
        <v>199</v>
      </c>
      <c r="Z17" s="7">
        <f>[7]SAS_SA_2010_4T!$C$166</f>
        <v>9</v>
      </c>
      <c r="AA17" s="8">
        <f>[7]SAS_SA_2010_4T!$C$176</f>
        <v>155</v>
      </c>
      <c r="AB17" s="9">
        <f>[7]SAS_SA_2010_4T!$C$186</f>
        <v>164</v>
      </c>
      <c r="AC17" s="7">
        <f>[8]SAS_SA_2011_1T!$C$159</f>
        <v>7</v>
      </c>
      <c r="AD17" s="8">
        <f>[8]SAS_SA_2011_1T!$C$169</f>
        <v>158</v>
      </c>
      <c r="AE17" s="9">
        <f>[8]SAS_SA_2011_1T!$C$179</f>
        <v>165</v>
      </c>
      <c r="AF17" s="7">
        <f>[9]SAS_SA_2011_2T!$C$159</f>
        <v>6</v>
      </c>
      <c r="AG17" s="8">
        <f>[9]SAS_SA_2011_2T!$C$169</f>
        <v>161</v>
      </c>
      <c r="AH17" s="9">
        <f>[9]SAS_SA_2011_2T!$C$179</f>
        <v>167</v>
      </c>
      <c r="AI17" s="7">
        <f>[10]SAS_SA_2011_3T!$C$159</f>
        <v>7</v>
      </c>
      <c r="AJ17" s="8">
        <f>[10]SAS_SA_2011_3T!$C$169</f>
        <v>160</v>
      </c>
      <c r="AK17" s="9">
        <f>[10]SAS_SA_2011_3T!$C$179</f>
        <v>167</v>
      </c>
      <c r="AL17" s="7">
        <f>[11]SAS_SA_2011_4T!$C$159</f>
        <v>7</v>
      </c>
      <c r="AM17" s="8">
        <f>[11]SAS_SA_2011_4T!$C$169</f>
        <v>133</v>
      </c>
      <c r="AN17" s="9">
        <f>[11]SAS_SA_2011_4T!$C$179</f>
        <v>140</v>
      </c>
      <c r="AO17" s="7">
        <f>'[12]120612-17H07S59-PROGRAM-TdB_STO'!$C$159</f>
        <v>8</v>
      </c>
      <c r="AP17" s="8">
        <f>'[12]120612-17H07S59-PROGRAM-TdB_STO'!$C$169</f>
        <v>144</v>
      </c>
      <c r="AQ17" s="9">
        <f>'[12]120612-17H07S59-PROGRAM-TdB_STO'!$C$179</f>
        <v>152</v>
      </c>
      <c r="AR17" s="7">
        <f>[13]SAS_SA_2012_2T!$C$159</f>
        <v>8</v>
      </c>
      <c r="AS17" s="8">
        <f>[13]SAS_SA_2012_2T!$C$169</f>
        <v>135</v>
      </c>
      <c r="AT17" s="9">
        <f>[13]SAS_SA_2012_2T!$C$179</f>
        <v>143</v>
      </c>
      <c r="AU17" s="7">
        <f>'[14]121105-09H31S06-PROGRAM-TdB_STO'!$C$159</f>
        <v>8</v>
      </c>
      <c r="AV17" s="8">
        <f>'[14]121105-09H31S06-PROGRAM-TdB_STO'!$C$169</f>
        <v>139</v>
      </c>
      <c r="AW17" s="9">
        <f>'[14]121105-09H31S06-PROGRAM-TdB_STO'!$C$179</f>
        <v>147</v>
      </c>
      <c r="AX17" s="7">
        <f>[15]SAS_SA_2012_4T!$C$159</f>
        <v>8</v>
      </c>
      <c r="AY17" s="8">
        <f>[15]SAS_SA_2012_4T!$C$169</f>
        <v>119</v>
      </c>
      <c r="AZ17" s="9">
        <f>[15]SAS_SA_2012_4T!$C$179</f>
        <v>127</v>
      </c>
      <c r="BA17" s="7">
        <f>[16]SAS_SA_2013_1T!$C$159</f>
        <v>11</v>
      </c>
      <c r="BB17" s="8">
        <f>[16]SAS_SA_2013_1T!$C$169</f>
        <v>129</v>
      </c>
      <c r="BC17" s="9">
        <f>[16]SAS_SA_2013_1T!$C$179</f>
        <v>140</v>
      </c>
      <c r="BD17" s="7">
        <f>[17]SAS_SA_2013_2T!$C$159</f>
        <v>11</v>
      </c>
      <c r="BE17" s="8">
        <f>[17]SAS_SA_2013_2T!$C$169</f>
        <v>120</v>
      </c>
      <c r="BF17" s="9">
        <f>[17]SAS_SA_2013_2T!$C$179</f>
        <v>131</v>
      </c>
      <c r="BG17" s="7">
        <f>[18]SAS_SA_2013_3T!$C$159</f>
        <v>11</v>
      </c>
      <c r="BH17" s="8">
        <f>[18]SAS_SA_2013_3T!$C$169</f>
        <v>123</v>
      </c>
      <c r="BI17" s="9">
        <f>[18]SAS_SA_2013_3T!$C$179</f>
        <v>134</v>
      </c>
      <c r="BJ17" s="7">
        <f>[19]SAS_SA_2013_4T!$C$159</f>
        <v>9</v>
      </c>
      <c r="BK17" s="8">
        <f>[19]SAS_SA_2013_4T!$C$169</f>
        <v>106</v>
      </c>
      <c r="BL17" s="9">
        <f>[19]SAS_SA_2013_4T!$C$179</f>
        <v>115</v>
      </c>
      <c r="BM17" s="7">
        <f>[20]SAS_SA_2014_1T!$C$159</f>
        <v>10</v>
      </c>
      <c r="BN17" s="8">
        <f>[20]SAS_SA_2014_1T!$C$169</f>
        <v>118</v>
      </c>
      <c r="BO17" s="9">
        <f>[20]SAS_SA_2014_1T!$C$179</f>
        <v>128</v>
      </c>
      <c r="BP17" s="7">
        <f>[21]SAS_SA_2014_2T!$C$159</f>
        <v>10</v>
      </c>
      <c r="BQ17" s="8">
        <f>[21]SAS_SA_2014_2T!$C$169</f>
        <v>131</v>
      </c>
      <c r="BR17" s="9">
        <f>[21]SAS_SA_2014_2T!$C$179</f>
        <v>141</v>
      </c>
      <c r="BS17" s="7">
        <f>[22]SAS_SA_2014_3T!$C$159</f>
        <v>9</v>
      </c>
      <c r="BT17" s="8">
        <f>[22]SAS_SA_2014_3T!$C$169</f>
        <v>131</v>
      </c>
      <c r="BU17" s="9">
        <f>[22]SAS_SA_2014_3T!$C$179</f>
        <v>140</v>
      </c>
      <c r="BV17" s="7">
        <f>[23]SAS_SA_2014_4T!$C$159</f>
        <v>7</v>
      </c>
      <c r="BW17" s="8">
        <f>[23]SAS_SA_2014_4T!$C$169</f>
        <v>105</v>
      </c>
      <c r="BX17" s="9">
        <f>[23]SAS_SA_2014_4T!$C$179</f>
        <v>112</v>
      </c>
      <c r="BY17" s="7">
        <f>[24]SAS_SA_2015_1T!$C$159</f>
        <v>8</v>
      </c>
      <c r="BZ17" s="8">
        <f>[24]SAS_SA_2015_1T!$C$169</f>
        <v>121</v>
      </c>
      <c r="CA17" s="9">
        <f>[24]SAS_SA_2015_1T!$C$179</f>
        <v>129</v>
      </c>
      <c r="CB17" s="7">
        <f>[25]SAS_SA_2015_2T!$C$159</f>
        <v>6</v>
      </c>
      <c r="CC17" s="8">
        <f>[25]SAS_SA_2015_2T!$C$169</f>
        <v>125</v>
      </c>
      <c r="CD17" s="9">
        <f>[25]SAS_SA_2015_2T!$C$179</f>
        <v>131</v>
      </c>
      <c r="CE17" s="7">
        <f>[26]SAS_SA_2015_3T!$C$159</f>
        <v>6</v>
      </c>
      <c r="CF17" s="8">
        <f>[26]SAS_SA_2015_3T!$C$169</f>
        <v>123</v>
      </c>
      <c r="CG17" s="9">
        <f>[26]SAS_SA_2015_3T!$C$179</f>
        <v>129</v>
      </c>
      <c r="CH17" s="7">
        <f>[27]SAS_SA_2015_4T!$C$159</f>
        <v>6</v>
      </c>
      <c r="CI17" s="8">
        <f>[27]SAS_SA_2015_4T!$C$169</f>
        <v>107</v>
      </c>
      <c r="CJ17" s="9">
        <f>[27]SAS_SA_2015_4T!$C$179</f>
        <v>113</v>
      </c>
      <c r="CK17" s="7">
        <f>[28]SAS_SA_2016_1T!$C$159</f>
        <v>6</v>
      </c>
      <c r="CL17" s="8">
        <f>[28]SAS_SA_2016_1T!$C$169</f>
        <v>112</v>
      </c>
      <c r="CM17" s="9">
        <f>[28]SAS_SA_2016_1T!$C$179</f>
        <v>118</v>
      </c>
      <c r="CN17" s="7">
        <f>'[29]160822-11H12S04-PROGRAM-TdB_STO'!$C$159</f>
        <v>6</v>
      </c>
      <c r="CO17" s="8">
        <f>'[29]160822-11H12S04-PROGRAM-TdB_STO'!$C$169</f>
        <v>117</v>
      </c>
      <c r="CP17" s="9">
        <f>'[29]160822-11H12S04-PROGRAM-TdB_STO'!$C$179</f>
        <v>123</v>
      </c>
      <c r="CQ17" s="132">
        <f>[30]SAS_SA_2016_3T!$C$159</f>
        <v>9</v>
      </c>
      <c r="CR17" s="133">
        <f>[30]SAS_SA_2016_3T!$C$169</f>
        <v>116</v>
      </c>
      <c r="CS17" s="134">
        <f>[30]SAS_SA_2016_3T!$C$179</f>
        <v>125</v>
      </c>
      <c r="CT17" s="132">
        <f>[31]SAS_SA_2016_4T!$C$159</f>
        <v>7</v>
      </c>
      <c r="CU17" s="133">
        <f>[31]SAS_SA_2016_4T!$C$169</f>
        <v>90</v>
      </c>
      <c r="CV17" s="134">
        <f>[31]SAS_SA_2016_4T!$C$179</f>
        <v>97</v>
      </c>
      <c r="CW17" s="132">
        <f>[32]SAS_SA_2017_1T!$C$159</f>
        <v>8</v>
      </c>
      <c r="CX17" s="133">
        <f>[32]SAS_SA_2017_1T!$C$169</f>
        <v>101</v>
      </c>
      <c r="CY17" s="134">
        <f>[32]SAS_SA_2017_1T!$C$179</f>
        <v>109</v>
      </c>
      <c r="CZ17" s="132">
        <f>[33]SAS_SA_2017_2T!$C$159</f>
        <v>9</v>
      </c>
      <c r="DA17" s="133">
        <f>[33]SAS_SA_2017_2T!$C$169</f>
        <v>101</v>
      </c>
      <c r="DB17" s="134">
        <f>[33]SAS_SA_2017_2T!$C$179</f>
        <v>110</v>
      </c>
      <c r="DC17" s="132">
        <f>[34]SAS_SA_2017_3T!$C$159</f>
        <v>9</v>
      </c>
      <c r="DD17" s="133">
        <f>[34]SAS_SA_2017_3T!$C$169</f>
        <v>108</v>
      </c>
      <c r="DE17" s="134">
        <f>[34]SAS_SA_2017_3T!$C$179</f>
        <v>117</v>
      </c>
      <c r="DF17" s="132">
        <f>[35]SAS_SA_2017_4T!$C$159</f>
        <v>7</v>
      </c>
      <c r="DG17" s="133">
        <f>[35]SAS_SA_2017_4T!$C$169</f>
        <v>79</v>
      </c>
      <c r="DH17" s="134">
        <f>[35]SAS_SA_2017_4T!$C$179</f>
        <v>86</v>
      </c>
      <c r="DI17" s="132">
        <f>[36]SAS_SA_2018_1T!$C$159</f>
        <v>9</v>
      </c>
      <c r="DJ17" s="133">
        <f>[36]SAS_SA_2018_1T!$C$169</f>
        <v>82</v>
      </c>
      <c r="DK17" s="134">
        <f>[36]SAS_SA_2018_1T!$C$179</f>
        <v>91</v>
      </c>
      <c r="DL17" s="132">
        <f>[37]SAS_SA_2018_2T!$C$159</f>
        <v>10</v>
      </c>
      <c r="DM17" s="133">
        <f>[37]SAS_SA_2018_2T!$C$169</f>
        <v>93</v>
      </c>
      <c r="DN17" s="134">
        <f>[37]SAS_SA_2018_2T!$C$179</f>
        <v>103</v>
      </c>
      <c r="DO17" s="132">
        <f>[38]SAS_SA_2018_3T!$C$159</f>
        <v>8</v>
      </c>
      <c r="DP17" s="133">
        <f>[38]SAS_SA_2018_3T!$C$169</f>
        <v>95</v>
      </c>
      <c r="DQ17" s="134">
        <f>[38]SAS_SA_2018_3T!$C$179</f>
        <v>103</v>
      </c>
      <c r="DR17" s="132">
        <f>'[39]190227-14H32S38-PROGRAM-TdB_STO'!$C$159</f>
        <v>9</v>
      </c>
      <c r="DS17" s="133">
        <f>'[39]190227-14H32S38-PROGRAM-TdB_STO'!$C$169</f>
        <v>78</v>
      </c>
      <c r="DT17" s="134">
        <f>'[39]190227-14H32S38-PROGRAM-TdB_STO'!$C$179</f>
        <v>87</v>
      </c>
      <c r="DU17" s="202">
        <f>[40]SAS_SA_2019_1T!$C$159</f>
        <v>12</v>
      </c>
      <c r="DV17" s="203">
        <f>[40]SAS_SA_2019_1T!$C$169</f>
        <v>87</v>
      </c>
      <c r="DW17" s="204">
        <f>[40]SAS_SA_2019_1T!$C$179</f>
        <v>99</v>
      </c>
      <c r="DX17" s="202">
        <f>[41]SAS_SA_2019_2T!$C$159</f>
        <v>12</v>
      </c>
      <c r="DY17" s="203">
        <f>[41]SAS_SA_2019_2T!$C$169</f>
        <v>89</v>
      </c>
      <c r="DZ17" s="204">
        <f>[41]SAS_SA_2019_2T!$C$179</f>
        <v>101</v>
      </c>
      <c r="EA17" s="202">
        <f>[42]SAS_SA_2019_3T!$C$159</f>
        <v>11</v>
      </c>
      <c r="EB17" s="203">
        <f>[42]SAS_SA_2019_3T!$C$169</f>
        <v>90</v>
      </c>
      <c r="EC17" s="204">
        <f>[42]SAS_SA_2019_3T!$C$179</f>
        <v>101</v>
      </c>
      <c r="ED17" s="202">
        <f>[43]SAS_SA_2019_4T!$C$159</f>
        <v>12</v>
      </c>
      <c r="EE17" s="203">
        <f>[43]SAS_SA_2019_4T!$C$169</f>
        <v>78</v>
      </c>
      <c r="EF17" s="204">
        <f>[43]SAS_SA_2019_4T!$C$179</f>
        <v>90</v>
      </c>
      <c r="EG17" s="202">
        <f>[44]SAS_SA_2020_1T!$C$146</f>
        <v>14</v>
      </c>
      <c r="EH17" s="203">
        <f>[44]SAS_SA_2020_1T!$C$154</f>
        <v>93</v>
      </c>
      <c r="EI17" s="204">
        <f>[44]SAS_SA_2020_1T!$C$162</f>
        <v>107</v>
      </c>
      <c r="EJ17" s="202">
        <f>[45]SAS_SA_2020_2T!$C$146</f>
        <v>13</v>
      </c>
      <c r="EK17" s="203">
        <f>[45]SAS_SA_2020_2T!$C$154</f>
        <v>108</v>
      </c>
      <c r="EL17" s="204">
        <f>[45]SAS_SA_2020_2T!$C$162</f>
        <v>121</v>
      </c>
      <c r="EM17" s="202">
        <f>[46]SAS_SA_2020_3T!$C$146</f>
        <v>16</v>
      </c>
      <c r="EN17" s="203">
        <f>[46]SAS_SA_2020_3T!$C$154</f>
        <v>107</v>
      </c>
      <c r="EO17" s="204">
        <f>[46]SAS_SA_2020_3T!$C$162</f>
        <v>123</v>
      </c>
      <c r="EP17" s="202">
        <f>[47]SAS_SA_2020_4T!$C$146</f>
        <v>11</v>
      </c>
      <c r="EQ17" s="203">
        <f>[47]SAS_SA_2020_4T!$C$154</f>
        <v>94</v>
      </c>
      <c r="ER17" s="204">
        <f>[47]SAS_SA_2020_4T!$C$162</f>
        <v>105</v>
      </c>
      <c r="ES17" s="202">
        <f>[48]SAS_SA_2021_1T!$C$146</f>
        <v>10</v>
      </c>
      <c r="ET17" s="203">
        <f>[48]SAS_SA_2021_1T!$C$154</f>
        <v>101</v>
      </c>
      <c r="EU17" s="204">
        <f>[48]SAS_SA_2021_1T!$C$162</f>
        <v>111</v>
      </c>
      <c r="EV17" s="202">
        <f>[49]SAS_SA_2021_2T!$C$146</f>
        <v>10</v>
      </c>
      <c r="EW17" s="203">
        <f>[49]SAS_SA_2021_2T!$C$154</f>
        <v>113</v>
      </c>
      <c r="EX17" s="204">
        <f>[49]SAS_SA_2021_2T!$C$162</f>
        <v>123</v>
      </c>
      <c r="EY17" s="202">
        <f>[50]SAS_SA_2021_3T!$C$146</f>
        <v>10</v>
      </c>
      <c r="EZ17" s="203">
        <f>[50]SAS_SA_2021_3T!$C$154</f>
        <v>110</v>
      </c>
      <c r="FA17" s="204">
        <f>[50]SAS_SA_2021_3T!$C$162</f>
        <v>120</v>
      </c>
      <c r="FB17" s="202">
        <f>[51]SAS_SA_2021_4T!$C$109</f>
        <v>8</v>
      </c>
      <c r="FC17" s="203">
        <f>[51]SAS_SA_2021_4T!$C$114</f>
        <v>91</v>
      </c>
      <c r="FD17" s="204">
        <f>[51]SAS_SA_2021_4T!$C$119</f>
        <v>99</v>
      </c>
      <c r="FE17" s="202">
        <f>[52]SAS_SA_2022_1T!$C$109</f>
        <v>13</v>
      </c>
      <c r="FF17" s="203">
        <f>[52]SAS_SA_2022_1T!$C$114</f>
        <v>91</v>
      </c>
      <c r="FG17" s="204">
        <f>[52]SAS_SA_2022_1T!$C$119</f>
        <v>104</v>
      </c>
      <c r="FH17" s="202">
        <f>[53]SAS_SA_2022_2T!$C$109</f>
        <v>12</v>
      </c>
      <c r="FI17" s="203">
        <f>[53]SAS_SA_2022_2T!$C$114</f>
        <v>92</v>
      </c>
      <c r="FJ17" s="204">
        <f>[53]SAS_SA_2022_2T!$C$119</f>
        <v>104</v>
      </c>
      <c r="FK17" s="202">
        <f>[54]SAS_SA_2022_3T!$C$109</f>
        <v>11</v>
      </c>
      <c r="FL17" s="203">
        <f>[54]SAS_SA_2022_3T!$C$114</f>
        <v>89</v>
      </c>
      <c r="FM17" s="204">
        <f>[54]SAS_SA_2022_3T!$C$119</f>
        <v>100</v>
      </c>
      <c r="FN17" s="132">
        <f>[55]SAS_SA_2022_4T!$C$109</f>
        <v>9</v>
      </c>
      <c r="FO17" s="133">
        <f>[55]SAS_SA_2022_4T!$C$114</f>
        <v>76</v>
      </c>
      <c r="FP17" s="134">
        <f>[55]SAS_SA_2022_4T!$C$119</f>
        <v>85</v>
      </c>
      <c r="FQ17" s="132">
        <f>[56]SAS_SA_2023_1T!$C$109</f>
        <v>7</v>
      </c>
      <c r="FR17" s="133">
        <f>[56]SAS_SA_2023_1T!$C$114</f>
        <v>78</v>
      </c>
      <c r="FS17" s="134">
        <f>[56]SAS_SA_2023_1T!$C$119</f>
        <v>85</v>
      </c>
      <c r="FT17" s="132">
        <f>[57]SAS_SA_2023_2T!$C$109</f>
        <v>8</v>
      </c>
      <c r="FU17" s="133">
        <f>[57]SAS_SA_2023_2T!$C$114</f>
        <v>88</v>
      </c>
      <c r="FV17" s="134">
        <f>[57]SAS_SA_2023_2T!$C$119</f>
        <v>96</v>
      </c>
      <c r="FW17" s="132">
        <f>[58]SAS_SA_2023_3T!$C$109</f>
        <v>7</v>
      </c>
      <c r="FX17" s="133">
        <f>[58]SAS_SA_2023_3T!$C$114</f>
        <v>89</v>
      </c>
      <c r="FY17" s="134">
        <f>[58]SAS_SA_2023_3T!$C$119</f>
        <v>96</v>
      </c>
      <c r="FZ17" s="132">
        <f>[59]SAS_SA_2023_4T!$C$109</f>
        <v>4</v>
      </c>
      <c r="GA17" s="133">
        <f>[59]SAS_SA_2023_4T!$C$114</f>
        <v>69</v>
      </c>
      <c r="GB17" s="134">
        <f>[59]SAS_SA_2023_4T!$C$119</f>
        <v>73</v>
      </c>
      <c r="GC17" s="132">
        <f>[60]SAS_SA_2024_1T!$C$109</f>
        <v>3</v>
      </c>
      <c r="GD17" s="133">
        <f>[60]SAS_SA_2024_1T!$C$114</f>
        <v>68</v>
      </c>
      <c r="GE17" s="134">
        <f>[60]SAS_SA_2024_1T!$C$119</f>
        <v>71</v>
      </c>
      <c r="GF17" s="132">
        <f>[61]SAS_SA_2024_2T!$C$109</f>
        <v>5</v>
      </c>
      <c r="GG17" s="133">
        <f>[61]SAS_SA_2024_2T!$C$114</f>
        <v>68</v>
      </c>
      <c r="GH17" s="134">
        <f>[61]SAS_SA_2024_2T!$C$119</f>
        <v>73</v>
      </c>
      <c r="GI17" s="132">
        <f>[62]SAS_SA_2024_3T!$C$109</f>
        <v>3</v>
      </c>
      <c r="GJ17" s="133">
        <f>[62]SAS_SA_2024_3T!$C$114</f>
        <v>69</v>
      </c>
      <c r="GK17" s="134">
        <f>[62]SAS_SA_2024_3T!$C$119</f>
        <v>72</v>
      </c>
      <c r="GL17" s="132">
        <f>[63]SAS_SA_2024_4T!$C$109</f>
        <v>2</v>
      </c>
      <c r="GM17" s="133">
        <f>[63]SAS_SA_2024_4T!$C$114</f>
        <v>62</v>
      </c>
      <c r="GN17" s="134">
        <f>[63]SAS_SA_2024_4T!$C$119</f>
        <v>64</v>
      </c>
    </row>
    <row r="18" spans="1:196" x14ac:dyDescent="0.25">
      <c r="A18" s="39" t="s">
        <v>8</v>
      </c>
      <c r="B18" s="7">
        <f>[1]SAS_SA_4T2008!$D$166</f>
        <v>684</v>
      </c>
      <c r="C18" s="8">
        <f>[1]SAS_SA_4T2008!$D$176</f>
        <v>251</v>
      </c>
      <c r="D18" s="9">
        <f>[1]SAS_SA_4T2008!$D$186</f>
        <v>935</v>
      </c>
      <c r="E18" s="7">
        <f>[2]SAS_SA_1T2009!$D$166</f>
        <v>666</v>
      </c>
      <c r="F18" s="8">
        <f>[2]SAS_SA_1T2009!$D$176</f>
        <v>252</v>
      </c>
      <c r="G18" s="9">
        <f>[2]SAS_SA_1T2009!$D$186</f>
        <v>918</v>
      </c>
      <c r="H18" s="7">
        <f>[64]SAS_SA_2T2009!$D$166</f>
        <v>664</v>
      </c>
      <c r="I18" s="8">
        <f>[64]SAS_SA_2T2009!$D$176</f>
        <v>250</v>
      </c>
      <c r="J18" s="9">
        <f>[64]SAS_SA_2T2009!$D$186</f>
        <v>914</v>
      </c>
      <c r="K18" s="7">
        <f>[3]SAS_SA_3T2009!$D$166</f>
        <v>670</v>
      </c>
      <c r="L18" s="8">
        <f>[3]SAS_SA_3T2009!$D$176</f>
        <v>247</v>
      </c>
      <c r="M18" s="9">
        <f>[3]SAS_SA_3T2009!$D$186</f>
        <v>917</v>
      </c>
      <c r="N18" s="7">
        <f>[4]SAS_SA_4T2009!$D$166</f>
        <v>672</v>
      </c>
      <c r="O18" s="8">
        <f>[4]SAS_SA_4T2009!$D$176</f>
        <v>253</v>
      </c>
      <c r="P18" s="16">
        <f>[4]SAS_SA_4T2009!$D$186</f>
        <v>925</v>
      </c>
      <c r="Q18" s="7">
        <f>[5]SAS_SA_1T2010!$D$166</f>
        <v>667</v>
      </c>
      <c r="R18" s="8">
        <f>[5]SAS_SA_1T2010!$D$176</f>
        <v>251</v>
      </c>
      <c r="S18" s="16">
        <f>[5]SAS_SA_1T2010!$D$186</f>
        <v>918</v>
      </c>
      <c r="T18" s="7">
        <f>[65]SAS_SA_2T2010!$D$166</f>
        <v>661</v>
      </c>
      <c r="U18" s="8">
        <f>[65]SAS_SA_2T2010!$D$176</f>
        <v>254</v>
      </c>
      <c r="V18" s="16">
        <f>[65]SAS_SA_2T2010!$D$186</f>
        <v>915</v>
      </c>
      <c r="W18" s="7">
        <f>[6]SAS_SA_3T2010!$D$166</f>
        <v>655</v>
      </c>
      <c r="X18" s="8">
        <f>[6]SAS_SA_3T2010!$D$176</f>
        <v>254</v>
      </c>
      <c r="Y18" s="16">
        <f>[6]SAS_SA_3T2010!$D$186</f>
        <v>909</v>
      </c>
      <c r="Z18" s="7">
        <f>[7]SAS_SA_2010_4T!$D$166</f>
        <v>653</v>
      </c>
      <c r="AA18" s="8">
        <f>[7]SAS_SA_2010_4T!$D$176</f>
        <v>252</v>
      </c>
      <c r="AB18" s="9">
        <f>[7]SAS_SA_2010_4T!$D$186</f>
        <v>905</v>
      </c>
      <c r="AC18" s="7">
        <f>[8]SAS_SA_2011_1T!$D$159</f>
        <v>643</v>
      </c>
      <c r="AD18" s="8">
        <f>[8]SAS_SA_2011_1T!$D$169</f>
        <v>249</v>
      </c>
      <c r="AE18" s="9">
        <f>[8]SAS_SA_2011_1T!$D$179</f>
        <v>892</v>
      </c>
      <c r="AF18" s="7">
        <f>[9]SAS_SA_2011_2T!$D$159</f>
        <v>645</v>
      </c>
      <c r="AG18" s="8">
        <f>[9]SAS_SA_2011_2T!$D$169</f>
        <v>250</v>
      </c>
      <c r="AH18" s="9">
        <f>[9]SAS_SA_2011_2T!$D$179</f>
        <v>895</v>
      </c>
      <c r="AI18" s="7">
        <f>[10]SAS_SA_2011_3T!$D$159</f>
        <v>631</v>
      </c>
      <c r="AJ18" s="8">
        <f>[10]SAS_SA_2011_3T!$D$169</f>
        <v>250</v>
      </c>
      <c r="AK18" s="9">
        <f>[10]SAS_SA_2011_3T!$D$179</f>
        <v>881</v>
      </c>
      <c r="AL18" s="7">
        <f>[11]SAS_SA_2011_4T!$D$159</f>
        <v>625</v>
      </c>
      <c r="AM18" s="8">
        <f>[11]SAS_SA_2011_4T!$D$169</f>
        <v>250</v>
      </c>
      <c r="AN18" s="9">
        <f>[11]SAS_SA_2011_4T!$D$179</f>
        <v>875</v>
      </c>
      <c r="AO18" s="7">
        <f>'[12]120612-17H07S59-PROGRAM-TdB_STO'!$D$159</f>
        <v>623</v>
      </c>
      <c r="AP18" s="8">
        <f>'[12]120612-17H07S59-PROGRAM-TdB_STO'!$D$169</f>
        <v>243</v>
      </c>
      <c r="AQ18" s="9">
        <f>'[12]120612-17H07S59-PROGRAM-TdB_STO'!$D$179</f>
        <v>866</v>
      </c>
      <c r="AR18" s="7">
        <f>[13]SAS_SA_2012_2T!$D$159</f>
        <v>613</v>
      </c>
      <c r="AS18" s="8">
        <f>[13]SAS_SA_2012_2T!$D$169</f>
        <v>242</v>
      </c>
      <c r="AT18" s="9">
        <f>[13]SAS_SA_2012_2T!$D$179</f>
        <v>855</v>
      </c>
      <c r="AU18" s="7">
        <f>'[14]121105-09H31S06-PROGRAM-TdB_STO'!$D$159</f>
        <v>608</v>
      </c>
      <c r="AV18" s="8">
        <f>'[14]121105-09H31S06-PROGRAM-TdB_STO'!$D$169</f>
        <v>239</v>
      </c>
      <c r="AW18" s="9">
        <f>'[14]121105-09H31S06-PROGRAM-TdB_STO'!$D$179</f>
        <v>847</v>
      </c>
      <c r="AX18" s="7">
        <f>[15]SAS_SA_2012_4T!$D$159</f>
        <v>607</v>
      </c>
      <c r="AY18" s="8">
        <f>[15]SAS_SA_2012_4T!$D$169</f>
        <v>237</v>
      </c>
      <c r="AZ18" s="9">
        <f>[15]SAS_SA_2012_4T!$D$179</f>
        <v>844</v>
      </c>
      <c r="BA18" s="7">
        <f>[16]SAS_SA_2013_1T!$D$159</f>
        <v>604</v>
      </c>
      <c r="BB18" s="8">
        <f>[16]SAS_SA_2013_1T!$D$169</f>
        <v>234</v>
      </c>
      <c r="BC18" s="9">
        <f>[16]SAS_SA_2013_1T!$D$179</f>
        <v>838</v>
      </c>
      <c r="BD18" s="7">
        <f>[17]SAS_SA_2013_2T!$D$159</f>
        <v>596</v>
      </c>
      <c r="BE18" s="8">
        <f>[17]SAS_SA_2013_2T!$D$169</f>
        <v>235</v>
      </c>
      <c r="BF18" s="9">
        <f>[17]SAS_SA_2013_2T!$D$179</f>
        <v>831</v>
      </c>
      <c r="BG18" s="7">
        <f>[18]SAS_SA_2013_3T!$D$159</f>
        <v>598</v>
      </c>
      <c r="BH18" s="8">
        <f>[18]SAS_SA_2013_3T!$D$169</f>
        <v>235</v>
      </c>
      <c r="BI18" s="9">
        <f>[18]SAS_SA_2013_3T!$D$179</f>
        <v>833</v>
      </c>
      <c r="BJ18" s="7">
        <f>[19]SAS_SA_2013_4T!$D$159</f>
        <v>594</v>
      </c>
      <c r="BK18" s="8">
        <f>[19]SAS_SA_2013_4T!$D$169</f>
        <v>235</v>
      </c>
      <c r="BL18" s="9">
        <f>[19]SAS_SA_2013_4T!$D$179</f>
        <v>829</v>
      </c>
      <c r="BM18" s="7">
        <f>[20]SAS_SA_2014_1T!$D$159</f>
        <v>586</v>
      </c>
      <c r="BN18" s="8">
        <f>[20]SAS_SA_2014_1T!$D$169</f>
        <v>234</v>
      </c>
      <c r="BO18" s="9">
        <f>[20]SAS_SA_2014_1T!$D$179</f>
        <v>820</v>
      </c>
      <c r="BP18" s="7">
        <f>[21]SAS_SA_2014_2T!$D$159</f>
        <v>593</v>
      </c>
      <c r="BQ18" s="8">
        <f>[21]SAS_SA_2014_2T!$D$169</f>
        <v>235</v>
      </c>
      <c r="BR18" s="9">
        <f>[21]SAS_SA_2014_2T!$D$179</f>
        <v>828</v>
      </c>
      <c r="BS18" s="7">
        <f>[22]SAS_SA_2014_3T!$D$159</f>
        <v>588</v>
      </c>
      <c r="BT18" s="8">
        <f>[22]SAS_SA_2014_3T!$D$169</f>
        <v>238</v>
      </c>
      <c r="BU18" s="9">
        <f>[22]SAS_SA_2014_3T!$D$179</f>
        <v>826</v>
      </c>
      <c r="BV18" s="7">
        <f>[23]SAS_SA_2014_4T!$D$159</f>
        <v>591</v>
      </c>
      <c r="BW18" s="8">
        <f>[23]SAS_SA_2014_4T!$D$169</f>
        <v>240</v>
      </c>
      <c r="BX18" s="9">
        <f>[23]SAS_SA_2014_4T!$D$179</f>
        <v>831</v>
      </c>
      <c r="BY18" s="7">
        <f>[24]SAS_SA_2015_1T!$D$159</f>
        <v>590</v>
      </c>
      <c r="BZ18" s="8">
        <f>[24]SAS_SA_2015_1T!$D$169</f>
        <v>242</v>
      </c>
      <c r="CA18" s="9">
        <f>[24]SAS_SA_2015_1T!$D$179</f>
        <v>832</v>
      </c>
      <c r="CB18" s="7">
        <f>[25]SAS_SA_2015_2T!$D$159</f>
        <v>584</v>
      </c>
      <c r="CC18" s="8">
        <f>[25]SAS_SA_2015_2T!$D$169</f>
        <v>244</v>
      </c>
      <c r="CD18" s="9">
        <f>[25]SAS_SA_2015_2T!$D$179</f>
        <v>828</v>
      </c>
      <c r="CE18" s="7">
        <f>[26]SAS_SA_2015_3T!$D$159</f>
        <v>570</v>
      </c>
      <c r="CF18" s="8">
        <f>[26]SAS_SA_2015_3T!$D$169</f>
        <v>240</v>
      </c>
      <c r="CG18" s="9">
        <f>[26]SAS_SA_2015_3T!$D$179</f>
        <v>810</v>
      </c>
      <c r="CH18" s="7">
        <f>[27]SAS_SA_2015_4T!$D$159</f>
        <v>565</v>
      </c>
      <c r="CI18" s="8">
        <f>[27]SAS_SA_2015_4T!$D$169</f>
        <v>237</v>
      </c>
      <c r="CJ18" s="9">
        <f>[27]SAS_SA_2015_4T!$D$179</f>
        <v>802</v>
      </c>
      <c r="CK18" s="7">
        <f>[28]SAS_SA_2016_1T!$D$159</f>
        <v>557</v>
      </c>
      <c r="CL18" s="8">
        <f>[28]SAS_SA_2016_1T!$D$169</f>
        <v>233</v>
      </c>
      <c r="CM18" s="9">
        <f>[28]SAS_SA_2016_1T!$D$179</f>
        <v>790</v>
      </c>
      <c r="CN18" s="7">
        <f>'[29]160822-11H12S04-PROGRAM-TdB_STO'!$D$159</f>
        <v>544</v>
      </c>
      <c r="CO18" s="8">
        <f>'[29]160822-11H12S04-PROGRAM-TdB_STO'!$D$169</f>
        <v>233</v>
      </c>
      <c r="CP18" s="9">
        <f>'[29]160822-11H12S04-PROGRAM-TdB_STO'!$D$179</f>
        <v>777</v>
      </c>
      <c r="CQ18" s="132">
        <f>[30]SAS_SA_2016_3T!$D$159</f>
        <v>546</v>
      </c>
      <c r="CR18" s="133">
        <f>[30]SAS_SA_2016_3T!$D$169</f>
        <v>230</v>
      </c>
      <c r="CS18" s="134">
        <f>[30]SAS_SA_2016_3T!$D$179</f>
        <v>776</v>
      </c>
      <c r="CT18" s="132">
        <f>[31]SAS_SA_2016_4T!$D$159</f>
        <v>538</v>
      </c>
      <c r="CU18" s="133">
        <f>[31]SAS_SA_2016_4T!$D$169</f>
        <v>228</v>
      </c>
      <c r="CV18" s="134">
        <f>[31]SAS_SA_2016_4T!$D$179</f>
        <v>766</v>
      </c>
      <c r="CW18" s="132">
        <f>[32]SAS_SA_2017_1T!$D$159</f>
        <v>525</v>
      </c>
      <c r="CX18" s="133">
        <f>[32]SAS_SA_2017_1T!$D$169</f>
        <v>223</v>
      </c>
      <c r="CY18" s="134">
        <f>[32]SAS_SA_2017_1T!$D$179</f>
        <v>748</v>
      </c>
      <c r="CZ18" s="132">
        <f>[33]SAS_SA_2017_2T!$D$159</f>
        <v>520</v>
      </c>
      <c r="DA18" s="133">
        <f>[33]SAS_SA_2017_2T!$D$169</f>
        <v>222</v>
      </c>
      <c r="DB18" s="134">
        <f>[33]SAS_SA_2017_2T!$D$179</f>
        <v>742</v>
      </c>
      <c r="DC18" s="132">
        <f>[34]SAS_SA_2017_3T!$D$159</f>
        <v>518</v>
      </c>
      <c r="DD18" s="133">
        <f>[34]SAS_SA_2017_3T!$D$169</f>
        <v>222</v>
      </c>
      <c r="DE18" s="134">
        <f>[34]SAS_SA_2017_3T!$D$179</f>
        <v>740</v>
      </c>
      <c r="DF18" s="132">
        <f>[35]SAS_SA_2017_4T!$D$159</f>
        <v>515</v>
      </c>
      <c r="DG18" s="133">
        <f>[35]SAS_SA_2017_4T!$D$169</f>
        <v>230</v>
      </c>
      <c r="DH18" s="134">
        <f>[35]SAS_SA_2017_4T!$D$179</f>
        <v>745</v>
      </c>
      <c r="DI18" s="132">
        <f>[36]SAS_SA_2018_1T!$D$159</f>
        <v>503</v>
      </c>
      <c r="DJ18" s="133">
        <f>[36]SAS_SA_2018_1T!$D$169</f>
        <v>231</v>
      </c>
      <c r="DK18" s="134">
        <f>[36]SAS_SA_2018_1T!$D$179</f>
        <v>734</v>
      </c>
      <c r="DL18" s="132">
        <f>[37]SAS_SA_2018_2T!$D$159</f>
        <v>505</v>
      </c>
      <c r="DM18" s="133">
        <f>[37]SAS_SA_2018_2T!$D$169</f>
        <v>231</v>
      </c>
      <c r="DN18" s="134">
        <f>[37]SAS_SA_2018_2T!$D$179</f>
        <v>736</v>
      </c>
      <c r="DO18" s="132">
        <f>[38]SAS_SA_2018_3T!$D$159</f>
        <v>500</v>
      </c>
      <c r="DP18" s="133">
        <f>[38]SAS_SA_2018_3T!$D$169</f>
        <v>230</v>
      </c>
      <c r="DQ18" s="134">
        <f>[38]SAS_SA_2018_3T!$D$179</f>
        <v>730</v>
      </c>
      <c r="DR18" s="132">
        <f>'[39]190227-14H32S38-PROGRAM-TdB_STO'!$D$159</f>
        <v>509</v>
      </c>
      <c r="DS18" s="133">
        <f>'[39]190227-14H32S38-PROGRAM-TdB_STO'!$D$169</f>
        <v>233</v>
      </c>
      <c r="DT18" s="134">
        <f>'[39]190227-14H32S38-PROGRAM-TdB_STO'!$D$179</f>
        <v>742</v>
      </c>
      <c r="DU18" s="202">
        <f>[40]SAS_SA_2019_1T!$D$159</f>
        <v>506</v>
      </c>
      <c r="DV18" s="203">
        <f>[40]SAS_SA_2019_1T!$D$169</f>
        <v>231</v>
      </c>
      <c r="DW18" s="204">
        <f>[40]SAS_SA_2019_1T!$D$179</f>
        <v>737</v>
      </c>
      <c r="DX18" s="202">
        <f>[41]SAS_SA_2019_2T!$D$159</f>
        <v>504</v>
      </c>
      <c r="DY18" s="203">
        <f>[41]SAS_SA_2019_2T!$D$169</f>
        <v>229</v>
      </c>
      <c r="DZ18" s="204">
        <f>[41]SAS_SA_2019_2T!$D$179</f>
        <v>733</v>
      </c>
      <c r="EA18" s="202">
        <f>[42]SAS_SA_2019_3T!$D$159</f>
        <v>506</v>
      </c>
      <c r="EB18" s="203">
        <f>[42]SAS_SA_2019_3T!$D$169</f>
        <v>229</v>
      </c>
      <c r="EC18" s="204">
        <f>[42]SAS_SA_2019_3T!$D$179</f>
        <v>735</v>
      </c>
      <c r="ED18" s="202">
        <f>[43]SAS_SA_2019_4T!$D$159</f>
        <v>497</v>
      </c>
      <c r="EE18" s="203">
        <f>[43]SAS_SA_2019_4T!$D$169</f>
        <v>230</v>
      </c>
      <c r="EF18" s="204">
        <f>[43]SAS_SA_2019_4T!$D$179</f>
        <v>727</v>
      </c>
      <c r="EG18" s="202">
        <f>[44]SAS_SA_2020_1T!$D$146</f>
        <v>497</v>
      </c>
      <c r="EH18" s="203">
        <f>[44]SAS_SA_2020_1T!$D$154</f>
        <v>227</v>
      </c>
      <c r="EI18" s="204">
        <f>[44]SAS_SA_2020_1T!$D$162</f>
        <v>724</v>
      </c>
      <c r="EJ18" s="202">
        <f>[45]SAS_SA_2020_2T!$D$146</f>
        <v>501</v>
      </c>
      <c r="EK18" s="203">
        <f>[45]SAS_SA_2020_2T!$D$154</f>
        <v>226</v>
      </c>
      <c r="EL18" s="204">
        <f>[45]SAS_SA_2020_2T!$D$162</f>
        <v>727</v>
      </c>
      <c r="EM18" s="202">
        <f>[46]SAS_SA_2020_3T!$D$146</f>
        <v>502</v>
      </c>
      <c r="EN18" s="203">
        <f>[46]SAS_SA_2020_3T!$D$154</f>
        <v>225</v>
      </c>
      <c r="EO18" s="204">
        <f>[46]SAS_SA_2020_3T!$D$162</f>
        <v>727</v>
      </c>
      <c r="EP18" s="202">
        <f>[47]SAS_SA_2020_4T!$D$146</f>
        <v>502</v>
      </c>
      <c r="EQ18" s="203">
        <f>[47]SAS_SA_2020_4T!$D$154</f>
        <v>231</v>
      </c>
      <c r="ER18" s="204">
        <f>[47]SAS_SA_2020_4T!$D$162</f>
        <v>733</v>
      </c>
      <c r="ES18" s="202">
        <f>[48]SAS_SA_2021_1T!$D$146</f>
        <v>500</v>
      </c>
      <c r="ET18" s="203">
        <f>[48]SAS_SA_2021_1T!$D$154</f>
        <v>234</v>
      </c>
      <c r="EU18" s="204">
        <f>[48]SAS_SA_2021_1T!$D$162</f>
        <v>734</v>
      </c>
      <c r="EV18" s="202">
        <f>[49]SAS_SA_2021_2T!$D$146</f>
        <v>507</v>
      </c>
      <c r="EW18" s="203">
        <f>[49]SAS_SA_2021_2T!$D$154</f>
        <v>234</v>
      </c>
      <c r="EX18" s="204">
        <f>[49]SAS_SA_2021_2T!$D$162</f>
        <v>741</v>
      </c>
      <c r="EY18" s="202">
        <f>[50]SAS_SA_2021_3T!$D$146</f>
        <v>513</v>
      </c>
      <c r="EZ18" s="203">
        <f>[50]SAS_SA_2021_3T!$D$154</f>
        <v>241</v>
      </c>
      <c r="FA18" s="204">
        <f>[50]SAS_SA_2021_3T!$D$162</f>
        <v>754</v>
      </c>
      <c r="FB18" s="202">
        <f>[51]SAS_SA_2021_4T!$D$109</f>
        <v>504</v>
      </c>
      <c r="FC18" s="203">
        <f>[51]SAS_SA_2021_4T!$D$114</f>
        <v>248</v>
      </c>
      <c r="FD18" s="204">
        <f>[51]SAS_SA_2021_4T!$D$119</f>
        <v>752</v>
      </c>
      <c r="FE18" s="202">
        <f>[52]SAS_SA_2022_1T!$D$109</f>
        <v>505</v>
      </c>
      <c r="FF18" s="203">
        <f>[52]SAS_SA_2022_1T!$D$114</f>
        <v>248</v>
      </c>
      <c r="FG18" s="204">
        <f>[52]SAS_SA_2022_1T!$D$119</f>
        <v>753</v>
      </c>
      <c r="FH18" s="202">
        <f>[53]SAS_SA_2022_2T!$D$109</f>
        <v>509</v>
      </c>
      <c r="FI18" s="203">
        <f>[53]SAS_SA_2022_2T!$D$114</f>
        <v>248</v>
      </c>
      <c r="FJ18" s="204">
        <f>[53]SAS_SA_2022_2T!$D$119</f>
        <v>757</v>
      </c>
      <c r="FK18" s="202">
        <f>[54]SAS_SA_2022_3T!$D$109</f>
        <v>507</v>
      </c>
      <c r="FL18" s="203">
        <f>[54]SAS_SA_2022_3T!$D$114</f>
        <v>247</v>
      </c>
      <c r="FM18" s="204">
        <f>[54]SAS_SA_2022_3T!$D$119</f>
        <v>754</v>
      </c>
      <c r="FN18" s="132">
        <f>[55]SAS_SA_2022_4T!$D$109</f>
        <v>504</v>
      </c>
      <c r="FO18" s="133">
        <f>[55]SAS_SA_2022_4T!$D$114</f>
        <v>249</v>
      </c>
      <c r="FP18" s="134">
        <f>[55]SAS_SA_2022_4T!$D$119</f>
        <v>753</v>
      </c>
      <c r="FQ18" s="132">
        <f>[56]SAS_SA_2023_1T!$D$109</f>
        <v>498</v>
      </c>
      <c r="FR18" s="133">
        <f>[56]SAS_SA_2023_1T!$D$114</f>
        <v>247</v>
      </c>
      <c r="FS18" s="134">
        <f>[56]SAS_SA_2023_1T!$D$119</f>
        <v>745</v>
      </c>
      <c r="FT18" s="132">
        <f>[57]SAS_SA_2023_2T!$D$109</f>
        <v>495</v>
      </c>
      <c r="FU18" s="133">
        <f>[57]SAS_SA_2023_2T!$D$114</f>
        <v>257</v>
      </c>
      <c r="FV18" s="134">
        <f>[57]SAS_SA_2023_2T!$D$119</f>
        <v>752</v>
      </c>
      <c r="FW18" s="132">
        <f>[58]SAS_SA_2023_3T!$D$109</f>
        <v>488</v>
      </c>
      <c r="FX18" s="133">
        <f>[58]SAS_SA_2023_3T!$D$114</f>
        <v>252</v>
      </c>
      <c r="FY18" s="134">
        <f>[58]SAS_SA_2023_3T!$D$119</f>
        <v>740</v>
      </c>
      <c r="FZ18" s="132">
        <f>[59]SAS_SA_2023_4T!$D$109</f>
        <v>487</v>
      </c>
      <c r="GA18" s="133">
        <f>[59]SAS_SA_2023_4T!$D$114</f>
        <v>246</v>
      </c>
      <c r="GB18" s="134">
        <f>[59]SAS_SA_2023_4T!$D$119</f>
        <v>733</v>
      </c>
      <c r="GC18" s="132">
        <f>[60]SAS_SA_2024_1T!$D$109</f>
        <v>479</v>
      </c>
      <c r="GD18" s="133">
        <f>[60]SAS_SA_2024_1T!$D$114</f>
        <v>244</v>
      </c>
      <c r="GE18" s="134">
        <f>[60]SAS_SA_2024_1T!$D$119</f>
        <v>723</v>
      </c>
      <c r="GF18" s="132">
        <f>[61]SAS_SA_2024_2T!$D$109</f>
        <v>479</v>
      </c>
      <c r="GG18" s="133">
        <f>[61]SAS_SA_2024_2T!$D$114</f>
        <v>247</v>
      </c>
      <c r="GH18" s="134">
        <f>[61]SAS_SA_2024_2T!$D$119</f>
        <v>726</v>
      </c>
      <c r="GI18" s="132">
        <f>[62]SAS_SA_2024_3T!$D$109</f>
        <v>473</v>
      </c>
      <c r="GJ18" s="133">
        <f>[62]SAS_SA_2024_3T!$D$114</f>
        <v>241</v>
      </c>
      <c r="GK18" s="134">
        <f>[62]SAS_SA_2024_3T!$D$119</f>
        <v>714</v>
      </c>
      <c r="GL18" s="132">
        <f>[63]SAS_SA_2024_4T!$D$109</f>
        <v>480</v>
      </c>
      <c r="GM18" s="133">
        <f>[63]SAS_SA_2024_4T!$D$114</f>
        <v>237</v>
      </c>
      <c r="GN18" s="134">
        <f>[63]SAS_SA_2024_4T!$D$119</f>
        <v>717</v>
      </c>
    </row>
    <row r="19" spans="1:196" x14ac:dyDescent="0.25">
      <c r="A19" s="39" t="s">
        <v>10</v>
      </c>
      <c r="B19" s="7">
        <f>[1]SAS_SA_4T2008!$F$166</f>
        <v>6515</v>
      </c>
      <c r="C19" s="8">
        <f>[1]SAS_SA_4T2008!$F$176</f>
        <v>2988</v>
      </c>
      <c r="D19" s="9">
        <f>[1]SAS_SA_4T2008!$F$186</f>
        <v>9503</v>
      </c>
      <c r="E19" s="7">
        <f>[2]SAS_SA_1T2009!$F$166</f>
        <v>6353</v>
      </c>
      <c r="F19" s="8">
        <f>[2]SAS_SA_1T2009!$F$176</f>
        <v>2924</v>
      </c>
      <c r="G19" s="9">
        <f>[2]SAS_SA_1T2009!$F$186</f>
        <v>9277</v>
      </c>
      <c r="H19" s="7">
        <f>[64]SAS_SA_2T2009!$F$166</f>
        <v>6212</v>
      </c>
      <c r="I19" s="8">
        <f>[64]SAS_SA_2T2009!$F$176</f>
        <v>2839</v>
      </c>
      <c r="J19" s="9">
        <f>[64]SAS_SA_2T2009!$F$186</f>
        <v>9051</v>
      </c>
      <c r="K19" s="7">
        <f>[3]SAS_SA_3T2009!$F$166</f>
        <v>6125</v>
      </c>
      <c r="L19" s="8">
        <f>[3]SAS_SA_3T2009!$F$176</f>
        <v>2817</v>
      </c>
      <c r="M19" s="9">
        <f>[3]SAS_SA_3T2009!$F$186</f>
        <v>8942</v>
      </c>
      <c r="N19" s="7">
        <f>[4]SAS_SA_4T2009!$F$166</f>
        <v>5993</v>
      </c>
      <c r="O19" s="8">
        <f>[4]SAS_SA_4T2009!$F$176</f>
        <v>2788</v>
      </c>
      <c r="P19" s="16">
        <f>[4]SAS_SA_4T2009!$F$186</f>
        <v>8781</v>
      </c>
      <c r="Q19" s="7">
        <f>[5]SAS_SA_1T2010!$F$166</f>
        <v>5896</v>
      </c>
      <c r="R19" s="8">
        <f>[5]SAS_SA_1T2010!$F$176</f>
        <v>2740</v>
      </c>
      <c r="S19" s="16">
        <f>[5]SAS_SA_1T2010!$F$186</f>
        <v>8636</v>
      </c>
      <c r="T19" s="7">
        <f>[65]SAS_SA_2T2010!$F$166</f>
        <v>5762</v>
      </c>
      <c r="U19" s="8">
        <f>[65]SAS_SA_2T2010!$F$176</f>
        <v>2636</v>
      </c>
      <c r="V19" s="16">
        <f>[65]SAS_SA_2T2010!$F$186</f>
        <v>8398</v>
      </c>
      <c r="W19" s="7">
        <f>[6]SAS_SA_3T2010!$F$166</f>
        <v>5617</v>
      </c>
      <c r="X19" s="8">
        <f>[6]SAS_SA_3T2010!$F$176</f>
        <v>2590</v>
      </c>
      <c r="Y19" s="16">
        <f>[6]SAS_SA_3T2010!$F$186</f>
        <v>8207</v>
      </c>
      <c r="Z19" s="7">
        <f>[7]SAS_SA_2010_4T!$F$166</f>
        <v>5566</v>
      </c>
      <c r="AA19" s="8">
        <f>[7]SAS_SA_2010_4T!$F$176</f>
        <v>2568</v>
      </c>
      <c r="AB19" s="9">
        <f>[7]SAS_SA_2010_4T!$F$186</f>
        <v>8134</v>
      </c>
      <c r="AC19" s="7">
        <f>[8]SAS_SA_2011_1T!$F$159</f>
        <v>5434</v>
      </c>
      <c r="AD19" s="8">
        <f>[8]SAS_SA_2011_1T!$F$169</f>
        <v>2526</v>
      </c>
      <c r="AE19" s="9">
        <f>[8]SAS_SA_2011_1T!$F$179</f>
        <v>7960</v>
      </c>
      <c r="AF19" s="7">
        <f>[9]SAS_SA_2011_2T!$F$159</f>
        <v>5326</v>
      </c>
      <c r="AG19" s="8">
        <f>[9]SAS_SA_2011_2T!$F$169</f>
        <v>2483</v>
      </c>
      <c r="AH19" s="9">
        <f>[9]SAS_SA_2011_2T!$F$179</f>
        <v>7809</v>
      </c>
      <c r="AI19" s="7">
        <f>[10]SAS_SA_2011_3T!$F$159</f>
        <v>5205</v>
      </c>
      <c r="AJ19" s="8">
        <f>[10]SAS_SA_2011_3T!$F$169</f>
        <v>2449</v>
      </c>
      <c r="AK19" s="9">
        <f>[10]SAS_SA_2011_3T!$F$179</f>
        <v>7654</v>
      </c>
      <c r="AL19" s="7">
        <f>[11]SAS_SA_2011_4T!$F$159</f>
        <v>5127</v>
      </c>
      <c r="AM19" s="8">
        <f>[11]SAS_SA_2011_4T!$F$169</f>
        <v>2405</v>
      </c>
      <c r="AN19" s="9">
        <f>[11]SAS_SA_2011_4T!$F$179</f>
        <v>7532</v>
      </c>
      <c r="AO19" s="7">
        <f>'[12]120612-17H07S59-PROGRAM-TdB_STO'!$F$159</f>
        <v>5011</v>
      </c>
      <c r="AP19" s="8">
        <f>'[12]120612-17H07S59-PROGRAM-TdB_STO'!$F$169</f>
        <v>2349</v>
      </c>
      <c r="AQ19" s="9">
        <f>'[12]120612-17H07S59-PROGRAM-TdB_STO'!$F$179</f>
        <v>7360</v>
      </c>
      <c r="AR19" s="7">
        <f>[13]SAS_SA_2012_2T!$F$159</f>
        <v>4920</v>
      </c>
      <c r="AS19" s="8">
        <f>[13]SAS_SA_2012_2T!$F$169</f>
        <v>2302</v>
      </c>
      <c r="AT19" s="9">
        <f>[13]SAS_SA_2012_2T!$F$179</f>
        <v>7222</v>
      </c>
      <c r="AU19" s="7">
        <f>'[14]121105-09H31S06-PROGRAM-TdB_STO'!$F$159</f>
        <v>4775</v>
      </c>
      <c r="AV19" s="8">
        <f>'[14]121105-09H31S06-PROGRAM-TdB_STO'!$F$169</f>
        <v>2267</v>
      </c>
      <c r="AW19" s="9">
        <f>'[14]121105-09H31S06-PROGRAM-TdB_STO'!$F$179</f>
        <v>7042</v>
      </c>
      <c r="AX19" s="7">
        <f>[15]SAS_SA_2012_4T!$F$159</f>
        <v>4668</v>
      </c>
      <c r="AY19" s="8">
        <f>[15]SAS_SA_2012_4T!$F$169</f>
        <v>2231</v>
      </c>
      <c r="AZ19" s="9">
        <f>[15]SAS_SA_2012_4T!$F$179</f>
        <v>6899</v>
      </c>
      <c r="BA19" s="7">
        <f>[16]SAS_SA_2013_1T!$F$159</f>
        <v>4570</v>
      </c>
      <c r="BB19" s="8">
        <f>[16]SAS_SA_2013_1T!$F$169</f>
        <v>2189</v>
      </c>
      <c r="BC19" s="9">
        <f>[16]SAS_SA_2013_1T!$F$179</f>
        <v>6759</v>
      </c>
      <c r="BD19" s="7">
        <f>[17]SAS_SA_2013_2T!$F$159</f>
        <v>4478</v>
      </c>
      <c r="BE19" s="8">
        <f>[17]SAS_SA_2013_2T!$F$169</f>
        <v>2135</v>
      </c>
      <c r="BF19" s="9">
        <f>[17]SAS_SA_2013_2T!$F$179</f>
        <v>6613</v>
      </c>
      <c r="BG19" s="7">
        <f>[18]SAS_SA_2013_3T!$F$159</f>
        <v>4393</v>
      </c>
      <c r="BH19" s="8">
        <f>[18]SAS_SA_2013_3T!$F$169</f>
        <v>2096</v>
      </c>
      <c r="BI19" s="9">
        <f>[18]SAS_SA_2013_3T!$F$179</f>
        <v>6489</v>
      </c>
      <c r="BJ19" s="7">
        <f>[19]SAS_SA_2013_4T!$F$159</f>
        <v>4335</v>
      </c>
      <c r="BK19" s="8">
        <f>[19]SAS_SA_2013_4T!$F$169</f>
        <v>2058</v>
      </c>
      <c r="BL19" s="9">
        <f>[19]SAS_SA_2013_4T!$F$179</f>
        <v>6393</v>
      </c>
      <c r="BM19" s="7">
        <f>[20]SAS_SA_2014_1T!$F$159</f>
        <v>4261</v>
      </c>
      <c r="BN19" s="8">
        <f>[20]SAS_SA_2014_1T!$F$169</f>
        <v>2032</v>
      </c>
      <c r="BO19" s="9">
        <f>[20]SAS_SA_2014_1T!$F$179</f>
        <v>6293</v>
      </c>
      <c r="BP19" s="7">
        <f>[21]SAS_SA_2014_2T!$F$159</f>
        <v>4159</v>
      </c>
      <c r="BQ19" s="8">
        <f>[21]SAS_SA_2014_2T!$F$169</f>
        <v>1985</v>
      </c>
      <c r="BR19" s="9">
        <f>[21]SAS_SA_2014_2T!$F$179</f>
        <v>6144</v>
      </c>
      <c r="BS19" s="7">
        <f>[22]SAS_SA_2014_3T!$F$159</f>
        <v>4072</v>
      </c>
      <c r="BT19" s="8">
        <f>[22]SAS_SA_2014_3T!$F$169</f>
        <v>1941</v>
      </c>
      <c r="BU19" s="9">
        <f>[22]SAS_SA_2014_3T!$F$179</f>
        <v>6013</v>
      </c>
      <c r="BV19" s="7">
        <f>[23]SAS_SA_2014_4T!$F$159</f>
        <v>3974</v>
      </c>
      <c r="BW19" s="8">
        <f>[23]SAS_SA_2014_4T!$F$169</f>
        <v>1908</v>
      </c>
      <c r="BX19" s="9">
        <f>[23]SAS_SA_2014_4T!$F$179</f>
        <v>5882</v>
      </c>
      <c r="BY19" s="7">
        <f>[24]SAS_SA_2015_1T!$F$159</f>
        <v>3866</v>
      </c>
      <c r="BZ19" s="8">
        <f>[24]SAS_SA_2015_1T!$F$169</f>
        <v>1876</v>
      </c>
      <c r="CA19" s="9">
        <f>[24]SAS_SA_2015_1T!$F$179</f>
        <v>5742</v>
      </c>
      <c r="CB19" s="7">
        <f>[25]SAS_SA_2015_2T!$F$159</f>
        <v>3783</v>
      </c>
      <c r="CC19" s="8">
        <f>[25]SAS_SA_2015_2T!$F$169</f>
        <v>1833</v>
      </c>
      <c r="CD19" s="9">
        <f>[25]SAS_SA_2015_2T!$F$179</f>
        <v>5616</v>
      </c>
      <c r="CE19" s="7">
        <f>[26]SAS_SA_2015_3T!$F$159</f>
        <v>3658</v>
      </c>
      <c r="CF19" s="8">
        <f>[26]SAS_SA_2015_3T!$F$169</f>
        <v>1771</v>
      </c>
      <c r="CG19" s="9">
        <f>[26]SAS_SA_2015_3T!$F$179</f>
        <v>5429</v>
      </c>
      <c r="CH19" s="7">
        <f>[27]SAS_SA_2015_4T!$F$159</f>
        <v>3594</v>
      </c>
      <c r="CI19" s="8">
        <f>[27]SAS_SA_2015_4T!$F$169</f>
        <v>1737</v>
      </c>
      <c r="CJ19" s="9">
        <f>[27]SAS_SA_2015_4T!$F$179</f>
        <v>5331</v>
      </c>
      <c r="CK19" s="7">
        <f>[28]SAS_SA_2016_1T!$F$159</f>
        <v>3505</v>
      </c>
      <c r="CL19" s="8">
        <f>[28]SAS_SA_2016_1T!$F$169</f>
        <v>1695</v>
      </c>
      <c r="CM19" s="9">
        <f>[28]SAS_SA_2016_1T!$F$179</f>
        <v>5200</v>
      </c>
      <c r="CN19" s="7">
        <f>'[29]160822-11H12S04-PROGRAM-TdB_STO'!$F$159</f>
        <v>3398</v>
      </c>
      <c r="CO19" s="8">
        <f>'[29]160822-11H12S04-PROGRAM-TdB_STO'!$F$169</f>
        <v>1650</v>
      </c>
      <c r="CP19" s="9">
        <f>'[29]160822-11H12S04-PROGRAM-TdB_STO'!$F$179</f>
        <v>5048</v>
      </c>
      <c r="CQ19" s="132">
        <f>[30]SAS_SA_2016_3T!$F$159</f>
        <v>3302</v>
      </c>
      <c r="CR19" s="133">
        <f>[30]SAS_SA_2016_3T!$F$169</f>
        <v>1606</v>
      </c>
      <c r="CS19" s="134">
        <f>[30]SAS_SA_2016_3T!$F$179</f>
        <v>4908</v>
      </c>
      <c r="CT19" s="132">
        <f>[31]SAS_SA_2016_4T!$F$159</f>
        <v>3224</v>
      </c>
      <c r="CU19" s="133">
        <f>[31]SAS_SA_2016_4T!$F$169</f>
        <v>1581</v>
      </c>
      <c r="CV19" s="134">
        <f>[31]SAS_SA_2016_4T!$F$179</f>
        <v>4805</v>
      </c>
      <c r="CW19" s="132">
        <f>[32]SAS_SA_2017_1T!$F$159</f>
        <v>3130</v>
      </c>
      <c r="CX19" s="133">
        <f>[32]SAS_SA_2017_1T!$F$169</f>
        <v>1553</v>
      </c>
      <c r="CY19" s="134">
        <f>[32]SAS_SA_2017_1T!$F$179</f>
        <v>4683</v>
      </c>
      <c r="CZ19" s="132">
        <f>[33]SAS_SA_2017_2T!$F$159</f>
        <v>3053</v>
      </c>
      <c r="DA19" s="133">
        <f>[33]SAS_SA_2017_2T!$F$169</f>
        <v>1520</v>
      </c>
      <c r="DB19" s="134">
        <f>[33]SAS_SA_2017_2T!$F$179</f>
        <v>4573</v>
      </c>
      <c r="DC19" s="132">
        <f>[34]SAS_SA_2017_3T!$F$159</f>
        <v>2955</v>
      </c>
      <c r="DD19" s="133">
        <f>[34]SAS_SA_2017_3T!$F$169</f>
        <v>1469</v>
      </c>
      <c r="DE19" s="134">
        <f>[34]SAS_SA_2017_3T!$F$179</f>
        <v>4424</v>
      </c>
      <c r="DF19" s="132">
        <f>[35]SAS_SA_2017_4T!$F$159</f>
        <v>2859</v>
      </c>
      <c r="DG19" s="133">
        <f>[35]SAS_SA_2017_4T!$F$169</f>
        <v>1443</v>
      </c>
      <c r="DH19" s="134">
        <f>[35]SAS_SA_2017_4T!$F$179</f>
        <v>4302</v>
      </c>
      <c r="DI19" s="132">
        <f>[36]SAS_SA_2018_1T!$F$159</f>
        <v>2787</v>
      </c>
      <c r="DJ19" s="133">
        <f>[36]SAS_SA_2018_1T!$F$169</f>
        <v>1406</v>
      </c>
      <c r="DK19" s="134">
        <f>[36]SAS_SA_2018_1T!$F$179</f>
        <v>4193</v>
      </c>
      <c r="DL19" s="132">
        <f>[37]SAS_SA_2018_2T!$F$159</f>
        <v>2713</v>
      </c>
      <c r="DM19" s="133">
        <f>[37]SAS_SA_2018_2T!$F$169</f>
        <v>1360</v>
      </c>
      <c r="DN19" s="134">
        <f>[37]SAS_SA_2018_2T!$F$179</f>
        <v>4073</v>
      </c>
      <c r="DO19" s="132">
        <f>[38]SAS_SA_2018_3T!$F$159</f>
        <v>2637</v>
      </c>
      <c r="DP19" s="133">
        <f>[38]SAS_SA_2018_3T!$F$169</f>
        <v>1332</v>
      </c>
      <c r="DQ19" s="134">
        <f>[38]SAS_SA_2018_3T!$F$179</f>
        <v>3969</v>
      </c>
      <c r="DR19" s="132">
        <f>'[39]190227-14H32S38-PROGRAM-TdB_STO'!$F$159</f>
        <v>2558</v>
      </c>
      <c r="DS19" s="133">
        <f>'[39]190227-14H32S38-PROGRAM-TdB_STO'!$F$169</f>
        <v>1288</v>
      </c>
      <c r="DT19" s="134">
        <f>'[39]190227-14H32S38-PROGRAM-TdB_STO'!$F$179</f>
        <v>3846</v>
      </c>
      <c r="DU19" s="202">
        <f>[40]SAS_SA_2019_1T!$F$159</f>
        <v>2517</v>
      </c>
      <c r="DV19" s="203">
        <f>[40]SAS_SA_2019_1T!$F$169</f>
        <v>1269</v>
      </c>
      <c r="DW19" s="204">
        <f>[40]SAS_SA_2019_1T!$F$179</f>
        <v>3786</v>
      </c>
      <c r="DX19" s="202">
        <f>[41]SAS_SA_2019_2T!$F$159</f>
        <v>2416</v>
      </c>
      <c r="DY19" s="203">
        <f>[41]SAS_SA_2019_2T!$F$169</f>
        <v>1246</v>
      </c>
      <c r="DZ19" s="204">
        <f>[41]SAS_SA_2019_2T!$F$179</f>
        <v>3662</v>
      </c>
      <c r="EA19" s="202">
        <f>[42]SAS_SA_2019_3T!$F$159</f>
        <v>2339</v>
      </c>
      <c r="EB19" s="203">
        <f>[42]SAS_SA_2019_3T!$F$169</f>
        <v>1210</v>
      </c>
      <c r="EC19" s="204">
        <f>[42]SAS_SA_2019_3T!$F$179</f>
        <v>3549</v>
      </c>
      <c r="ED19" s="202">
        <f>[43]SAS_SA_2019_4T!$F$159</f>
        <v>2303</v>
      </c>
      <c r="EE19" s="203">
        <f>[43]SAS_SA_2019_4T!$F$169</f>
        <v>1192</v>
      </c>
      <c r="EF19" s="204">
        <f>[43]SAS_SA_2019_4T!$F$179</f>
        <v>3495</v>
      </c>
      <c r="EG19" s="202">
        <f>[44]SAS_SA_2020_1T!$F$146</f>
        <v>2220</v>
      </c>
      <c r="EH19" s="203">
        <f>[44]SAS_SA_2020_1T!$F$154</f>
        <v>1165</v>
      </c>
      <c r="EI19" s="204">
        <f>[44]SAS_SA_2020_1T!$F$162</f>
        <v>3385</v>
      </c>
      <c r="EJ19" s="202">
        <f>[45]SAS_SA_2020_2T!$F$146</f>
        <v>2149</v>
      </c>
      <c r="EK19" s="203">
        <f>[45]SAS_SA_2020_2T!$F$154</f>
        <v>1119</v>
      </c>
      <c r="EL19" s="204">
        <f>[45]SAS_SA_2020_2T!$F$162</f>
        <v>3268</v>
      </c>
      <c r="EM19" s="202">
        <f>[46]SAS_SA_2020_3T!$F$146</f>
        <v>2065</v>
      </c>
      <c r="EN19" s="203">
        <f>[46]SAS_SA_2020_3T!$F$154</f>
        <v>1069</v>
      </c>
      <c r="EO19" s="204">
        <f>[46]SAS_SA_2020_3T!$F$162</f>
        <v>3134</v>
      </c>
      <c r="EP19" s="202">
        <f>[47]SAS_SA_2020_4T!$F$146</f>
        <v>1952</v>
      </c>
      <c r="EQ19" s="203">
        <f>[47]SAS_SA_2020_4T!$F$154</f>
        <v>1024</v>
      </c>
      <c r="ER19" s="204">
        <f>[47]SAS_SA_2020_4T!$F$162</f>
        <v>2976</v>
      </c>
      <c r="ES19" s="202">
        <f>[48]SAS_SA_2021_1T!$F$146</f>
        <v>1866</v>
      </c>
      <c r="ET19" s="203">
        <f>[48]SAS_SA_2021_1T!$F$154</f>
        <v>993</v>
      </c>
      <c r="EU19" s="204">
        <f>[48]SAS_SA_2021_1T!$F$162</f>
        <v>2859</v>
      </c>
      <c r="EV19" s="202">
        <f>[49]SAS_SA_2021_2T!$F$146</f>
        <v>1790</v>
      </c>
      <c r="EW19" s="203">
        <f>[49]SAS_SA_2021_2T!$F$154</f>
        <v>973</v>
      </c>
      <c r="EX19" s="204">
        <f>[49]SAS_SA_2021_2T!$F$162</f>
        <v>2763</v>
      </c>
      <c r="EY19" s="202">
        <f>[50]SAS_SA_2021_3T!$F$146</f>
        <v>1725</v>
      </c>
      <c r="EZ19" s="203">
        <f>[50]SAS_SA_2021_3T!$F$154</f>
        <v>936</v>
      </c>
      <c r="FA19" s="204">
        <f>[50]SAS_SA_2021_3T!$F$162</f>
        <v>2661</v>
      </c>
      <c r="FB19" s="202">
        <f>[51]SAS_SA_2021_4T!$F$109</f>
        <v>1656</v>
      </c>
      <c r="FC19" s="203">
        <f>[51]SAS_SA_2021_4T!$F$114</f>
        <v>909</v>
      </c>
      <c r="FD19" s="204">
        <f>[51]SAS_SA_2021_4T!$F$119</f>
        <v>2565</v>
      </c>
      <c r="FE19" s="202">
        <f>[52]SAS_SA_2022_1T!$F$109</f>
        <v>1603</v>
      </c>
      <c r="FF19" s="203">
        <f>[52]SAS_SA_2022_1T!$F$114</f>
        <v>890</v>
      </c>
      <c r="FG19" s="204">
        <f>[52]SAS_SA_2022_1T!$F$119</f>
        <v>2493</v>
      </c>
      <c r="FH19" s="202">
        <f>[53]SAS_SA_2022_2T!$F$109</f>
        <v>1516</v>
      </c>
      <c r="FI19" s="203">
        <f>[53]SAS_SA_2022_2T!$F$114</f>
        <v>853</v>
      </c>
      <c r="FJ19" s="204">
        <f>[53]SAS_SA_2022_2T!$F$119</f>
        <v>2369</v>
      </c>
      <c r="FK19" s="202">
        <f>[54]SAS_SA_2022_3T!$F$109</f>
        <v>1486</v>
      </c>
      <c r="FL19" s="203">
        <f>[54]SAS_SA_2022_3T!$F$114</f>
        <v>823</v>
      </c>
      <c r="FM19" s="204">
        <f>[54]SAS_SA_2022_3T!$F$119</f>
        <v>2309</v>
      </c>
      <c r="FN19" s="132">
        <f>[55]SAS_SA_2022_4T!$F$109</f>
        <v>1417</v>
      </c>
      <c r="FO19" s="133">
        <f>[55]SAS_SA_2022_4T!$F$114</f>
        <v>793</v>
      </c>
      <c r="FP19" s="134">
        <f>[55]SAS_SA_2022_4T!$F$119</f>
        <v>2210</v>
      </c>
      <c r="FQ19" s="132">
        <f>[56]SAS_SA_2023_1T!$F$109</f>
        <v>1378</v>
      </c>
      <c r="FR19" s="133">
        <f>[56]SAS_SA_2023_1T!$F$114</f>
        <v>764</v>
      </c>
      <c r="FS19" s="134">
        <f>[56]SAS_SA_2023_1T!$F$119</f>
        <v>2142</v>
      </c>
      <c r="FT19" s="132">
        <f>[57]SAS_SA_2023_2T!$F$109</f>
        <v>1321</v>
      </c>
      <c r="FU19" s="133">
        <f>[57]SAS_SA_2023_2T!$F$114</f>
        <v>754</v>
      </c>
      <c r="FV19" s="134">
        <f>[57]SAS_SA_2023_2T!$F$119</f>
        <v>2075</v>
      </c>
      <c r="FW19" s="132">
        <f>[58]SAS_SA_2023_3T!$F$109</f>
        <v>1256</v>
      </c>
      <c r="FX19" s="133">
        <f>[58]SAS_SA_2023_3T!$F$114</f>
        <v>728</v>
      </c>
      <c r="FY19" s="134">
        <f>[58]SAS_SA_2023_3T!$F$119</f>
        <v>1984</v>
      </c>
      <c r="FZ19" s="132">
        <f>[59]SAS_SA_2023_4T!$F$109</f>
        <v>1225</v>
      </c>
      <c r="GA19" s="133">
        <f>[59]SAS_SA_2023_4T!$F$114</f>
        <v>708</v>
      </c>
      <c r="GB19" s="134">
        <f>[59]SAS_SA_2023_4T!$F$119</f>
        <v>1933</v>
      </c>
      <c r="GC19" s="132">
        <f>[60]SAS_SA_2024_1T!$F$109</f>
        <v>1180</v>
      </c>
      <c r="GD19" s="133">
        <f>[60]SAS_SA_2024_1T!$F$114</f>
        <v>694</v>
      </c>
      <c r="GE19" s="134">
        <f>[60]SAS_SA_2024_1T!$F$119</f>
        <v>1874</v>
      </c>
      <c r="GF19" s="132">
        <f>[61]SAS_SA_2024_2T!$F$109</f>
        <v>1122</v>
      </c>
      <c r="GG19" s="133">
        <f>[61]SAS_SA_2024_2T!$F$114</f>
        <v>672</v>
      </c>
      <c r="GH19" s="134">
        <f>[61]SAS_SA_2024_2T!$F$119</f>
        <v>1794</v>
      </c>
      <c r="GI19" s="132">
        <f>[62]SAS_SA_2024_3T!$F$109</f>
        <v>1055</v>
      </c>
      <c r="GJ19" s="133">
        <f>[62]SAS_SA_2024_3T!$F$114</f>
        <v>653</v>
      </c>
      <c r="GK19" s="134">
        <f>[62]SAS_SA_2024_3T!$F$119</f>
        <v>1708</v>
      </c>
      <c r="GL19" s="132">
        <f>[63]SAS_SA_2024_4T!$F$109</f>
        <v>1047</v>
      </c>
      <c r="GM19" s="133">
        <f>[63]SAS_SA_2024_4T!$F$114</f>
        <v>637</v>
      </c>
      <c r="GN19" s="134">
        <f>[63]SAS_SA_2024_4T!$F$119</f>
        <v>1684</v>
      </c>
    </row>
    <row r="20" spans="1:196" x14ac:dyDescent="0.25">
      <c r="A20" s="39" t="s">
        <v>9</v>
      </c>
      <c r="B20" s="7">
        <f>[1]SAS_SA_4T2008!$E$166</f>
        <v>12672</v>
      </c>
      <c r="C20" s="8">
        <f>[1]SAS_SA_4T2008!$E$176</f>
        <v>8118</v>
      </c>
      <c r="D20" s="9">
        <f>[1]SAS_SA_4T2008!$E$186</f>
        <v>20790</v>
      </c>
      <c r="E20" s="7">
        <f>[2]SAS_SA_1T2009!$E$166</f>
        <v>12305</v>
      </c>
      <c r="F20" s="8">
        <f>[2]SAS_SA_1T2009!$E$176</f>
        <v>7861</v>
      </c>
      <c r="G20" s="9">
        <f>[2]SAS_SA_1T2009!$E$186</f>
        <v>20166</v>
      </c>
      <c r="H20" s="7">
        <f>[64]SAS_SA_2T2009!$E$166</f>
        <v>11963</v>
      </c>
      <c r="I20" s="8">
        <f>[64]SAS_SA_2T2009!$E$176</f>
        <v>7646</v>
      </c>
      <c r="J20" s="9">
        <f>[64]SAS_SA_2T2009!$E$186</f>
        <v>19609</v>
      </c>
      <c r="K20" s="7">
        <f>[3]SAS_SA_3T2009!$E$166</f>
        <v>11648</v>
      </c>
      <c r="L20" s="8">
        <f>[3]SAS_SA_3T2009!$E$176</f>
        <v>7501</v>
      </c>
      <c r="M20" s="9">
        <f>[3]SAS_SA_3T2009!$E$186</f>
        <v>19149</v>
      </c>
      <c r="N20" s="7">
        <f>[4]SAS_SA_4T2009!$E$166</f>
        <v>11344</v>
      </c>
      <c r="O20" s="8">
        <f>[4]SAS_SA_4T2009!$E$176</f>
        <v>7320</v>
      </c>
      <c r="P20" s="16">
        <f>[4]SAS_SA_4T2009!$E$186</f>
        <v>18664</v>
      </c>
      <c r="Q20" s="7">
        <f>[5]SAS_SA_1T2010!$E$166</f>
        <v>11067</v>
      </c>
      <c r="R20" s="8">
        <f>[5]SAS_SA_1T2010!$E$176</f>
        <v>7142</v>
      </c>
      <c r="S20" s="16">
        <f>[5]SAS_SA_1T2010!$E$186</f>
        <v>18209</v>
      </c>
      <c r="T20" s="7">
        <f>[65]SAS_SA_2T2010!$E$166</f>
        <v>10710</v>
      </c>
      <c r="U20" s="8">
        <f>[65]SAS_SA_2T2010!$E$176</f>
        <v>6940</v>
      </c>
      <c r="V20" s="16">
        <f>[65]SAS_SA_2T2010!$E$186</f>
        <v>17650</v>
      </c>
      <c r="W20" s="7">
        <f>[6]SAS_SA_3T2010!$E$166</f>
        <v>10455</v>
      </c>
      <c r="X20" s="8">
        <f>[6]SAS_SA_3T2010!$E$176</f>
        <v>6797</v>
      </c>
      <c r="Y20" s="16">
        <f>[6]SAS_SA_3T2010!$E$186</f>
        <v>17252</v>
      </c>
      <c r="Z20" s="7">
        <f>[7]SAS_SA_2010_4T!$E$166</f>
        <v>10227</v>
      </c>
      <c r="AA20" s="8">
        <f>[7]SAS_SA_2010_4T!$E$176</f>
        <v>6648</v>
      </c>
      <c r="AB20" s="9">
        <f>[7]SAS_SA_2010_4T!$E$186</f>
        <v>16875</v>
      </c>
      <c r="AC20" s="7">
        <f>[8]SAS_SA_2011_1T!$E$159</f>
        <v>9929</v>
      </c>
      <c r="AD20" s="8">
        <f>[8]SAS_SA_2011_1T!$E$169</f>
        <v>6482</v>
      </c>
      <c r="AE20" s="9">
        <f>[8]SAS_SA_2011_1T!$E$179</f>
        <v>16411</v>
      </c>
      <c r="AF20" s="7">
        <f>[9]SAS_SA_2011_2T!$E$159</f>
        <v>9659</v>
      </c>
      <c r="AG20" s="8">
        <f>[9]SAS_SA_2011_2T!$E$169</f>
        <v>6313</v>
      </c>
      <c r="AH20" s="9">
        <f>[9]SAS_SA_2011_2T!$E$179</f>
        <v>15972</v>
      </c>
      <c r="AI20" s="7">
        <f>[10]SAS_SA_2011_3T!$E$159</f>
        <v>9341</v>
      </c>
      <c r="AJ20" s="8">
        <f>[10]SAS_SA_2011_3T!$E$169</f>
        <v>6156</v>
      </c>
      <c r="AK20" s="9">
        <f>[10]SAS_SA_2011_3T!$E$179</f>
        <v>15497</v>
      </c>
      <c r="AL20" s="7">
        <f>[11]SAS_SA_2011_4T!$E$159</f>
        <v>9112</v>
      </c>
      <c r="AM20" s="8">
        <f>[11]SAS_SA_2011_4T!$E$169</f>
        <v>6010</v>
      </c>
      <c r="AN20" s="9">
        <f>[11]SAS_SA_2011_4T!$E$179</f>
        <v>15122</v>
      </c>
      <c r="AO20" s="7">
        <f>'[12]120612-17H07S59-PROGRAM-TdB_STO'!$E$159</f>
        <v>8919</v>
      </c>
      <c r="AP20" s="8">
        <f>'[12]120612-17H07S59-PROGRAM-TdB_STO'!$E$169</f>
        <v>5817</v>
      </c>
      <c r="AQ20" s="9">
        <f>'[12]120612-17H07S59-PROGRAM-TdB_STO'!$E$179</f>
        <v>14736</v>
      </c>
      <c r="AR20" s="7">
        <f>[13]SAS_SA_2012_2T!$E$159</f>
        <v>8674</v>
      </c>
      <c r="AS20" s="8">
        <f>[13]SAS_SA_2012_2T!$E$169</f>
        <v>5646</v>
      </c>
      <c r="AT20" s="9">
        <f>[13]SAS_SA_2012_2T!$E$179</f>
        <v>14320</v>
      </c>
      <c r="AU20" s="7">
        <f>'[14]121105-09H31S06-PROGRAM-TdB_STO'!$E$159</f>
        <v>8431</v>
      </c>
      <c r="AV20" s="8">
        <f>'[14]121105-09H31S06-PROGRAM-TdB_STO'!$E$169</f>
        <v>5523</v>
      </c>
      <c r="AW20" s="9">
        <f>'[14]121105-09H31S06-PROGRAM-TdB_STO'!$E$179</f>
        <v>13954</v>
      </c>
      <c r="AX20" s="7">
        <f>[15]SAS_SA_2012_4T!$E$159</f>
        <v>8225</v>
      </c>
      <c r="AY20" s="8">
        <f>[15]SAS_SA_2012_4T!$E$169</f>
        <v>5383</v>
      </c>
      <c r="AZ20" s="9">
        <f>[15]SAS_SA_2012_4T!$E$179</f>
        <v>13608</v>
      </c>
      <c r="BA20" s="7">
        <f>[16]SAS_SA_2013_1T!$E$159</f>
        <v>8013</v>
      </c>
      <c r="BB20" s="8">
        <f>[16]SAS_SA_2013_1T!$E$169</f>
        <v>5230</v>
      </c>
      <c r="BC20" s="9">
        <f>[16]SAS_SA_2013_1T!$E$179</f>
        <v>13243</v>
      </c>
      <c r="BD20" s="7">
        <f>[17]SAS_SA_2013_2T!$E$159</f>
        <v>7768</v>
      </c>
      <c r="BE20" s="8">
        <f>[17]SAS_SA_2013_2T!$E$169</f>
        <v>5077</v>
      </c>
      <c r="BF20" s="9">
        <f>[17]SAS_SA_2013_2T!$E$179</f>
        <v>12845</v>
      </c>
      <c r="BG20" s="7">
        <f>[18]SAS_SA_2013_3T!$E$159</f>
        <v>7585</v>
      </c>
      <c r="BH20" s="8">
        <f>[18]SAS_SA_2013_3T!$E$169</f>
        <v>4958</v>
      </c>
      <c r="BI20" s="9">
        <f>[18]SAS_SA_2013_3T!$E$179</f>
        <v>12543</v>
      </c>
      <c r="BJ20" s="7">
        <f>[19]SAS_SA_2013_4T!$E$159</f>
        <v>7398</v>
      </c>
      <c r="BK20" s="8">
        <f>[19]SAS_SA_2013_4T!$E$169</f>
        <v>4848</v>
      </c>
      <c r="BL20" s="9">
        <f>[19]SAS_SA_2013_4T!$E$179</f>
        <v>12246</v>
      </c>
      <c r="BM20" s="7">
        <f>[20]SAS_SA_2014_1T!$E$159</f>
        <v>7196</v>
      </c>
      <c r="BN20" s="8">
        <f>[20]SAS_SA_2014_1T!$E$169</f>
        <v>4728</v>
      </c>
      <c r="BO20" s="9">
        <f>[20]SAS_SA_2014_1T!$E$179</f>
        <v>11924</v>
      </c>
      <c r="BP20" s="7">
        <f>[21]SAS_SA_2014_2T!$E$159</f>
        <v>6964</v>
      </c>
      <c r="BQ20" s="8">
        <f>[21]SAS_SA_2014_2T!$E$169</f>
        <v>4589</v>
      </c>
      <c r="BR20" s="9">
        <f>[21]SAS_SA_2014_2T!$E$179</f>
        <v>11553</v>
      </c>
      <c r="BS20" s="7">
        <f>[22]SAS_SA_2014_3T!$E$159</f>
        <v>6789</v>
      </c>
      <c r="BT20" s="8">
        <f>[22]SAS_SA_2014_3T!$E$169</f>
        <v>4473</v>
      </c>
      <c r="BU20" s="9">
        <f>[22]SAS_SA_2014_3T!$E$179</f>
        <v>11262</v>
      </c>
      <c r="BV20" s="7">
        <f>[23]SAS_SA_2014_4T!$E$159</f>
        <v>6642</v>
      </c>
      <c r="BW20" s="8">
        <f>[23]SAS_SA_2014_4T!$E$169</f>
        <v>4379</v>
      </c>
      <c r="BX20" s="9">
        <f>[23]SAS_SA_2014_4T!$E$179</f>
        <v>11021</v>
      </c>
      <c r="BY20" s="7">
        <f>[24]SAS_SA_2015_1T!$E$159</f>
        <v>6414</v>
      </c>
      <c r="BZ20" s="8">
        <f>[24]SAS_SA_2015_1T!$E$169</f>
        <v>4258</v>
      </c>
      <c r="CA20" s="9">
        <f>[24]SAS_SA_2015_1T!$E$179</f>
        <v>10672</v>
      </c>
      <c r="CB20" s="7">
        <f>[25]SAS_SA_2015_2T!$E$159</f>
        <v>6219</v>
      </c>
      <c r="CC20" s="8">
        <f>[25]SAS_SA_2015_2T!$E$169</f>
        <v>4090</v>
      </c>
      <c r="CD20" s="9">
        <f>[25]SAS_SA_2015_2T!$E$179</f>
        <v>10309</v>
      </c>
      <c r="CE20" s="7">
        <f>[26]SAS_SA_2015_3T!$E$159</f>
        <v>6034</v>
      </c>
      <c r="CF20" s="8">
        <f>[26]SAS_SA_2015_3T!$E$169</f>
        <v>3969</v>
      </c>
      <c r="CG20" s="9">
        <f>[26]SAS_SA_2015_3T!$E$179</f>
        <v>10003</v>
      </c>
      <c r="CH20" s="7">
        <f>[27]SAS_SA_2015_4T!$E$159</f>
        <v>5878</v>
      </c>
      <c r="CI20" s="8">
        <f>[27]SAS_SA_2015_4T!$E$169</f>
        <v>3873</v>
      </c>
      <c r="CJ20" s="9">
        <f>[27]SAS_SA_2015_4T!$E$179</f>
        <v>9751</v>
      </c>
      <c r="CK20" s="7">
        <f>[28]SAS_SA_2016_1T!$E$159</f>
        <v>5689</v>
      </c>
      <c r="CL20" s="8">
        <f>[28]SAS_SA_2016_1T!$E$169</f>
        <v>3750</v>
      </c>
      <c r="CM20" s="9">
        <f>[28]SAS_SA_2016_1T!$E$179</f>
        <v>9439</v>
      </c>
      <c r="CN20" s="7">
        <f>'[29]160822-11H12S04-PROGRAM-TdB_STO'!$E$159</f>
        <v>5515</v>
      </c>
      <c r="CO20" s="8">
        <f>'[29]160822-11H12S04-PROGRAM-TdB_STO'!$E$169</f>
        <v>3637</v>
      </c>
      <c r="CP20" s="9">
        <f>'[29]160822-11H12S04-PROGRAM-TdB_STO'!$E$179</f>
        <v>9152</v>
      </c>
      <c r="CQ20" s="132">
        <f>[30]SAS_SA_2016_3T!$E$159</f>
        <v>5346</v>
      </c>
      <c r="CR20" s="133">
        <f>[30]SAS_SA_2016_3T!$E$169</f>
        <v>3533</v>
      </c>
      <c r="CS20" s="134">
        <f>[30]SAS_SA_2016_3T!$E$179</f>
        <v>8879</v>
      </c>
      <c r="CT20" s="132">
        <f>[31]SAS_SA_2016_4T!$E$159</f>
        <v>5196</v>
      </c>
      <c r="CU20" s="133">
        <f>[31]SAS_SA_2016_4T!$E$169</f>
        <v>3434</v>
      </c>
      <c r="CV20" s="134">
        <f>[31]SAS_SA_2016_4T!$E$179</f>
        <v>8630</v>
      </c>
      <c r="CW20" s="132">
        <f>[32]SAS_SA_2017_1T!$E$159</f>
        <v>4999</v>
      </c>
      <c r="CX20" s="133">
        <f>[32]SAS_SA_2017_1T!$E$169</f>
        <v>3316</v>
      </c>
      <c r="CY20" s="134">
        <f>[32]SAS_SA_2017_1T!$E$179</f>
        <v>8315</v>
      </c>
      <c r="CZ20" s="132">
        <f>[33]SAS_SA_2017_2T!$E$159</f>
        <v>4840</v>
      </c>
      <c r="DA20" s="133">
        <f>[33]SAS_SA_2017_2T!$E$169</f>
        <v>3220</v>
      </c>
      <c r="DB20" s="134">
        <f>[33]SAS_SA_2017_2T!$E$179</f>
        <v>8060</v>
      </c>
      <c r="DC20" s="132">
        <f>[34]SAS_SA_2017_3T!$E$159</f>
        <v>4728</v>
      </c>
      <c r="DD20" s="133">
        <f>[34]SAS_SA_2017_3T!$E$169</f>
        <v>3144</v>
      </c>
      <c r="DE20" s="134">
        <f>[34]SAS_SA_2017_3T!$E$179</f>
        <v>7872</v>
      </c>
      <c r="DF20" s="132">
        <f>[35]SAS_SA_2017_4T!$E$159</f>
        <v>4580</v>
      </c>
      <c r="DG20" s="133">
        <f>[35]SAS_SA_2017_4T!$E$169</f>
        <v>3067</v>
      </c>
      <c r="DH20" s="134">
        <f>[35]SAS_SA_2017_4T!$E$179</f>
        <v>7647</v>
      </c>
      <c r="DI20" s="132">
        <f>[36]SAS_SA_2018_1T!$E$159</f>
        <v>4416</v>
      </c>
      <c r="DJ20" s="133">
        <f>[36]SAS_SA_2018_1T!$E$169</f>
        <v>2944</v>
      </c>
      <c r="DK20" s="134">
        <f>[36]SAS_SA_2018_1T!$E$179</f>
        <v>7360</v>
      </c>
      <c r="DL20" s="132">
        <f>[37]SAS_SA_2018_2T!$E$159</f>
        <v>4276</v>
      </c>
      <c r="DM20" s="133">
        <f>[37]SAS_SA_2018_2T!$E$169</f>
        <v>2848</v>
      </c>
      <c r="DN20" s="134">
        <f>[37]SAS_SA_2018_2T!$E$179</f>
        <v>7124</v>
      </c>
      <c r="DO20" s="132">
        <f>[38]SAS_SA_2018_3T!$E$159</f>
        <v>4163</v>
      </c>
      <c r="DP20" s="133">
        <f>[38]SAS_SA_2018_3T!$E$169</f>
        <v>2787</v>
      </c>
      <c r="DQ20" s="134">
        <f>[38]SAS_SA_2018_3T!$E$179</f>
        <v>6950</v>
      </c>
      <c r="DR20" s="132">
        <f>'[39]190227-14H32S38-PROGRAM-TdB_STO'!$E$159</f>
        <v>4059</v>
      </c>
      <c r="DS20" s="133">
        <f>'[39]190227-14H32S38-PROGRAM-TdB_STO'!$E$169</f>
        <v>2698</v>
      </c>
      <c r="DT20" s="134">
        <f>'[39]190227-14H32S38-PROGRAM-TdB_STO'!$E$179</f>
        <v>6757</v>
      </c>
      <c r="DU20" s="202">
        <f>[40]SAS_SA_2019_1T!$E$159</f>
        <v>3909</v>
      </c>
      <c r="DV20" s="203">
        <f>[40]SAS_SA_2019_1T!$E$169</f>
        <v>2595</v>
      </c>
      <c r="DW20" s="204">
        <f>[40]SAS_SA_2019_1T!$E$179</f>
        <v>6504</v>
      </c>
      <c r="DX20" s="202">
        <f>[41]SAS_SA_2019_2T!$E$159</f>
        <v>3788</v>
      </c>
      <c r="DY20" s="203">
        <f>[41]SAS_SA_2019_2T!$E$169</f>
        <v>2529</v>
      </c>
      <c r="DZ20" s="204">
        <f>[41]SAS_SA_2019_2T!$E$179</f>
        <v>6317</v>
      </c>
      <c r="EA20" s="202">
        <f>[42]SAS_SA_2019_3T!$E$159</f>
        <v>3678</v>
      </c>
      <c r="EB20" s="203">
        <f>[42]SAS_SA_2019_3T!$E$169</f>
        <v>2454</v>
      </c>
      <c r="EC20" s="204">
        <f>[42]SAS_SA_2019_3T!$E$179</f>
        <v>6132</v>
      </c>
      <c r="ED20" s="202">
        <f>[43]SAS_SA_2019_4T!$E$159</f>
        <v>3579</v>
      </c>
      <c r="EE20" s="203">
        <f>[43]SAS_SA_2019_4T!$E$169</f>
        <v>2381</v>
      </c>
      <c r="EF20" s="204">
        <f>[43]SAS_SA_2019_4T!$E$179</f>
        <v>5960</v>
      </c>
      <c r="EG20" s="202">
        <f>[44]SAS_SA_2020_1T!$E$146</f>
        <v>3463</v>
      </c>
      <c r="EH20" s="203">
        <f>[44]SAS_SA_2020_1T!$E$154</f>
        <v>2304</v>
      </c>
      <c r="EI20" s="204">
        <f>[44]SAS_SA_2020_1T!$E$162</f>
        <v>5767</v>
      </c>
      <c r="EJ20" s="202">
        <f>[45]SAS_SA_2020_2T!$E$146</f>
        <v>3309</v>
      </c>
      <c r="EK20" s="203">
        <f>[45]SAS_SA_2020_2T!$E$154</f>
        <v>2195</v>
      </c>
      <c r="EL20" s="204">
        <f>[45]SAS_SA_2020_2T!$E$162</f>
        <v>5504</v>
      </c>
      <c r="EM20" s="202">
        <f>[46]SAS_SA_2020_3T!$E$146</f>
        <v>3194</v>
      </c>
      <c r="EN20" s="203">
        <f>[46]SAS_SA_2020_3T!$E$154</f>
        <v>2127</v>
      </c>
      <c r="EO20" s="204">
        <f>[46]SAS_SA_2020_3T!$E$162</f>
        <v>5321</v>
      </c>
      <c r="EP20" s="202">
        <f>[47]SAS_SA_2020_4T!$E$146</f>
        <v>3084</v>
      </c>
      <c r="EQ20" s="203">
        <f>[47]SAS_SA_2020_4T!$E$154</f>
        <v>2034</v>
      </c>
      <c r="ER20" s="204">
        <f>[47]SAS_SA_2020_4T!$E$162</f>
        <v>5118</v>
      </c>
      <c r="ES20" s="202">
        <f>[48]SAS_SA_2021_1T!$E$146</f>
        <v>2947</v>
      </c>
      <c r="ET20" s="203">
        <f>[48]SAS_SA_2021_1T!$E$154</f>
        <v>1952</v>
      </c>
      <c r="EU20" s="204">
        <f>[48]SAS_SA_2021_1T!$E$162</f>
        <v>4899</v>
      </c>
      <c r="EV20" s="202">
        <f>[49]SAS_SA_2021_2T!$E$146</f>
        <v>2836</v>
      </c>
      <c r="EW20" s="203">
        <f>[49]SAS_SA_2021_2T!$E$154</f>
        <v>1885</v>
      </c>
      <c r="EX20" s="204">
        <f>[49]SAS_SA_2021_2T!$E$162</f>
        <v>4721</v>
      </c>
      <c r="EY20" s="202">
        <f>[50]SAS_SA_2021_3T!$E$146</f>
        <v>2738</v>
      </c>
      <c r="EZ20" s="203">
        <f>[50]SAS_SA_2021_3T!$E$154</f>
        <v>1811</v>
      </c>
      <c r="FA20" s="204">
        <f>[50]SAS_SA_2021_3T!$E$162</f>
        <v>4549</v>
      </c>
      <c r="FB20" s="202">
        <f>[51]SAS_SA_2021_4T!$E$109</f>
        <v>2645</v>
      </c>
      <c r="FC20" s="203">
        <f>[51]SAS_SA_2021_4T!$E$114</f>
        <v>1757</v>
      </c>
      <c r="FD20" s="204">
        <f>[51]SAS_SA_2021_4T!$E$119</f>
        <v>4402</v>
      </c>
      <c r="FE20" s="202">
        <f>[52]SAS_SA_2022_1T!$E$109</f>
        <v>2529</v>
      </c>
      <c r="FF20" s="203">
        <f>[52]SAS_SA_2022_1T!$E$114</f>
        <v>1665</v>
      </c>
      <c r="FG20" s="204">
        <f>[52]SAS_SA_2022_1T!$E$119</f>
        <v>4194</v>
      </c>
      <c r="FH20" s="202">
        <f>[53]SAS_SA_2022_2T!$E$109</f>
        <v>2425</v>
      </c>
      <c r="FI20" s="203">
        <f>[53]SAS_SA_2022_2T!$E$114</f>
        <v>1591</v>
      </c>
      <c r="FJ20" s="204">
        <f>[53]SAS_SA_2022_2T!$E$119</f>
        <v>4016</v>
      </c>
      <c r="FK20" s="202">
        <f>[54]SAS_SA_2022_3T!$E$109</f>
        <v>2352</v>
      </c>
      <c r="FL20" s="203">
        <f>[54]SAS_SA_2022_3T!$E$114</f>
        <v>1533</v>
      </c>
      <c r="FM20" s="204">
        <f>[54]SAS_SA_2022_3T!$E$119</f>
        <v>3885</v>
      </c>
      <c r="FN20" s="132">
        <f>[55]SAS_SA_2022_4T!$E$109</f>
        <v>2264</v>
      </c>
      <c r="FO20" s="133">
        <f>[55]SAS_SA_2022_4T!$E$114</f>
        <v>1480</v>
      </c>
      <c r="FP20" s="134">
        <f>[55]SAS_SA_2022_4T!$E$119</f>
        <v>3744</v>
      </c>
      <c r="FQ20" s="132">
        <f>[56]SAS_SA_2023_1T!$E$109</f>
        <v>2151</v>
      </c>
      <c r="FR20" s="133">
        <f>[56]SAS_SA_2023_1T!$E$114</f>
        <v>1405</v>
      </c>
      <c r="FS20" s="134">
        <f>[56]SAS_SA_2023_1T!$E$119</f>
        <v>3556</v>
      </c>
      <c r="FT20" s="132">
        <f>[57]SAS_SA_2023_2T!$E$109</f>
        <v>2081</v>
      </c>
      <c r="FU20" s="133">
        <f>[57]SAS_SA_2023_2T!$E$114</f>
        <v>1368</v>
      </c>
      <c r="FV20" s="134">
        <f>[57]SAS_SA_2023_2T!$E$119</f>
        <v>3449</v>
      </c>
      <c r="FW20" s="132">
        <f>[58]SAS_SA_2023_3T!$E$109</f>
        <v>1995</v>
      </c>
      <c r="FX20" s="133">
        <f>[58]SAS_SA_2023_3T!$E$114</f>
        <v>1306</v>
      </c>
      <c r="FY20" s="134">
        <f>[58]SAS_SA_2023_3T!$E$119</f>
        <v>3301</v>
      </c>
      <c r="FZ20" s="132">
        <f>[59]SAS_SA_2023_4T!$E$109</f>
        <v>1944</v>
      </c>
      <c r="GA20" s="133">
        <f>[59]SAS_SA_2023_4T!$E$114</f>
        <v>1266</v>
      </c>
      <c r="GB20" s="134">
        <f>[59]SAS_SA_2023_4T!$E$119</f>
        <v>3210</v>
      </c>
      <c r="GC20" s="132">
        <f>[60]SAS_SA_2024_1T!$E$109</f>
        <v>1846</v>
      </c>
      <c r="GD20" s="133">
        <f>[60]SAS_SA_2024_1T!$E$114</f>
        <v>1220</v>
      </c>
      <c r="GE20" s="134">
        <f>[60]SAS_SA_2024_1T!$E$119</f>
        <v>3066</v>
      </c>
      <c r="GF20" s="132">
        <f>[61]SAS_SA_2024_2T!$E$109</f>
        <v>1750</v>
      </c>
      <c r="GG20" s="133">
        <f>[61]SAS_SA_2024_2T!$E$114</f>
        <v>1155</v>
      </c>
      <c r="GH20" s="134">
        <f>[61]SAS_SA_2024_2T!$E$119</f>
        <v>2905</v>
      </c>
      <c r="GI20" s="132">
        <f>[62]SAS_SA_2024_3T!$E$109</f>
        <v>1675</v>
      </c>
      <c r="GJ20" s="133">
        <f>[62]SAS_SA_2024_3T!$E$114</f>
        <v>1120</v>
      </c>
      <c r="GK20" s="134">
        <f>[62]SAS_SA_2024_3T!$E$119</f>
        <v>2795</v>
      </c>
      <c r="GL20" s="132">
        <f>[63]SAS_SA_2024_4T!$E$109</f>
        <v>1605</v>
      </c>
      <c r="GM20" s="133">
        <f>[63]SAS_SA_2024_4T!$E$114</f>
        <v>1080</v>
      </c>
      <c r="GN20" s="134">
        <f>[63]SAS_SA_2024_4T!$E$119</f>
        <v>2685</v>
      </c>
    </row>
    <row r="21" spans="1:196" ht="12" thickBot="1" x14ac:dyDescent="0.3">
      <c r="A21" s="40" t="s">
        <v>11</v>
      </c>
      <c r="B21" s="11">
        <f>[1]SAS_SA_4T2008!$G$166</f>
        <v>1067</v>
      </c>
      <c r="C21" s="12">
        <f>[1]SAS_SA_4T2008!$G$176</f>
        <v>275</v>
      </c>
      <c r="D21" s="13">
        <f>[1]SAS_SA_4T2008!$G$186</f>
        <v>1342</v>
      </c>
      <c r="E21" s="11">
        <f>[2]SAS_SA_1T2009!$G$166</f>
        <v>1279</v>
      </c>
      <c r="F21" s="12">
        <f>[2]SAS_SA_1T2009!$G$176</f>
        <v>303</v>
      </c>
      <c r="G21" s="13">
        <f>[2]SAS_SA_1T2009!$G$186</f>
        <v>1582</v>
      </c>
      <c r="H21" s="11">
        <f>[64]SAS_SA_2T2009!$G$166</f>
        <v>1470</v>
      </c>
      <c r="I21" s="12">
        <f>[64]SAS_SA_2T2009!$G$176</f>
        <v>352</v>
      </c>
      <c r="J21" s="13">
        <f>[64]SAS_SA_2T2009!$G$186</f>
        <v>1822</v>
      </c>
      <c r="K21" s="11">
        <f>[3]SAS_SA_3T2009!$G$166</f>
        <v>1590</v>
      </c>
      <c r="L21" s="12">
        <f>[3]SAS_SA_3T2009!$G$176</f>
        <v>392</v>
      </c>
      <c r="M21" s="13">
        <f>[3]SAS_SA_3T2009!$G$186</f>
        <v>1982</v>
      </c>
      <c r="N21" s="11">
        <f>[4]SAS_SA_4T2009!$G$166</f>
        <v>1730</v>
      </c>
      <c r="O21" s="12">
        <f>[4]SAS_SA_4T2009!$G$176</f>
        <v>447</v>
      </c>
      <c r="P21" s="17">
        <f>[4]SAS_SA_4T2009!$G$186</f>
        <v>2177</v>
      </c>
      <c r="Q21" s="11">
        <f>[5]SAS_SA_1T2010!$G$166</f>
        <v>1944</v>
      </c>
      <c r="R21" s="12">
        <f>[5]SAS_SA_1T2010!$G$176</f>
        <v>500</v>
      </c>
      <c r="S21" s="17">
        <f>[5]SAS_SA_1T2010!$G$186</f>
        <v>2444</v>
      </c>
      <c r="T21" s="11">
        <f>[65]SAS_SA_2T2010!$G$166</f>
        <v>2097</v>
      </c>
      <c r="U21" s="12">
        <f>[65]SAS_SA_2T2010!$G$176</f>
        <v>534</v>
      </c>
      <c r="V21" s="17">
        <f>[65]SAS_SA_2T2010!$G$186</f>
        <v>2631</v>
      </c>
      <c r="W21" s="11">
        <f>[6]SAS_SA_3T2010!$G$166</f>
        <v>2214</v>
      </c>
      <c r="X21" s="12">
        <f>[6]SAS_SA_3T2010!$G$176</f>
        <v>565</v>
      </c>
      <c r="Y21" s="17">
        <f>[6]SAS_SA_3T2010!$G$186</f>
        <v>2779</v>
      </c>
      <c r="Z21" s="11">
        <f>[7]SAS_SA_2010_4T!$G$166</f>
        <v>2363</v>
      </c>
      <c r="AA21" s="12">
        <f>[7]SAS_SA_2010_4T!$G$176</f>
        <v>596</v>
      </c>
      <c r="AB21" s="13">
        <f>[7]SAS_SA_2010_4T!$G$186</f>
        <v>2959</v>
      </c>
      <c r="AC21" s="11">
        <f>[8]SAS_SA_2011_1T!$G$159</f>
        <v>2593</v>
      </c>
      <c r="AD21" s="12">
        <f>[8]SAS_SA_2011_1T!$G$169</f>
        <v>633</v>
      </c>
      <c r="AE21" s="13">
        <f>[8]SAS_SA_2011_1T!$G$179</f>
        <v>3226</v>
      </c>
      <c r="AF21" s="11">
        <f>[9]SAS_SA_2011_2T!$G$159</f>
        <v>2781</v>
      </c>
      <c r="AG21" s="12">
        <f>[9]SAS_SA_2011_2T!$G$169</f>
        <v>680</v>
      </c>
      <c r="AH21" s="13">
        <f>[9]SAS_SA_2011_2T!$G$179</f>
        <v>3461</v>
      </c>
      <c r="AI21" s="11">
        <f>[10]SAS_SA_2011_3T!$G$159</f>
        <v>2876</v>
      </c>
      <c r="AJ21" s="12">
        <f>[10]SAS_SA_2011_3T!$G$169</f>
        <v>716</v>
      </c>
      <c r="AK21" s="13">
        <f>[10]SAS_SA_2011_3T!$G$179</f>
        <v>3592</v>
      </c>
      <c r="AL21" s="11">
        <f>[11]SAS_SA_2011_4T!$G$159</f>
        <v>2974</v>
      </c>
      <c r="AM21" s="12">
        <f>[11]SAS_SA_2011_4T!$G$169</f>
        <v>736</v>
      </c>
      <c r="AN21" s="13">
        <f>[11]SAS_SA_2011_4T!$G$179</f>
        <v>3710</v>
      </c>
      <c r="AO21" s="11">
        <f>'[12]120612-17H07S59-PROGRAM-TdB_STO'!$G$159</f>
        <v>3083</v>
      </c>
      <c r="AP21" s="12">
        <f>'[12]120612-17H07S59-PROGRAM-TdB_STO'!$G$169</f>
        <v>753</v>
      </c>
      <c r="AQ21" s="13">
        <f>'[12]120612-17H07S59-PROGRAM-TdB_STO'!$G$179</f>
        <v>3836</v>
      </c>
      <c r="AR21" s="11">
        <f>[13]SAS_SA_2012_2T!$G$159</f>
        <v>3140</v>
      </c>
      <c r="AS21" s="12">
        <f>[13]SAS_SA_2012_2T!$G$169</f>
        <v>773</v>
      </c>
      <c r="AT21" s="13">
        <f>[13]SAS_SA_2012_2T!$G$179</f>
        <v>3913</v>
      </c>
      <c r="AU21" s="11">
        <f>'[14]121105-09H31S06-PROGRAM-TdB_STO'!$G$159</f>
        <v>3157</v>
      </c>
      <c r="AV21" s="12">
        <f>'[14]121105-09H31S06-PROGRAM-TdB_STO'!$G$169</f>
        <v>770</v>
      </c>
      <c r="AW21" s="13">
        <f>'[14]121105-09H31S06-PROGRAM-TdB_STO'!$G$179</f>
        <v>3927</v>
      </c>
      <c r="AX21" s="11">
        <f>[15]SAS_SA_2012_4T!$G$159</f>
        <v>3243</v>
      </c>
      <c r="AY21" s="12">
        <f>[15]SAS_SA_2012_4T!$G$169</f>
        <v>795</v>
      </c>
      <c r="AZ21" s="13">
        <f>[15]SAS_SA_2012_4T!$G$179</f>
        <v>4038</v>
      </c>
      <c r="BA21" s="11">
        <f>[16]SAS_SA_2013_1T!$G$159</f>
        <v>3348</v>
      </c>
      <c r="BB21" s="12">
        <f>[16]SAS_SA_2013_1T!$G$169</f>
        <v>825</v>
      </c>
      <c r="BC21" s="13">
        <f>[16]SAS_SA_2013_1T!$G$179</f>
        <v>4173</v>
      </c>
      <c r="BD21" s="11">
        <f>[17]SAS_SA_2013_2T!$G$159</f>
        <v>3414</v>
      </c>
      <c r="BE21" s="12">
        <f>[17]SAS_SA_2013_2T!$G$169</f>
        <v>833</v>
      </c>
      <c r="BF21" s="112">
        <f>[17]SAS_SA_2013_2T!$G$179</f>
        <v>4247</v>
      </c>
      <c r="BG21" s="11">
        <f>[18]SAS_SA_2013_3T!$G$159</f>
        <v>3497</v>
      </c>
      <c r="BH21" s="12">
        <f>[18]SAS_SA_2013_3T!$G$169</f>
        <v>843</v>
      </c>
      <c r="BI21" s="112">
        <f>[18]SAS_SA_2013_3T!$G$179</f>
        <v>4340</v>
      </c>
      <c r="BJ21" s="11">
        <f>[19]SAS_SA_2013_4T!$G$159</f>
        <v>3570</v>
      </c>
      <c r="BK21" s="12">
        <f>[19]SAS_SA_2013_4T!$G$169</f>
        <v>865</v>
      </c>
      <c r="BL21" s="13">
        <f>[19]SAS_SA_2013_4T!$G$179</f>
        <v>4435</v>
      </c>
      <c r="BM21" s="11">
        <f>[20]SAS_SA_2014_1T!$G$159</f>
        <v>3672</v>
      </c>
      <c r="BN21" s="12">
        <f>[20]SAS_SA_2014_1T!$G$169</f>
        <v>887</v>
      </c>
      <c r="BO21" s="13">
        <f>[20]SAS_SA_2014_1T!$G$179</f>
        <v>4559</v>
      </c>
      <c r="BP21" s="11">
        <f>[21]SAS_SA_2014_2T!$G$159</f>
        <v>3740</v>
      </c>
      <c r="BQ21" s="12">
        <f>[21]SAS_SA_2014_2T!$G$169</f>
        <v>903</v>
      </c>
      <c r="BR21" s="13">
        <f>[21]SAS_SA_2014_2T!$G$179</f>
        <v>4643</v>
      </c>
      <c r="BS21" s="11">
        <f>[22]SAS_SA_2014_3T!$G$159</f>
        <v>3783</v>
      </c>
      <c r="BT21" s="12">
        <f>[22]SAS_SA_2014_3T!$G$169</f>
        <v>925</v>
      </c>
      <c r="BU21" s="13">
        <f>[22]SAS_SA_2014_3T!$G$179</f>
        <v>4708</v>
      </c>
      <c r="BV21" s="11">
        <f>[23]SAS_SA_2014_4T!$G$159</f>
        <v>3843</v>
      </c>
      <c r="BW21" s="12">
        <f>[23]SAS_SA_2014_4T!$G$169</f>
        <v>955</v>
      </c>
      <c r="BX21" s="13">
        <f>[23]SAS_SA_2014_4T!$G$179</f>
        <v>4798</v>
      </c>
      <c r="BY21" s="11">
        <f>[24]SAS_SA_2015_1T!$G$159</f>
        <v>3938</v>
      </c>
      <c r="BZ21" s="12">
        <f>[24]SAS_SA_2015_1T!$G$169</f>
        <v>979</v>
      </c>
      <c r="CA21" s="13">
        <f>[24]SAS_SA_2015_1T!$G$179</f>
        <v>4917</v>
      </c>
      <c r="CB21" s="11">
        <f>[25]SAS_SA_2015_2T!$G$159</f>
        <v>4019</v>
      </c>
      <c r="CC21" s="12">
        <f>[25]SAS_SA_2015_2T!$G$169</f>
        <v>1002</v>
      </c>
      <c r="CD21" s="13">
        <f>[25]SAS_SA_2015_2T!$G$179</f>
        <v>5021</v>
      </c>
      <c r="CE21" s="11">
        <f>[26]SAS_SA_2015_3T!$G$159</f>
        <v>4107</v>
      </c>
      <c r="CF21" s="12">
        <f>[26]SAS_SA_2015_3T!$G$169</f>
        <v>1028</v>
      </c>
      <c r="CG21" s="13">
        <f>[26]SAS_SA_2015_3T!$G$179</f>
        <v>5135</v>
      </c>
      <c r="CH21" s="11">
        <f>[27]SAS_SA_2015_4T!$G$159</f>
        <v>4194</v>
      </c>
      <c r="CI21" s="12">
        <f>[27]SAS_SA_2015_4T!$G$169</f>
        <v>1054</v>
      </c>
      <c r="CJ21" s="13">
        <f>[27]SAS_SA_2015_4T!$G$179</f>
        <v>5248</v>
      </c>
      <c r="CK21" s="11">
        <f>[28]SAS_SA_2016_1T!$G$159</f>
        <v>4291</v>
      </c>
      <c r="CL21" s="12">
        <f>[28]SAS_SA_2016_1T!$G$169</f>
        <v>1080</v>
      </c>
      <c r="CM21" s="13">
        <f>[28]SAS_SA_2016_1T!$G$179</f>
        <v>5371</v>
      </c>
      <c r="CN21" s="11">
        <f>'[29]160822-11H12S04-PROGRAM-TdB_STO'!$G$159</f>
        <v>4402</v>
      </c>
      <c r="CO21" s="12">
        <f>'[29]160822-11H12S04-PROGRAM-TdB_STO'!$G$169</f>
        <v>1104</v>
      </c>
      <c r="CP21" s="13">
        <f>'[29]160822-11H12S04-PROGRAM-TdB_STO'!$G$179</f>
        <v>5506</v>
      </c>
      <c r="CQ21" s="135">
        <f>[30]SAS_SA_2016_3T!$G$159</f>
        <v>4498</v>
      </c>
      <c r="CR21" s="136">
        <f>[30]SAS_SA_2016_3T!$G$169</f>
        <v>1124</v>
      </c>
      <c r="CS21" s="137">
        <f>[30]SAS_SA_2016_3T!$G$179</f>
        <v>5622</v>
      </c>
      <c r="CT21" s="135">
        <f>[31]SAS_SA_2016_4T!$G$159</f>
        <v>4589</v>
      </c>
      <c r="CU21" s="136">
        <f>[31]SAS_SA_2016_4T!$G$169</f>
        <v>1145</v>
      </c>
      <c r="CV21" s="137">
        <f>[31]SAS_SA_2016_4T!$G$179</f>
        <v>5734</v>
      </c>
      <c r="CW21" s="135">
        <f>[32]SAS_SA_2017_1T!$G$159</f>
        <v>4588</v>
      </c>
      <c r="CX21" s="136">
        <f>[32]SAS_SA_2017_1T!$G$169</f>
        <v>1174</v>
      </c>
      <c r="CY21" s="137">
        <f>[32]SAS_SA_2017_1T!$G$179</f>
        <v>5762</v>
      </c>
      <c r="CZ21" s="135">
        <f>[33]SAS_SA_2017_2T!$G$159</f>
        <v>4635</v>
      </c>
      <c r="DA21" s="136">
        <f>[33]SAS_SA_2017_2T!$G$169</f>
        <v>1174</v>
      </c>
      <c r="DB21" s="137">
        <f>[33]SAS_SA_2017_2T!$G$179</f>
        <v>5809</v>
      </c>
      <c r="DC21" s="135">
        <f>[34]SAS_SA_2017_3T!$G$159</f>
        <v>4656</v>
      </c>
      <c r="DD21" s="136">
        <f>[34]SAS_SA_2017_3T!$G$169</f>
        <v>1191</v>
      </c>
      <c r="DE21" s="137">
        <f>[34]SAS_SA_2017_3T!$G$179</f>
        <v>5847</v>
      </c>
      <c r="DF21" s="135">
        <f>[35]SAS_SA_2017_4T!$G$159</f>
        <v>4753</v>
      </c>
      <c r="DG21" s="136">
        <f>[35]SAS_SA_2017_4T!$G$169</f>
        <v>1235</v>
      </c>
      <c r="DH21" s="137">
        <f>[35]SAS_SA_2017_4T!$G$179</f>
        <v>5988</v>
      </c>
      <c r="DI21" s="135">
        <f>[36]SAS_SA_2018_1T!$G$159</f>
        <v>4884</v>
      </c>
      <c r="DJ21" s="136">
        <f>[36]SAS_SA_2018_1T!$G$169</f>
        <v>1285</v>
      </c>
      <c r="DK21" s="137">
        <f>[36]SAS_SA_2018_1T!$G$179</f>
        <v>6169</v>
      </c>
      <c r="DL21" s="135">
        <f>[37]SAS_SA_2018_2T!$G$159</f>
        <v>5042</v>
      </c>
      <c r="DM21" s="136">
        <f>[37]SAS_SA_2018_2T!$G$169</f>
        <v>1335</v>
      </c>
      <c r="DN21" s="137">
        <f>[37]SAS_SA_2018_2T!$G$179</f>
        <v>6377</v>
      </c>
      <c r="DO21" s="135">
        <f>[38]SAS_SA_2018_3T!$G$159</f>
        <v>5238</v>
      </c>
      <c r="DP21" s="136">
        <f>[38]SAS_SA_2018_3T!$G$169</f>
        <v>1404</v>
      </c>
      <c r="DQ21" s="137">
        <f>[38]SAS_SA_2018_3T!$G$179</f>
        <v>6642</v>
      </c>
      <c r="DR21" s="135">
        <f>'[39]190227-14H32S38-PROGRAM-TdB_STO'!$G$159</f>
        <v>5449</v>
      </c>
      <c r="DS21" s="136">
        <f>'[39]190227-14H32S38-PROGRAM-TdB_STO'!$G$169</f>
        <v>1514</v>
      </c>
      <c r="DT21" s="137">
        <f>'[39]190227-14H32S38-PROGRAM-TdB_STO'!$G$179</f>
        <v>6963</v>
      </c>
      <c r="DU21" s="205">
        <f>[40]SAS_SA_2019_1T!$G$159</f>
        <v>5665</v>
      </c>
      <c r="DV21" s="206">
        <f>[40]SAS_SA_2019_1T!$G$169</f>
        <v>1659</v>
      </c>
      <c r="DW21" s="207">
        <f>[40]SAS_SA_2019_1T!$G$179</f>
        <v>7324</v>
      </c>
      <c r="DX21" s="205">
        <f>[41]SAS_SA_2019_2T!$G$159</f>
        <v>5996</v>
      </c>
      <c r="DY21" s="206">
        <f>[41]SAS_SA_2019_2T!$G$169</f>
        <v>1795</v>
      </c>
      <c r="DZ21" s="207">
        <f>[41]SAS_SA_2019_2T!$G$179</f>
        <v>7791</v>
      </c>
      <c r="EA21" s="205">
        <f>[42]SAS_SA_2019_3T!$G$159</f>
        <v>6268</v>
      </c>
      <c r="EB21" s="206">
        <f>[42]SAS_SA_2019_3T!$G$169</f>
        <v>1935</v>
      </c>
      <c r="EC21" s="207">
        <f>[42]SAS_SA_2019_3T!$G$179</f>
        <v>8203</v>
      </c>
      <c r="ED21" s="205">
        <f>[43]SAS_SA_2019_4T!$G$159</f>
        <v>6615</v>
      </c>
      <c r="EE21" s="206">
        <f>[43]SAS_SA_2019_4T!$G$169</f>
        <v>2141</v>
      </c>
      <c r="EF21" s="207">
        <f>[43]SAS_SA_2019_4T!$G$179</f>
        <v>8756</v>
      </c>
      <c r="EG21" s="205">
        <f>[44]SAS_SA_2020_1T!$G$146</f>
        <v>6967</v>
      </c>
      <c r="EH21" s="206">
        <f>[44]SAS_SA_2020_1T!$G$154</f>
        <v>2379</v>
      </c>
      <c r="EI21" s="207">
        <f>[44]SAS_SA_2020_1T!$G$162</f>
        <v>9346</v>
      </c>
      <c r="EJ21" s="205">
        <f>[45]SAS_SA_2020_2T!$G$146</f>
        <v>7325</v>
      </c>
      <c r="EK21" s="206">
        <f>[45]SAS_SA_2020_2T!$G$154</f>
        <v>2570</v>
      </c>
      <c r="EL21" s="207">
        <f>[45]SAS_SA_2020_2T!$G$162</f>
        <v>9895</v>
      </c>
      <c r="EM21" s="205">
        <f>[46]SAS_SA_2020_3T!$G$146</f>
        <v>7615</v>
      </c>
      <c r="EN21" s="206">
        <f>[46]SAS_SA_2020_3T!$G$154</f>
        <v>2759</v>
      </c>
      <c r="EO21" s="207">
        <f>[46]SAS_SA_2020_3T!$G$162</f>
        <v>10374</v>
      </c>
      <c r="EP21" s="205">
        <f>[47]SAS_SA_2020_4T!$G$146</f>
        <v>7972</v>
      </c>
      <c r="EQ21" s="206">
        <f>[47]SAS_SA_2020_4T!$G$154</f>
        <v>2947</v>
      </c>
      <c r="ER21" s="207">
        <f>[47]SAS_SA_2020_4T!$G$162</f>
        <v>10919</v>
      </c>
      <c r="ES21" s="205">
        <f>[48]SAS_SA_2021_1T!$G$146</f>
        <v>8268</v>
      </c>
      <c r="ET21" s="206">
        <f>[48]SAS_SA_2021_1T!$G$154</f>
        <v>3187</v>
      </c>
      <c r="EU21" s="207">
        <f>[48]SAS_SA_2021_1T!$G$162</f>
        <v>11455</v>
      </c>
      <c r="EV21" s="205">
        <f>[49]SAS_SA_2021_2T!$G$146</f>
        <v>8571</v>
      </c>
      <c r="EW21" s="206">
        <f>[49]SAS_SA_2021_2T!$G$154</f>
        <v>3362</v>
      </c>
      <c r="EX21" s="207">
        <f>[49]SAS_SA_2021_2T!$G$162</f>
        <v>11933</v>
      </c>
      <c r="EY21" s="205">
        <f>[50]SAS_SA_2021_3T!$G$146</f>
        <v>8868</v>
      </c>
      <c r="EZ21" s="206">
        <f>[50]SAS_SA_2021_3T!$G$154</f>
        <v>3577</v>
      </c>
      <c r="FA21" s="207">
        <f>[50]SAS_SA_2021_3T!$G$162</f>
        <v>12445</v>
      </c>
      <c r="FB21" s="205">
        <f>[51]SAS_SA_2021_4T!$G$109</f>
        <v>9184</v>
      </c>
      <c r="FC21" s="206">
        <f>[51]SAS_SA_2021_4T!$G$114</f>
        <v>3809</v>
      </c>
      <c r="FD21" s="207">
        <f>[51]SAS_SA_2021_4T!$G$119</f>
        <v>12993</v>
      </c>
      <c r="FE21" s="205">
        <f>[52]SAS_SA_2022_1T!$G$109</f>
        <v>9510</v>
      </c>
      <c r="FF21" s="206">
        <f>[52]SAS_SA_2022_1T!$G$114</f>
        <v>4046</v>
      </c>
      <c r="FG21" s="207">
        <f>[52]SAS_SA_2022_1T!$G$119</f>
        <v>13556</v>
      </c>
      <c r="FH21" s="205">
        <f>[53]SAS_SA_2022_2T!$G$109</f>
        <v>9824</v>
      </c>
      <c r="FI21" s="206">
        <f>[53]SAS_SA_2022_2T!$G$114</f>
        <v>4244</v>
      </c>
      <c r="FJ21" s="207">
        <f>[53]SAS_SA_2022_2T!$G$119</f>
        <v>14068</v>
      </c>
      <c r="FK21" s="205">
        <f>[54]SAS_SA_2022_3T!$G$109</f>
        <v>10147</v>
      </c>
      <c r="FL21" s="206">
        <f>[54]SAS_SA_2022_3T!$G$114</f>
        <v>4404</v>
      </c>
      <c r="FM21" s="207">
        <f>[54]SAS_SA_2022_3T!$G$119</f>
        <v>14551</v>
      </c>
      <c r="FN21" s="135">
        <f>[55]SAS_SA_2022_4T!$G$109</f>
        <v>10486</v>
      </c>
      <c r="FO21" s="136">
        <f>[55]SAS_SA_2022_4T!$G$114</f>
        <v>4626</v>
      </c>
      <c r="FP21" s="137">
        <f>[55]SAS_SA_2022_4T!$G$119</f>
        <v>15112</v>
      </c>
      <c r="FQ21" s="135">
        <f>[56]SAS_SA_2023_1T!$G$109</f>
        <v>10888</v>
      </c>
      <c r="FR21" s="136">
        <f>[56]SAS_SA_2023_1T!$G$114</f>
        <v>4880</v>
      </c>
      <c r="FS21" s="137">
        <f>[56]SAS_SA_2023_1T!$G$119</f>
        <v>15768</v>
      </c>
      <c r="FT21" s="135">
        <f>[57]SAS_SA_2023_2T!$G$109</f>
        <v>11212</v>
      </c>
      <c r="FU21" s="136">
        <f>[57]SAS_SA_2023_2T!$G$114</f>
        <v>5118</v>
      </c>
      <c r="FV21" s="137">
        <f>[57]SAS_SA_2023_2T!$G$119</f>
        <v>16330</v>
      </c>
      <c r="FW21" s="135">
        <f>[58]SAS_SA_2023_3T!$G$109</f>
        <v>11519</v>
      </c>
      <c r="FX21" s="136">
        <f>[58]SAS_SA_2023_3T!$G$114</f>
        <v>5320</v>
      </c>
      <c r="FY21" s="137">
        <f>[58]SAS_SA_2023_3T!$G$119</f>
        <v>16839</v>
      </c>
      <c r="FZ21" s="135">
        <f>[59]SAS_SA_2023_4T!$G$109</f>
        <v>11916</v>
      </c>
      <c r="GA21" s="136">
        <f>[59]SAS_SA_2023_4T!$G$114</f>
        <v>5568</v>
      </c>
      <c r="GB21" s="137">
        <f>[59]SAS_SA_2023_4T!$G$119</f>
        <v>17484</v>
      </c>
      <c r="GC21" s="135">
        <f>[60]SAS_SA_2024_1T!$G$109</f>
        <v>12204</v>
      </c>
      <c r="GD21" s="136">
        <f>[60]SAS_SA_2024_1T!$G$114</f>
        <v>5790</v>
      </c>
      <c r="GE21" s="137">
        <f>[60]SAS_SA_2024_1T!$G$119</f>
        <v>17994</v>
      </c>
      <c r="GF21" s="135">
        <f>[61]SAS_SA_2024_2T!$G$109</f>
        <v>12520</v>
      </c>
      <c r="GG21" s="136">
        <f>[61]SAS_SA_2024_2T!$G$114</f>
        <v>6014</v>
      </c>
      <c r="GH21" s="137">
        <f>[61]SAS_SA_2024_2T!$G$119</f>
        <v>18534</v>
      </c>
      <c r="GI21" s="135">
        <f>[62]SAS_SA_2024_3T!$G$109</f>
        <v>12820</v>
      </c>
      <c r="GJ21" s="136">
        <f>[62]SAS_SA_2024_3T!$G$114</f>
        <v>6241</v>
      </c>
      <c r="GK21" s="137">
        <f>[62]SAS_SA_2024_3T!$G$119</f>
        <v>19061</v>
      </c>
      <c r="GL21" s="135">
        <f>[63]SAS_SA_2024_4T!$G$109</f>
        <v>13174</v>
      </c>
      <c r="GM21" s="136">
        <f>[63]SAS_SA_2024_4T!$G$114</f>
        <v>6474</v>
      </c>
      <c r="GN21" s="137">
        <f>[63]SAS_SA_2024_4T!$G$119</f>
        <v>19648</v>
      </c>
    </row>
    <row r="22" spans="1:196" x14ac:dyDescent="0.25">
      <c r="A22" s="14"/>
      <c r="B22" s="15"/>
      <c r="C22" s="15"/>
      <c r="D22" s="15"/>
      <c r="AR22" s="4"/>
      <c r="AS22" s="4"/>
      <c r="AT22" s="4"/>
      <c r="AU22" s="76"/>
      <c r="AV22" s="76"/>
      <c r="AW22" s="76"/>
      <c r="BG22" s="4"/>
      <c r="BH22" s="4"/>
      <c r="BI22" s="4"/>
      <c r="BJ22" s="4"/>
      <c r="BK22" s="4"/>
      <c r="BL22" s="4"/>
      <c r="DC22" s="126"/>
      <c r="DD22" s="126"/>
      <c r="DE22" s="126"/>
      <c r="DF22" s="126"/>
      <c r="DG22" s="126"/>
      <c r="DH22" s="126"/>
      <c r="DI22" s="126"/>
      <c r="DJ22" s="126"/>
      <c r="DK22" s="127"/>
      <c r="DN22" s="127"/>
      <c r="FN22" s="198"/>
      <c r="FO22" s="198"/>
      <c r="FP22" s="198"/>
      <c r="FQ22" s="198"/>
      <c r="FR22" s="198"/>
      <c r="FS22" s="198"/>
      <c r="FT22" s="198"/>
      <c r="FU22" s="198"/>
      <c r="FV22" s="198"/>
      <c r="FW22" s="198"/>
      <c r="FX22" s="198"/>
      <c r="FY22" s="198"/>
      <c r="FZ22" s="198"/>
      <c r="GA22" s="198"/>
      <c r="GB22" s="198"/>
      <c r="GC22" s="198"/>
      <c r="GD22" s="198"/>
      <c r="GE22" s="198"/>
      <c r="GF22" s="198"/>
      <c r="GG22" s="198"/>
      <c r="GH22" s="198"/>
      <c r="GI22" s="198"/>
      <c r="GJ22" s="198"/>
      <c r="GK22" s="198"/>
      <c r="GL22" s="198"/>
      <c r="GM22" s="198"/>
      <c r="GN22" s="198"/>
    </row>
    <row r="23" spans="1:196" ht="11.15" customHeight="1" x14ac:dyDescent="0.25">
      <c r="A23" s="3" t="s">
        <v>31</v>
      </c>
      <c r="B23" s="3"/>
      <c r="C23" s="3"/>
      <c r="D23" s="3"/>
      <c r="AR23" s="4"/>
      <c r="AS23" s="4"/>
      <c r="AT23" s="4"/>
      <c r="AU23" s="76"/>
      <c r="AV23" s="76"/>
      <c r="AW23" s="76"/>
      <c r="BG23" s="4"/>
      <c r="BH23" s="4"/>
      <c r="BI23" s="4"/>
      <c r="BJ23" s="4"/>
      <c r="BK23" s="4"/>
      <c r="BL23" s="4"/>
      <c r="DC23" s="126"/>
      <c r="DD23" s="126"/>
      <c r="DE23" s="126"/>
      <c r="DF23" s="126"/>
      <c r="DG23" s="126"/>
      <c r="DH23" s="126"/>
      <c r="DI23" s="126"/>
      <c r="DJ23" s="126"/>
      <c r="DK23" s="127"/>
      <c r="DN23" s="127"/>
      <c r="FN23" s="198"/>
      <c r="FO23" s="198"/>
      <c r="FP23" s="198"/>
      <c r="FQ23" s="198"/>
      <c r="FR23" s="198"/>
      <c r="FS23" s="198"/>
      <c r="FT23" s="198"/>
      <c r="FU23" s="198"/>
      <c r="FV23" s="198"/>
      <c r="FW23" s="198"/>
      <c r="FX23" s="198"/>
      <c r="FY23" s="198"/>
      <c r="FZ23" s="198"/>
      <c r="GA23" s="198"/>
      <c r="GB23" s="198"/>
      <c r="GC23" s="198"/>
      <c r="GD23" s="198"/>
      <c r="GE23" s="198"/>
      <c r="GF23" s="198"/>
      <c r="GG23" s="198"/>
      <c r="GH23" s="198"/>
      <c r="GI23" s="198"/>
      <c r="GJ23" s="198"/>
      <c r="GK23" s="198"/>
      <c r="GL23" s="198"/>
      <c r="GM23" s="198"/>
      <c r="GN23" s="198"/>
    </row>
    <row r="24" spans="1:196" ht="12" thickBot="1" x14ac:dyDescent="0.3">
      <c r="A24" s="187" t="s">
        <v>29</v>
      </c>
      <c r="B24" s="3"/>
      <c r="C24" s="3"/>
      <c r="D24" s="3"/>
      <c r="AR24" s="4"/>
      <c r="AS24" s="4"/>
      <c r="AT24" s="4"/>
      <c r="AU24" s="76"/>
      <c r="AV24" s="76"/>
      <c r="AW24" s="76"/>
      <c r="BG24" s="4"/>
      <c r="BH24" s="4"/>
      <c r="BI24" s="4"/>
      <c r="BJ24" s="4"/>
      <c r="BK24" s="4"/>
      <c r="BL24" s="4"/>
      <c r="DC24" s="126"/>
      <c r="DD24" s="126"/>
      <c r="DE24" s="126"/>
      <c r="DF24" s="126"/>
      <c r="DG24" s="126"/>
      <c r="DH24" s="126"/>
      <c r="DI24" s="126"/>
      <c r="DJ24" s="126"/>
      <c r="DK24" s="127"/>
      <c r="DN24" s="127"/>
      <c r="FN24" s="198"/>
      <c r="FO24" s="198"/>
      <c r="FP24" s="198"/>
      <c r="FQ24" s="198"/>
      <c r="FR24" s="198"/>
      <c r="FS24" s="198"/>
      <c r="FT24" s="198"/>
      <c r="FU24" s="198"/>
      <c r="FV24" s="198"/>
      <c r="FW24" s="198"/>
      <c r="FX24" s="198"/>
      <c r="FY24" s="198"/>
      <c r="FZ24" s="198"/>
      <c r="GA24" s="198"/>
      <c r="GB24" s="198"/>
      <c r="GC24" s="198"/>
      <c r="GD24" s="198"/>
      <c r="GE24" s="198"/>
      <c r="GF24" s="198"/>
      <c r="GG24" s="198"/>
      <c r="GH24" s="198"/>
      <c r="GI24" s="198"/>
      <c r="GJ24" s="198"/>
      <c r="GK24" s="198"/>
      <c r="GL24" s="198"/>
      <c r="GM24" s="198"/>
      <c r="GN24" s="198"/>
    </row>
    <row r="25" spans="1:196" s="185" customFormat="1" ht="24" customHeight="1" x14ac:dyDescent="0.25">
      <c r="A25" s="184"/>
      <c r="B25" s="444" t="str">
        <f>B5</f>
        <v>Situation au 31/12/2008</v>
      </c>
      <c r="C25" s="445"/>
      <c r="D25" s="446"/>
      <c r="E25" s="444" t="str">
        <f>E5</f>
        <v>Situation au 31/03/2009</v>
      </c>
      <c r="F25" s="445"/>
      <c r="G25" s="446"/>
      <c r="H25" s="444" t="str">
        <f>H5</f>
        <v>Situation au 30/06/2009</v>
      </c>
      <c r="I25" s="445"/>
      <c r="J25" s="446"/>
      <c r="K25" s="444" t="str">
        <f>K5</f>
        <v>Situation au 30/09/2009</v>
      </c>
      <c r="L25" s="445"/>
      <c r="M25" s="446"/>
      <c r="N25" s="444" t="str">
        <f>N5</f>
        <v>Situation au 31/12/2009</v>
      </c>
      <c r="O25" s="445"/>
      <c r="P25" s="445"/>
      <c r="Q25" s="444" t="str">
        <f>Q5</f>
        <v>Situation au 31/03/2010</v>
      </c>
      <c r="R25" s="445"/>
      <c r="S25" s="446"/>
      <c r="T25" s="444" t="str">
        <f>T5</f>
        <v>Situation au 30/06/2010</v>
      </c>
      <c r="U25" s="445"/>
      <c r="V25" s="446"/>
      <c r="W25" s="444" t="str">
        <f>W5</f>
        <v>Situation au 31/09/2010</v>
      </c>
      <c r="X25" s="445"/>
      <c r="Y25" s="446"/>
      <c r="Z25" s="444" t="str">
        <f>Z5</f>
        <v>Situation au 31/12/2010</v>
      </c>
      <c r="AA25" s="445"/>
      <c r="AB25" s="446"/>
      <c r="AC25" s="444" t="str">
        <f>AC5</f>
        <v>Situation au 31/03/2011</v>
      </c>
      <c r="AD25" s="445"/>
      <c r="AE25" s="446"/>
      <c r="AF25" s="444" t="str">
        <f>AF5</f>
        <v>Situation au 30/06/2011</v>
      </c>
      <c r="AG25" s="445"/>
      <c r="AH25" s="446"/>
      <c r="AI25" s="444" t="str">
        <f>AI5</f>
        <v>Situation au 30/09/2011</v>
      </c>
      <c r="AJ25" s="445"/>
      <c r="AK25" s="446"/>
      <c r="AL25" s="444" t="str">
        <f>AL5</f>
        <v>Situation au 31/12/2011</v>
      </c>
      <c r="AM25" s="445"/>
      <c r="AN25" s="446"/>
      <c r="AO25" s="444" t="str">
        <f>AO5</f>
        <v>Situation au 31/03/2012</v>
      </c>
      <c r="AP25" s="445"/>
      <c r="AQ25" s="446"/>
      <c r="AR25" s="444" t="str">
        <f>AR5</f>
        <v>Situation au 30/06/2012</v>
      </c>
      <c r="AS25" s="445"/>
      <c r="AT25" s="446"/>
      <c r="AU25" s="444" t="str">
        <f>AU5</f>
        <v>Situation au 30/09/2012</v>
      </c>
      <c r="AV25" s="445"/>
      <c r="AW25" s="446"/>
      <c r="AX25" s="444" t="str">
        <f>AX5</f>
        <v>Situation au 31/12/2012</v>
      </c>
      <c r="AY25" s="445"/>
      <c r="AZ25" s="446"/>
      <c r="BA25" s="444" t="str">
        <f>BA5</f>
        <v>Situation au 31/03/2013</v>
      </c>
      <c r="BB25" s="445"/>
      <c r="BC25" s="446"/>
      <c r="BD25" s="444" t="str">
        <f>BD5</f>
        <v>Situation au 31/06/2013</v>
      </c>
      <c r="BE25" s="445"/>
      <c r="BF25" s="446"/>
      <c r="BG25" s="444" t="str">
        <f>BG5</f>
        <v>Situation au 31/09/2013</v>
      </c>
      <c r="BH25" s="445"/>
      <c r="BI25" s="446"/>
      <c r="BJ25" s="444" t="str">
        <f>BJ5</f>
        <v>Situation au 31/12/2013</v>
      </c>
      <c r="BK25" s="445"/>
      <c r="BL25" s="446"/>
      <c r="BM25" s="444" t="str">
        <f>BM5</f>
        <v>Situation au 31/03/2014</v>
      </c>
      <c r="BN25" s="445"/>
      <c r="BO25" s="446"/>
      <c r="BP25" s="444" t="str">
        <f>BP5</f>
        <v>Situation au 30/06/2014</v>
      </c>
      <c r="BQ25" s="445"/>
      <c r="BR25" s="446"/>
      <c r="BS25" s="444" t="str">
        <f>BS5</f>
        <v>Situation au 30/09/2014</v>
      </c>
      <c r="BT25" s="445"/>
      <c r="BU25" s="446"/>
      <c r="BV25" s="444" t="str">
        <f>BV5</f>
        <v>Situation au 31/12/2014</v>
      </c>
      <c r="BW25" s="445"/>
      <c r="BX25" s="446"/>
      <c r="BY25" s="444" t="str">
        <f>BY5</f>
        <v>Situation au 31/03/2015</v>
      </c>
      <c r="BZ25" s="445"/>
      <c r="CA25" s="446"/>
      <c r="CB25" s="444" t="str">
        <f>CE5</f>
        <v>Situation au 30/09/2015</v>
      </c>
      <c r="CC25" s="445"/>
      <c r="CD25" s="446"/>
      <c r="CE25" s="444" t="str">
        <f>CE5</f>
        <v>Situation au 30/09/2015</v>
      </c>
      <c r="CF25" s="445"/>
      <c r="CG25" s="446"/>
      <c r="CH25" s="444" t="str">
        <f>CH5</f>
        <v>Situation au 31/12/2015</v>
      </c>
      <c r="CI25" s="445"/>
      <c r="CJ25" s="446"/>
      <c r="CK25" s="444" t="str">
        <f>CK5</f>
        <v>Situation au 31/03/2016</v>
      </c>
      <c r="CL25" s="445"/>
      <c r="CM25" s="446"/>
      <c r="CN25" s="444" t="str">
        <f>CN5</f>
        <v>Situation au 30/06/2016</v>
      </c>
      <c r="CO25" s="445"/>
      <c r="CP25" s="446"/>
      <c r="CQ25" s="433" t="str">
        <f>CQ5</f>
        <v>Situation au 30/09/2016</v>
      </c>
      <c r="CR25" s="434"/>
      <c r="CS25" s="435"/>
      <c r="CT25" s="433" t="str">
        <f>CT5</f>
        <v>Situation au 31/12/2016</v>
      </c>
      <c r="CU25" s="434"/>
      <c r="CV25" s="435"/>
      <c r="CW25" s="433" t="str">
        <f>CW5</f>
        <v>Situation au 31/03/2017</v>
      </c>
      <c r="CX25" s="434"/>
      <c r="CY25" s="435"/>
      <c r="CZ25" s="433" t="str">
        <f>CZ5</f>
        <v>Situation au 30/06/2017</v>
      </c>
      <c r="DA25" s="434"/>
      <c r="DB25" s="435"/>
      <c r="DC25" s="433" t="str">
        <f>DC5</f>
        <v>Situation au 30/09/2017</v>
      </c>
      <c r="DD25" s="434"/>
      <c r="DE25" s="435"/>
      <c r="DF25" s="433" t="str">
        <f>DF5</f>
        <v>Situation au 31/12/2017</v>
      </c>
      <c r="DG25" s="434"/>
      <c r="DH25" s="435"/>
      <c r="DI25" s="433" t="str">
        <f>DI5</f>
        <v>Situation au 31/03/2018</v>
      </c>
      <c r="DJ25" s="434"/>
      <c r="DK25" s="435"/>
      <c r="DL25" s="433" t="str">
        <f>DL5</f>
        <v>Situation au 30/06/2018</v>
      </c>
      <c r="DM25" s="434"/>
      <c r="DN25" s="435"/>
      <c r="DO25" s="433" t="s">
        <v>273</v>
      </c>
      <c r="DP25" s="434"/>
      <c r="DQ25" s="435"/>
      <c r="DR25" s="433" t="s">
        <v>276</v>
      </c>
      <c r="DS25" s="434"/>
      <c r="DT25" s="435"/>
      <c r="DU25" s="441" t="str">
        <f>DU5</f>
        <v>Situation au 31/03/2019</v>
      </c>
      <c r="DV25" s="442"/>
      <c r="DW25" s="443"/>
      <c r="DX25" s="441" t="str">
        <f>DX5</f>
        <v>Situation au 30/06/2019</v>
      </c>
      <c r="DY25" s="442"/>
      <c r="DZ25" s="443"/>
      <c r="EA25" s="441" t="str">
        <f>EA5</f>
        <v>Situation au 30/09/2019</v>
      </c>
      <c r="EB25" s="442"/>
      <c r="EC25" s="443"/>
      <c r="ED25" s="441" t="str">
        <f>ED5</f>
        <v>Situation au 31/12/2019</v>
      </c>
      <c r="EE25" s="442"/>
      <c r="EF25" s="443"/>
      <c r="EG25" s="441" t="str">
        <f>EG5</f>
        <v>Situation au 31/03/2020</v>
      </c>
      <c r="EH25" s="442"/>
      <c r="EI25" s="443"/>
      <c r="EJ25" s="441" t="str">
        <f>EJ5</f>
        <v>Situation au 30/06/2020</v>
      </c>
      <c r="EK25" s="442"/>
      <c r="EL25" s="443"/>
      <c r="EM25" s="441" t="str">
        <f>EM5</f>
        <v>Situation au 30/09/2020</v>
      </c>
      <c r="EN25" s="442"/>
      <c r="EO25" s="443"/>
      <c r="EP25" s="441" t="str">
        <f>EP5</f>
        <v>Situation au 31/12/2020</v>
      </c>
      <c r="EQ25" s="442"/>
      <c r="ER25" s="443"/>
      <c r="ES25" s="441" t="str">
        <f>ES5</f>
        <v>Situation au 31/03/2021</v>
      </c>
      <c r="ET25" s="442"/>
      <c r="EU25" s="443"/>
      <c r="EV25" s="441" t="str">
        <f>EV5</f>
        <v>Situation au 30/06/2021</v>
      </c>
      <c r="EW25" s="442"/>
      <c r="EX25" s="443"/>
      <c r="EY25" s="441" t="str">
        <f>EY5</f>
        <v>Situation au 30/09/2021</v>
      </c>
      <c r="EZ25" s="442"/>
      <c r="FA25" s="443"/>
      <c r="FB25" s="433" t="str">
        <f>FB5</f>
        <v>Situation au 31/12/2021</v>
      </c>
      <c r="FC25" s="434"/>
      <c r="FD25" s="435"/>
      <c r="FE25" s="433" t="str">
        <f>FE5</f>
        <v>Situation au 31/03/2022</v>
      </c>
      <c r="FF25" s="434"/>
      <c r="FG25" s="435"/>
      <c r="FH25" s="433" t="str">
        <f>FH5</f>
        <v>Situation au 30/06/2022</v>
      </c>
      <c r="FI25" s="434"/>
      <c r="FJ25" s="435"/>
      <c r="FK25" s="433" t="str">
        <f>FK5</f>
        <v>Situation au 30/09/2022</v>
      </c>
      <c r="FL25" s="434"/>
      <c r="FM25" s="435"/>
      <c r="FN25" s="433" t="str">
        <f>FN5</f>
        <v>Situation au 31/12/2022</v>
      </c>
      <c r="FO25" s="434"/>
      <c r="FP25" s="435"/>
      <c r="FQ25" s="433" t="str">
        <f>FQ5</f>
        <v>Situation au 31/03/2023</v>
      </c>
      <c r="FR25" s="434"/>
      <c r="FS25" s="435"/>
      <c r="FT25" s="433" t="str">
        <f>FT5</f>
        <v>Situation au 30/06/2023</v>
      </c>
      <c r="FU25" s="434"/>
      <c r="FV25" s="435"/>
      <c r="FW25" s="433" t="str">
        <f>FW5</f>
        <v>Situation au 30/09/2023</v>
      </c>
      <c r="FX25" s="434"/>
      <c r="FY25" s="435"/>
      <c r="FZ25" s="433" t="str">
        <f>FZ5</f>
        <v>Situation au 31/12/2023</v>
      </c>
      <c r="GA25" s="434"/>
      <c r="GB25" s="435"/>
      <c r="GC25" s="433" t="str">
        <f>GC5</f>
        <v>Situation au 31/03/2024</v>
      </c>
      <c r="GD25" s="434"/>
      <c r="GE25" s="435"/>
      <c r="GF25" s="433" t="str">
        <f>GF5</f>
        <v>Situation au 30/06/2024</v>
      </c>
      <c r="GG25" s="434"/>
      <c r="GH25" s="435"/>
      <c r="GI25" s="433" t="str">
        <f>GI5</f>
        <v>Situation au 30/09/2024</v>
      </c>
      <c r="GJ25" s="434"/>
      <c r="GK25" s="435"/>
      <c r="GL25" s="433" t="str">
        <f>GL5</f>
        <v>Situation au 31/12/2024</v>
      </c>
      <c r="GM25" s="434"/>
      <c r="GN25" s="435"/>
    </row>
    <row r="26" spans="1:196" ht="12" thickBot="1" x14ac:dyDescent="0.3">
      <c r="A26" s="3"/>
      <c r="B26" s="34" t="str">
        <f>B6</f>
        <v>Hommes</v>
      </c>
      <c r="C26" s="35" t="str">
        <f>C6</f>
        <v>Femmes</v>
      </c>
      <c r="D26" s="36" t="str">
        <f>D6</f>
        <v>Ensemble</v>
      </c>
      <c r="E26" s="34" t="str">
        <f>E6</f>
        <v>Hommes</v>
      </c>
      <c r="F26" s="35" t="str">
        <f t="shared" ref="F26:P26" si="54">F6</f>
        <v>Femmes</v>
      </c>
      <c r="G26" s="36" t="str">
        <f t="shared" si="54"/>
        <v>Ensemble</v>
      </c>
      <c r="H26" s="34" t="str">
        <f t="shared" si="54"/>
        <v>Hommes</v>
      </c>
      <c r="I26" s="35" t="str">
        <f t="shared" si="54"/>
        <v>Femmes</v>
      </c>
      <c r="J26" s="36" t="str">
        <f t="shared" si="54"/>
        <v>Ensemble</v>
      </c>
      <c r="K26" s="34" t="str">
        <f t="shared" si="54"/>
        <v>Hommes</v>
      </c>
      <c r="L26" s="35" t="str">
        <f t="shared" si="54"/>
        <v>Femmes</v>
      </c>
      <c r="M26" s="36" t="str">
        <f t="shared" si="54"/>
        <v>Ensemble</v>
      </c>
      <c r="N26" s="34" t="str">
        <f t="shared" si="54"/>
        <v>Hommes</v>
      </c>
      <c r="O26" s="35" t="str">
        <f t="shared" si="54"/>
        <v>Femmes</v>
      </c>
      <c r="P26" s="37" t="str">
        <f t="shared" si="54"/>
        <v>Ensemble</v>
      </c>
      <c r="Q26" s="34" t="str">
        <f>Q6</f>
        <v>Hommes</v>
      </c>
      <c r="R26" s="35" t="str">
        <f>R6</f>
        <v>Femmes</v>
      </c>
      <c r="S26" s="36" t="str">
        <f>S6</f>
        <v>Ensemble</v>
      </c>
      <c r="T26" s="34" t="str">
        <f>T6</f>
        <v>Hommes</v>
      </c>
      <c r="U26" s="35" t="str">
        <f>U6</f>
        <v>Femmes</v>
      </c>
      <c r="V26" s="36" t="str">
        <f>V6</f>
        <v>Ensemble</v>
      </c>
      <c r="W26" s="34" t="str">
        <f>W6</f>
        <v>Hommes</v>
      </c>
      <c r="X26" s="35" t="str">
        <f>X6</f>
        <v>Femmes</v>
      </c>
      <c r="Y26" s="36" t="str">
        <f>Y6</f>
        <v>Ensemble</v>
      </c>
      <c r="Z26" s="34" t="str">
        <f>Z6</f>
        <v>Hommes</v>
      </c>
      <c r="AA26" s="35" t="str">
        <f>AA6</f>
        <v>Femmes</v>
      </c>
      <c r="AB26" s="36" t="str">
        <f>AB6</f>
        <v>Ensemble</v>
      </c>
      <c r="AC26" s="34" t="str">
        <f>AC6</f>
        <v>Hommes</v>
      </c>
      <c r="AD26" s="35" t="str">
        <f>AD6</f>
        <v>Femmes</v>
      </c>
      <c r="AE26" s="36" t="str">
        <f>AE6</f>
        <v>Ensemble</v>
      </c>
      <c r="AF26" s="34" t="str">
        <f>AF6</f>
        <v>Hommes</v>
      </c>
      <c r="AG26" s="35" t="str">
        <f>AG6</f>
        <v>Femmes</v>
      </c>
      <c r="AH26" s="36" t="str">
        <f>AH6</f>
        <v>Ensemble</v>
      </c>
      <c r="AI26" s="34" t="str">
        <f>AI6</f>
        <v>Hommes</v>
      </c>
      <c r="AJ26" s="35" t="str">
        <f>AJ6</f>
        <v>Femmes</v>
      </c>
      <c r="AK26" s="36" t="str">
        <f>AK6</f>
        <v>Ensemble</v>
      </c>
      <c r="AL26" s="34" t="str">
        <f>AL6</f>
        <v>Hommes</v>
      </c>
      <c r="AM26" s="35" t="str">
        <f>AM6</f>
        <v>Femmes</v>
      </c>
      <c r="AN26" s="36" t="str">
        <f>AN6</f>
        <v>Ensemble</v>
      </c>
      <c r="AO26" s="34" t="str">
        <f>AO6</f>
        <v>Hommes</v>
      </c>
      <c r="AP26" s="35" t="str">
        <f>AP6</f>
        <v>Femmes</v>
      </c>
      <c r="AQ26" s="36" t="str">
        <f>AQ6</f>
        <v>Ensemble</v>
      </c>
      <c r="AR26" s="34" t="str">
        <f>AR6</f>
        <v>Hommes</v>
      </c>
      <c r="AS26" s="35" t="str">
        <f>AS6</f>
        <v>Femmes</v>
      </c>
      <c r="AT26" s="36" t="str">
        <f>AT6</f>
        <v>Ensemble</v>
      </c>
      <c r="AU26" s="34" t="str">
        <f>AU6</f>
        <v>Hommes</v>
      </c>
      <c r="AV26" s="35" t="str">
        <f>AV6</f>
        <v>Femmes</v>
      </c>
      <c r="AW26" s="36" t="str">
        <f>AW6</f>
        <v>Ensemble</v>
      </c>
      <c r="AX26" s="34" t="str">
        <f>AX6</f>
        <v>Hommes</v>
      </c>
      <c r="AY26" s="35" t="str">
        <f>AY6</f>
        <v>Femmes</v>
      </c>
      <c r="AZ26" s="36" t="str">
        <f>AZ6</f>
        <v>Ensemble</v>
      </c>
      <c r="BA26" s="34" t="str">
        <f>BA6</f>
        <v>Hommes</v>
      </c>
      <c r="BB26" s="35" t="str">
        <f>BB6</f>
        <v>Femmes</v>
      </c>
      <c r="BC26" s="36" t="str">
        <f>BC6</f>
        <v>Ensemble</v>
      </c>
      <c r="BD26" s="34" t="str">
        <f>BD6</f>
        <v>Hommes</v>
      </c>
      <c r="BE26" s="35" t="str">
        <f>BE6</f>
        <v>Femmes</v>
      </c>
      <c r="BF26" s="36" t="str">
        <f>BF6</f>
        <v>Ensemble</v>
      </c>
      <c r="BG26" s="34" t="str">
        <f>BG6</f>
        <v>Hommes</v>
      </c>
      <c r="BH26" s="35" t="str">
        <f>BH6</f>
        <v>Femmes</v>
      </c>
      <c r="BI26" s="36" t="str">
        <f>BI6</f>
        <v>Ensemble</v>
      </c>
      <c r="BJ26" s="34" t="str">
        <f>BJ6</f>
        <v>Hommes</v>
      </c>
      <c r="BK26" s="35" t="str">
        <f>BK6</f>
        <v>Femmes</v>
      </c>
      <c r="BL26" s="36" t="str">
        <f>BL6</f>
        <v>Ensemble</v>
      </c>
      <c r="BM26" s="34" t="str">
        <f>BM6</f>
        <v>Hommes</v>
      </c>
      <c r="BN26" s="35" t="str">
        <f>BN6</f>
        <v>Femmes</v>
      </c>
      <c r="BO26" s="36" t="str">
        <f>BO6</f>
        <v>Ensemble</v>
      </c>
      <c r="BP26" s="34" t="str">
        <f>BP6</f>
        <v>Hommes</v>
      </c>
      <c r="BQ26" s="35" t="str">
        <f>BQ6</f>
        <v>Femmes</v>
      </c>
      <c r="BR26" s="36" t="str">
        <f>BR6</f>
        <v>Ensemble</v>
      </c>
      <c r="BS26" s="34" t="str">
        <f>BS6</f>
        <v>Hommes</v>
      </c>
      <c r="BT26" s="35" t="str">
        <f>BT6</f>
        <v>Femmes</v>
      </c>
      <c r="BU26" s="36" t="str">
        <f>BU6</f>
        <v>Ensemble</v>
      </c>
      <c r="BV26" s="34" t="str">
        <f>BV6</f>
        <v>Hommes</v>
      </c>
      <c r="BW26" s="35" t="str">
        <f>BW6</f>
        <v>Femmes</v>
      </c>
      <c r="BX26" s="36" t="str">
        <f>BX6</f>
        <v>Ensemble</v>
      </c>
      <c r="BY26" s="34" t="str">
        <f>BY6</f>
        <v>Hommes</v>
      </c>
      <c r="BZ26" s="35" t="str">
        <f>BZ6</f>
        <v>Femmes</v>
      </c>
      <c r="CA26" s="36" t="str">
        <f>CA6</f>
        <v>Ensemble</v>
      </c>
      <c r="CB26" s="34" t="str">
        <f>CE6</f>
        <v>Hommes</v>
      </c>
      <c r="CC26" s="35" t="str">
        <f>CF6</f>
        <v>Femmes</v>
      </c>
      <c r="CD26" s="36" t="str">
        <f>CG6</f>
        <v>Ensemble</v>
      </c>
      <c r="CE26" s="34" t="str">
        <f>CE6</f>
        <v>Hommes</v>
      </c>
      <c r="CF26" s="35" t="str">
        <f>CF6</f>
        <v>Femmes</v>
      </c>
      <c r="CG26" s="36" t="str">
        <f>CG6</f>
        <v>Ensemble</v>
      </c>
      <c r="CH26" s="34" t="str">
        <f>CH6</f>
        <v>Hommes</v>
      </c>
      <c r="CI26" s="35" t="str">
        <f>CI6</f>
        <v>Femmes</v>
      </c>
      <c r="CJ26" s="36" t="str">
        <f>CJ6</f>
        <v>Ensemble</v>
      </c>
      <c r="CK26" s="34" t="str">
        <f>CK6</f>
        <v>Hommes</v>
      </c>
      <c r="CL26" s="35" t="str">
        <f>CL6</f>
        <v>Femmes</v>
      </c>
      <c r="CM26" s="36" t="str">
        <f>CM6</f>
        <v>Ensemble</v>
      </c>
      <c r="CN26" s="34" t="str">
        <f>CQ6</f>
        <v>Hommes</v>
      </c>
      <c r="CO26" s="35" t="str">
        <f>CO6</f>
        <v>Femmes</v>
      </c>
      <c r="CP26" s="36" t="str">
        <f>CS6</f>
        <v>Ensemble</v>
      </c>
      <c r="CQ26" s="129" t="str">
        <f>CQ6</f>
        <v>Hommes</v>
      </c>
      <c r="CR26" s="130" t="str">
        <f>CR6</f>
        <v>Femmes</v>
      </c>
      <c r="CS26" s="131" t="str">
        <f>CS6</f>
        <v>Ensemble</v>
      </c>
      <c r="CT26" s="129" t="str">
        <f>CT6</f>
        <v>Hommes</v>
      </c>
      <c r="CU26" s="130" t="str">
        <f>CU6</f>
        <v>Femmes</v>
      </c>
      <c r="CV26" s="131" t="str">
        <f>CV6</f>
        <v>Ensemble</v>
      </c>
      <c r="CW26" s="129" t="str">
        <f>CW6</f>
        <v>Hommes</v>
      </c>
      <c r="CX26" s="130" t="str">
        <f>CX6</f>
        <v>Femmes</v>
      </c>
      <c r="CY26" s="131" t="str">
        <f>CY6</f>
        <v>Ensemble</v>
      </c>
      <c r="CZ26" s="129" t="str">
        <f>CZ6</f>
        <v>Hommes</v>
      </c>
      <c r="DA26" s="130" t="str">
        <f>DA6</f>
        <v>Femmes</v>
      </c>
      <c r="DB26" s="131" t="str">
        <f>DB6</f>
        <v>Ensemble</v>
      </c>
      <c r="DC26" s="129" t="str">
        <f>DC6</f>
        <v>Hommes</v>
      </c>
      <c r="DD26" s="130" t="str">
        <f>DD6</f>
        <v>Femmes</v>
      </c>
      <c r="DE26" s="131" t="str">
        <f>DE6</f>
        <v>Ensemble</v>
      </c>
      <c r="DF26" s="129" t="str">
        <f>DF6</f>
        <v>Hommes</v>
      </c>
      <c r="DG26" s="130" t="str">
        <f>DG6</f>
        <v>Femmes</v>
      </c>
      <c r="DH26" s="131" t="str">
        <f>DH6</f>
        <v>Ensemble</v>
      </c>
      <c r="DI26" s="129" t="str">
        <f>DI6</f>
        <v>Hommes</v>
      </c>
      <c r="DJ26" s="130" t="str">
        <f>DJ6</f>
        <v>Femmes</v>
      </c>
      <c r="DK26" s="131" t="str">
        <f>DK6</f>
        <v>Ensemble</v>
      </c>
      <c r="DL26" s="129" t="str">
        <f>DL6</f>
        <v>Hommes</v>
      </c>
      <c r="DM26" s="130" t="str">
        <f>DM6</f>
        <v>Femmes</v>
      </c>
      <c r="DN26" s="131" t="str">
        <f>DN6</f>
        <v>Ensemble</v>
      </c>
      <c r="DO26" s="129" t="s">
        <v>0</v>
      </c>
      <c r="DP26" s="130" t="s">
        <v>1</v>
      </c>
      <c r="DQ26" s="131" t="s">
        <v>5</v>
      </c>
      <c r="DR26" s="129" t="s">
        <v>0</v>
      </c>
      <c r="DS26" s="130" t="s">
        <v>1</v>
      </c>
      <c r="DT26" s="131" t="s">
        <v>5</v>
      </c>
      <c r="DU26" s="199" t="str">
        <f>DU6</f>
        <v>Hommes</v>
      </c>
      <c r="DV26" s="200" t="str">
        <f>DV6</f>
        <v>Femmes</v>
      </c>
      <c r="DW26" s="201" t="str">
        <f>DW6</f>
        <v>Ensemble</v>
      </c>
      <c r="DX26" s="199" t="str">
        <f>DX6</f>
        <v>Hommes</v>
      </c>
      <c r="DY26" s="200" t="str">
        <f>DY6</f>
        <v>Femmes</v>
      </c>
      <c r="DZ26" s="201" t="str">
        <f>DZ6</f>
        <v>Ensemble</v>
      </c>
      <c r="EA26" s="199" t="str">
        <f>EA6</f>
        <v>Hommes</v>
      </c>
      <c r="EB26" s="200" t="str">
        <f>EB6</f>
        <v>Femmes</v>
      </c>
      <c r="EC26" s="201" t="str">
        <f>EC6</f>
        <v>Ensemble</v>
      </c>
      <c r="ED26" s="199" t="str">
        <f>ED6</f>
        <v>Hommes</v>
      </c>
      <c r="EE26" s="200" t="str">
        <f>EE6</f>
        <v>Femmes</v>
      </c>
      <c r="EF26" s="201" t="str">
        <f>EF6</f>
        <v>Ensemble</v>
      </c>
      <c r="EG26" s="199" t="str">
        <f>EG6</f>
        <v>Hommes</v>
      </c>
      <c r="EH26" s="200" t="str">
        <f>EH6</f>
        <v>Femmes</v>
      </c>
      <c r="EI26" s="201" t="str">
        <f>EI6</f>
        <v>Ensemble</v>
      </c>
      <c r="EJ26" s="199" t="str">
        <f>EJ6</f>
        <v>Hommes</v>
      </c>
      <c r="EK26" s="200" t="str">
        <f>EK6</f>
        <v>Femmes</v>
      </c>
      <c r="EL26" s="201" t="str">
        <f>EL6</f>
        <v>Ensemble</v>
      </c>
      <c r="EM26" s="199" t="str">
        <f>EM6</f>
        <v>Hommes</v>
      </c>
      <c r="EN26" s="200" t="str">
        <f>EN6</f>
        <v>Femmes</v>
      </c>
      <c r="EO26" s="201" t="str">
        <f>EO6</f>
        <v>Ensemble</v>
      </c>
      <c r="EP26" s="199" t="str">
        <f>EP6</f>
        <v>Hommes</v>
      </c>
      <c r="EQ26" s="200" t="str">
        <f>EQ6</f>
        <v>Femmes</v>
      </c>
      <c r="ER26" s="201" t="str">
        <f>ER6</f>
        <v>Ensemble</v>
      </c>
      <c r="ES26" s="199" t="str">
        <f>ES6</f>
        <v>Hommes</v>
      </c>
      <c r="ET26" s="200" t="str">
        <f>ET6</f>
        <v>Femmes</v>
      </c>
      <c r="EU26" s="201" t="str">
        <f>EU6</f>
        <v>Ensemble</v>
      </c>
      <c r="EV26" s="199" t="str">
        <f>EV6</f>
        <v>Hommes</v>
      </c>
      <c r="EW26" s="200" t="str">
        <f>EW6</f>
        <v>Femmes</v>
      </c>
      <c r="EX26" s="201" t="str">
        <f>EX6</f>
        <v>Ensemble</v>
      </c>
      <c r="EY26" s="199" t="str">
        <f>EY6</f>
        <v>Hommes</v>
      </c>
      <c r="EZ26" s="200" t="str">
        <f>EZ6</f>
        <v>Femmes</v>
      </c>
      <c r="FA26" s="201" t="str">
        <f>FA6</f>
        <v>Ensemble</v>
      </c>
      <c r="FB26" s="199" t="str">
        <f>FB6</f>
        <v>Hommes</v>
      </c>
      <c r="FC26" s="200" t="str">
        <f>FC6</f>
        <v>Femmes</v>
      </c>
      <c r="FD26" s="201" t="str">
        <f>FD6</f>
        <v>Ensemble</v>
      </c>
      <c r="FE26" s="199" t="str">
        <f>FE6</f>
        <v>Hommes</v>
      </c>
      <c r="FF26" s="200" t="str">
        <f>FF6</f>
        <v>Femmes</v>
      </c>
      <c r="FG26" s="201" t="str">
        <f>FG6</f>
        <v>Ensemble</v>
      </c>
      <c r="FH26" s="199" t="str">
        <f>FH6</f>
        <v>Hommes</v>
      </c>
      <c r="FI26" s="200" t="str">
        <f>FI6</f>
        <v>Femmes</v>
      </c>
      <c r="FJ26" s="201" t="str">
        <f>FJ6</f>
        <v>Ensemble</v>
      </c>
      <c r="FK26" s="199" t="str">
        <f>FK6</f>
        <v>Hommes</v>
      </c>
      <c r="FL26" s="200" t="str">
        <f>FL6</f>
        <v>Femmes</v>
      </c>
      <c r="FM26" s="201" t="str">
        <f>FM6</f>
        <v>Ensemble</v>
      </c>
      <c r="FN26" s="129" t="str">
        <f>FN6</f>
        <v>Hommes</v>
      </c>
      <c r="FO26" s="130" t="str">
        <f>FO6</f>
        <v>Femmes</v>
      </c>
      <c r="FP26" s="131" t="str">
        <f>FP6</f>
        <v>Ensemble</v>
      </c>
      <c r="FQ26" s="129" t="str">
        <f>FQ6</f>
        <v>Hommes</v>
      </c>
      <c r="FR26" s="366" t="str">
        <f>FR6</f>
        <v>Femmes</v>
      </c>
      <c r="FS26" s="131" t="str">
        <f>FS6</f>
        <v>Ensemble</v>
      </c>
      <c r="FT26" s="129" t="str">
        <f>FT6</f>
        <v>Hommes</v>
      </c>
      <c r="FU26" s="383" t="str">
        <f>FU6</f>
        <v>Femmes</v>
      </c>
      <c r="FV26" s="131" t="str">
        <f>FV6</f>
        <v>Ensemble</v>
      </c>
      <c r="FW26" s="129" t="str">
        <f>FW6</f>
        <v>Hommes</v>
      </c>
      <c r="FX26" s="385" t="str">
        <f>FX6</f>
        <v>Femmes</v>
      </c>
      <c r="FY26" s="131" t="str">
        <f>FY6</f>
        <v>Ensemble</v>
      </c>
      <c r="FZ26" s="129" t="str">
        <f>FZ6</f>
        <v>Hommes</v>
      </c>
      <c r="GA26" s="386" t="str">
        <f>GA6</f>
        <v>Femmes</v>
      </c>
      <c r="GB26" s="131" t="str">
        <f>GB6</f>
        <v>Ensemble</v>
      </c>
      <c r="GC26" s="129" t="str">
        <f>GC6</f>
        <v>Hommes</v>
      </c>
      <c r="GD26" s="391" t="str">
        <f>GD6</f>
        <v>Femmes</v>
      </c>
      <c r="GE26" s="131" t="str">
        <f>GE6</f>
        <v>Ensemble</v>
      </c>
      <c r="GF26" s="129" t="str">
        <f>GF6</f>
        <v>Hommes</v>
      </c>
      <c r="GG26" s="392" t="str">
        <f>GG6</f>
        <v>Femmes</v>
      </c>
      <c r="GH26" s="131" t="str">
        <f>GH6</f>
        <v>Ensemble</v>
      </c>
      <c r="GI26" s="129" t="str">
        <f>GI6</f>
        <v>Hommes</v>
      </c>
      <c r="GJ26" s="393" t="str">
        <f>GJ6</f>
        <v>Femmes</v>
      </c>
      <c r="GK26" s="131" t="str">
        <f>GK6</f>
        <v>Ensemble</v>
      </c>
      <c r="GL26" s="129" t="str">
        <f>GL6</f>
        <v>Hommes</v>
      </c>
      <c r="GM26" s="394" t="str">
        <f>GM6</f>
        <v>Femmes</v>
      </c>
      <c r="GN26" s="131" t="str">
        <f>GN6</f>
        <v>Ensemble</v>
      </c>
    </row>
    <row r="27" spans="1:196" x14ac:dyDescent="0.25">
      <c r="A27" s="38" t="s">
        <v>2</v>
      </c>
      <c r="B27" s="18">
        <f>[1]SAS_SA_4T2008!$G$91</f>
        <v>2424.7199999999998</v>
      </c>
      <c r="C27" s="19">
        <f>[1]SAS_SA_4T2008!$G$95</f>
        <v>1916.36</v>
      </c>
      <c r="D27" s="42">
        <f>[1]SAS_SA_4T2008!$G$85</f>
        <v>2279.7199999999998</v>
      </c>
      <c r="E27" s="18">
        <f>[2]SAS_SA_1T2009!$G$91</f>
        <v>2435</v>
      </c>
      <c r="F27" s="19">
        <f>[2]SAS_SA_1T2009!$G$95</f>
        <v>1928.44</v>
      </c>
      <c r="G27" s="42">
        <f>[2]SAS_SA_1T2009!$G$85</f>
        <v>2289.56</v>
      </c>
      <c r="H27" s="18">
        <f>[64]SAS_SA_2T2009!$G$91</f>
        <v>2462.04</v>
      </c>
      <c r="I27" s="19">
        <f>[64]SAS_SA_2T2009!$G$95</f>
        <v>1952.72</v>
      </c>
      <c r="J27" s="42">
        <f>[64]SAS_SA_2T2009!$G$85</f>
        <v>2315.2800000000002</v>
      </c>
      <c r="K27" s="18">
        <f>[3]SAS_SA_3T2009!$G$91</f>
        <v>2461.7199999999998</v>
      </c>
      <c r="L27" s="19">
        <f>[3]SAS_SA_3T2009!$G$95</f>
        <v>1961.4</v>
      </c>
      <c r="M27" s="42">
        <f>[3]SAS_SA_3T2009!$G$85</f>
        <v>2316.56</v>
      </c>
      <c r="N27" s="18">
        <f>[4]SAS_SA_4T2009!$G$91</f>
        <v>2459.4</v>
      </c>
      <c r="O27" s="19">
        <f>[4]SAS_SA_4T2009!$G$95</f>
        <v>1960.8</v>
      </c>
      <c r="P27" s="20">
        <f>[4]SAS_SA_4T2009!$G$85</f>
        <v>2314.12</v>
      </c>
      <c r="Q27" s="18">
        <f>[5]SAS_SA_1T2010!$G$91</f>
        <v>2461</v>
      </c>
      <c r="R27" s="19">
        <f>[5]SAS_SA_1T2010!$G$95</f>
        <v>1966.08</v>
      </c>
      <c r="S27" s="20">
        <f>[5]SAS_SA_1T2010!$G$85</f>
        <v>2316.2399999999998</v>
      </c>
      <c r="T27" s="18">
        <f>[65]SAS_SA_2T2010!$G$91</f>
        <v>2502.88</v>
      </c>
      <c r="U27" s="19">
        <f>[65]SAS_SA_2T2010!$G$95</f>
        <v>1994.12</v>
      </c>
      <c r="V27" s="20">
        <f>[65]SAS_SA_2T2010!$G$85</f>
        <v>2352.56</v>
      </c>
      <c r="W27" s="18">
        <f>[6]SAS_SA_3T2010!$G$91</f>
        <v>2503.7600000000002</v>
      </c>
      <c r="X27" s="19">
        <f>[6]SAS_SA_3T2010!$G$95</f>
        <v>1999.28</v>
      </c>
      <c r="Y27" s="20">
        <f>[6]SAS_SA_3T2010!$G$85</f>
        <v>2353.92</v>
      </c>
      <c r="Z27" s="18">
        <f>[7]SAS_SA_2010_4T!$G$91</f>
        <v>2485.08</v>
      </c>
      <c r="AA27" s="19">
        <f>[7]SAS_SA_2010_4T!$G$95</f>
        <v>1999.24</v>
      </c>
      <c r="AB27" s="42">
        <f>[7]SAS_SA_2010_4T!$G$85</f>
        <v>2340.84</v>
      </c>
      <c r="AC27" s="18">
        <f>[8]SAS_SA_2011_1T!$G$86</f>
        <v>2488.8000000000002</v>
      </c>
      <c r="AD27" s="19">
        <f>[8]SAS_SA_2011_1T!$G$89</f>
        <v>2005.12</v>
      </c>
      <c r="AE27" s="42">
        <f>[8]SAS_SA_2011_1T!$G$81</f>
        <v>2344.6</v>
      </c>
      <c r="AF27" s="18">
        <f>[9]SAS_SA_2011_2T!$G$86</f>
        <v>2543.12</v>
      </c>
      <c r="AG27" s="19">
        <f>[9]SAS_SA_2011_2T!$G$89</f>
        <v>2052.44</v>
      </c>
      <c r="AH27" s="42">
        <f>[9]SAS_SA_2011_2T!$G$81</f>
        <v>2396.12</v>
      </c>
      <c r="AI27" s="18">
        <f>[10]SAS_SA_2011_3T!$G$86</f>
        <v>2542.56</v>
      </c>
      <c r="AJ27" s="19">
        <f>[10]SAS_SA_2011_3T!$G$89</f>
        <v>2051.8000000000002</v>
      </c>
      <c r="AK27" s="42">
        <f>[10]SAS_SA_2011_3T!$G$81</f>
        <v>2395.56</v>
      </c>
      <c r="AL27" s="18">
        <f>[11]SAS_SA_2011_4T!$G$86</f>
        <v>2538.2399999999998</v>
      </c>
      <c r="AM27" s="19">
        <f>[11]SAS_SA_2011_4T!$G$89</f>
        <v>2049.16</v>
      </c>
      <c r="AN27" s="42">
        <f>[11]SAS_SA_2011_4T!$G$81</f>
        <v>2390.7600000000002</v>
      </c>
      <c r="AO27" s="18">
        <f>'[12]120612-17H07S59-PROGRAM-TdB_STO'!$G$86</f>
        <v>2541.4</v>
      </c>
      <c r="AP27" s="19">
        <f>'[12]120612-17H07S59-PROGRAM-TdB_STO'!$G$89</f>
        <v>2057.36</v>
      </c>
      <c r="AQ27" s="42">
        <f>'[12]120612-17H07S59-PROGRAM-TdB_STO'!$G$81</f>
        <v>2394.92</v>
      </c>
      <c r="AR27" s="18">
        <f>[13]SAS_SA_2012_2T!$G$86</f>
        <v>2601.4</v>
      </c>
      <c r="AS27" s="19">
        <f>[13]SAS_SA_2012_2T!$G$89</f>
        <v>2108.6799999999998</v>
      </c>
      <c r="AT27" s="42">
        <f>[13]SAS_SA_2012_2T!$G$81</f>
        <v>2451.7600000000002</v>
      </c>
      <c r="AU27" s="18">
        <f>'[14]121105-09H31S06-PROGRAM-TdB_STO'!$G$86</f>
        <v>2603.52</v>
      </c>
      <c r="AV27" s="19">
        <f>'[14]121105-09H31S06-PROGRAM-TdB_STO'!$G$89</f>
        <v>2113.52</v>
      </c>
      <c r="AW27" s="42">
        <f>'[14]121105-09H31S06-PROGRAM-TdB_STO'!$G$81</f>
        <v>2454.04</v>
      </c>
      <c r="AX27" s="18">
        <f>[15]SAS_SA_2012_4T!$G$86</f>
        <v>2608.4</v>
      </c>
      <c r="AY27" s="19">
        <f>[15]SAS_SA_2012_4T!$G$89</f>
        <v>2118.92</v>
      </c>
      <c r="AZ27" s="42">
        <f>[15]SAS_SA_2012_4T!$G$81</f>
        <v>2458.6</v>
      </c>
      <c r="BA27" s="18">
        <f>[16]SAS_SA_2013_1T!$G$86</f>
        <v>2616.6</v>
      </c>
      <c r="BB27" s="19">
        <f>[16]SAS_SA_2013_1T!$G$89</f>
        <v>2132.2399999999998</v>
      </c>
      <c r="BC27" s="42">
        <f>[16]SAS_SA_2013_1T!$G$81</f>
        <v>2467.7600000000002</v>
      </c>
      <c r="BD27" s="18">
        <f>[17]SAS_SA_2013_2T!$G$86</f>
        <v>2656.44</v>
      </c>
      <c r="BE27" s="19">
        <f>[17]SAS_SA_2013_2T!$G$89</f>
        <v>2171.64</v>
      </c>
      <c r="BF27" s="42">
        <f>[17]SAS_SA_2013_2T!$G$81</f>
        <v>2506.8000000000002</v>
      </c>
      <c r="BG27" s="18">
        <f>[18]SAS_SA_2013_3T!$G$86</f>
        <v>2642.84</v>
      </c>
      <c r="BH27" s="19">
        <f>[18]SAS_SA_2013_3T!$G$89</f>
        <v>2152.04</v>
      </c>
      <c r="BI27" s="42">
        <f>[18]SAS_SA_2013_3T!$G$81</f>
        <v>2490.3200000000002</v>
      </c>
      <c r="BJ27" s="18">
        <f>[19]SAS_SA_2013_4T!$G$86</f>
        <v>2635.28</v>
      </c>
      <c r="BK27" s="19">
        <f>[19]SAS_SA_2013_4T!$G$89</f>
        <v>2144.88</v>
      </c>
      <c r="BL27" s="42">
        <f>[19]SAS_SA_2013_4T!$G$81</f>
        <v>2482.16</v>
      </c>
      <c r="BM27" s="18">
        <f>[20]SAS_SA_2014_1T!$G$86</f>
        <v>2633.6</v>
      </c>
      <c r="BN27" s="19">
        <f>[20]SAS_SA_2014_1T!$G$89</f>
        <v>2144.7600000000002</v>
      </c>
      <c r="BO27" s="42">
        <f>[20]SAS_SA_2014_1T!$G$81</f>
        <v>2480.48</v>
      </c>
      <c r="BP27" s="18">
        <f>[21]SAS_SA_2014_2T!$G$86</f>
        <v>2634.08</v>
      </c>
      <c r="BQ27" s="19">
        <f>[21]SAS_SA_2014_2T!$G$89</f>
        <v>2150.04</v>
      </c>
      <c r="BR27" s="42">
        <f>[21]SAS_SA_2014_2T!$G$81</f>
        <v>2481.7600000000002</v>
      </c>
      <c r="BS27" s="18">
        <f>[22]SAS_SA_2014_3T!$G$86</f>
        <v>2631.84</v>
      </c>
      <c r="BT27" s="19">
        <f>[22]SAS_SA_2014_3T!$G$89</f>
        <v>2151.56</v>
      </c>
      <c r="BU27" s="42">
        <f>[22]SAS_SA_2014_3T!$G$81</f>
        <v>2479.88</v>
      </c>
      <c r="BV27" s="18">
        <f>[23]SAS_SA_2014_4T!$G$86</f>
        <v>2630</v>
      </c>
      <c r="BW27" s="19">
        <f>[23]SAS_SA_2014_4T!$G$89</f>
        <v>2149.8000000000002</v>
      </c>
      <c r="BX27" s="42">
        <f>[23]SAS_SA_2014_4T!$G$81</f>
        <v>2477.3000000000002</v>
      </c>
      <c r="BY27" s="18">
        <f>[24]SAS_SA_2015_1T!$G$86</f>
        <v>2629.2</v>
      </c>
      <c r="BZ27" s="19">
        <f>[24]SAS_SA_2015_1T!$G$89</f>
        <v>2150.6999999999998</v>
      </c>
      <c r="CA27" s="42">
        <f>[24]SAS_SA_2015_1T!$G$81</f>
        <v>2476.3000000000002</v>
      </c>
      <c r="CB27" s="18">
        <f>[25]SAS_SA_2015_2T!$G$86</f>
        <v>2626.4</v>
      </c>
      <c r="CC27" s="19">
        <f>[25]SAS_SA_2015_2T!$G$89</f>
        <v>2151.6</v>
      </c>
      <c r="CD27" s="42">
        <f>[25]SAS_SA_2015_2T!$G$81</f>
        <v>2474</v>
      </c>
      <c r="CE27" s="18">
        <f>[26]SAS_SA_2015_3T!$G$86</f>
        <v>2625.4</v>
      </c>
      <c r="CF27" s="19">
        <f>[26]SAS_SA_2015_3T!$G$89</f>
        <v>2155</v>
      </c>
      <c r="CG27" s="42">
        <f>[26]SAS_SA_2015_3T!$G$81</f>
        <v>2473.9</v>
      </c>
      <c r="CH27" s="18">
        <f>[27]SAS_SA_2015_4T!$G$86</f>
        <v>2624.48</v>
      </c>
      <c r="CI27" s="19">
        <f>[27]SAS_SA_2015_4T!$G$89</f>
        <v>2155.04</v>
      </c>
      <c r="CJ27" s="42">
        <f>[27]SAS_SA_2015_4T!$G$81</f>
        <v>2472.56</v>
      </c>
      <c r="CK27" s="18">
        <f>[28]SAS_SA_2016_1T!$G$86</f>
        <v>2622.48</v>
      </c>
      <c r="CL27" s="19">
        <f>[28]SAS_SA_2016_1T!$G$89</f>
        <v>2154.44</v>
      </c>
      <c r="CM27" s="42">
        <f>[28]SAS_SA_2016_1T!$G$81</f>
        <v>2470.16</v>
      </c>
      <c r="CN27" s="18">
        <f>'[29]160822-11H12S04-PROGRAM-TdB_STO'!$G$86</f>
        <v>2620.12</v>
      </c>
      <c r="CO27" s="19">
        <f>'[29]160822-11H12S04-PROGRAM-TdB_STO'!$G$89</f>
        <v>2152.56</v>
      </c>
      <c r="CP27" s="42">
        <f>'[29]160822-11H12S04-PROGRAM-TdB_STO'!$G$81</f>
        <v>2467.1999999999998</v>
      </c>
      <c r="CQ27" s="141">
        <f>[30]SAS_SA_2016_3T!$G$86</f>
        <v>2620.08</v>
      </c>
      <c r="CR27" s="142">
        <f>[30]SAS_SA_2016_3T!$G$89</f>
        <v>2154.16</v>
      </c>
      <c r="CS27" s="143">
        <f>[30]SAS_SA_2016_3T!$G$81</f>
        <v>2466.96</v>
      </c>
      <c r="CT27" s="141">
        <f>[31]SAS_SA_2016_4T!$G$86</f>
        <v>2618.8000000000002</v>
      </c>
      <c r="CU27" s="142">
        <f>[31]SAS_SA_2016_4T!$G$89</f>
        <v>2154.88</v>
      </c>
      <c r="CV27" s="143">
        <f>[31]SAS_SA_2016_4T!$G$81</f>
        <v>2466</v>
      </c>
      <c r="CW27" s="141">
        <f>[32]SAS_SA_2017_1T!$G$86</f>
        <v>2617.0120000000002</v>
      </c>
      <c r="CX27" s="142">
        <f>[32]SAS_SA_2017_1T!$G$89</f>
        <v>2157.7159999999999</v>
      </c>
      <c r="CY27" s="143">
        <f>[32]SAS_SA_2017_1T!$G$81</f>
        <v>2465.152</v>
      </c>
      <c r="CZ27" s="141">
        <f>[33]SAS_SA_2017_2T!$G$86</f>
        <v>2616.056</v>
      </c>
      <c r="DA27" s="142">
        <f>[33]SAS_SA_2017_2T!$G$89</f>
        <v>2159.44</v>
      </c>
      <c r="DB27" s="143">
        <f>[33]SAS_SA_2017_2T!$G$81</f>
        <v>2464.404</v>
      </c>
      <c r="DC27" s="141">
        <f>[34]SAS_SA_2017_3T!$G$86</f>
        <v>2632.8919999999998</v>
      </c>
      <c r="DD27" s="142">
        <f>[34]SAS_SA_2017_3T!$G$89</f>
        <v>2179.36</v>
      </c>
      <c r="DE27" s="143">
        <f>[34]SAS_SA_2017_3T!$G$81</f>
        <v>2481.7399999999998</v>
      </c>
      <c r="DF27" s="141">
        <f>[35]SAS_SA_2017_4T!$G$86</f>
        <v>2671.32</v>
      </c>
      <c r="DG27" s="142">
        <f>[35]SAS_SA_2017_4T!$G$89</f>
        <v>2217.9119999999998</v>
      </c>
      <c r="DH27" s="143">
        <f>[35]SAS_SA_2017_4T!$G$81</f>
        <v>2519.808</v>
      </c>
      <c r="DI27" s="141">
        <f>[36]SAS_SA_2018_1T!$F$86*4</f>
        <v>2697.0160000000001</v>
      </c>
      <c r="DJ27" s="142">
        <f>[36]SAS_SA_2018_1T!$F$89*4</f>
        <v>2250.5320000000002</v>
      </c>
      <c r="DK27" s="143">
        <f>[36]SAS_SA_2018_1T!$F$81*4</f>
        <v>2547.3359999999998</v>
      </c>
      <c r="DL27" s="141">
        <f>[37]SAS_SA_2018_2T!$F$86*4</f>
        <v>2722.8240000000001</v>
      </c>
      <c r="DM27" s="142">
        <f>[37]SAS_SA_2018_2T!$F$89*4</f>
        <v>2277.86</v>
      </c>
      <c r="DN27" s="143">
        <f>[37]SAS_SA_2018_2T!$F$81*4</f>
        <v>2573.0880000000002</v>
      </c>
      <c r="DO27" s="141">
        <f>[38]SAS_SA_2018_3T!$F$86*4</f>
        <v>2745.8040000000001</v>
      </c>
      <c r="DP27" s="142">
        <f>[38]SAS_SA_2018_3T!$F$89*4</f>
        <v>2306.5320000000002</v>
      </c>
      <c r="DQ27" s="143">
        <f>[38]SAS_SA_2018_3T!$F$81*4</f>
        <v>2597.44</v>
      </c>
      <c r="DR27" s="141">
        <f>4*'[39]190227-14H32S38-PROGRAM-TdB_STO'!$F$86</f>
        <v>2770.7719999999999</v>
      </c>
      <c r="DS27" s="142">
        <f>4*'[39]190227-14H32S38-PROGRAM-TdB_STO'!$F$89</f>
        <v>2336.268</v>
      </c>
      <c r="DT27" s="143">
        <f>4*'[39]190227-14H32S38-PROGRAM-TdB_STO'!$F$81</f>
        <v>2623.692</v>
      </c>
      <c r="DU27" s="208">
        <f>4*[40]SAS_SA_2019_1T!$F$86</f>
        <v>2813.8519999999999</v>
      </c>
      <c r="DV27" s="209">
        <f>4*[40]SAS_SA_2019_1T!$F$89</f>
        <v>2379.828</v>
      </c>
      <c r="DW27" s="210">
        <f>4*[40]SAS_SA_2019_1T!$F$81</f>
        <v>2666.444</v>
      </c>
      <c r="DX27" s="208">
        <f>4*[41]SAS_SA_2019_2T!$F$86</f>
        <v>2839.7240000000002</v>
      </c>
      <c r="DY27" s="209">
        <f>4*[41]SAS_SA_2019_2T!$F$89</f>
        <v>2416.8960000000002</v>
      </c>
      <c r="DZ27" s="210">
        <f>4*[41]SAS_SA_2019_2T!$F$81</f>
        <v>2695.768</v>
      </c>
      <c r="EA27" s="208">
        <f>4*[42]SAS_SA_2019_3T!$F$86</f>
        <v>2872.8879999999999</v>
      </c>
      <c r="EB27" s="209">
        <f>4*[42]SAS_SA_2019_3T!$F$89</f>
        <v>2458.2040000000002</v>
      </c>
      <c r="EC27" s="210">
        <f>4*[42]SAS_SA_2019_3T!$F$81</f>
        <v>2731.2759999999998</v>
      </c>
      <c r="ED27" s="208">
        <f>4*[43]SAS_SA_2019_4T!$F$86</f>
        <v>2892.0360000000001</v>
      </c>
      <c r="EE27" s="209">
        <f>4*[43]SAS_SA_2019_4T!$F$89</f>
        <v>2484.3560000000002</v>
      </c>
      <c r="EF27" s="210">
        <f>4*[43]SAS_SA_2019_4T!$F$81</f>
        <v>2752.308</v>
      </c>
      <c r="EG27" s="208">
        <f>4*[44]SAS_SA_2020_1T!$F$83</f>
        <v>2948.2559999999999</v>
      </c>
      <c r="EH27" s="209">
        <f>4*[44]SAS_SA_2020_1T!$F$86</f>
        <v>2542.9679999999998</v>
      </c>
      <c r="EI27" s="210">
        <f>4*[44]SAS_SA_2020_1T!$F$78</f>
        <v>2808.924</v>
      </c>
      <c r="EJ27" s="208">
        <f>4*[45]SAS_SA_2020_2T!$F$83</f>
        <v>2977.4079999999999</v>
      </c>
      <c r="EK27" s="209">
        <f>4*[45]SAS_SA_2020_2T!$F$86</f>
        <v>2578.94</v>
      </c>
      <c r="EL27" s="210">
        <f>4*[45]SAS_SA_2020_2T!$F$78</f>
        <v>2839.9279999999999</v>
      </c>
      <c r="EM27" s="208">
        <f>4*[46]SAS_SA_2020_3T!$F$83</f>
        <v>3011.5439999999999</v>
      </c>
      <c r="EN27" s="209">
        <f>4*[46]SAS_SA_2020_3T!$F$86</f>
        <v>2619.2800000000002</v>
      </c>
      <c r="EO27" s="210">
        <f>4*[46]SAS_SA_2020_3T!$F$78</f>
        <v>2875.788</v>
      </c>
      <c r="EP27" s="208">
        <f>4*[47]SAS_SA_2020_4T!$F83</f>
        <v>3046.7640000000001</v>
      </c>
      <c r="EQ27" s="209">
        <f>4*[47]SAS_SA_2020_4T!$F86</f>
        <v>2656.748</v>
      </c>
      <c r="ER27" s="210">
        <f>4*[47]SAS_SA_2020_4T!$F78</f>
        <v>2911.3</v>
      </c>
      <c r="ES27" s="208">
        <f>4*[48]SAS_SA_2021_1T!$F83</f>
        <v>3095</v>
      </c>
      <c r="ET27" s="209">
        <f>4*[48]SAS_SA_2021_1T!$F86</f>
        <v>2713.32</v>
      </c>
      <c r="EU27" s="210">
        <f>4*[48]SAS_SA_2021_1T!$F78</f>
        <v>2961.88</v>
      </c>
      <c r="EV27" s="208">
        <f>4*[49]SAS_SA_2021_2T!$F$83</f>
        <v>3127.4160000000002</v>
      </c>
      <c r="EW27" s="209">
        <f>4*[49]SAS_SA_2021_2T!$F$86</f>
        <v>2753.0320000000002</v>
      </c>
      <c r="EX27" s="210">
        <f>[49]SAS_SA_2021_2T!$G$78</f>
        <v>2996.348</v>
      </c>
      <c r="EY27" s="208">
        <f>4*[50]SAS_SA_2021_3T!$F$83</f>
        <v>3162.4760000000001</v>
      </c>
      <c r="EZ27" s="209">
        <f>4*[50]SAS_SA_2021_3T!$F$86</f>
        <v>2795.1</v>
      </c>
      <c r="FA27" s="210">
        <f>[50]SAS_SA_2021_3T!$G$78</f>
        <v>3033.4760000000001</v>
      </c>
      <c r="FB27" s="367">
        <f>4*[66]SAS_SA_2021_4T!$F$61</f>
        <v>3192.0325035474998</v>
      </c>
      <c r="FC27" s="368">
        <f>4*[66]SAS_SA_2021_4T!$F$64</f>
        <v>2830.0452788246962</v>
      </c>
      <c r="FD27" s="369">
        <f>4*[66]SAS_SA_2021_4T!$F$56</f>
        <v>3064.6737123960961</v>
      </c>
      <c r="FE27" s="208">
        <f>4*[52]SAS_SA_2022_1T!$F$61</f>
        <v>3268.7542829033878</v>
      </c>
      <c r="FF27" s="209">
        <f>4*[52]SAS_SA_2022_1T!$F$64</f>
        <v>2910.6324584821282</v>
      </c>
      <c r="FG27" s="210">
        <f>4*[52]SAS_SA_2022_1T!$F$56</f>
        <v>3142.3222458184682</v>
      </c>
      <c r="FH27" s="208">
        <f>4*[53]SAS_SA_2022_2T!$F$61</f>
        <v>3302.9125533011238</v>
      </c>
      <c r="FI27" s="209">
        <f>4*[53]SAS_SA_2022_2T!$F$64</f>
        <v>2950.6357512206878</v>
      </c>
      <c r="FJ27" s="210">
        <f>4*[53]SAS_SA_2022_2T!$F$56</f>
        <v>3178.1002263166961</v>
      </c>
      <c r="FK27" s="208">
        <f>4*[54]SAS_SA_2022_3T!$F$61</f>
        <v>3471.5602056517841</v>
      </c>
      <c r="FL27" s="209">
        <f>4*[54]SAS_SA_2022_3T!$F$64</f>
        <v>3109.9013515275319</v>
      </c>
      <c r="FM27" s="210">
        <f>4*[54]SAS_SA_2022_3T!$F$56</f>
        <v>3343.0514107330482</v>
      </c>
      <c r="FN27" s="141">
        <f>4*[55]SAS_SA_2022_4T!$F$61</f>
        <v>3504.2899076555318</v>
      </c>
      <c r="FO27" s="142">
        <f>4*[55]SAS_SA_2022_4T!$F$64</f>
        <v>3150.7749073373479</v>
      </c>
      <c r="FP27" s="143">
        <f>4*[55]SAS_SA_2022_4T!$F$56</f>
        <v>3378.4236756411842</v>
      </c>
      <c r="FQ27" s="141">
        <f>4*[56]SAS_SA_2023_1T!$F$61</f>
        <v>3579.8626504245681</v>
      </c>
      <c r="FR27" s="142">
        <f>4*[56]SAS_SA_2023_1T!$F$64</f>
        <v>3235.1948456147038</v>
      </c>
      <c r="FS27" s="143">
        <f>4*[56]SAS_SA_2023_1T!$F$56</f>
        <v>3456.7011064629719</v>
      </c>
      <c r="FT27" s="141">
        <f>4*[57]SAS_SA_2023_2T!$F$61</f>
        <v>3618.931995298904</v>
      </c>
      <c r="FU27" s="142">
        <f>4*[57]SAS_SA_2023_2T!$F$64</f>
        <v>3280.7087396813122</v>
      </c>
      <c r="FV27" s="143">
        <f>4*[57]SAS_SA_2023_2T!$F$56</f>
        <v>3497.7297172602639</v>
      </c>
      <c r="FW27" s="141">
        <f>4*[58]SAS_SA_2023_3T!$F$61</f>
        <v>3660.1486005009119</v>
      </c>
      <c r="FX27" s="142">
        <f>4*[58]SAS_SA_2023_3T!$F$64</f>
        <v>3332.4978331556081</v>
      </c>
      <c r="FY27" s="143">
        <f>4*[58]SAS_SA_2023_3T!$F$56</f>
        <v>3542.434860503884</v>
      </c>
      <c r="FZ27" s="141">
        <f>4*[59]SAS_SA_2023_4T!$F$61</f>
        <v>3691.04289086058</v>
      </c>
      <c r="GA27" s="142">
        <f>4*[59]SAS_SA_2023_4T!$F$64</f>
        <v>3368.8358330581882</v>
      </c>
      <c r="GB27" s="143">
        <f>4*[59]SAS_SA_2023_4T!$F$56</f>
        <v>3575.136027878792</v>
      </c>
      <c r="GC27" s="141">
        <f>4*[60]SAS_SA_2024_1T!$F$61</f>
        <v>3931.8734244935281</v>
      </c>
      <c r="GD27" s="142">
        <f>4*[60]SAS_SA_2024_1T!$F$64</f>
        <v>3599.0540122641478</v>
      </c>
      <c r="GE27" s="143">
        <f>4*[60]SAS_SA_2024_1T!$F$56</f>
        <v>3811.7649897074161</v>
      </c>
      <c r="GF27" s="141">
        <f>4*[61]SAS_SA_2024_2T!$F$61</f>
        <v>3967.583080869264</v>
      </c>
      <c r="GG27" s="142">
        <f>4*[61]SAS_SA_2024_2T!$F$64</f>
        <v>3634.881729156044</v>
      </c>
      <c r="GH27" s="143">
        <f>4*[61]SAS_SA_2024_2T!$F$56</f>
        <v>3847.129834287668</v>
      </c>
      <c r="GI27" s="141">
        <f>4*[62]SAS_SA_2024_3T!$F$61</f>
        <v>4005.9169701882402</v>
      </c>
      <c r="GJ27" s="142">
        <f>4*[62]SAS_SA_2024_3T!$F$64</f>
        <v>3675.7020155712562</v>
      </c>
      <c r="GK27" s="143">
        <f>4*[62]SAS_SA_2024_3T!$F$56</f>
        <v>3886.0305584988359</v>
      </c>
      <c r="GL27" s="141">
        <f>4*[63]SAS_SA_2024_4T!$F$61</f>
        <v>4072.8635755363598</v>
      </c>
      <c r="GM27" s="142">
        <f>4*[63]SAS_SA_2024_4T!$F$64</f>
        <v>3744.6411799405842</v>
      </c>
      <c r="GN27" s="143">
        <f>4*[63]SAS_SA_2024_4T!$F$56</f>
        <v>3953.4535752263719</v>
      </c>
    </row>
    <row r="28" spans="1:196" x14ac:dyDescent="0.25">
      <c r="A28" s="39" t="s">
        <v>3</v>
      </c>
      <c r="B28" s="18">
        <f>[1]SAS_SA_4T2008!$G$92</f>
        <v>827.04</v>
      </c>
      <c r="C28" s="19">
        <f>[1]SAS_SA_4T2008!$G$96</f>
        <v>1429.84</v>
      </c>
      <c r="D28" s="42">
        <f>[1]SAS_SA_4T2008!$G$86</f>
        <v>1418.88</v>
      </c>
      <c r="E28" s="18">
        <f>[2]SAS_SA_1T2009!$G$92</f>
        <v>830.16</v>
      </c>
      <c r="F28" s="19">
        <f>[2]SAS_SA_1T2009!$G$96</f>
        <v>1435.08</v>
      </c>
      <c r="G28" s="42">
        <f>[2]SAS_SA_1T2009!$G$86</f>
        <v>1423.88</v>
      </c>
      <c r="H28" s="18">
        <f>[64]SAS_SA_2T2009!$G$92</f>
        <v>833.12</v>
      </c>
      <c r="I28" s="19">
        <f>[64]SAS_SA_2T2009!$G$96</f>
        <v>1442.76</v>
      </c>
      <c r="J28" s="42">
        <f>[64]SAS_SA_2T2009!$G$86</f>
        <v>1431.28</v>
      </c>
      <c r="K28" s="18">
        <f>[3]SAS_SA_3T2009!$G$92</f>
        <v>823.6</v>
      </c>
      <c r="L28" s="19">
        <f>[3]SAS_SA_3T2009!$G$96</f>
        <v>1432.8</v>
      </c>
      <c r="M28" s="42">
        <f>[3]SAS_SA_3T2009!$G$86</f>
        <v>1421.16</v>
      </c>
      <c r="N28" s="18">
        <f>[4]SAS_SA_4T2009!$G$92</f>
        <v>819.04</v>
      </c>
      <c r="O28" s="19">
        <f>[4]SAS_SA_4T2009!$G$96</f>
        <v>1422.84</v>
      </c>
      <c r="P28" s="20">
        <f>[4]SAS_SA_4T2009!$G$86</f>
        <v>1411.16</v>
      </c>
      <c r="Q28" s="18">
        <f>[5]SAS_SA_1T2010!$G$92</f>
        <v>815.28</v>
      </c>
      <c r="R28" s="19">
        <f>[5]SAS_SA_1T2010!$G$96</f>
        <v>1413.68</v>
      </c>
      <c r="S28" s="20">
        <f>[5]SAS_SA_1T2010!$G$86</f>
        <v>1401.96</v>
      </c>
      <c r="T28" s="18">
        <f>[65]SAS_SA_2T2010!$G$92</f>
        <v>831.36</v>
      </c>
      <c r="U28" s="19">
        <f>[65]SAS_SA_2T2010!$G$96</f>
        <v>1431.88</v>
      </c>
      <c r="V28" s="20">
        <f>[65]SAS_SA_2T2010!$G$86</f>
        <v>1420.08</v>
      </c>
      <c r="W28" s="18">
        <f>[6]SAS_SA_3T2010!$G$92</f>
        <v>830.4</v>
      </c>
      <c r="X28" s="19">
        <f>[6]SAS_SA_3T2010!$G$96</f>
        <v>1426.96</v>
      </c>
      <c r="Y28" s="20">
        <f>[6]SAS_SA_3T2010!$G$86</f>
        <v>1415.08</v>
      </c>
      <c r="Z28" s="18">
        <f>[7]SAS_SA_2010_4T!$G$92</f>
        <v>802.08</v>
      </c>
      <c r="AA28" s="19">
        <f>[7]SAS_SA_2010_4T!$G$96</f>
        <v>1400.16</v>
      </c>
      <c r="AB28" s="42">
        <f>[7]SAS_SA_2010_4T!$G$86</f>
        <v>1388.08</v>
      </c>
      <c r="AC28" s="18">
        <f>[8]SAS_SA_2011_1T!$G$87</f>
        <v>798.32</v>
      </c>
      <c r="AD28" s="19">
        <f>[8]SAS_SA_2011_1T!$G$90</f>
        <v>1391.52</v>
      </c>
      <c r="AE28" s="42">
        <f>[8]SAS_SA_2011_1T!$G$82</f>
        <v>1379.44</v>
      </c>
      <c r="AF28" s="18">
        <f>[9]SAS_SA_2011_2T!$G$87</f>
        <v>801.48</v>
      </c>
      <c r="AG28" s="19">
        <f>[9]SAS_SA_2011_2T!$G$90</f>
        <v>1413.56</v>
      </c>
      <c r="AH28" s="42">
        <f>[9]SAS_SA_2011_2T!$G$82</f>
        <v>1400.96</v>
      </c>
      <c r="AI28" s="18">
        <f>[10]SAS_SA_2011_3T!$G$87</f>
        <v>801.48</v>
      </c>
      <c r="AJ28" s="19">
        <f>[10]SAS_SA_2011_3T!$G$90</f>
        <v>1413.56</v>
      </c>
      <c r="AK28" s="42">
        <f>[10]SAS_SA_2011_3T!$G$82</f>
        <v>1400.96</v>
      </c>
      <c r="AL28" s="18">
        <f>[11]SAS_SA_2011_4T!$G$87</f>
        <v>789.88</v>
      </c>
      <c r="AM28" s="19">
        <f>[11]SAS_SA_2011_4T!$G$90</f>
        <v>1394.56</v>
      </c>
      <c r="AN28" s="42">
        <f>[11]SAS_SA_2011_4T!$G$82</f>
        <v>1381.8</v>
      </c>
      <c r="AO28" s="18">
        <f>'[12]120612-17H07S59-PROGRAM-TdB_STO'!$G$87</f>
        <v>786.84</v>
      </c>
      <c r="AP28" s="19">
        <f>'[12]120612-17H07S59-PROGRAM-TdB_STO'!$G$90</f>
        <v>1386.56</v>
      </c>
      <c r="AQ28" s="42">
        <f>'[12]120612-17H07S59-PROGRAM-TdB_STO'!$G$82</f>
        <v>1373.76</v>
      </c>
      <c r="AR28" s="18">
        <f>[13]SAS_SA_2012_2T!$G$87</f>
        <v>792.68</v>
      </c>
      <c r="AS28" s="19">
        <f>[13]SAS_SA_2012_2T!$G$90</f>
        <v>1407.6</v>
      </c>
      <c r="AT28" s="42">
        <f>[13]SAS_SA_2012_2T!$G$82</f>
        <v>1394.32</v>
      </c>
      <c r="AU28" s="18">
        <f>'[14]121105-09H31S06-PROGRAM-TdB_STO'!$G$87</f>
        <v>788.88</v>
      </c>
      <c r="AV28" s="19">
        <f>'[14]121105-09H31S06-PROGRAM-TdB_STO'!$G$90</f>
        <v>1399.24</v>
      </c>
      <c r="AW28" s="42">
        <f>'[14]121105-09H31S06-PROGRAM-TdB_STO'!$G$82</f>
        <v>1385.96</v>
      </c>
      <c r="AX28" s="18">
        <f>[15]SAS_SA_2012_4T!$G$87</f>
        <v>783.92</v>
      </c>
      <c r="AY28" s="19">
        <f>[15]SAS_SA_2012_4T!$G$90</f>
        <v>1392</v>
      </c>
      <c r="AZ28" s="42">
        <f>[15]SAS_SA_2012_4T!$G$82</f>
        <v>1378.6</v>
      </c>
      <c r="BA28" s="18">
        <f>[16]SAS_SA_2013_1T!$G$87</f>
        <v>783.72</v>
      </c>
      <c r="BB28" s="19">
        <f>[16]SAS_SA_2013_1T!$G$90</f>
        <v>1384.44</v>
      </c>
      <c r="BC28" s="42">
        <f>[16]SAS_SA_2013_1T!$G$82</f>
        <v>1371.08</v>
      </c>
      <c r="BD28" s="18">
        <f>[17]SAS_SA_2013_2T!$G$87</f>
        <v>787.88</v>
      </c>
      <c r="BE28" s="19">
        <f>[17]SAS_SA_2013_2T!$G$90</f>
        <v>1393.6</v>
      </c>
      <c r="BF28" s="42">
        <f>[17]SAS_SA_2013_2T!$G$82</f>
        <v>1380</v>
      </c>
      <c r="BG28" s="18">
        <f>[18]SAS_SA_2013_3T!$G$87</f>
        <v>782.36</v>
      </c>
      <c r="BH28" s="19">
        <f>[18]SAS_SA_2013_3T!$G$90</f>
        <v>1385.68</v>
      </c>
      <c r="BI28" s="42">
        <f>[18]SAS_SA_2013_3T!$G$82</f>
        <v>1372</v>
      </c>
      <c r="BJ28" s="18">
        <f>[19]SAS_SA_2013_4T!$G$87</f>
        <v>780.56</v>
      </c>
      <c r="BK28" s="19">
        <f>[19]SAS_SA_2013_4T!$G$90</f>
        <v>1377.08</v>
      </c>
      <c r="BL28" s="42">
        <f>[19]SAS_SA_2013_4T!$G$82</f>
        <v>1363.36</v>
      </c>
      <c r="BM28" s="18">
        <f>[20]SAS_SA_2014_1T!$G$87</f>
        <v>774.08</v>
      </c>
      <c r="BN28" s="19">
        <f>[20]SAS_SA_2014_1T!$G$90</f>
        <v>1368.36</v>
      </c>
      <c r="BO28" s="42">
        <f>[20]SAS_SA_2014_1T!$G$82</f>
        <v>1354.52</v>
      </c>
      <c r="BP28" s="18">
        <f>[21]SAS_SA_2014_2T!$G$87</f>
        <v>768.48</v>
      </c>
      <c r="BQ28" s="19">
        <f>[21]SAS_SA_2014_2T!$G$90</f>
        <v>1360.96</v>
      </c>
      <c r="BR28" s="42">
        <f>[21]SAS_SA_2014_2T!$G$82</f>
        <v>1347.04</v>
      </c>
      <c r="BS28" s="18">
        <f>[22]SAS_SA_2014_3T!$G$87</f>
        <v>763.52</v>
      </c>
      <c r="BT28" s="19">
        <f>[22]SAS_SA_2014_3T!$G$90</f>
        <v>1354.2</v>
      </c>
      <c r="BU28" s="42">
        <f>[22]SAS_SA_2014_3T!$G$82</f>
        <v>1340.28</v>
      </c>
      <c r="BV28" s="18">
        <f>[23]SAS_SA_2014_4T!$G$87</f>
        <v>758.64</v>
      </c>
      <c r="BW28" s="19">
        <f>[23]SAS_SA_2014_4T!$G$90</f>
        <v>1347</v>
      </c>
      <c r="BX28" s="42">
        <f>[23]SAS_SA_2014_4T!$G$82</f>
        <v>1332.9</v>
      </c>
      <c r="BY28" s="18">
        <f>[24]SAS_SA_2015_1T!$G$87</f>
        <v>755.44</v>
      </c>
      <c r="BZ28" s="19">
        <f>[24]SAS_SA_2015_1T!$G$90</f>
        <v>1339.2</v>
      </c>
      <c r="CA28" s="42">
        <f>[24]SAS_SA_2015_1T!$G$82</f>
        <v>1325.2</v>
      </c>
      <c r="CB28" s="18">
        <f>[25]SAS_SA_2015_2T!$G$87</f>
        <v>749.28</v>
      </c>
      <c r="CC28" s="19">
        <f>[25]SAS_SA_2015_2T!$G$90</f>
        <v>1329.9</v>
      </c>
      <c r="CD28" s="42">
        <f>[25]SAS_SA_2015_2T!$G$82</f>
        <v>1315.8</v>
      </c>
      <c r="CE28" s="18">
        <f>[26]SAS_SA_2015_3T!$G$87</f>
        <v>741.6</v>
      </c>
      <c r="CF28" s="19">
        <f>[26]SAS_SA_2015_3T!$G$90</f>
        <v>1322.5</v>
      </c>
      <c r="CG28" s="42">
        <f>[26]SAS_SA_2015_3T!$G$82</f>
        <v>1308.2</v>
      </c>
      <c r="CH28" s="18">
        <f>[27]SAS_SA_2015_4T!$G$87</f>
        <v>737.52</v>
      </c>
      <c r="CI28" s="19">
        <f>[27]SAS_SA_2015_4T!$G$90</f>
        <v>1315.28</v>
      </c>
      <c r="CJ28" s="42">
        <f>[27]SAS_SA_2015_4T!$G$82</f>
        <v>1300.92</v>
      </c>
      <c r="CK28" s="18">
        <f>[28]SAS_SA_2016_1T!$G$87</f>
        <v>731.68</v>
      </c>
      <c r="CL28" s="19">
        <f>[28]SAS_SA_2016_1T!$G$90</f>
        <v>1306.92</v>
      </c>
      <c r="CM28" s="42">
        <f>[28]SAS_SA_2016_1T!$G$82</f>
        <v>1292.44</v>
      </c>
      <c r="CN28" s="18">
        <f>'[29]160822-11H12S04-PROGRAM-TdB_STO'!$G$87</f>
        <v>734.36</v>
      </c>
      <c r="CO28" s="19">
        <f>'[29]160822-11H12S04-PROGRAM-TdB_STO'!$G$90</f>
        <v>1299.1199999999999</v>
      </c>
      <c r="CP28" s="42">
        <f>'[29]160822-11H12S04-PROGRAM-TdB_STO'!$G$82</f>
        <v>1284.76</v>
      </c>
      <c r="CQ28" s="141">
        <f>[30]SAS_SA_2016_3T!$G$87</f>
        <v>733.52</v>
      </c>
      <c r="CR28" s="142">
        <f>[30]SAS_SA_2016_3T!$G$90</f>
        <v>1291.2</v>
      </c>
      <c r="CS28" s="143">
        <f>[30]SAS_SA_2016_3T!$G$82</f>
        <v>1276.8800000000001</v>
      </c>
      <c r="CT28" s="141">
        <f>[31]SAS_SA_2016_4T!$G$87</f>
        <v>719.96</v>
      </c>
      <c r="CU28" s="142">
        <f>[31]SAS_SA_2016_4T!$G$90</f>
        <v>1283.28</v>
      </c>
      <c r="CV28" s="143">
        <f>[31]SAS_SA_2016_4T!$G$82</f>
        <v>1268.6400000000001</v>
      </c>
      <c r="CW28" s="141">
        <f>[32]SAS_SA_2017_1T!$G$87</f>
        <v>720.93200000000002</v>
      </c>
      <c r="CX28" s="142">
        <f>[32]SAS_SA_2017_1T!$G$90</f>
        <v>1274.9359999999999</v>
      </c>
      <c r="CY28" s="143">
        <f>[32]SAS_SA_2017_1T!$G$82</f>
        <v>1260.3599999999999</v>
      </c>
      <c r="CZ28" s="141">
        <f>[33]SAS_SA_2017_2T!$G$87</f>
        <v>711.67200000000003</v>
      </c>
      <c r="DA28" s="142">
        <f>[33]SAS_SA_2017_2T!$G$90</f>
        <v>1268.356</v>
      </c>
      <c r="DB28" s="143">
        <f>[33]SAS_SA_2017_2T!$G$82</f>
        <v>1253.568</v>
      </c>
      <c r="DC28" s="141">
        <f>[34]SAS_SA_2017_3T!$G$87</f>
        <v>708.92</v>
      </c>
      <c r="DD28" s="142">
        <f>[34]SAS_SA_2017_3T!$G$90</f>
        <v>1262.952</v>
      </c>
      <c r="DE28" s="143">
        <f>[34]SAS_SA_2017_3T!$G$82</f>
        <v>1248.068</v>
      </c>
      <c r="DF28" s="141">
        <f>[35]SAS_SA_2017_4T!$G$87</f>
        <v>715.3</v>
      </c>
      <c r="DG28" s="142">
        <f>[35]SAS_SA_2017_4T!$G$90</f>
        <v>1265.8</v>
      </c>
      <c r="DH28" s="143">
        <f>[35]SAS_SA_2017_4T!$G$82</f>
        <v>1250.8240000000001</v>
      </c>
      <c r="DI28" s="141">
        <f>[36]SAS_SA_2018_1T!$F$87*4</f>
        <v>715.11599999999999</v>
      </c>
      <c r="DJ28" s="142">
        <f>[36]SAS_SA_2018_1T!$F$90*4</f>
        <v>1260.636</v>
      </c>
      <c r="DK28" s="143">
        <f>[36]SAS_SA_2018_1T!$F$82*4</f>
        <v>1245.7239999999999</v>
      </c>
      <c r="DL28" s="141">
        <f>[37]SAS_SA_2018_2T!$F$87*4</f>
        <v>717.36800000000005</v>
      </c>
      <c r="DM28" s="142">
        <f>[37]SAS_SA_2018_2T!$F$90*4</f>
        <v>1254.52</v>
      </c>
      <c r="DN28" s="143">
        <f>[37]SAS_SA_2018_2T!$F$82*4</f>
        <v>1239.7</v>
      </c>
      <c r="DO28" s="141">
        <f>[38]SAS_SA_2018_3T!$F$87*4</f>
        <v>716.78</v>
      </c>
      <c r="DP28" s="142">
        <f>[38]SAS_SA_2018_3T!$F$90*4</f>
        <v>1248.732</v>
      </c>
      <c r="DQ28" s="143">
        <f>[38]SAS_SA_2018_3T!$F$82*4</f>
        <v>1233.944</v>
      </c>
      <c r="DR28" s="141">
        <f>4*'[39]190227-14H32S38-PROGRAM-TdB_STO'!$F$87</f>
        <v>717.64</v>
      </c>
      <c r="DS28" s="142">
        <f>4*'[39]190227-14H32S38-PROGRAM-TdB_STO'!$F$90</f>
        <v>1243.164</v>
      </c>
      <c r="DT28" s="143">
        <f>4*'[39]190227-14H32S38-PROGRAM-TdB_STO'!$F$82</f>
        <v>1228.42</v>
      </c>
      <c r="DU28" s="208">
        <f>4*[40]SAS_SA_2019_1T!$F$87</f>
        <v>724.42399999999998</v>
      </c>
      <c r="DV28" s="209">
        <f>4*[40]SAS_SA_2019_1T!$F$90</f>
        <v>1241.704</v>
      </c>
      <c r="DW28" s="210">
        <f>4*[40]SAS_SA_2019_1T!$F$82</f>
        <v>1227.04</v>
      </c>
      <c r="DX28" s="208">
        <f>4*[41]SAS_SA_2019_2T!$F$87</f>
        <v>728.87599999999998</v>
      </c>
      <c r="DY28" s="209">
        <f>4*[41]SAS_SA_2019_2T!$F$90</f>
        <v>1236.7919999999999</v>
      </c>
      <c r="DZ28" s="210">
        <f>4*[41]SAS_SA_2019_2T!$F$82</f>
        <v>1222.356</v>
      </c>
      <c r="EA28" s="208">
        <f>4*[42]SAS_SA_2019_3T!$F$87</f>
        <v>740.06399999999996</v>
      </c>
      <c r="EB28" s="209">
        <f>4*[42]SAS_SA_2019_3T!$F$90</f>
        <v>1234.828</v>
      </c>
      <c r="EC28" s="210">
        <f>4*[42]SAS_SA_2019_3T!$F$82</f>
        <v>1220.7159999999999</v>
      </c>
      <c r="ED28" s="208">
        <f>4*[43]SAS_SA_2019_4T!$F$87</f>
        <v>736.072</v>
      </c>
      <c r="EE28" s="209">
        <f>4*[43]SAS_SA_2019_4T!$F$90</f>
        <v>1226.204</v>
      </c>
      <c r="EF28" s="210">
        <f>4*[43]SAS_SA_2019_4T!$F$82</f>
        <v>1211.9760000000001</v>
      </c>
      <c r="EG28" s="208">
        <f>4*[44]SAS_SA_2020_1T!$F$84</f>
        <v>744.41600000000005</v>
      </c>
      <c r="EH28" s="209">
        <f>4*[44]SAS_SA_2020_1T!$F$87</f>
        <v>1232.4880000000001</v>
      </c>
      <c r="EI28" s="210">
        <f>4*[44]SAS_SA_2020_1T!$F$79</f>
        <v>1218.2</v>
      </c>
      <c r="EJ28" s="208">
        <f>4*[45]SAS_SA_2020_2T!$F$84</f>
        <v>747.90800000000002</v>
      </c>
      <c r="EK28" s="209">
        <f>4*[45]SAS_SA_2020_2T!$F$87</f>
        <v>1226.248</v>
      </c>
      <c r="EL28" s="210">
        <f>4*[45]SAS_SA_2020_2T!$F$79</f>
        <v>1212.116</v>
      </c>
      <c r="EM28" s="208">
        <f>4*[46]SAS_SA_2020_3T!$F$84</f>
        <v>755.39200000000005</v>
      </c>
      <c r="EN28" s="209">
        <f>4*[46]SAS_SA_2020_3T!$F$87</f>
        <v>1224.2840000000001</v>
      </c>
      <c r="EO28" s="210">
        <f>4*[46]SAS_SA_2020_3T!$F$79</f>
        <v>1210.336</v>
      </c>
      <c r="EP28" s="208">
        <f>4*[47]SAS_SA_2020_4T!$F84</f>
        <v>756.43600000000004</v>
      </c>
      <c r="EQ28" s="209">
        <f>4*[47]SAS_SA_2020_4T!$F87</f>
        <v>1219.7639999999999</v>
      </c>
      <c r="ER28" s="210">
        <f>4*[47]SAS_SA_2020_4T!$F79</f>
        <v>1205.82</v>
      </c>
      <c r="ES28" s="208">
        <f>4*[48]SAS_SA_2021_1T!$F84</f>
        <v>767.6</v>
      </c>
      <c r="ET28" s="209">
        <f>4*[48]SAS_SA_2021_1T!$F87</f>
        <v>1219.48</v>
      </c>
      <c r="EU28" s="210">
        <f>4*[48]SAS_SA_2021_1T!$F79</f>
        <v>1205.76</v>
      </c>
      <c r="EV28" s="208">
        <f>4*[49]SAS_SA_2021_2T!$F$84</f>
        <v>767.73599999999999</v>
      </c>
      <c r="EW28" s="209">
        <f>4*[49]SAS_SA_2021_2T!$F$87</f>
        <v>1214.088</v>
      </c>
      <c r="EX28" s="210">
        <f>[49]SAS_SA_2021_2T!$G$79</f>
        <v>1200.4880000000001</v>
      </c>
      <c r="EY28" s="208">
        <f>4*[50]SAS_SA_2021_3T!$F$84</f>
        <v>771.29600000000005</v>
      </c>
      <c r="EZ28" s="209">
        <f>4*[50]SAS_SA_2021_3T!$F$87</f>
        <v>1210.4639999999999</v>
      </c>
      <c r="FA28" s="210">
        <f>[50]SAS_SA_2021_3T!$G$79</f>
        <v>1196.9639999999999</v>
      </c>
      <c r="FB28" s="367">
        <f>4*[66]SAS_SA_2021_4T!$F$62</f>
        <v>774.14090963928004</v>
      </c>
      <c r="FC28" s="368">
        <f>4*[66]SAS_SA_2021_4T!$F$65</f>
        <v>1206.5455836854121</v>
      </c>
      <c r="FD28" s="369">
        <f>4*[66]SAS_SA_2021_4T!$F$57</f>
        <v>1193.1389531523801</v>
      </c>
      <c r="FE28" s="208">
        <f>4*[52]SAS_SA_2022_1T!$F$62</f>
        <v>792.31909517506801</v>
      </c>
      <c r="FF28" s="209">
        <f>4*[52]SAS_SA_2022_1T!$F$65</f>
        <v>1215.3341326954001</v>
      </c>
      <c r="FG28" s="210">
        <f>4*[52]SAS_SA_2022_1T!$F$57</f>
        <v>1202.0973684061919</v>
      </c>
      <c r="FH28" s="208">
        <f>4*[53]SAS_SA_2022_2T!$F$62</f>
        <v>796.070732587512</v>
      </c>
      <c r="FI28" s="209">
        <f>4*[53]SAS_SA_2022_2T!$F$65</f>
        <v>1208.8739295880721</v>
      </c>
      <c r="FJ28" s="210">
        <f>4*[53]SAS_SA_2022_2T!$F$57</f>
        <v>1195.8694333230401</v>
      </c>
      <c r="FK28" s="208">
        <f>4*[54]SAS_SA_2022_3T!$F$62</f>
        <v>823.03287457178806</v>
      </c>
      <c r="FL28" s="209">
        <f>4*[54]SAS_SA_2022_3T!$F$65</f>
        <v>1252.3912081253841</v>
      </c>
      <c r="FM28" s="210">
        <f>4*[54]SAS_SA_2022_3T!$F$57</f>
        <v>1238.7826855527519</v>
      </c>
      <c r="FN28" s="141">
        <f>4*[55]SAS_SA_2022_4T!$F$62</f>
        <v>825.56130888169605</v>
      </c>
      <c r="FO28" s="142">
        <f>4*[55]SAS_SA_2022_4T!$F$65</f>
        <v>1248.5969257552081</v>
      </c>
      <c r="FP28" s="143">
        <f>4*[55]SAS_SA_2022_4T!$F$57</f>
        <v>1235.078931241572</v>
      </c>
      <c r="FQ28" s="141">
        <f>4*[56]SAS_SA_2023_1T!$F$62</f>
        <v>834.40818279698397</v>
      </c>
      <c r="FR28" s="142">
        <f>4*[56]SAS_SA_2023_1T!$F$65</f>
        <v>1253.8660497406561</v>
      </c>
      <c r="FS28" s="143">
        <f>4*[56]SAS_SA_2023_1T!$F$57</f>
        <v>1240.3430570366841</v>
      </c>
      <c r="FT28" s="141">
        <f>4*[57]SAS_SA_2023_2T!$F$62</f>
        <v>839.28185558404402</v>
      </c>
      <c r="FU28" s="142">
        <f>4*[57]SAS_SA_2023_2T!$F$65</f>
        <v>1249.2274523319079</v>
      </c>
      <c r="FV28" s="143">
        <f>4*[57]SAS_SA_2023_2T!$F$57</f>
        <v>1235.8994740688599</v>
      </c>
      <c r="FW28" s="141">
        <f>4*[58]SAS_SA_2023_3T!$F$62</f>
        <v>838.88010415433996</v>
      </c>
      <c r="FX28" s="142">
        <f>4*[58]SAS_SA_2023_3T!$F$65</f>
        <v>1245.8379578157119</v>
      </c>
      <c r="FY28" s="143">
        <f>4*[58]SAS_SA_2023_3T!$F$57</f>
        <v>1232.46648661156</v>
      </c>
      <c r="FZ28" s="141">
        <f>4*[59]SAS_SA_2023_4T!$F$62</f>
        <v>842.640926640928</v>
      </c>
      <c r="GA28" s="142">
        <f>4*[59]SAS_SA_2023_4T!$F$65</f>
        <v>1241.9638204014641</v>
      </c>
      <c r="GB28" s="143">
        <f>4*[59]SAS_SA_2023_4T!$F$57</f>
        <v>1228.689425834996</v>
      </c>
      <c r="GC28" s="141">
        <f>4*[60]SAS_SA_2024_1T!$F$62</f>
        <v>892.27552159858806</v>
      </c>
      <c r="GD28" s="142">
        <f>4*[60]SAS_SA_2024_1T!$F$65</f>
        <v>1304.6050296038079</v>
      </c>
      <c r="GE28" s="143">
        <f>4*[60]SAS_SA_2024_1T!$F$57</f>
        <v>1290.84472705092</v>
      </c>
      <c r="GF28" s="141">
        <f>4*[61]SAS_SA_2024_2T!$F$62</f>
        <v>893.52342783049596</v>
      </c>
      <c r="GG28" s="142">
        <f>4*[61]SAS_SA_2024_2T!$F$65</f>
        <v>1300.13492821206</v>
      </c>
      <c r="GH28" s="143">
        <f>4*[61]SAS_SA_2024_2T!$F$57</f>
        <v>1286.5037106117959</v>
      </c>
      <c r="GI28" s="141">
        <f>4*[62]SAS_SA_2024_3T!$F$62</f>
        <v>901.39700088209202</v>
      </c>
      <c r="GJ28" s="142">
        <f>4*[62]SAS_SA_2024_3T!$F$65</f>
        <v>1296.6786010338201</v>
      </c>
      <c r="GK28" s="143">
        <f>4*[62]SAS_SA_2024_3T!$F$57</f>
        <v>1283.3196095110161</v>
      </c>
      <c r="GL28" s="141">
        <f>4*[63]SAS_SA_2024_4T!$F$62</f>
        <v>906.27170606131597</v>
      </c>
      <c r="GM28" s="142">
        <f>4*[63]SAS_SA_2024_4T!$F$65</f>
        <v>1293.8045608390639</v>
      </c>
      <c r="GN28" s="143">
        <f>4*[63]SAS_SA_2024_4T!$F$57</f>
        <v>1280.5926776969959</v>
      </c>
    </row>
    <row r="29" spans="1:196" x14ac:dyDescent="0.25">
      <c r="A29" s="39" t="s">
        <v>4</v>
      </c>
      <c r="B29" s="18">
        <f>[1]SAS_SA_4T2008!$G$93</f>
        <v>4207.84</v>
      </c>
      <c r="C29" s="19">
        <f>[1]SAS_SA_4T2008!$G$97</f>
        <v>3497.52</v>
      </c>
      <c r="D29" s="42">
        <f>[1]SAS_SA_4T2008!$G$87</f>
        <v>3566.56</v>
      </c>
      <c r="E29" s="18">
        <f>[2]SAS_SA_1T2009!$G$93</f>
        <v>4198.8</v>
      </c>
      <c r="F29" s="19">
        <f>[2]SAS_SA_1T2009!$G$97</f>
        <v>3499.88</v>
      </c>
      <c r="G29" s="42">
        <f>[2]SAS_SA_1T2009!$G$87</f>
        <v>3568.32</v>
      </c>
      <c r="H29" s="18">
        <f>[64]SAS_SA_2T2009!$G$93</f>
        <v>4227.24</v>
      </c>
      <c r="I29" s="19">
        <f>[64]SAS_SA_2T2009!$G$97</f>
        <v>3529.88</v>
      </c>
      <c r="J29" s="42">
        <f>[64]SAS_SA_2T2009!$G$87</f>
        <v>3598.64</v>
      </c>
      <c r="K29" s="18">
        <f>[3]SAS_SA_3T2009!$G$93</f>
        <v>4207.16</v>
      </c>
      <c r="L29" s="19">
        <f>[3]SAS_SA_3T2009!$G$97</f>
        <v>3522.52</v>
      </c>
      <c r="M29" s="42">
        <f>[3]SAS_SA_3T2009!$G$87</f>
        <v>3590.8</v>
      </c>
      <c r="N29" s="18">
        <f>[4]SAS_SA_4T2009!$G$93</f>
        <v>4202.4399999999996</v>
      </c>
      <c r="O29" s="19">
        <f>[4]SAS_SA_4T2009!$G$97</f>
        <v>3512.56</v>
      </c>
      <c r="P29" s="20">
        <f>[4]SAS_SA_4T2009!$G$87</f>
        <v>3581.76</v>
      </c>
      <c r="Q29" s="18">
        <f>[5]SAS_SA_1T2010!$G$93</f>
        <v>4212.16</v>
      </c>
      <c r="R29" s="19">
        <f>[5]SAS_SA_1T2010!$G$97</f>
        <v>3505.68</v>
      </c>
      <c r="S29" s="20">
        <f>[5]SAS_SA_1T2010!$G$87</f>
        <v>3577.08</v>
      </c>
      <c r="T29" s="18">
        <f>[65]SAS_SA_2T2010!$G$93</f>
        <v>4197.16</v>
      </c>
      <c r="U29" s="19">
        <f>[65]SAS_SA_2T2010!$G$97</f>
        <v>3530.4</v>
      </c>
      <c r="V29" s="20">
        <f>[65]SAS_SA_2T2010!$G$87</f>
        <v>3598.04</v>
      </c>
      <c r="W29" s="18">
        <f>[6]SAS_SA_3T2010!$G$93</f>
        <v>4178.72</v>
      </c>
      <c r="X29" s="19">
        <f>[6]SAS_SA_3T2010!$G$97</f>
        <v>3522.56</v>
      </c>
      <c r="Y29" s="20">
        <f>[6]SAS_SA_3T2010!$G$87</f>
        <v>3589.32</v>
      </c>
      <c r="Z29" s="18">
        <f>[7]SAS_SA_2010_4T!$G$93</f>
        <v>4175.4799999999996</v>
      </c>
      <c r="AA29" s="19">
        <f>[7]SAS_SA_2010_4T!$G$97</f>
        <v>3511.04</v>
      </c>
      <c r="AB29" s="42">
        <f>[7]SAS_SA_2010_4T!$G$87</f>
        <v>3579.16</v>
      </c>
      <c r="AC29" s="18">
        <f>[8]SAS_SA_2011_1T!$G$88</f>
        <v>4164.4799999999996</v>
      </c>
      <c r="AD29" s="19">
        <f>[8]SAS_SA_2011_1T!$G$91</f>
        <v>3502.8</v>
      </c>
      <c r="AE29" s="42">
        <f>[8]SAS_SA_2011_1T!$G$83</f>
        <v>3571.12</v>
      </c>
      <c r="AF29" s="18">
        <f>[9]SAS_SA_2011_2T!$G$88</f>
        <v>4231.84</v>
      </c>
      <c r="AG29" s="19">
        <f>[9]SAS_SA_2011_2T!$G$91</f>
        <v>3569.2</v>
      </c>
      <c r="AH29" s="42">
        <f>[9]SAS_SA_2011_2T!$G$83</f>
        <v>3638.04</v>
      </c>
      <c r="AI29" s="18">
        <f>[10]SAS_SA_2011_3T!$G$88</f>
        <v>4231.84</v>
      </c>
      <c r="AJ29" s="19">
        <f>[10]SAS_SA_2011_3T!$G$91</f>
        <v>3569.2</v>
      </c>
      <c r="AK29" s="42">
        <f>[10]SAS_SA_2011_3T!$G$83</f>
        <v>3638.04</v>
      </c>
      <c r="AL29" s="18">
        <f>[11]SAS_SA_2011_4T!$G$88</f>
        <v>4179.84</v>
      </c>
      <c r="AM29" s="19">
        <f>[11]SAS_SA_2011_4T!$G$91</f>
        <v>3551</v>
      </c>
      <c r="AN29" s="42">
        <f>[11]SAS_SA_2011_4T!$G$83</f>
        <v>3616.88</v>
      </c>
      <c r="AO29" s="18">
        <f>'[12]120612-17H07S59-PROGRAM-TdB_STO'!$G$88</f>
        <v>4167.3999999999996</v>
      </c>
      <c r="AP29" s="19">
        <f>'[12]120612-17H07S59-PROGRAM-TdB_STO'!$G$91</f>
        <v>3540.32</v>
      </c>
      <c r="AQ29" s="42">
        <f>'[12]120612-17H07S59-PROGRAM-TdB_STO'!$G$83</f>
        <v>3606.24</v>
      </c>
      <c r="AR29" s="18">
        <f>[13]SAS_SA_2012_2T!$G$88</f>
        <v>4246.68</v>
      </c>
      <c r="AS29" s="19">
        <f>[13]SAS_SA_2012_2T!$G$91</f>
        <v>3606.8</v>
      </c>
      <c r="AT29" s="42">
        <f>[13]SAS_SA_2012_2T!$G$83</f>
        <v>3674.28</v>
      </c>
      <c r="AU29" s="18">
        <f>'[14]121105-09H31S06-PROGRAM-TdB_STO'!$G$88</f>
        <v>4226.88</v>
      </c>
      <c r="AV29" s="19">
        <f>'[14]121105-09H31S06-PROGRAM-TdB_STO'!$G$91</f>
        <v>3597.32</v>
      </c>
      <c r="AW29" s="42">
        <f>'[14]121105-09H31S06-PROGRAM-TdB_STO'!$G$83</f>
        <v>3663.96</v>
      </c>
      <c r="AX29" s="18">
        <f>[15]SAS_SA_2012_4T!$G$88</f>
        <v>4231.8</v>
      </c>
      <c r="AY29" s="19">
        <f>[15]SAS_SA_2012_4T!$G$91</f>
        <v>3590.84</v>
      </c>
      <c r="AZ29" s="42">
        <f>[15]SAS_SA_2012_4T!$G$83</f>
        <v>3659.12</v>
      </c>
      <c r="BA29" s="18">
        <f>[16]SAS_SA_2013_1T!$G$88</f>
        <v>4206.32</v>
      </c>
      <c r="BB29" s="19">
        <f>[16]SAS_SA_2013_1T!$G$91</f>
        <v>3578.56</v>
      </c>
      <c r="BC29" s="42">
        <f>[16]SAS_SA_2013_1T!$G$83</f>
        <v>3645.44</v>
      </c>
      <c r="BD29" s="18">
        <f>[17]SAS_SA_2013_2T!$G$88</f>
        <v>4246.4399999999996</v>
      </c>
      <c r="BE29" s="19">
        <f>[17]SAS_SA_2013_2T!$G$91</f>
        <v>3614.6</v>
      </c>
      <c r="BF29" s="42">
        <f>[17]SAS_SA_2013_2T!$G$83</f>
        <v>3682.24</v>
      </c>
      <c r="BG29" s="18">
        <f>[18]SAS_SA_2013_3T!$G$88</f>
        <v>4231.84</v>
      </c>
      <c r="BH29" s="19">
        <f>[18]SAS_SA_2013_3T!$G$91</f>
        <v>3602.56</v>
      </c>
      <c r="BI29" s="42">
        <f>[18]SAS_SA_2013_3T!$G$83</f>
        <v>3670.12</v>
      </c>
      <c r="BJ29" s="18">
        <f>[19]SAS_SA_2013_4T!$G$88</f>
        <v>4215.72</v>
      </c>
      <c r="BK29" s="19">
        <f>[19]SAS_SA_2013_4T!$G$91</f>
        <v>3590.72</v>
      </c>
      <c r="BL29" s="42">
        <f>[19]SAS_SA_2013_4T!$G$83</f>
        <v>3657.96</v>
      </c>
      <c r="BM29" s="18">
        <f>[20]SAS_SA_2014_1T!$G$88</f>
        <v>4201.68</v>
      </c>
      <c r="BN29" s="19">
        <f>[20]SAS_SA_2014_1T!$G$91</f>
        <v>3580.32</v>
      </c>
      <c r="BO29" s="42">
        <f>[20]SAS_SA_2014_1T!$G$83</f>
        <v>3647.36</v>
      </c>
      <c r="BP29" s="18">
        <f>[21]SAS_SA_2014_2T!$G$88</f>
        <v>4177.32</v>
      </c>
      <c r="BQ29" s="19">
        <f>[21]SAS_SA_2014_2T!$G$91</f>
        <v>3572.48</v>
      </c>
      <c r="BR29" s="42">
        <f>[21]SAS_SA_2014_2T!$G$83</f>
        <v>3637.84</v>
      </c>
      <c r="BS29" s="18">
        <f>[22]SAS_SA_2014_3T!$G$88</f>
        <v>4170.76</v>
      </c>
      <c r="BT29" s="19">
        <f>[22]SAS_SA_2014_3T!$G$91</f>
        <v>3561.52</v>
      </c>
      <c r="BU29" s="42">
        <f>[22]SAS_SA_2014_3T!$G$83</f>
        <v>3627.4</v>
      </c>
      <c r="BV29" s="18">
        <f>[23]SAS_SA_2014_4T!$G$88</f>
        <v>4153.2</v>
      </c>
      <c r="BW29" s="19">
        <f>[23]SAS_SA_2014_4T!$G$91</f>
        <v>3553</v>
      </c>
      <c r="BX29" s="42">
        <f>[23]SAS_SA_2014_4T!$G$83</f>
        <v>3618.1</v>
      </c>
      <c r="BY29" s="18">
        <f>[24]SAS_SA_2015_1T!$G$88</f>
        <v>4128.6000000000004</v>
      </c>
      <c r="BZ29" s="19">
        <f>[24]SAS_SA_2015_1T!$G$91</f>
        <v>3542.2</v>
      </c>
      <c r="CA29" s="42">
        <f>[24]SAS_SA_2015_1T!$G$83</f>
        <v>3605.9</v>
      </c>
      <c r="CB29" s="18">
        <f>[25]SAS_SA_2015_2T!$G$88</f>
        <v>4103.3999999999996</v>
      </c>
      <c r="CC29" s="19">
        <f>[25]SAS_SA_2015_2T!$G$91</f>
        <v>3530.8</v>
      </c>
      <c r="CD29" s="42">
        <f>[25]SAS_SA_2015_2T!$G$83</f>
        <v>3593.2</v>
      </c>
      <c r="CE29" s="18">
        <f>[26]SAS_SA_2015_3T!$G$88</f>
        <v>4095</v>
      </c>
      <c r="CF29" s="19">
        <f>[26]SAS_SA_2015_3T!$G$91</f>
        <v>3519.5</v>
      </c>
      <c r="CG29" s="42">
        <f>[26]SAS_SA_2015_3T!$G$83</f>
        <v>3582.6</v>
      </c>
      <c r="CH29" s="18">
        <f>[27]SAS_SA_2015_4T!$G$88</f>
        <v>4065.48</v>
      </c>
      <c r="CI29" s="19">
        <f>[27]SAS_SA_2015_4T!$G$91</f>
        <v>3512.64</v>
      </c>
      <c r="CJ29" s="42">
        <f>[27]SAS_SA_2015_4T!$G$83</f>
        <v>3573.48</v>
      </c>
      <c r="CK29" s="18">
        <f>[28]SAS_SA_2016_1T!$G$88</f>
        <v>4055.72</v>
      </c>
      <c r="CL29" s="19">
        <f>[28]SAS_SA_2016_1T!$G$91</f>
        <v>3499.64</v>
      </c>
      <c r="CM29" s="42">
        <f>[28]SAS_SA_2016_1T!$G$83</f>
        <v>3560.96</v>
      </c>
      <c r="CN29" s="18">
        <f>'[29]160822-11H12S04-PROGRAM-TdB_STO'!$G$88</f>
        <v>4031</v>
      </c>
      <c r="CO29" s="19">
        <f>'[29]160822-11H12S04-PROGRAM-TdB_STO'!$G$91</f>
        <v>3486.6</v>
      </c>
      <c r="CP29" s="42">
        <f>'[29]160822-11H12S04-PROGRAM-TdB_STO'!$G$83</f>
        <v>3546.76</v>
      </c>
      <c r="CQ29" s="141">
        <f>[30]SAS_SA_2016_3T!$G$88</f>
        <v>4021.88</v>
      </c>
      <c r="CR29" s="142">
        <f>[30]SAS_SA_2016_3T!$G$91</f>
        <v>3474.6</v>
      </c>
      <c r="CS29" s="143">
        <f>[30]SAS_SA_2016_3T!$G$83</f>
        <v>3535.2</v>
      </c>
      <c r="CT29" s="141">
        <f>[31]SAS_SA_2016_4T!$G$88</f>
        <v>4004.28</v>
      </c>
      <c r="CU29" s="142">
        <f>[31]SAS_SA_2016_4T!$G$91</f>
        <v>3465.44</v>
      </c>
      <c r="CV29" s="143">
        <f>[31]SAS_SA_2016_4T!$G$83</f>
        <v>3525.36</v>
      </c>
      <c r="CW29" s="141">
        <f>[32]SAS_SA_2017_1T!$G$88</f>
        <v>3988.14</v>
      </c>
      <c r="CX29" s="142">
        <f>[32]SAS_SA_2017_1T!$G$91</f>
        <v>3450.8760000000002</v>
      </c>
      <c r="CY29" s="143">
        <f>[32]SAS_SA_2017_1T!$G$83</f>
        <v>3510.6840000000002</v>
      </c>
      <c r="CZ29" s="141">
        <f>[33]SAS_SA_2017_2T!$G$88</f>
        <v>3957.2359999999999</v>
      </c>
      <c r="DA29" s="142">
        <f>[33]SAS_SA_2017_2T!$G$91</f>
        <v>3439.5</v>
      </c>
      <c r="DB29" s="143">
        <f>[33]SAS_SA_2017_2T!$G$83</f>
        <v>3497.26</v>
      </c>
      <c r="DC29" s="141">
        <f>[34]SAS_SA_2017_3T!$G$88</f>
        <v>3935.7640000000001</v>
      </c>
      <c r="DD29" s="142">
        <f>[34]SAS_SA_2017_3T!$G$91</f>
        <v>3429.8760000000002</v>
      </c>
      <c r="DE29" s="143">
        <f>[34]SAS_SA_2017_3T!$G$83</f>
        <v>3486.4279999999999</v>
      </c>
      <c r="DF29" s="141">
        <f>[35]SAS_SA_2017_4T!$G$88</f>
        <v>3949.5279999999998</v>
      </c>
      <c r="DG29" s="142">
        <f>[35]SAS_SA_2017_4T!$G$91</f>
        <v>3447.268</v>
      </c>
      <c r="DH29" s="143">
        <f>[35]SAS_SA_2017_4T!$G$83</f>
        <v>3503.576</v>
      </c>
      <c r="DI29" s="141">
        <f>[36]SAS_SA_2018_1T!$F$88*4</f>
        <v>3918.9839999999999</v>
      </c>
      <c r="DJ29" s="142">
        <f>[36]SAS_SA_2018_1T!$F$91*4</f>
        <v>3440.192</v>
      </c>
      <c r="DK29" s="143">
        <f>[36]SAS_SA_2018_1T!$F$83*4</f>
        <v>3493.8319999999999</v>
      </c>
      <c r="DL29" s="141">
        <f>[37]SAS_SA_2018_2T!$F$88*4</f>
        <v>3891.16</v>
      </c>
      <c r="DM29" s="142">
        <f>[37]SAS_SA_2018_2T!$F$91*4</f>
        <v>3434.7840000000001</v>
      </c>
      <c r="DN29" s="143">
        <f>[37]SAS_SA_2018_2T!$F$83*4</f>
        <v>3485.8240000000001</v>
      </c>
      <c r="DO29" s="141">
        <f>[38]SAS_SA_2018_3T!$F$88*4</f>
        <v>3886.9960000000001</v>
      </c>
      <c r="DP29" s="142">
        <f>[38]SAS_SA_2018_3T!$F$91*4</f>
        <v>3430.384</v>
      </c>
      <c r="DQ29" s="143">
        <f>[38]SAS_SA_2018_3T!$F$83*4</f>
        <v>3481.52</v>
      </c>
      <c r="DR29" s="141">
        <f>4*'[39]190227-14H32S38-PROGRAM-TdB_STO'!$F$88</f>
        <v>3876.788</v>
      </c>
      <c r="DS29" s="142">
        <f>4*'[39]190227-14H32S38-PROGRAM-TdB_STO'!$F$91</f>
        <v>3424.0279999999998</v>
      </c>
      <c r="DT29" s="143">
        <f>4*'[39]190227-14H32S38-PROGRAM-TdB_STO'!$F$83</f>
        <v>3474.8519999999999</v>
      </c>
      <c r="DU29" s="208">
        <f>4*[40]SAS_SA_2019_1T!$F$88</f>
        <v>3880.7919999999999</v>
      </c>
      <c r="DV29" s="209">
        <f>4*[40]SAS_SA_2019_1T!$F$91</f>
        <v>3428.9560000000001</v>
      </c>
      <c r="DW29" s="210">
        <f>4*[40]SAS_SA_2019_1T!$F$83</f>
        <v>3479.7040000000002</v>
      </c>
      <c r="DX29" s="208">
        <f>4*[41]SAS_SA_2019_2T!$F$88</f>
        <v>3866.92</v>
      </c>
      <c r="DY29" s="209">
        <f>4*[41]SAS_SA_2019_2T!$F$91</f>
        <v>3427.924</v>
      </c>
      <c r="DZ29" s="210">
        <f>4*[41]SAS_SA_2019_2T!$F$83</f>
        <v>3477.3719999999998</v>
      </c>
      <c r="EA29" s="208">
        <f>4*[42]SAS_SA_2019_3T!$F$88</f>
        <v>3854.38</v>
      </c>
      <c r="EB29" s="209">
        <f>4*[42]SAS_SA_2019_3T!$F$91</f>
        <v>3422.7919999999999</v>
      </c>
      <c r="EC29" s="210">
        <f>4*[42]SAS_SA_2019_3T!$F$83</f>
        <v>3471.5639999999999</v>
      </c>
      <c r="ED29" s="208">
        <f>4*[43]SAS_SA_2019_4T!$F$88</f>
        <v>3856.5839999999998</v>
      </c>
      <c r="EE29" s="209">
        <f>4*[43]SAS_SA_2019_4T!$F$91</f>
        <v>3417.0279999999998</v>
      </c>
      <c r="EF29" s="210">
        <f>4*[43]SAS_SA_2019_4T!$F$83</f>
        <v>3466.9119999999998</v>
      </c>
      <c r="EG29" s="208">
        <f>4*[44]SAS_SA_2020_1T!$F$85</f>
        <v>3884.2640000000001</v>
      </c>
      <c r="EH29" s="209">
        <f>4*[44]SAS_SA_2020_1T!$F$88</f>
        <v>3447.8359999999998</v>
      </c>
      <c r="EI29" s="210">
        <f>4*[44]SAS_SA_2020_1T!$F$80</f>
        <v>3497.54</v>
      </c>
      <c r="EJ29" s="208">
        <f>4*[45]SAS_SA_2020_2T!$F$85</f>
        <v>3872.1</v>
      </c>
      <c r="EK29" s="209">
        <f>4*[45]SAS_SA_2020_2T!$F$88</f>
        <v>3443.8119999999999</v>
      </c>
      <c r="EL29" s="210">
        <f>4*[45]SAS_SA_2020_2T!$F$80</f>
        <v>3492.7040000000002</v>
      </c>
      <c r="EM29" s="208">
        <f>4*[46]SAS_SA_2020_3T!$F$85</f>
        <v>3866.92</v>
      </c>
      <c r="EN29" s="209">
        <f>4*[46]SAS_SA_2020_3T!$F$88</f>
        <v>3446.0120000000002</v>
      </c>
      <c r="EO29" s="210">
        <f>4*[46]SAS_SA_2020_3T!$F$80</f>
        <v>3494.232</v>
      </c>
      <c r="EP29" s="208">
        <f>4*[47]SAS_SA_2020_4T!$F85</f>
        <v>3864.4079999999999</v>
      </c>
      <c r="EQ29" s="209">
        <f>4*[47]SAS_SA_2020_4T!$F88</f>
        <v>3445.66</v>
      </c>
      <c r="ER29" s="210">
        <f>4*[47]SAS_SA_2020_4T!$F80</f>
        <v>3493.82</v>
      </c>
      <c r="ES29" s="208">
        <f>4*[48]SAS_SA_2021_1T!$F85</f>
        <v>3871.4</v>
      </c>
      <c r="ET29" s="209">
        <f>4*[48]SAS_SA_2021_1T!$F88</f>
        <v>3457.8</v>
      </c>
      <c r="EU29" s="210">
        <f>4*[48]SAS_SA_2021_1T!$F80</f>
        <v>3505.24</v>
      </c>
      <c r="EV29" s="208">
        <f>4*[49]SAS_SA_2021_2T!$F$85</f>
        <v>3862.22</v>
      </c>
      <c r="EW29" s="209">
        <f>4*[49]SAS_SA_2021_2T!$F$88</f>
        <v>3458.556</v>
      </c>
      <c r="EX29" s="210">
        <f>[49]SAS_SA_2021_2T!$G$80</f>
        <v>3504.8960000000002</v>
      </c>
      <c r="EY29" s="208">
        <f>4*[50]SAS_SA_2021_3T!$F$85</f>
        <v>3874.5720000000001</v>
      </c>
      <c r="EZ29" s="209">
        <f>4*[50]SAS_SA_2021_3T!$F$88</f>
        <v>3458.3719999999998</v>
      </c>
      <c r="FA29" s="210">
        <f>[50]SAS_SA_2021_3T!$G$80</f>
        <v>3506.22</v>
      </c>
      <c r="FB29" s="367">
        <f>4*[66]SAS_SA_2021_4T!$F$63</f>
        <v>3865.0158847432599</v>
      </c>
      <c r="FC29" s="368">
        <f>4*[66]SAS_SA_2021_4T!$F$66</f>
        <v>3458.2044921327638</v>
      </c>
      <c r="FD29" s="369">
        <f>4*[66]SAS_SA_2021_4T!$F$58</f>
        <v>3505.0235319960038</v>
      </c>
      <c r="FE29" s="208">
        <f>4*[52]SAS_SA_2022_1T!$F$63</f>
        <v>3898.9214542747241</v>
      </c>
      <c r="FF29" s="209">
        <f>4*[52]SAS_SA_2022_1T!$F$66</f>
        <v>3493.0909032148602</v>
      </c>
      <c r="FG29" s="210">
        <f>4*[52]SAS_SA_2022_1T!$F$58</f>
        <v>3539.8513371507001</v>
      </c>
      <c r="FH29" s="208">
        <f>4*[53]SAS_SA_2022_2T!$F$63</f>
        <v>3889.830073501932</v>
      </c>
      <c r="FI29" s="209">
        <f>4*[53]SAS_SA_2022_2T!$F$66</f>
        <v>3487.5271188237521</v>
      </c>
      <c r="FJ29" s="210">
        <f>4*[53]SAS_SA_2022_2T!$F$58</f>
        <v>3534.0985426987122</v>
      </c>
      <c r="FK29" s="208">
        <f>4*[54]SAS_SA_2022_3T!$F$63</f>
        <v>4040.0564227947998</v>
      </c>
      <c r="FL29" s="209">
        <f>4*[54]SAS_SA_2022_3T!$F$66</f>
        <v>3627.1940835104961</v>
      </c>
      <c r="FM29" s="210">
        <f>4*[54]SAS_SA_2022_3T!$F$58</f>
        <v>3674.9917840034841</v>
      </c>
      <c r="FN29" s="141">
        <f>4*[55]SAS_SA_2022_4T!$F$63</f>
        <v>4047.5434851260002</v>
      </c>
      <c r="FO29" s="142">
        <f>4*[55]SAS_SA_2022_4T!$F$66</f>
        <v>3632.3809113075799</v>
      </c>
      <c r="FP29" s="143">
        <f>4*[55]SAS_SA_2022_4T!$F$58</f>
        <v>3680.5695602131882</v>
      </c>
      <c r="FQ29" s="141">
        <f>4*[56]SAS_SA_2023_1T!$F$63</f>
        <v>4072.0327494287999</v>
      </c>
      <c r="FR29" s="142">
        <f>4*[56]SAS_SA_2023_1T!$F$66</f>
        <v>3662.7063527915798</v>
      </c>
      <c r="FS29" s="143">
        <f>4*[56]SAS_SA_2023_1T!$F$58</f>
        <v>3710.3754785873721</v>
      </c>
      <c r="FT29" s="141">
        <f>4*[57]SAS_SA_2023_2T!$F$63</f>
        <v>4074.63998977244</v>
      </c>
      <c r="FU29" s="142">
        <f>4*[57]SAS_SA_2023_2T!$F$66</f>
        <v>3664.8697440392398</v>
      </c>
      <c r="FV29" s="143">
        <f>4*[57]SAS_SA_2023_2T!$F$58</f>
        <v>3712.6038050560319</v>
      </c>
      <c r="FW29" s="141">
        <f>4*[58]SAS_SA_2023_3T!$F$63</f>
        <v>4072.9389141721599</v>
      </c>
      <c r="FX29" s="142">
        <f>4*[58]SAS_SA_2023_3T!$F$66</f>
        <v>3667.7104743836239</v>
      </c>
      <c r="FY29" s="143">
        <f>4*[58]SAS_SA_2023_3T!$F$58</f>
        <v>3715.005820303732</v>
      </c>
      <c r="FZ29" s="141">
        <f>4*[59]SAS_SA_2023_4T!$F$63</f>
        <v>4070.4448291337999</v>
      </c>
      <c r="GA29" s="142">
        <f>4*[59]SAS_SA_2023_4T!$F$66</f>
        <v>3670.2415312374842</v>
      </c>
      <c r="GB29" s="143">
        <f>4*[59]SAS_SA_2023_4T!$F$58</f>
        <v>3717.1948247329642</v>
      </c>
      <c r="GC29" s="141">
        <f>4*[60]SAS_SA_2024_1T!$F$63</f>
        <v>4279.0156099441201</v>
      </c>
      <c r="GD29" s="142">
        <f>4*[60]SAS_SA_2024_1T!$F$66</f>
        <v>3870.6852053829839</v>
      </c>
      <c r="GE29" s="143">
        <f>4*[60]SAS_SA_2024_1T!$F$58</f>
        <v>3918.837434094904</v>
      </c>
      <c r="GF29" s="141">
        <f>4*[61]SAS_SA_2024_2T!$F$63</f>
        <v>4289.1390488515199</v>
      </c>
      <c r="GG29" s="142">
        <f>4*[61]SAS_SA_2024_2T!$F$66</f>
        <v>3872.5798768394002</v>
      </c>
      <c r="GH29" s="143">
        <f>4*[61]SAS_SA_2024_2T!$F$58</f>
        <v>3921.7566035718119</v>
      </c>
      <c r="GI29" s="141">
        <f>4*[62]SAS_SA_2024_3T!$F$63</f>
        <v>4303.3030342492402</v>
      </c>
      <c r="GJ29" s="142">
        <f>4*[62]SAS_SA_2024_3T!$F$66</f>
        <v>3880.9661621668802</v>
      </c>
      <c r="GK29" s="143">
        <f>4*[62]SAS_SA_2024_3T!$F$58</f>
        <v>3930.86307724262</v>
      </c>
      <c r="GL29" s="141">
        <f>4*[63]SAS_SA_2024_4T!$F$63</f>
        <v>4385.5478977310004</v>
      </c>
      <c r="GM29" s="142">
        <f>4*[63]SAS_SA_2024_4T!$F$66</f>
        <v>3924.2830837220722</v>
      </c>
      <c r="GN29" s="143">
        <f>4*[63]SAS_SA_2024_4T!$F$58</f>
        <v>3978.8237240696799</v>
      </c>
    </row>
    <row r="30" spans="1:196" ht="12" thickBot="1" x14ac:dyDescent="0.3">
      <c r="A30" s="40" t="s">
        <v>5</v>
      </c>
      <c r="B30" s="21">
        <f>[1]SAS_SA_4T2008!$G$89</f>
        <v>2433.6</v>
      </c>
      <c r="C30" s="22">
        <f>[1]SAS_SA_4T2008!$G$90</f>
        <v>1881.32</v>
      </c>
      <c r="D30" s="43">
        <f>[1]SAS_SA_4T2008!$G$84</f>
        <v>2165.8000000000002</v>
      </c>
      <c r="E30" s="21">
        <f>[2]SAS_SA_1T2009!$G$89</f>
        <v>2443.56</v>
      </c>
      <c r="F30" s="22">
        <f>[2]SAS_SA_1T2009!$G$90</f>
        <v>1890.8</v>
      </c>
      <c r="G30" s="43">
        <f>[2]SAS_SA_1T2009!$G$84</f>
        <v>2175.92</v>
      </c>
      <c r="H30" s="21">
        <f>[64]SAS_SA_2T2009!$G$89</f>
        <v>2470.36</v>
      </c>
      <c r="I30" s="22">
        <f>[64]SAS_SA_2T2009!$G$90</f>
        <v>1907.8</v>
      </c>
      <c r="J30" s="43">
        <f>[64]SAS_SA_2T2009!$G$84</f>
        <v>2197.2399999999998</v>
      </c>
      <c r="K30" s="21">
        <f>[3]SAS_SA_3T2009!$G$89</f>
        <v>2469.84</v>
      </c>
      <c r="L30" s="22">
        <f>[3]SAS_SA_3T2009!$G$90</f>
        <v>1905.92</v>
      </c>
      <c r="M30" s="43">
        <f>[3]SAS_SA_3T2009!$G$84</f>
        <v>2195.08</v>
      </c>
      <c r="N30" s="21">
        <f>[4]SAS_SA_4T2009!$G$89</f>
        <v>2467.44</v>
      </c>
      <c r="O30" s="22">
        <f>[4]SAS_SA_4T2009!$G$90</f>
        <v>1899.48</v>
      </c>
      <c r="P30" s="23">
        <f>[4]SAS_SA_4T2009!$G$84</f>
        <v>2189.88</v>
      </c>
      <c r="Q30" s="21">
        <f>[5]SAS_SA_1T2010!$G$89</f>
        <v>2469.08</v>
      </c>
      <c r="R30" s="22">
        <f>[5]SAS_SA_1T2010!$G$90</f>
        <v>1896.24</v>
      </c>
      <c r="S30" s="23">
        <f>[5]SAS_SA_1T2010!$G$84</f>
        <v>2188.6799999999998</v>
      </c>
      <c r="T30" s="21">
        <f>[65]SAS_SA_2T2010!$G$89</f>
        <v>2510.2399999999998</v>
      </c>
      <c r="U30" s="22">
        <f>[65]SAS_SA_2T2010!$G$90</f>
        <v>1922.24</v>
      </c>
      <c r="V30" s="23">
        <f>[65]SAS_SA_2T2010!$G$84</f>
        <v>2221.56</v>
      </c>
      <c r="W30" s="21">
        <f>[6]SAS_SA_3T2010!$G$89</f>
        <v>2510.8000000000002</v>
      </c>
      <c r="X30" s="22">
        <f>[6]SAS_SA_3T2010!$G$90</f>
        <v>1921.76</v>
      </c>
      <c r="Y30" s="23">
        <f>[6]SAS_SA_3T2010!$G$84</f>
        <v>2221.04</v>
      </c>
      <c r="Z30" s="21">
        <f>[7]SAS_SA_2010_4T!$G$89</f>
        <v>2491.84</v>
      </c>
      <c r="AA30" s="22">
        <f>[7]SAS_SA_2010_4T!$G$90</f>
        <v>1904.24</v>
      </c>
      <c r="AB30" s="43">
        <f>[7]SAS_SA_2010_4T!$G$84</f>
        <v>2202.2800000000002</v>
      </c>
      <c r="AC30" s="21">
        <f>[8]SAS_SA_2011_1T!$G$84</f>
        <v>2495.36</v>
      </c>
      <c r="AD30" s="22">
        <f>[8]SAS_SA_2011_1T!$G$85</f>
        <v>1901.88</v>
      </c>
      <c r="AE30" s="43">
        <f>[8]SAS_SA_2011_1T!$G$80</f>
        <v>2202.4</v>
      </c>
      <c r="AF30" s="21">
        <f>[9]SAS_SA_2011_2T!$G$84</f>
        <v>2549.3200000000002</v>
      </c>
      <c r="AG30" s="22">
        <f>[9]SAS_SA_2011_2T!$G$85</f>
        <v>1939.68</v>
      </c>
      <c r="AH30" s="43">
        <f>[9]SAS_SA_2011_2T!$G$80</f>
        <v>2247.7199999999998</v>
      </c>
      <c r="AI30" s="21">
        <f>[10]SAS_SA_2011_3T!$G$84</f>
        <v>2548.7600000000002</v>
      </c>
      <c r="AJ30" s="22">
        <f>[10]SAS_SA_2011_3T!$G$85</f>
        <v>1939.4</v>
      </c>
      <c r="AK30" s="43">
        <f>[10]SAS_SA_2011_3T!$G$80</f>
        <v>2247.3200000000002</v>
      </c>
      <c r="AL30" s="21">
        <f>[11]SAS_SA_2011_4T!$G$84</f>
        <v>2543.44</v>
      </c>
      <c r="AM30" s="22">
        <f>[11]SAS_SA_2011_4T!$G$85</f>
        <v>1926.08</v>
      </c>
      <c r="AN30" s="43">
        <f>[11]SAS_SA_2011_4T!$G$80</f>
        <v>2236.2800000000002</v>
      </c>
      <c r="AO30" s="21">
        <f>'[12]120612-17H07S59-PROGRAM-TdB_STO'!$G$84</f>
        <v>2546.1999999999998</v>
      </c>
      <c r="AP30" s="22">
        <f>'[12]120612-17H07S59-PROGRAM-TdB_STO'!$G$85</f>
        <v>1923.96</v>
      </c>
      <c r="AQ30" s="43">
        <f>'[12]120612-17H07S59-PROGRAM-TdB_STO'!$G$80</f>
        <v>2235.92</v>
      </c>
      <c r="AR30" s="21">
        <f>[13]SAS_SA_2012_2T!$G$84</f>
        <v>2605.8000000000002</v>
      </c>
      <c r="AS30" s="22">
        <f>[13]SAS_SA_2012_2T!$G$85</f>
        <v>1962.84</v>
      </c>
      <c r="AT30" s="43">
        <f>[13]SAS_SA_2012_2T!$G$80</f>
        <v>2284.52</v>
      </c>
      <c r="AU30" s="21">
        <f>'[14]121105-09H31S06-PROGRAM-TdB_STO'!$G$84</f>
        <v>2607.44</v>
      </c>
      <c r="AV30" s="22">
        <f>'[14]121105-09H31S06-PROGRAM-TdB_STO'!$G$85</f>
        <v>1959.48</v>
      </c>
      <c r="AW30" s="43">
        <f>'[14]121105-09H31S06-PROGRAM-TdB_STO'!$G$80</f>
        <v>2282.64</v>
      </c>
      <c r="AX30" s="21">
        <f>[15]SAS_SA_2012_4T!$G$84</f>
        <v>2612.16</v>
      </c>
      <c r="AY30" s="22">
        <f>[15]SAS_SA_2012_4T!$G$85</f>
        <v>1957.08</v>
      </c>
      <c r="AZ30" s="43">
        <f>[15]SAS_SA_2012_4T!$G$80</f>
        <v>2282.92</v>
      </c>
      <c r="BA30" s="21">
        <f>[16]SAS_SA_2013_1T!$G$84</f>
        <v>2619.52</v>
      </c>
      <c r="BB30" s="22">
        <f>[16]SAS_SA_2013_1T!$G$85</f>
        <v>1958.16</v>
      </c>
      <c r="BC30" s="43">
        <f>[16]SAS_SA_2013_1T!$G$80</f>
        <v>2286.8000000000002</v>
      </c>
      <c r="BD30" s="21">
        <f>[17]SAS_SA_2013_2T!$G$84</f>
        <v>2658.88</v>
      </c>
      <c r="BE30" s="22">
        <f>[17]SAS_SA_2013_2T!$G$85</f>
        <v>1983</v>
      </c>
      <c r="BF30" s="43">
        <f>[17]SAS_SA_2013_2T!$G$80</f>
        <v>2318.1999999999998</v>
      </c>
      <c r="BG30" s="21">
        <f>[18]SAS_SA_2013_3T!$G$84</f>
        <v>2645.2</v>
      </c>
      <c r="BH30" s="22">
        <f>[18]SAS_SA_2013_3T!$G$85</f>
        <v>1970.36</v>
      </c>
      <c r="BI30" s="43">
        <f>[18]SAS_SA_2013_3T!$G$80</f>
        <v>2304.44</v>
      </c>
      <c r="BJ30" s="21">
        <f>[19]SAS_SA_2013_4T!$G$84</f>
        <v>2637.36</v>
      </c>
      <c r="BK30" s="22">
        <f>[19]SAS_SA_2013_4T!$G$85</f>
        <v>1961.92</v>
      </c>
      <c r="BL30" s="43">
        <f>[19]SAS_SA_2013_4T!$G$80</f>
        <v>2295.64</v>
      </c>
      <c r="BM30" s="21">
        <f>[20]SAS_SA_2014_1T!$G$84</f>
        <v>2635.16</v>
      </c>
      <c r="BN30" s="22">
        <f>[20]SAS_SA_2014_1T!$G$85</f>
        <v>1956.72</v>
      </c>
      <c r="BO30" s="43">
        <f>[20]SAS_SA_2014_1T!$G$80</f>
        <v>2291.56</v>
      </c>
      <c r="BP30" s="21">
        <f>[21]SAS_SA_2014_2T!$G$84</f>
        <v>2635.04</v>
      </c>
      <c r="BQ30" s="22">
        <f>[21]SAS_SA_2014_2T!$G$85</f>
        <v>1955.44</v>
      </c>
      <c r="BR30" s="43">
        <f>[21]SAS_SA_2014_2T!$G$80</f>
        <v>2290.52</v>
      </c>
      <c r="BS30" s="21">
        <f>[22]SAS_SA_2014_3T!$G$84</f>
        <v>2632.6</v>
      </c>
      <c r="BT30" s="22">
        <f>[22]SAS_SA_2014_3T!$G$85</f>
        <v>1952.44</v>
      </c>
      <c r="BU30" s="43">
        <f>[22]SAS_SA_2014_3T!$G$80</f>
        <v>2287.44</v>
      </c>
      <c r="BV30" s="21">
        <f>[23]SAS_SA_2014_4T!$G$84</f>
        <v>2630.3</v>
      </c>
      <c r="BW30" s="22">
        <f>[23]SAS_SA_2014_4T!$G$85</f>
        <v>1947.8</v>
      </c>
      <c r="BX30" s="43">
        <f>[23]SAS_SA_2014_4T!$G$80</f>
        <v>2283.6</v>
      </c>
      <c r="BY30" s="21">
        <f>[24]SAS_SA_2015_1T!$G$84</f>
        <v>2629.1</v>
      </c>
      <c r="BZ30" s="22">
        <f>[24]SAS_SA_2015_1T!$G$85</f>
        <v>1944.3</v>
      </c>
      <c r="CA30" s="43">
        <f>[24]SAS_SA_2015_1T!$G$80</f>
        <v>2281</v>
      </c>
      <c r="CB30" s="21">
        <f>[25]SAS_SA_2015_2T!$G$84</f>
        <v>2625.7</v>
      </c>
      <c r="CC30" s="22">
        <f>[25]SAS_SA_2015_2T!$G$85</f>
        <v>1939.4</v>
      </c>
      <c r="CD30" s="43">
        <f>[25]SAS_SA_2015_2T!$G$80</f>
        <v>2276.4</v>
      </c>
      <c r="CE30" s="21">
        <f>[26]SAS_SA_2015_3T!$G$84</f>
        <v>2624.3</v>
      </c>
      <c r="CF30" s="22">
        <f>[26]SAS_SA_2015_3T!$G$85</f>
        <v>1936.5</v>
      </c>
      <c r="CG30" s="43">
        <f>[26]SAS_SA_2015_3T!$G$80</f>
        <v>2273.6999999999998</v>
      </c>
      <c r="CH30" s="21">
        <f>[27]SAS_SA_2015_4T!$G$84</f>
        <v>2622.76</v>
      </c>
      <c r="CI30" s="22">
        <f>[27]SAS_SA_2015_4T!$G$85</f>
        <v>1932.64</v>
      </c>
      <c r="CJ30" s="43">
        <f>[27]SAS_SA_2015_4T!$G$80</f>
        <v>2270.44</v>
      </c>
      <c r="CK30" s="21">
        <f>[28]SAS_SA_2016_1T!$G$84</f>
        <v>2620.3200000000002</v>
      </c>
      <c r="CL30" s="22">
        <f>[28]SAS_SA_2016_1T!$G$85</f>
        <v>1928.24</v>
      </c>
      <c r="CM30" s="43">
        <f>[28]SAS_SA_2016_1T!$G$80</f>
        <v>2266.64</v>
      </c>
      <c r="CN30" s="21">
        <f>'[29]160822-11H12S04-PROGRAM-TdB_STO'!$G$84</f>
        <v>2617.56</v>
      </c>
      <c r="CO30" s="22">
        <f>'[29]160822-11H12S04-PROGRAM-TdB_STO'!$G$85</f>
        <v>1923.32</v>
      </c>
      <c r="CP30" s="43">
        <f>'[29]160822-11H12S04-PROGRAM-TdB_STO'!$G$80</f>
        <v>2262.4</v>
      </c>
      <c r="CQ30" s="144">
        <f>[30]SAS_SA_2016_3T!$G$84</f>
        <v>2617.16</v>
      </c>
      <c r="CR30" s="145">
        <f>[30]SAS_SA_2016_3T!$G$85</f>
        <v>1920</v>
      </c>
      <c r="CS30" s="146">
        <f>[30]SAS_SA_2016_3T!$G$80</f>
        <v>2260.08</v>
      </c>
      <c r="CT30" s="144">
        <f>[31]SAS_SA_2016_4T!$G$84</f>
        <v>2615.1999999999998</v>
      </c>
      <c r="CU30" s="145">
        <f>[31]SAS_SA_2016_4T!$G$85</f>
        <v>1915.56</v>
      </c>
      <c r="CV30" s="146">
        <f>[31]SAS_SA_2016_4T!$G$80</f>
        <v>2256.44</v>
      </c>
      <c r="CW30" s="144">
        <f>[32]SAS_SA_2017_1T!$G$84</f>
        <v>2612.9720000000002</v>
      </c>
      <c r="CX30" s="145">
        <f>[32]SAS_SA_2017_1T!$G$85</f>
        <v>1912.14</v>
      </c>
      <c r="CY30" s="146">
        <f>[32]SAS_SA_2017_1T!$G$80</f>
        <v>2253.36</v>
      </c>
      <c r="CZ30" s="144">
        <f>[33]SAS_SA_2017_2T!$G$84</f>
        <v>2611.288</v>
      </c>
      <c r="DA30" s="145">
        <f>[33]SAS_SA_2017_2T!$G$85</f>
        <v>1909.7919999999999</v>
      </c>
      <c r="DB30" s="146">
        <f>[33]SAS_SA_2017_2T!$G$80</f>
        <v>2251.1840000000002</v>
      </c>
      <c r="DC30" s="144">
        <f>[34]SAS_SA_2017_3T!$G$84</f>
        <v>2627.1039999999998</v>
      </c>
      <c r="DD30" s="145">
        <f>[34]SAS_SA_2017_3T!$G$85</f>
        <v>1916.1679999999999</v>
      </c>
      <c r="DE30" s="146">
        <f>[34]SAS_SA_2017_3T!$G$80</f>
        <v>2261.7840000000001</v>
      </c>
      <c r="DF30" s="144">
        <f>[35]SAS_SA_2017_4T!$G$84</f>
        <v>2664.46</v>
      </c>
      <c r="DG30" s="145">
        <f>[35]SAS_SA_2017_4T!$G$85</f>
        <v>1936.94</v>
      </c>
      <c r="DH30" s="146">
        <f>[35]SAS_SA_2017_4T!$G$80</f>
        <v>2290.0839999999998</v>
      </c>
      <c r="DI30" s="144">
        <f>[36]SAS_SA_2018_1T!$F$84*4</f>
        <v>2688.8679999999999</v>
      </c>
      <c r="DJ30" s="145">
        <f>[36]SAS_SA_2018_1T!$F$85*4</f>
        <v>1949.5360000000001</v>
      </c>
      <c r="DK30" s="146">
        <f>[36]SAS_SA_2018_1T!$F$80*4</f>
        <v>2308.08</v>
      </c>
      <c r="DL30" s="144">
        <f>[37]SAS_SA_2018_2T!$F$84*4</f>
        <v>2713.3</v>
      </c>
      <c r="DM30" s="145">
        <f>[37]SAS_SA_2018_2T!$F$85*4</f>
        <v>1959.444</v>
      </c>
      <c r="DN30" s="146">
        <f>[37]SAS_SA_2018_2T!$F$80*4</f>
        <v>2324.5639999999999</v>
      </c>
      <c r="DO30" s="144">
        <f>[38]SAS_SA_2018_3T!$F$84*4</f>
        <v>2735.3760000000002</v>
      </c>
      <c r="DP30" s="145">
        <f>[38]SAS_SA_2018_3T!$F$85*4</f>
        <v>1970.152</v>
      </c>
      <c r="DQ30" s="146">
        <f>[38]SAS_SA_2018_3T!$F$80*4</f>
        <v>2340.12</v>
      </c>
      <c r="DR30" s="144">
        <f>4*'[39]190227-14H32S38-PROGRAM-TdB_STO'!$F$84</f>
        <v>2759.248</v>
      </c>
      <c r="DS30" s="145">
        <f>4*'[39]190227-14H32S38-PROGRAM-TdB_STO'!$F$85</f>
        <v>1980.684</v>
      </c>
      <c r="DT30" s="146">
        <f>4*'[39]190227-14H32S38-PROGRAM-TdB_STO'!$F$80</f>
        <v>2356.5639999999999</v>
      </c>
      <c r="DU30" s="211">
        <f>4*[40]SAS_SA_2019_1T!$F$84</f>
        <v>2800.94</v>
      </c>
      <c r="DV30" s="212">
        <f>4*[40]SAS_SA_2019_1T!$F$85</f>
        <v>2000.972</v>
      </c>
      <c r="DW30" s="213">
        <f>4*[40]SAS_SA_2019_1T!$F$80</f>
        <v>2386.5479999999998</v>
      </c>
      <c r="DX30" s="211">
        <f>4*[41]SAS_SA_2019_2T!$F$84</f>
        <v>2825.8560000000002</v>
      </c>
      <c r="DY30" s="212">
        <f>4*[41]SAS_SA_2019_2T!$F$85</f>
        <v>2015.94</v>
      </c>
      <c r="DZ30" s="213">
        <f>4*[41]SAS_SA_2019_2T!$F$80</f>
        <v>2405.828</v>
      </c>
      <c r="EA30" s="211">
        <f>4*[42]SAS_SA_2019_3T!$F$84</f>
        <v>2857.9920000000002</v>
      </c>
      <c r="EB30" s="212">
        <f>4*[42]SAS_SA_2019_3T!$F$85</f>
        <v>2034.268</v>
      </c>
      <c r="EC30" s="213">
        <f>4*[42]SAS_SA_2019_3T!$F$80</f>
        <v>2430.1239999999998</v>
      </c>
      <c r="ED30" s="211">
        <f>4*[43]SAS_SA_2019_4T!$F$84</f>
        <v>2875.9839999999999</v>
      </c>
      <c r="EE30" s="212">
        <f>4*[43]SAS_SA_2019_4T!$F$85</f>
        <v>2041.7919999999999</v>
      </c>
      <c r="EF30" s="213">
        <f>4*[43]SAS_SA_2019_4T!$F$80</f>
        <v>2441.864</v>
      </c>
      <c r="EG30" s="211">
        <f>4*[44]SAS_SA_2020_1T!$F$81</f>
        <v>2930.8960000000002</v>
      </c>
      <c r="EH30" s="212">
        <f>4*[44]SAS_SA_2020_1T!$F$82</f>
        <v>2075.848</v>
      </c>
      <c r="EI30" s="213">
        <f>4*[44]SAS_SA_2020_1T!$F$77</f>
        <v>2485.4360000000001</v>
      </c>
      <c r="EJ30" s="211">
        <f>4*[45]SAS_SA_2020_2T!$F$81</f>
        <v>2958.788</v>
      </c>
      <c r="EK30" s="212">
        <f>4*[45]SAS_SA_2020_2T!$F$82</f>
        <v>2090.2919999999999</v>
      </c>
      <c r="EL30" s="213">
        <f>4*[45]SAS_SA_2020_2T!$F$77</f>
        <v>2505.636</v>
      </c>
      <c r="EM30" s="211">
        <f>4*[46]SAS_SA_2020_3T!$F$81</f>
        <v>2991.7759999999998</v>
      </c>
      <c r="EN30" s="212">
        <f>4*[46]SAS_SA_2020_3T!$F$82</f>
        <v>2109.5120000000002</v>
      </c>
      <c r="EO30" s="213">
        <f>4*[46]SAS_SA_2020_3T!$F$77</f>
        <v>2530.904</v>
      </c>
      <c r="EP30" s="208">
        <f>4*[47]SAS_SA_2020_4T!$F$81</f>
        <v>3025.5720000000001</v>
      </c>
      <c r="EQ30" s="212">
        <f>4*[47]SAS_SA_2020_4T!$F$82</f>
        <v>2125.9119999999998</v>
      </c>
      <c r="ER30" s="213">
        <f>4*[47]SAS_SA_2020_4T!$F$77</f>
        <v>2554.7600000000002</v>
      </c>
      <c r="ES30" s="208">
        <f>4*[48]SAS_SA_2021_1T!$F$81</f>
        <v>3072.36</v>
      </c>
      <c r="ET30" s="212">
        <f>4*[48]SAS_SA_2021_1T!$F$82</f>
        <v>2155.16</v>
      </c>
      <c r="EU30" s="213">
        <f>4*[48]SAS_SA_2021_1T!$F$77</f>
        <v>2591.64</v>
      </c>
      <c r="EV30" s="208">
        <f>4*[49]SAS_SA_2021_2T!$F$81</f>
        <v>3103.4</v>
      </c>
      <c r="EW30" s="212">
        <f>4*[49]SAS_SA_2021_2T!$F$82</f>
        <v>2171.92</v>
      </c>
      <c r="EX30" s="213">
        <f>[49]SAS_SA_2021_2T!$G$77</f>
        <v>2614.2959999999998</v>
      </c>
      <c r="EY30" s="208">
        <f>4*[50]SAS_SA_2021_3T!$F$81</f>
        <v>3137.248</v>
      </c>
      <c r="EZ30" s="212">
        <f>4*[50]SAS_SA_2021_3T!$F$82</f>
        <v>2190.192</v>
      </c>
      <c r="FA30" s="213">
        <f>[50]SAS_SA_2021_3T!$G$77</f>
        <v>2639.0680000000002</v>
      </c>
      <c r="FB30" s="367">
        <f>4*[66]SAS_SA_2021_4T!$F$59</f>
        <v>3165.45589498154</v>
      </c>
      <c r="FC30" s="370">
        <f>4*[66]SAS_SA_2021_4T!$F$60</f>
        <v>2205.1913037565359</v>
      </c>
      <c r="FD30" s="369">
        <f>4*[66]SAS_SA_2021_4T!$F$55</f>
        <v>2659.7030112156322</v>
      </c>
      <c r="FE30" s="208">
        <f>4*[52]SAS_SA_2022_1T!$F$59</f>
        <v>3240.3042473734922</v>
      </c>
      <c r="FF30" s="212">
        <f>4*[52]SAS_SA_2022_1T!$F$60</f>
        <v>2252.0846671263962</v>
      </c>
      <c r="FG30" s="210">
        <f>4*[52]SAS_SA_2022_1T!$F$55</f>
        <v>2719.3232546194122</v>
      </c>
      <c r="FH30" s="208">
        <f>4*[53]SAS_SA_2022_2T!$F$59</f>
        <v>3273.1175685449361</v>
      </c>
      <c r="FI30" s="212">
        <f>4*[53]SAS_SA_2022_2T!$F$60</f>
        <v>2269.209342153008</v>
      </c>
      <c r="FJ30" s="210">
        <f>4*[53]SAS_SA_2022_2T!$F$55</f>
        <v>2743.29903571762</v>
      </c>
      <c r="FK30" s="208">
        <f>4*[54]SAS_SA_2022_3T!$F$59</f>
        <v>3439.040561332572</v>
      </c>
      <c r="FL30" s="212">
        <f>4*[54]SAS_SA_2022_3T!$F$60</f>
        <v>2378.8698272908482</v>
      </c>
      <c r="FM30" s="210">
        <f>4*[54]SAS_SA_2022_3T!$F$55</f>
        <v>2878.9535445207639</v>
      </c>
      <c r="FN30" s="141">
        <f>4*[55]SAS_SA_2022_4T!$F$59</f>
        <v>3470.5534689360802</v>
      </c>
      <c r="FO30" s="145">
        <f>4*[55]SAS_SA_2022_4T!$F$60</f>
        <v>2397.6695969657799</v>
      </c>
      <c r="FP30" s="143">
        <f>4*[55]SAS_SA_2022_4T!$F$55</f>
        <v>2903.45293354876</v>
      </c>
      <c r="FQ30" s="141">
        <f>4*[56]SAS_SA_2023_1T!$F$59</f>
        <v>3543.9532717143079</v>
      </c>
      <c r="FR30" s="145">
        <f>4*[56]SAS_SA_2023_1T!$F$60</f>
        <v>2445.196574037936</v>
      </c>
      <c r="FS30" s="143">
        <f>4*[56]SAS_SA_2023_1T!$F$55</f>
        <v>2962.5019927594039</v>
      </c>
      <c r="FT30" s="141">
        <f>4*[57]SAS_SA_2023_2T!$F$59</f>
        <v>3581.5378738378399</v>
      </c>
      <c r="FU30" s="145">
        <f>4*[57]SAS_SA_2023_2T!$F$60</f>
        <v>2466.6045751414158</v>
      </c>
      <c r="FV30" s="143">
        <f>4*[57]SAS_SA_2023_2T!$F$55</f>
        <v>2990.9572501881639</v>
      </c>
      <c r="FW30" s="141">
        <f>4*[58]SAS_SA_2023_3T!$F$59</f>
        <v>3620.917196458372</v>
      </c>
      <c r="FX30" s="145">
        <f>4*[58]SAS_SA_2023_3T!$F$60</f>
        <v>2491.1588020883801</v>
      </c>
      <c r="FY30" s="143">
        <f>4*[58]SAS_SA_2023_3T!$F$55</f>
        <v>3021.8255019759958</v>
      </c>
      <c r="FZ30" s="141">
        <f>4*[59]SAS_SA_2023_4T!$F$59</f>
        <v>3650.1566185249321</v>
      </c>
      <c r="GA30" s="145">
        <f>4*[59]SAS_SA_2023_4T!$F$60</f>
        <v>2505.5939554174038</v>
      </c>
      <c r="GB30" s="143">
        <f>4*[59]SAS_SA_2023_4T!$F$55</f>
        <v>3042.5319232992401</v>
      </c>
      <c r="GC30" s="141">
        <f>4*[60]SAS_SA_2024_1T!$F$59</f>
        <v>3887.2632287656361</v>
      </c>
      <c r="GD30" s="145">
        <f>4*[60]SAS_SA_2024_1T!$F$60</f>
        <v>2665.2710342302439</v>
      </c>
      <c r="GE30" s="143">
        <f>4*[60]SAS_SA_2024_1T!$F$55</f>
        <v>3237.9563152725041</v>
      </c>
      <c r="GF30" s="141">
        <f>4*[61]SAS_SA_2024_2T!$F$59</f>
        <v>3921.8248290414322</v>
      </c>
      <c r="GG30" s="145">
        <f>4*[61]SAS_SA_2024_2T!$F$60</f>
        <v>2683.4166892170479</v>
      </c>
      <c r="GH30" s="143">
        <f>4*[61]SAS_SA_2024_2T!$F$55</f>
        <v>3263.2068842940121</v>
      </c>
      <c r="GI30" s="141">
        <f>4*[62]SAS_SA_2024_3T!$F$59</f>
        <v>3958.8877229800642</v>
      </c>
      <c r="GJ30" s="145">
        <f>4*[62]SAS_SA_2024_3T!$F$60</f>
        <v>2704.6553408916602</v>
      </c>
      <c r="GK30" s="143">
        <f>4*[62]SAS_SA_2024_3T!$F$55</f>
        <v>3291.3202756053679</v>
      </c>
      <c r="GL30" s="141">
        <f>4*[63]SAS_SA_2024_4T!$F$59</f>
        <v>4024.4673438401201</v>
      </c>
      <c r="GM30" s="145">
        <f>4*[63]SAS_SA_2024_4T!$F$60</f>
        <v>2741.5986068111438</v>
      </c>
      <c r="GN30" s="143">
        <f>4*[63]SAS_SA_2024_4T!$F$55</f>
        <v>3340.9234250334039</v>
      </c>
    </row>
    <row r="31" spans="1:196" x14ac:dyDescent="0.25">
      <c r="A31" s="14"/>
      <c r="B31" s="24"/>
      <c r="C31" s="24"/>
      <c r="D31" s="24"/>
      <c r="AD31" s="68">
        <f>AC30-AD30</f>
        <v>593.48</v>
      </c>
      <c r="AR31" s="4"/>
      <c r="AS31" s="4"/>
      <c r="AT31" s="4"/>
      <c r="AU31" s="76"/>
      <c r="AV31" s="76"/>
      <c r="AW31" s="76"/>
      <c r="BG31" s="4"/>
      <c r="BH31" s="4"/>
      <c r="BI31" s="4"/>
      <c r="BJ31" s="4"/>
      <c r="BK31" s="4"/>
      <c r="BL31" s="4"/>
      <c r="DB31" s="178">
        <f>DB30/12</f>
        <v>187.59866666666667</v>
      </c>
      <c r="DC31" s="178"/>
      <c r="DD31" s="178"/>
      <c r="DE31" s="178">
        <f>DE30/12</f>
        <v>188.482</v>
      </c>
      <c r="DF31" s="178"/>
      <c r="DG31" s="178"/>
      <c r="DH31" s="178">
        <f>DH30/12</f>
        <v>190.84033333333332</v>
      </c>
      <c r="DI31" s="178"/>
      <c r="DJ31" s="178"/>
      <c r="DK31" s="178">
        <f>DK30/12</f>
        <v>192.34</v>
      </c>
      <c r="DL31" s="178"/>
      <c r="DM31" s="178"/>
      <c r="DN31" s="178">
        <f>DN30/12</f>
        <v>193.71366666666665</v>
      </c>
      <c r="FN31" s="198"/>
      <c r="FO31" s="198"/>
      <c r="FP31" s="198"/>
      <c r="FQ31" s="198"/>
      <c r="FR31" s="198"/>
      <c r="FS31" s="198"/>
      <c r="FT31" s="198"/>
      <c r="FU31" s="198"/>
      <c r="FV31" s="198"/>
      <c r="FW31" s="198"/>
      <c r="FX31" s="198"/>
      <c r="FY31" s="198"/>
      <c r="FZ31" s="198"/>
      <c r="GA31" s="198"/>
      <c r="GB31" s="198"/>
      <c r="GC31" s="198"/>
      <c r="GD31" s="198"/>
      <c r="GE31" s="198"/>
      <c r="GF31" s="198"/>
      <c r="GG31" s="198"/>
      <c r="GH31" s="198"/>
      <c r="GI31" s="198"/>
      <c r="GJ31" s="198"/>
      <c r="GK31" s="198"/>
      <c r="GL31" s="198"/>
      <c r="GM31" s="198"/>
      <c r="GN31" s="198"/>
    </row>
    <row r="32" spans="1:196" ht="12" thickBot="1" x14ac:dyDescent="0.3">
      <c r="A32" s="186" t="s">
        <v>155</v>
      </c>
      <c r="B32" s="3"/>
      <c r="C32" s="3"/>
      <c r="D32" s="3"/>
      <c r="AR32" s="4"/>
      <c r="AS32" s="4"/>
      <c r="AT32" s="4"/>
      <c r="AU32" s="76"/>
      <c r="AV32" s="76"/>
      <c r="AW32" s="76"/>
      <c r="BG32" s="4"/>
      <c r="BH32" s="4"/>
      <c r="BI32" s="4"/>
      <c r="BJ32" s="4"/>
      <c r="BK32" s="4"/>
      <c r="BL32" s="4"/>
      <c r="DC32" s="126"/>
      <c r="DD32" s="126"/>
      <c r="DE32" s="126"/>
      <c r="DF32" s="126"/>
      <c r="DG32" s="126"/>
      <c r="DH32" s="126"/>
      <c r="DI32" s="126"/>
      <c r="DJ32" s="126"/>
      <c r="FN32" s="198"/>
      <c r="FO32" s="198"/>
      <c r="FP32" s="126"/>
      <c r="FQ32" s="198"/>
      <c r="FR32" s="198"/>
      <c r="FS32" s="126"/>
      <c r="FT32" s="198"/>
      <c r="FU32" s="198"/>
      <c r="FV32" s="126"/>
      <c r="FW32" s="198"/>
      <c r="FX32" s="198"/>
      <c r="FY32" s="126"/>
      <c r="FZ32" s="198"/>
      <c r="GA32" s="198"/>
      <c r="GB32" s="126"/>
      <c r="GC32" s="198"/>
      <c r="GD32" s="198"/>
      <c r="GE32" s="126"/>
      <c r="GF32" s="198"/>
      <c r="GG32" s="198"/>
      <c r="GH32" s="126"/>
      <c r="GI32" s="198"/>
      <c r="GJ32" s="198"/>
      <c r="GK32" s="126"/>
      <c r="GL32" s="198"/>
      <c r="GM32" s="198"/>
      <c r="GN32" s="126"/>
    </row>
    <row r="33" spans="1:196" s="185" customFormat="1" ht="24" customHeight="1" x14ac:dyDescent="0.25">
      <c r="A33" s="184"/>
      <c r="B33" s="444" t="str">
        <f>B5</f>
        <v>Situation au 31/12/2008</v>
      </c>
      <c r="C33" s="445"/>
      <c r="D33" s="446"/>
      <c r="E33" s="444" t="str">
        <f>E5</f>
        <v>Situation au 31/03/2009</v>
      </c>
      <c r="F33" s="445"/>
      <c r="G33" s="446"/>
      <c r="H33" s="444" t="str">
        <f>H5</f>
        <v>Situation au 30/06/2009</v>
      </c>
      <c r="I33" s="445"/>
      <c r="J33" s="446"/>
      <c r="K33" s="444" t="str">
        <f>K5</f>
        <v>Situation au 30/09/2009</v>
      </c>
      <c r="L33" s="445"/>
      <c r="M33" s="446"/>
      <c r="N33" s="444" t="str">
        <f>N5</f>
        <v>Situation au 31/12/2009</v>
      </c>
      <c r="O33" s="445"/>
      <c r="P33" s="445"/>
      <c r="Q33" s="444" t="str">
        <f>Q5</f>
        <v>Situation au 31/03/2010</v>
      </c>
      <c r="R33" s="445"/>
      <c r="S33" s="446"/>
      <c r="T33" s="444" t="str">
        <f>T5</f>
        <v>Situation au 30/06/2010</v>
      </c>
      <c r="U33" s="445"/>
      <c r="V33" s="446"/>
      <c r="W33" s="444" t="str">
        <f>W5</f>
        <v>Situation au 31/09/2010</v>
      </c>
      <c r="X33" s="445"/>
      <c r="Y33" s="446"/>
      <c r="Z33" s="444" t="str">
        <f>Z5</f>
        <v>Situation au 31/12/2010</v>
      </c>
      <c r="AA33" s="445"/>
      <c r="AB33" s="446"/>
      <c r="AC33" s="444" t="str">
        <f>AC5</f>
        <v>Situation au 31/03/2011</v>
      </c>
      <c r="AD33" s="445"/>
      <c r="AE33" s="446"/>
      <c r="AF33" s="444" t="str">
        <f>AF5</f>
        <v>Situation au 30/06/2011</v>
      </c>
      <c r="AG33" s="445"/>
      <c r="AH33" s="446"/>
      <c r="AI33" s="444" t="str">
        <f>AI5</f>
        <v>Situation au 30/09/2011</v>
      </c>
      <c r="AJ33" s="445"/>
      <c r="AK33" s="446"/>
      <c r="AL33" s="444" t="str">
        <f>AL5</f>
        <v>Situation au 31/12/2011</v>
      </c>
      <c r="AM33" s="445"/>
      <c r="AN33" s="446"/>
      <c r="AO33" s="444" t="str">
        <f>AO5</f>
        <v>Situation au 31/03/2012</v>
      </c>
      <c r="AP33" s="445"/>
      <c r="AQ33" s="446"/>
      <c r="AR33" s="444" t="str">
        <f>AR5</f>
        <v>Situation au 30/06/2012</v>
      </c>
      <c r="AS33" s="445"/>
      <c r="AT33" s="446"/>
      <c r="AU33" s="444" t="str">
        <f>AU5</f>
        <v>Situation au 30/09/2012</v>
      </c>
      <c r="AV33" s="445"/>
      <c r="AW33" s="446"/>
      <c r="AX33" s="444" t="str">
        <f>AX5</f>
        <v>Situation au 31/12/2012</v>
      </c>
      <c r="AY33" s="445"/>
      <c r="AZ33" s="446"/>
      <c r="BA33" s="444" t="str">
        <f>BA5</f>
        <v>Situation au 31/03/2013</v>
      </c>
      <c r="BB33" s="445"/>
      <c r="BC33" s="446"/>
      <c r="BD33" s="444" t="str">
        <f>BD5</f>
        <v>Situation au 31/06/2013</v>
      </c>
      <c r="BE33" s="445"/>
      <c r="BF33" s="446"/>
      <c r="BG33" s="444" t="str">
        <f>BG5</f>
        <v>Situation au 31/09/2013</v>
      </c>
      <c r="BH33" s="445"/>
      <c r="BI33" s="446"/>
      <c r="BJ33" s="444" t="str">
        <f>BJ5</f>
        <v>Situation au 31/12/2013</v>
      </c>
      <c r="BK33" s="445"/>
      <c r="BL33" s="446"/>
      <c r="BM33" s="444" t="str">
        <f>BM5</f>
        <v>Situation au 31/03/2014</v>
      </c>
      <c r="BN33" s="445"/>
      <c r="BO33" s="446"/>
      <c r="BP33" s="444" t="str">
        <f>BP5</f>
        <v>Situation au 30/06/2014</v>
      </c>
      <c r="BQ33" s="445"/>
      <c r="BR33" s="446"/>
      <c r="BS33" s="444" t="str">
        <f>BS5</f>
        <v>Situation au 30/09/2014</v>
      </c>
      <c r="BT33" s="445"/>
      <c r="BU33" s="446"/>
      <c r="BV33" s="444" t="str">
        <f>BV5</f>
        <v>Situation au 31/12/2014</v>
      </c>
      <c r="BW33" s="445"/>
      <c r="BX33" s="446"/>
      <c r="BY33" s="444" t="str">
        <f>BY5</f>
        <v>Situation au 31/03/2015</v>
      </c>
      <c r="BZ33" s="445"/>
      <c r="CA33" s="446"/>
      <c r="CB33" s="444" t="str">
        <f>CE5</f>
        <v>Situation au 30/09/2015</v>
      </c>
      <c r="CC33" s="445"/>
      <c r="CD33" s="446"/>
      <c r="CE33" s="444" t="str">
        <f>CE5</f>
        <v>Situation au 30/09/2015</v>
      </c>
      <c r="CF33" s="445"/>
      <c r="CG33" s="446"/>
      <c r="CH33" s="444" t="str">
        <f>CH5</f>
        <v>Situation au 31/12/2015</v>
      </c>
      <c r="CI33" s="445"/>
      <c r="CJ33" s="446"/>
      <c r="CK33" s="444" t="str">
        <f>CK5</f>
        <v>Situation au 31/03/2016</v>
      </c>
      <c r="CL33" s="445"/>
      <c r="CM33" s="446"/>
      <c r="CN33" s="444" t="str">
        <f>CN5</f>
        <v>Situation au 30/06/2016</v>
      </c>
      <c r="CO33" s="445"/>
      <c r="CP33" s="446"/>
      <c r="CQ33" s="433" t="str">
        <f>CQ5</f>
        <v>Situation au 30/09/2016</v>
      </c>
      <c r="CR33" s="434"/>
      <c r="CS33" s="435"/>
      <c r="CT33" s="433" t="str">
        <f>CT5</f>
        <v>Situation au 31/12/2016</v>
      </c>
      <c r="CU33" s="434"/>
      <c r="CV33" s="435"/>
      <c r="CW33" s="433" t="str">
        <f>CW5</f>
        <v>Situation au 31/03/2017</v>
      </c>
      <c r="CX33" s="434"/>
      <c r="CY33" s="435"/>
      <c r="CZ33" s="433" t="str">
        <f>CZ5</f>
        <v>Situation au 30/06/2017</v>
      </c>
      <c r="DA33" s="434"/>
      <c r="DB33" s="435"/>
      <c r="DC33" s="433" t="str">
        <f>DC5</f>
        <v>Situation au 30/09/2017</v>
      </c>
      <c r="DD33" s="434"/>
      <c r="DE33" s="435"/>
      <c r="DF33" s="433" t="str">
        <f>DF5</f>
        <v>Situation au 31/12/2017</v>
      </c>
      <c r="DG33" s="434"/>
      <c r="DH33" s="435"/>
      <c r="DI33" s="433" t="str">
        <f>DI5</f>
        <v>Situation au 31/03/2018</v>
      </c>
      <c r="DJ33" s="434"/>
      <c r="DK33" s="435"/>
      <c r="DL33" s="433" t="str">
        <f>DL5</f>
        <v>Situation au 30/06/2018</v>
      </c>
      <c r="DM33" s="434"/>
      <c r="DN33" s="435"/>
      <c r="DO33" s="433" t="s">
        <v>273</v>
      </c>
      <c r="DP33" s="434"/>
      <c r="DQ33" s="435"/>
      <c r="DR33" s="433" t="s">
        <v>276</v>
      </c>
      <c r="DS33" s="434"/>
      <c r="DT33" s="435"/>
      <c r="DU33" s="441" t="str">
        <f>DU5</f>
        <v>Situation au 31/03/2019</v>
      </c>
      <c r="DV33" s="442"/>
      <c r="DW33" s="443"/>
      <c r="DX33" s="441" t="str">
        <f>DX5</f>
        <v>Situation au 30/06/2019</v>
      </c>
      <c r="DY33" s="442"/>
      <c r="DZ33" s="443"/>
      <c r="EA33" s="441" t="str">
        <f>EA5</f>
        <v>Situation au 30/09/2019</v>
      </c>
      <c r="EB33" s="442"/>
      <c r="EC33" s="443"/>
      <c r="ED33" s="441" t="str">
        <f>ED5</f>
        <v>Situation au 31/12/2019</v>
      </c>
      <c r="EE33" s="442"/>
      <c r="EF33" s="443"/>
      <c r="EG33" s="441" t="str">
        <f>EG5</f>
        <v>Situation au 31/03/2020</v>
      </c>
      <c r="EH33" s="442"/>
      <c r="EI33" s="443"/>
      <c r="EJ33" s="441" t="str">
        <f>EJ5</f>
        <v>Situation au 30/06/2020</v>
      </c>
      <c r="EK33" s="442"/>
      <c r="EL33" s="443"/>
      <c r="EM33" s="441" t="str">
        <f>EM5</f>
        <v>Situation au 30/09/2020</v>
      </c>
      <c r="EN33" s="442"/>
      <c r="EO33" s="443"/>
      <c r="EP33" s="441" t="str">
        <f>EP5</f>
        <v>Situation au 31/12/2020</v>
      </c>
      <c r="EQ33" s="442"/>
      <c r="ER33" s="443"/>
      <c r="ES33" s="441" t="str">
        <f>ES5</f>
        <v>Situation au 31/03/2021</v>
      </c>
      <c r="ET33" s="442"/>
      <c r="EU33" s="443"/>
      <c r="EV33" s="441" t="str">
        <f>EV5</f>
        <v>Situation au 30/06/2021</v>
      </c>
      <c r="EW33" s="442"/>
      <c r="EX33" s="443"/>
      <c r="EY33" s="441" t="str">
        <f>EY5</f>
        <v>Situation au 30/09/2021</v>
      </c>
      <c r="EZ33" s="442"/>
      <c r="FA33" s="443"/>
      <c r="FB33" s="433" t="str">
        <f>FB5</f>
        <v>Situation au 31/12/2021</v>
      </c>
      <c r="FC33" s="434"/>
      <c r="FD33" s="435"/>
      <c r="FE33" s="433" t="str">
        <f>FE5</f>
        <v>Situation au 31/03/2022</v>
      </c>
      <c r="FF33" s="434"/>
      <c r="FG33" s="435"/>
      <c r="FH33" s="433" t="str">
        <f>FH5</f>
        <v>Situation au 30/06/2022</v>
      </c>
      <c r="FI33" s="434"/>
      <c r="FJ33" s="435"/>
      <c r="FK33" s="433" t="str">
        <f>FK5</f>
        <v>Situation au 30/09/2022</v>
      </c>
      <c r="FL33" s="434"/>
      <c r="FM33" s="435"/>
      <c r="FN33" s="433" t="str">
        <f>FN5</f>
        <v>Situation au 31/12/2022</v>
      </c>
      <c r="FO33" s="434"/>
      <c r="FP33" s="435"/>
      <c r="FQ33" s="433" t="str">
        <f>FQ5</f>
        <v>Situation au 31/03/2023</v>
      </c>
      <c r="FR33" s="434"/>
      <c r="FS33" s="435"/>
      <c r="FT33" s="433" t="str">
        <f>FT5</f>
        <v>Situation au 30/06/2023</v>
      </c>
      <c r="FU33" s="434"/>
      <c r="FV33" s="435"/>
      <c r="FW33" s="433" t="str">
        <f>FW5</f>
        <v>Situation au 30/09/2023</v>
      </c>
      <c r="FX33" s="434"/>
      <c r="FY33" s="435"/>
      <c r="FZ33" s="433" t="str">
        <f>FZ5</f>
        <v>Situation au 31/12/2023</v>
      </c>
      <c r="GA33" s="434"/>
      <c r="GB33" s="435"/>
      <c r="GC33" s="433" t="str">
        <f>GC5</f>
        <v>Situation au 31/03/2024</v>
      </c>
      <c r="GD33" s="434"/>
      <c r="GE33" s="435"/>
      <c r="GF33" s="433" t="str">
        <f>GF5</f>
        <v>Situation au 30/06/2024</v>
      </c>
      <c r="GG33" s="434"/>
      <c r="GH33" s="435"/>
      <c r="GI33" s="433" t="str">
        <f>GI5</f>
        <v>Situation au 30/09/2024</v>
      </c>
      <c r="GJ33" s="434"/>
      <c r="GK33" s="435"/>
      <c r="GL33" s="433" t="str">
        <f>GL5</f>
        <v>Situation au 31/12/2024</v>
      </c>
      <c r="GM33" s="434"/>
      <c r="GN33" s="435"/>
    </row>
    <row r="34" spans="1:196" ht="12" thickBot="1" x14ac:dyDescent="0.3">
      <c r="A34" s="3"/>
      <c r="B34" s="34" t="str">
        <f>B6</f>
        <v>Hommes</v>
      </c>
      <c r="C34" s="35" t="str">
        <f>C6</f>
        <v>Femmes</v>
      </c>
      <c r="D34" s="36" t="str">
        <f>D6</f>
        <v>Ensemble</v>
      </c>
      <c r="E34" s="34" t="str">
        <f>E6</f>
        <v>Hommes</v>
      </c>
      <c r="F34" s="35" t="str">
        <f t="shared" ref="F34:P34" si="55">F6</f>
        <v>Femmes</v>
      </c>
      <c r="G34" s="36" t="str">
        <f t="shared" si="55"/>
        <v>Ensemble</v>
      </c>
      <c r="H34" s="34" t="str">
        <f t="shared" si="55"/>
        <v>Hommes</v>
      </c>
      <c r="I34" s="35" t="str">
        <f t="shared" si="55"/>
        <v>Femmes</v>
      </c>
      <c r="J34" s="36" t="str">
        <f t="shared" si="55"/>
        <v>Ensemble</v>
      </c>
      <c r="K34" s="34" t="str">
        <f t="shared" si="55"/>
        <v>Hommes</v>
      </c>
      <c r="L34" s="35" t="str">
        <f t="shared" si="55"/>
        <v>Femmes</v>
      </c>
      <c r="M34" s="36" t="str">
        <f t="shared" si="55"/>
        <v>Ensemble</v>
      </c>
      <c r="N34" s="34" t="str">
        <f t="shared" si="55"/>
        <v>Hommes</v>
      </c>
      <c r="O34" s="35" t="str">
        <f t="shared" si="55"/>
        <v>Femmes</v>
      </c>
      <c r="P34" s="37" t="str">
        <f t="shared" si="55"/>
        <v>Ensemble</v>
      </c>
      <c r="Q34" s="34" t="str">
        <f>Q6</f>
        <v>Hommes</v>
      </c>
      <c r="R34" s="35" t="str">
        <f>R6</f>
        <v>Femmes</v>
      </c>
      <c r="S34" s="36" t="str">
        <f>S6</f>
        <v>Ensemble</v>
      </c>
      <c r="T34" s="34" t="str">
        <f>T6</f>
        <v>Hommes</v>
      </c>
      <c r="U34" s="35" t="str">
        <f>U6</f>
        <v>Femmes</v>
      </c>
      <c r="V34" s="36" t="str">
        <f>V6</f>
        <v>Ensemble</v>
      </c>
      <c r="W34" s="34" t="str">
        <f>W6</f>
        <v>Hommes</v>
      </c>
      <c r="X34" s="35" t="str">
        <f>X6</f>
        <v>Femmes</v>
      </c>
      <c r="Y34" s="36" t="str">
        <f>Y6</f>
        <v>Ensemble</v>
      </c>
      <c r="Z34" s="34" t="str">
        <f>Z6</f>
        <v>Hommes</v>
      </c>
      <c r="AA34" s="35" t="str">
        <f>AA6</f>
        <v>Femmes</v>
      </c>
      <c r="AB34" s="36" t="str">
        <f>AB6</f>
        <v>Ensemble</v>
      </c>
      <c r="AC34" s="34" t="str">
        <f>AC6</f>
        <v>Hommes</v>
      </c>
      <c r="AD34" s="35" t="str">
        <f>AD6</f>
        <v>Femmes</v>
      </c>
      <c r="AE34" s="36" t="str">
        <f>AE6</f>
        <v>Ensemble</v>
      </c>
      <c r="AF34" s="34" t="str">
        <f>AF6</f>
        <v>Hommes</v>
      </c>
      <c r="AG34" s="35" t="str">
        <f>AG6</f>
        <v>Femmes</v>
      </c>
      <c r="AH34" s="36" t="str">
        <f>AH6</f>
        <v>Ensemble</v>
      </c>
      <c r="AI34" s="34" t="str">
        <f>AI6</f>
        <v>Hommes</v>
      </c>
      <c r="AJ34" s="35" t="str">
        <f>AJ6</f>
        <v>Femmes</v>
      </c>
      <c r="AK34" s="36" t="str">
        <f>AK6</f>
        <v>Ensemble</v>
      </c>
      <c r="AL34" s="34" t="str">
        <f>AL6</f>
        <v>Hommes</v>
      </c>
      <c r="AM34" s="35" t="str">
        <f>AM6</f>
        <v>Femmes</v>
      </c>
      <c r="AN34" s="36" t="str">
        <f>AN6</f>
        <v>Ensemble</v>
      </c>
      <c r="AO34" s="34" t="str">
        <f>AO6</f>
        <v>Hommes</v>
      </c>
      <c r="AP34" s="35" t="str">
        <f>AP6</f>
        <v>Femmes</v>
      </c>
      <c r="AQ34" s="36" t="str">
        <f>AQ6</f>
        <v>Ensemble</v>
      </c>
      <c r="AR34" s="34" t="str">
        <f>AR6</f>
        <v>Hommes</v>
      </c>
      <c r="AS34" s="35" t="str">
        <f>AS6</f>
        <v>Femmes</v>
      </c>
      <c r="AT34" s="36" t="str">
        <f>AT6</f>
        <v>Ensemble</v>
      </c>
      <c r="AU34" s="34" t="str">
        <f>AU6</f>
        <v>Hommes</v>
      </c>
      <c r="AV34" s="35" t="str">
        <f>AV6</f>
        <v>Femmes</v>
      </c>
      <c r="AW34" s="36" t="str">
        <f>AW6</f>
        <v>Ensemble</v>
      </c>
      <c r="AX34" s="34" t="str">
        <f>AX6</f>
        <v>Hommes</v>
      </c>
      <c r="AY34" s="35" t="str">
        <f>AY6</f>
        <v>Femmes</v>
      </c>
      <c r="AZ34" s="36" t="str">
        <f>AZ6</f>
        <v>Ensemble</v>
      </c>
      <c r="BA34" s="34" t="str">
        <f>BA6</f>
        <v>Hommes</v>
      </c>
      <c r="BB34" s="35" t="str">
        <f>BB6</f>
        <v>Femmes</v>
      </c>
      <c r="BC34" s="36" t="str">
        <f>BC6</f>
        <v>Ensemble</v>
      </c>
      <c r="BD34" s="34" t="str">
        <f>BD6</f>
        <v>Hommes</v>
      </c>
      <c r="BE34" s="35" t="str">
        <f>BE6</f>
        <v>Femmes</v>
      </c>
      <c r="BF34" s="36" t="str">
        <f>BF6</f>
        <v>Ensemble</v>
      </c>
      <c r="BG34" s="34" t="str">
        <f>BG6</f>
        <v>Hommes</v>
      </c>
      <c r="BH34" s="35" t="str">
        <f>BH6</f>
        <v>Femmes</v>
      </c>
      <c r="BI34" s="36" t="str">
        <f>BI6</f>
        <v>Ensemble</v>
      </c>
      <c r="BJ34" s="34" t="str">
        <f>BJ6</f>
        <v>Hommes</v>
      </c>
      <c r="BK34" s="35" t="str">
        <f>BK6</f>
        <v>Femmes</v>
      </c>
      <c r="BL34" s="36" t="str">
        <f>BL6</f>
        <v>Ensemble</v>
      </c>
      <c r="BM34" s="34" t="str">
        <f>BM6</f>
        <v>Hommes</v>
      </c>
      <c r="BN34" s="35" t="str">
        <f>BN6</f>
        <v>Femmes</v>
      </c>
      <c r="BO34" s="36" t="str">
        <f>BO6</f>
        <v>Ensemble</v>
      </c>
      <c r="BP34" s="34" t="str">
        <f>BP6</f>
        <v>Hommes</v>
      </c>
      <c r="BQ34" s="35" t="str">
        <f>BQ6</f>
        <v>Femmes</v>
      </c>
      <c r="BR34" s="36" t="str">
        <f>BR6</f>
        <v>Ensemble</v>
      </c>
      <c r="BS34" s="34" t="str">
        <f>BS6</f>
        <v>Hommes</v>
      </c>
      <c r="BT34" s="35" t="str">
        <f>BT6</f>
        <v>Femmes</v>
      </c>
      <c r="BU34" s="36" t="str">
        <f>BU6</f>
        <v>Ensemble</v>
      </c>
      <c r="BV34" s="34" t="str">
        <f>BV6</f>
        <v>Hommes</v>
      </c>
      <c r="BW34" s="35" t="str">
        <f>BW6</f>
        <v>Femmes</v>
      </c>
      <c r="BX34" s="36" t="str">
        <f>BX6</f>
        <v>Ensemble</v>
      </c>
      <c r="BY34" s="34" t="str">
        <f>BY6</f>
        <v>Hommes</v>
      </c>
      <c r="BZ34" s="35" t="str">
        <f>BZ6</f>
        <v>Femmes</v>
      </c>
      <c r="CA34" s="36" t="str">
        <f>CA6</f>
        <v>Ensemble</v>
      </c>
      <c r="CB34" s="34" t="str">
        <f>CE6</f>
        <v>Hommes</v>
      </c>
      <c r="CC34" s="35" t="str">
        <f>CF6</f>
        <v>Femmes</v>
      </c>
      <c r="CD34" s="36" t="str">
        <f>CG6</f>
        <v>Ensemble</v>
      </c>
      <c r="CE34" s="34" t="str">
        <f>CE6</f>
        <v>Hommes</v>
      </c>
      <c r="CF34" s="35" t="str">
        <f>CF6</f>
        <v>Femmes</v>
      </c>
      <c r="CG34" s="36" t="str">
        <f>CG6</f>
        <v>Ensemble</v>
      </c>
      <c r="CH34" s="34" t="str">
        <f>CH6</f>
        <v>Hommes</v>
      </c>
      <c r="CI34" s="35" t="str">
        <f>CI6</f>
        <v>Femmes</v>
      </c>
      <c r="CJ34" s="36" t="str">
        <f>CJ6</f>
        <v>Ensemble</v>
      </c>
      <c r="CK34" s="34" t="str">
        <f>CK6</f>
        <v>Hommes</v>
      </c>
      <c r="CL34" s="35" t="str">
        <f>CL6</f>
        <v>Femmes</v>
      </c>
      <c r="CM34" s="36" t="str">
        <f>CM6</f>
        <v>Ensemble</v>
      </c>
      <c r="CN34" s="34" t="str">
        <f>CQ6</f>
        <v>Hommes</v>
      </c>
      <c r="CO34" s="35" t="str">
        <f>CO6</f>
        <v>Femmes</v>
      </c>
      <c r="CP34" s="36" t="str">
        <f>CS6</f>
        <v>Ensemble</v>
      </c>
      <c r="CQ34" s="129" t="str">
        <f>CQ6</f>
        <v>Hommes</v>
      </c>
      <c r="CR34" s="130" t="str">
        <f>CR6</f>
        <v>Femmes</v>
      </c>
      <c r="CS34" s="131" t="str">
        <f>CS6</f>
        <v>Ensemble</v>
      </c>
      <c r="CT34" s="129" t="str">
        <f>CT6</f>
        <v>Hommes</v>
      </c>
      <c r="CU34" s="130" t="str">
        <f>CU6</f>
        <v>Femmes</v>
      </c>
      <c r="CV34" s="131" t="str">
        <f>CV6</f>
        <v>Ensemble</v>
      </c>
      <c r="CW34" s="129" t="str">
        <f>CW6</f>
        <v>Hommes</v>
      </c>
      <c r="CX34" s="130" t="str">
        <f>CX6</f>
        <v>Femmes</v>
      </c>
      <c r="CY34" s="131" t="str">
        <f>CY6</f>
        <v>Ensemble</v>
      </c>
      <c r="CZ34" s="129" t="str">
        <f>CZ6</f>
        <v>Hommes</v>
      </c>
      <c r="DA34" s="130" t="str">
        <f>DA6</f>
        <v>Femmes</v>
      </c>
      <c r="DB34" s="131" t="str">
        <f>DB6</f>
        <v>Ensemble</v>
      </c>
      <c r="DC34" s="129" t="str">
        <f>DC6</f>
        <v>Hommes</v>
      </c>
      <c r="DD34" s="130" t="str">
        <f>DD6</f>
        <v>Femmes</v>
      </c>
      <c r="DE34" s="131" t="str">
        <f>DE6</f>
        <v>Ensemble</v>
      </c>
      <c r="DF34" s="129" t="str">
        <f>DF6</f>
        <v>Hommes</v>
      </c>
      <c r="DG34" s="130" t="str">
        <f>DG6</f>
        <v>Femmes</v>
      </c>
      <c r="DH34" s="131" t="str">
        <f>DH6</f>
        <v>Ensemble</v>
      </c>
      <c r="DI34" s="129" t="str">
        <f>DI6</f>
        <v>Hommes</v>
      </c>
      <c r="DJ34" s="130" t="str">
        <f>DJ6</f>
        <v>Femmes</v>
      </c>
      <c r="DK34" s="131" t="str">
        <f>DK6</f>
        <v>Ensemble</v>
      </c>
      <c r="DL34" s="129" t="str">
        <f>DL6</f>
        <v>Hommes</v>
      </c>
      <c r="DM34" s="130" t="str">
        <f>DM6</f>
        <v>Femmes</v>
      </c>
      <c r="DN34" s="131" t="str">
        <f>DN6</f>
        <v>Ensemble</v>
      </c>
      <c r="DO34" s="129" t="s">
        <v>0</v>
      </c>
      <c r="DP34" s="130" t="s">
        <v>1</v>
      </c>
      <c r="DQ34" s="131" t="s">
        <v>5</v>
      </c>
      <c r="DR34" s="129" t="s">
        <v>0</v>
      </c>
      <c r="DS34" s="130" t="s">
        <v>1</v>
      </c>
      <c r="DT34" s="131" t="s">
        <v>5</v>
      </c>
      <c r="DU34" s="199" t="str">
        <f>DU6</f>
        <v>Hommes</v>
      </c>
      <c r="DV34" s="200" t="str">
        <f>DV6</f>
        <v>Femmes</v>
      </c>
      <c r="DW34" s="201" t="str">
        <f>DW6</f>
        <v>Ensemble</v>
      </c>
      <c r="DX34" s="199" t="str">
        <f>DX6</f>
        <v>Hommes</v>
      </c>
      <c r="DY34" s="200" t="str">
        <f>DY6</f>
        <v>Femmes</v>
      </c>
      <c r="DZ34" s="201" t="str">
        <f>DZ6</f>
        <v>Ensemble</v>
      </c>
      <c r="EA34" s="199" t="str">
        <f>EA6</f>
        <v>Hommes</v>
      </c>
      <c r="EB34" s="200" t="str">
        <f>EB6</f>
        <v>Femmes</v>
      </c>
      <c r="EC34" s="201" t="str">
        <f>EC6</f>
        <v>Ensemble</v>
      </c>
      <c r="ED34" s="199" t="str">
        <f>ED6</f>
        <v>Hommes</v>
      </c>
      <c r="EE34" s="200" t="str">
        <f>EE6</f>
        <v>Femmes</v>
      </c>
      <c r="EF34" s="201" t="str">
        <f>EF6</f>
        <v>Ensemble</v>
      </c>
      <c r="EG34" s="199" t="str">
        <f>EG6</f>
        <v>Hommes</v>
      </c>
      <c r="EH34" s="200" t="str">
        <f>EH6</f>
        <v>Femmes</v>
      </c>
      <c r="EI34" s="201" t="str">
        <f>EI6</f>
        <v>Ensemble</v>
      </c>
      <c r="EJ34" s="199" t="str">
        <f>EJ6</f>
        <v>Hommes</v>
      </c>
      <c r="EK34" s="200" t="str">
        <f>EK6</f>
        <v>Femmes</v>
      </c>
      <c r="EL34" s="201" t="str">
        <f>EL6</f>
        <v>Ensemble</v>
      </c>
      <c r="EM34" s="199" t="str">
        <f>EM6</f>
        <v>Hommes</v>
      </c>
      <c r="EN34" s="200" t="str">
        <f>EN6</f>
        <v>Femmes</v>
      </c>
      <c r="EO34" s="201" t="str">
        <f>EO6</f>
        <v>Ensemble</v>
      </c>
      <c r="EP34" s="199" t="str">
        <f>EP6</f>
        <v>Hommes</v>
      </c>
      <c r="EQ34" s="200" t="str">
        <f>EQ6</f>
        <v>Femmes</v>
      </c>
      <c r="ER34" s="201" t="str">
        <f>ER6</f>
        <v>Ensemble</v>
      </c>
      <c r="ES34" s="199" t="str">
        <f>ES6</f>
        <v>Hommes</v>
      </c>
      <c r="ET34" s="200" t="str">
        <f>ET6</f>
        <v>Femmes</v>
      </c>
      <c r="EU34" s="201" t="str">
        <f>EU6</f>
        <v>Ensemble</v>
      </c>
      <c r="EV34" s="199" t="str">
        <f>EV6</f>
        <v>Hommes</v>
      </c>
      <c r="EW34" s="200" t="str">
        <f>EW6</f>
        <v>Femmes</v>
      </c>
      <c r="EX34" s="201" t="str">
        <f>EX6</f>
        <v>Ensemble</v>
      </c>
      <c r="EY34" s="199" t="str">
        <f>EY6</f>
        <v>Hommes</v>
      </c>
      <c r="EZ34" s="200" t="str">
        <f>EZ6</f>
        <v>Femmes</v>
      </c>
      <c r="FA34" s="201" t="str">
        <f>FA6</f>
        <v>Ensemble</v>
      </c>
      <c r="FB34" s="199" t="str">
        <f>FB6</f>
        <v>Hommes</v>
      </c>
      <c r="FC34" s="200" t="str">
        <f>FC6</f>
        <v>Femmes</v>
      </c>
      <c r="FD34" s="201" t="str">
        <f>FD6</f>
        <v>Ensemble</v>
      </c>
      <c r="FE34" s="199" t="str">
        <f>FE6</f>
        <v>Hommes</v>
      </c>
      <c r="FF34" s="200" t="str">
        <f>FF6</f>
        <v>Femmes</v>
      </c>
      <c r="FG34" s="201" t="str">
        <f>FG6</f>
        <v>Ensemble</v>
      </c>
      <c r="FH34" s="199" t="str">
        <f>FH6</f>
        <v>Hommes</v>
      </c>
      <c r="FI34" s="200" t="str">
        <f>FI6</f>
        <v>Femmes</v>
      </c>
      <c r="FJ34" s="201" t="str">
        <f>FJ6</f>
        <v>Ensemble</v>
      </c>
      <c r="FK34" s="199" t="str">
        <f>FK6</f>
        <v>Hommes</v>
      </c>
      <c r="FL34" s="200" t="str">
        <f>FL6</f>
        <v>Femmes</v>
      </c>
      <c r="FM34" s="201" t="str">
        <f>FM6</f>
        <v>Ensemble</v>
      </c>
      <c r="FN34" s="129" t="str">
        <f>FN6</f>
        <v>Hommes</v>
      </c>
      <c r="FO34" s="130" t="str">
        <f>FO6</f>
        <v>Femmes</v>
      </c>
      <c r="FP34" s="131" t="str">
        <f>FP6</f>
        <v>Ensemble</v>
      </c>
      <c r="FQ34" s="129" t="str">
        <f>FQ6</f>
        <v>Hommes</v>
      </c>
      <c r="FR34" s="366" t="str">
        <f>FR6</f>
        <v>Femmes</v>
      </c>
      <c r="FS34" s="131" t="str">
        <f>FS6</f>
        <v>Ensemble</v>
      </c>
      <c r="FT34" s="129" t="str">
        <f>FT6</f>
        <v>Hommes</v>
      </c>
      <c r="FU34" s="383" t="str">
        <f>FU6</f>
        <v>Femmes</v>
      </c>
      <c r="FV34" s="131" t="str">
        <f>FV6</f>
        <v>Ensemble</v>
      </c>
      <c r="FW34" s="129" t="str">
        <f>FW6</f>
        <v>Hommes</v>
      </c>
      <c r="FX34" s="385" t="str">
        <f>FX6</f>
        <v>Femmes</v>
      </c>
      <c r="FY34" s="131" t="str">
        <f>FY6</f>
        <v>Ensemble</v>
      </c>
      <c r="FZ34" s="129" t="str">
        <f>FZ6</f>
        <v>Hommes</v>
      </c>
      <c r="GA34" s="386" t="str">
        <f>GA6</f>
        <v>Femmes</v>
      </c>
      <c r="GB34" s="131" t="str">
        <f>GB6</f>
        <v>Ensemble</v>
      </c>
      <c r="GC34" s="129" t="str">
        <f>GC6</f>
        <v>Hommes</v>
      </c>
      <c r="GD34" s="391" t="str">
        <f>GD6</f>
        <v>Femmes</v>
      </c>
      <c r="GE34" s="131" t="str">
        <f>GE6</f>
        <v>Ensemble</v>
      </c>
      <c r="GF34" s="129" t="str">
        <f>GF6</f>
        <v>Hommes</v>
      </c>
      <c r="GG34" s="392" t="str">
        <f>GG6</f>
        <v>Femmes</v>
      </c>
      <c r="GH34" s="131" t="str">
        <f>GH6</f>
        <v>Ensemble</v>
      </c>
      <c r="GI34" s="129" t="str">
        <f>GI6</f>
        <v>Hommes</v>
      </c>
      <c r="GJ34" s="393" t="str">
        <f>GJ6</f>
        <v>Femmes</v>
      </c>
      <c r="GK34" s="131" t="str">
        <f>GK6</f>
        <v>Ensemble</v>
      </c>
      <c r="GL34" s="129" t="str">
        <f>GL6</f>
        <v>Hommes</v>
      </c>
      <c r="GM34" s="394" t="str">
        <f>GM6</f>
        <v>Femmes</v>
      </c>
      <c r="GN34" s="131" t="str">
        <f>GN6</f>
        <v>Ensemble</v>
      </c>
    </row>
    <row r="35" spans="1:196" x14ac:dyDescent="0.25">
      <c r="A35" s="38" t="s">
        <v>2</v>
      </c>
      <c r="B35" s="25">
        <f>[1]SAS_SA_4T2008!$F$53</f>
        <v>72.523300000000006</v>
      </c>
      <c r="C35" s="26">
        <f>[1]SAS_SA_4T2008!$F$57</f>
        <v>72.567999999999998</v>
      </c>
      <c r="D35" s="44">
        <f>[1]SAS_SA_4T2008!$F$47</f>
        <v>72.536000000000001</v>
      </c>
      <c r="E35" s="25">
        <f>[2]SAS_SA_1T2009!$F$53</f>
        <v>72.593199999999996</v>
      </c>
      <c r="F35" s="26">
        <f>[2]SAS_SA_1T2009!$F$57</f>
        <v>72.561499999999995</v>
      </c>
      <c r="G35" s="44">
        <f>[2]SAS_SA_1T2009!$F$47</f>
        <v>72.584100000000007</v>
      </c>
      <c r="H35" s="25">
        <f>[64]SAS_SA_2T2009!$F$53</f>
        <v>72.6691</v>
      </c>
      <c r="I35" s="26">
        <f>[64]SAS_SA_2T2009!$F$57</f>
        <v>72.618899999999996</v>
      </c>
      <c r="J35" s="44">
        <f>[64]SAS_SA_2T2009!$F$47</f>
        <v>72.654600000000002</v>
      </c>
      <c r="K35" s="25">
        <f>[3]SAS_SA_3T2009!$F$53</f>
        <v>72.721999999999994</v>
      </c>
      <c r="L35" s="26">
        <f>[3]SAS_SA_3T2009!$F$57</f>
        <v>72.599699999999999</v>
      </c>
      <c r="M35" s="44">
        <f>[3]SAS_SA_3T2009!$F$47</f>
        <v>72.686499999999995</v>
      </c>
      <c r="N35" s="25">
        <f>[4]SAS_SA_4T2009!$F$53</f>
        <v>72.782399999999996</v>
      </c>
      <c r="O35" s="26">
        <f>[4]SAS_SA_4T2009!$F$57</f>
        <v>72.632000000000005</v>
      </c>
      <c r="P35" s="27">
        <f>[4]SAS_SA_4T2009!$F$47</f>
        <v>72.738600000000005</v>
      </c>
      <c r="Q35" s="25">
        <f>[5]SAS_SA_1T2010!$F$53</f>
        <v>72.827600000000004</v>
      </c>
      <c r="R35" s="26">
        <f>[5]SAS_SA_1T2010!$F$57</f>
        <v>72.646900000000002</v>
      </c>
      <c r="S35" s="27">
        <f>[5]SAS_SA_1T2010!$F$47</f>
        <v>72.774799999999999</v>
      </c>
      <c r="T35" s="25">
        <f>[65]SAS_SA_2T2010!$F$53</f>
        <v>72.840800000000002</v>
      </c>
      <c r="U35" s="26">
        <f>[65]SAS_SA_2T2010!$F$57</f>
        <v>72.645899999999997</v>
      </c>
      <c r="V35" s="27">
        <f>[65]SAS_SA_2T2010!$F$47</f>
        <v>72.783199999999994</v>
      </c>
      <c r="W35" s="25">
        <f>[6]SAS_SA_3T2010!$F$53</f>
        <v>72.880200000000002</v>
      </c>
      <c r="X35" s="26">
        <f>[6]SAS_SA_3T2010!$F$57</f>
        <v>72.649500000000003</v>
      </c>
      <c r="Y35" s="27">
        <f>[6]SAS_SA_3T2010!$F$47</f>
        <v>72.811700000000002</v>
      </c>
      <c r="Z35" s="25">
        <f>[7]SAS_SA_2010_4T!$F$53</f>
        <v>72.944599999999994</v>
      </c>
      <c r="AA35" s="26">
        <f>[7]SAS_SA_2010_4T!$F$57</f>
        <v>72.665499999999994</v>
      </c>
      <c r="AB35" s="44">
        <f>[7]SAS_SA_2010_4T!$F$47</f>
        <v>72.861800000000002</v>
      </c>
      <c r="AC35" s="25">
        <f>[8]SAS_SA_2011_1T!$F$52</f>
        <v>72.989000000000004</v>
      </c>
      <c r="AD35" s="26">
        <f>[8]SAS_SA_2011_1T!$F$55</f>
        <v>72.6755</v>
      </c>
      <c r="AE35" s="44">
        <f>[8]SAS_SA_2011_1T!$F$47</f>
        <v>72.895499999999998</v>
      </c>
      <c r="AF35" s="25">
        <f>[9]SAS_SA_2011_2T!$F$52</f>
        <v>73.043099999999995</v>
      </c>
      <c r="AG35" s="26">
        <f>[9]SAS_SA_2011_2T!$F$55</f>
        <v>72.706000000000003</v>
      </c>
      <c r="AH35" s="44">
        <f>[9]SAS_SA_2011_2T!$F$47</f>
        <v>72.942099999999996</v>
      </c>
      <c r="AI35" s="25">
        <f>[10]SAS_SA_2011_3T!$F$52</f>
        <v>73.282600000000002</v>
      </c>
      <c r="AJ35" s="26">
        <f>[10]SAS_SA_2011_3T!$F$55</f>
        <v>72.9499</v>
      </c>
      <c r="AK35" s="44">
        <f>[10]SAS_SA_2011_3T!$F$47</f>
        <v>73.182900000000004</v>
      </c>
      <c r="AL35" s="25">
        <f>[11]SAS_SA_2011_4T!$F$52</f>
        <v>73.2072</v>
      </c>
      <c r="AM35" s="26">
        <f>[11]SAS_SA_2011_4T!$F$55</f>
        <v>72.854600000000005</v>
      </c>
      <c r="AN35" s="44">
        <f>[11]SAS_SA_2011_4T!$F$47</f>
        <v>73.100899999999996</v>
      </c>
      <c r="AO35" s="25">
        <f>'[12]120612-17H07S59-PROGRAM-TdB_STO'!$F$52</f>
        <v>73.292900000000003</v>
      </c>
      <c r="AP35" s="26">
        <f>'[12]120612-17H07S59-PROGRAM-TdB_STO'!$F$55</f>
        <v>72.915899999999993</v>
      </c>
      <c r="AQ35" s="44">
        <f>'[12]120612-17H07S59-PROGRAM-TdB_STO'!$F$47</f>
        <v>73.178799999999995</v>
      </c>
      <c r="AR35" s="25">
        <f>[13]SAS_SA_2012_2T!$F$52</f>
        <v>73.356399999999994</v>
      </c>
      <c r="AS35" s="26">
        <f>[13]SAS_SA_2012_2T!$F$55</f>
        <v>72.974599999999995</v>
      </c>
      <c r="AT35" s="44">
        <f>[13]SAS_SA_2012_2T!$F$47</f>
        <v>73.240499999999997</v>
      </c>
      <c r="AU35" s="25">
        <f>'[14]121105-09H31S06-PROGRAM-TdB_STO'!$F$52</f>
        <v>73.439300000000003</v>
      </c>
      <c r="AV35" s="26">
        <f>'[14]121105-09H31S06-PROGRAM-TdB_STO'!$F$55</f>
        <v>73.036199999999994</v>
      </c>
      <c r="AW35" s="44">
        <f>'[14]121105-09H31S06-PROGRAM-TdB_STO'!$F$47</f>
        <v>73.316299999999998</v>
      </c>
      <c r="AX35" s="25">
        <f>[15]SAS_SA_2012_4T!$F$52</f>
        <v>73.525700000000001</v>
      </c>
      <c r="AY35" s="26">
        <f>[15]SAS_SA_2012_4T!$F$55</f>
        <v>73.126099999999994</v>
      </c>
      <c r="AZ35" s="44">
        <f>[15]SAS_SA_2012_4T!$F$47</f>
        <v>73.403400000000005</v>
      </c>
      <c r="BA35" s="25">
        <f>[16]SAS_SA_2013_1T!$F$52</f>
        <v>73.585700000000003</v>
      </c>
      <c r="BB35" s="26">
        <f>[16]SAS_SA_2013_1T!$F$55</f>
        <v>73.161299999999997</v>
      </c>
      <c r="BC35" s="44">
        <f>[16]SAS_SA_2013_1T!$F$47</f>
        <v>73.455299999999994</v>
      </c>
      <c r="BD35" s="25">
        <f>[17]SAS_SA_2013_2T!$F$52</f>
        <v>73.646699999999996</v>
      </c>
      <c r="BE35" s="26">
        <f>[17]SAS_SA_2013_2T!$F$55</f>
        <v>73.209199999999996</v>
      </c>
      <c r="BF35" s="44">
        <f>[17]SAS_SA_2013_2T!$F$47</f>
        <v>73.511700000000005</v>
      </c>
      <c r="BG35" s="25">
        <f>[18]SAS_SA_2013_3T!$F$52</f>
        <v>73.638199999999998</v>
      </c>
      <c r="BH35" s="26">
        <f>[18]SAS_SA_2013_3T!$F$55</f>
        <v>73.146199999999993</v>
      </c>
      <c r="BI35" s="44">
        <f>[18]SAS_SA_2013_3T!$F$47</f>
        <v>73.485299999999995</v>
      </c>
      <c r="BJ35" s="25">
        <f>[19]SAS_SA_2013_4T!$F$52</f>
        <v>73.653599999999997</v>
      </c>
      <c r="BK35" s="26">
        <f>[19]SAS_SA_2013_4T!$F$55</f>
        <v>73.132900000000006</v>
      </c>
      <c r="BL35" s="44">
        <f>[19]SAS_SA_2013_4T!$F$47</f>
        <v>73.491</v>
      </c>
      <c r="BM35" s="25">
        <f>[20]SAS_SA_2014_1T!$F$52</f>
        <v>73.710400000000007</v>
      </c>
      <c r="BN35" s="26">
        <f>[20]SAS_SA_2014_1T!$F$55</f>
        <v>73.176900000000003</v>
      </c>
      <c r="BO35" s="44">
        <f>[20]SAS_SA_2014_1T!$F$47</f>
        <v>73.543300000000002</v>
      </c>
      <c r="BP35" s="25">
        <f>[21]SAS_SA_2014_2T!$F$52</f>
        <v>73.746099999999998</v>
      </c>
      <c r="BQ35" s="26">
        <f>[21]SAS_SA_2014_2T!$F$55</f>
        <v>73.203299999999999</v>
      </c>
      <c r="BR35" s="44">
        <f>[21]SAS_SA_2014_2T!$F$47</f>
        <v>73.575299999999999</v>
      </c>
      <c r="BS35" s="25">
        <f>[22]SAS_SA_2014_3T!$F$52</f>
        <v>73.748199999999997</v>
      </c>
      <c r="BT35" s="26">
        <f>[22]SAS_SA_2014_3T!$F$55</f>
        <v>73.188699999999997</v>
      </c>
      <c r="BU35" s="44">
        <f>[22]SAS_SA_2014_3T!$F$47</f>
        <v>73.571200000000005</v>
      </c>
      <c r="BV35" s="25">
        <f>[23]SAS_SA_2014_4T!$F$52</f>
        <v>73.8</v>
      </c>
      <c r="BW35" s="26">
        <f>[23]SAS_SA_2014_4T!$F$55</f>
        <v>73.2</v>
      </c>
      <c r="BX35" s="44">
        <f>[23]SAS_SA_2014_4T!$F$47</f>
        <v>73.599999999999994</v>
      </c>
      <c r="BY35" s="25">
        <f>[24]SAS_SA_2015_1T!$F$52</f>
        <v>73.8</v>
      </c>
      <c r="BZ35" s="26">
        <f>[24]SAS_SA_2015_1T!$F$55</f>
        <v>73.099999999999994</v>
      </c>
      <c r="CA35" s="44">
        <f>[24]SAS_SA_2015_1T!$F$47</f>
        <v>73.599999999999994</v>
      </c>
      <c r="CB35" s="25">
        <f>[25]SAS_SA_2015_2T!$F$52</f>
        <v>73.778599999999997</v>
      </c>
      <c r="CC35" s="26">
        <f>[25]SAS_SA_2015_2T!$F$55</f>
        <v>73.161299999999997</v>
      </c>
      <c r="CD35" s="44">
        <f>[25]SAS_SA_2015_2T!$F$47</f>
        <v>73.580500000000001</v>
      </c>
      <c r="CE35" s="25">
        <f>[26]SAS_SA_2015_3T!$F$52</f>
        <v>73.8</v>
      </c>
      <c r="CF35" s="26">
        <f>[26]SAS_SA_2015_3T!$F$55</f>
        <v>73.2</v>
      </c>
      <c r="CG35" s="44">
        <f>[26]SAS_SA_2015_3T!$F$47</f>
        <v>73.599999999999994</v>
      </c>
      <c r="CH35" s="25">
        <f>[27]SAS_SA_2015_4T!$F$52</f>
        <v>73.8</v>
      </c>
      <c r="CI35" s="26">
        <f>[27]SAS_SA_2015_4T!$F$55</f>
        <v>73.166799999999995</v>
      </c>
      <c r="CJ35" s="44">
        <f>[27]SAS_SA_2015_4T!$F$47</f>
        <v>73.595100000000002</v>
      </c>
      <c r="CK35" s="25">
        <f>[28]SAS_SA_2016_1T!$F$52</f>
        <v>73.798100000000005</v>
      </c>
      <c r="CL35" s="26">
        <f>[28]SAS_SA_2016_1T!$F$55</f>
        <v>73.123599999999996</v>
      </c>
      <c r="CM35" s="44">
        <f>[28]SAS_SA_2016_1T!$F$47</f>
        <v>73.578599999999994</v>
      </c>
      <c r="CN35" s="25">
        <f>'[29]160822-11H12S04-PROGRAM-TdB_STO'!$F$52</f>
        <v>73.802199999999999</v>
      </c>
      <c r="CO35" s="26">
        <f>'[29]160822-11H12S04-PROGRAM-TdB_STO'!$F$55</f>
        <v>73.118499999999997</v>
      </c>
      <c r="CP35" s="44">
        <f>'[29]160822-11H12S04-PROGRAM-TdB_STO'!$F$47</f>
        <v>73.578500000000005</v>
      </c>
      <c r="CQ35" s="147">
        <f>[30]SAS_SA_2016_3T!$F$52</f>
        <v>73.806399999999996</v>
      </c>
      <c r="CR35" s="148">
        <f>[30]SAS_SA_2016_3T!$F$55</f>
        <v>73.121200000000002</v>
      </c>
      <c r="CS35" s="149">
        <f>[30]SAS_SA_2016_3T!$F$47</f>
        <v>73.581199999999995</v>
      </c>
      <c r="CT35" s="147">
        <f>[31]SAS_SA_2016_4T!$F$52</f>
        <v>73.838800000000006</v>
      </c>
      <c r="CU35" s="148">
        <f>[31]SAS_SA_2016_4T!$F$55</f>
        <v>73.171400000000006</v>
      </c>
      <c r="CV35" s="149">
        <f>[31]SAS_SA_2016_4T!$F$47</f>
        <v>73.619</v>
      </c>
      <c r="CW35" s="147">
        <f>[32]SAS_SA_2017_1T!$F$52</f>
        <v>73.843400000000003</v>
      </c>
      <c r="CX35" s="148">
        <f>[32]SAS_SA_2017_1T!$F$55</f>
        <v>73.171199999999999</v>
      </c>
      <c r="CY35" s="149">
        <f>[32]SAS_SA_2017_1T!$F$47</f>
        <v>73.621099999999998</v>
      </c>
      <c r="CZ35" s="147">
        <f>[33]SAS_SA_2017_2T!$F$52</f>
        <v>73.852900000000005</v>
      </c>
      <c r="DA35" s="148">
        <f>[33]SAS_SA_2017_2T!$F$55</f>
        <v>73.181799999999996</v>
      </c>
      <c r="DB35" s="149">
        <f>[33]SAS_SA_2017_2T!$F$47</f>
        <v>73.63</v>
      </c>
      <c r="DC35" s="147">
        <f>[34]SAS_SA_2017_3T!$F$52</f>
        <v>73.893799999999999</v>
      </c>
      <c r="DD35" s="148">
        <f>[34]SAS_SA_2017_3T!$F$55</f>
        <v>73.241699999999994</v>
      </c>
      <c r="DE35" s="149">
        <f>[34]SAS_SA_2017_3T!$F$47</f>
        <v>73.676500000000004</v>
      </c>
      <c r="DF35" s="147">
        <f>[35]SAS_SA_2017_4T!$F$52</f>
        <v>73.946299999999994</v>
      </c>
      <c r="DG35" s="148">
        <f>[35]SAS_SA_2017_4T!$F$55</f>
        <v>73.311599999999999</v>
      </c>
      <c r="DH35" s="149">
        <f>[35]SAS_SA_2017_4T!$F$47</f>
        <v>73.734200000000001</v>
      </c>
      <c r="DI35" s="147">
        <f>[36]SAS_SA_2018_1T!$F$52</f>
        <v>74.026300000000006</v>
      </c>
      <c r="DJ35" s="148">
        <f>[36]SAS_SA_2018_1T!$F$55</f>
        <v>73.3827</v>
      </c>
      <c r="DK35" s="149">
        <f>[36]SAS_SA_2018_1T!$F$47</f>
        <v>73.810500000000005</v>
      </c>
      <c r="DL35" s="147">
        <f>[37]SAS_SA_2018_2T!$F$52</f>
        <v>74.093800000000002</v>
      </c>
      <c r="DM35" s="148">
        <f>[37]SAS_SA_2018_2T!$F$55</f>
        <v>73.467399999999998</v>
      </c>
      <c r="DN35" s="149">
        <f>[37]SAS_SA_2018_2T!$F$47</f>
        <v>73.882999999999996</v>
      </c>
      <c r="DO35" s="147">
        <f>[38]SAS_SA_2018_3T!$F$52</f>
        <v>74.170599999999993</v>
      </c>
      <c r="DP35" s="148">
        <f>[38]SAS_SA_2018_3T!$F$55</f>
        <v>73.5501</v>
      </c>
      <c r="DQ35" s="149">
        <f>[38]SAS_SA_2018_3T!$F$47</f>
        <v>73.960999999999999</v>
      </c>
      <c r="DR35" s="147">
        <f>'[39]190227-14H32S38-PROGRAM-TdB_STO'!$F$52</f>
        <v>74.232299999999995</v>
      </c>
      <c r="DS35" s="148">
        <f>'[39]190227-14H32S38-PROGRAM-TdB_STO'!$F$55</f>
        <v>73.617400000000004</v>
      </c>
      <c r="DT35" s="149">
        <f>'[39]190227-14H32S38-PROGRAM-TdB_STO'!$F$47</f>
        <v>74.024199999999993</v>
      </c>
      <c r="DU35" s="214">
        <f>[40]SAS_SA_2019_1T!$F$52</f>
        <v>74.307699999999997</v>
      </c>
      <c r="DV35" s="215">
        <f>[40]SAS_SA_2019_1T!$F$55</f>
        <v>73.686000000000007</v>
      </c>
      <c r="DW35" s="216">
        <f>[40]SAS_SA_2019_1T!$F$47</f>
        <v>74.096500000000006</v>
      </c>
      <c r="DX35" s="214">
        <f>[41]SAS_SA_2019_2T!$F$52</f>
        <v>74.386200000000002</v>
      </c>
      <c r="DY35" s="215">
        <f>[41]SAS_SA_2019_2T!$F$55</f>
        <v>73.789900000000003</v>
      </c>
      <c r="DZ35" s="216">
        <f>[41]SAS_SA_2019_2T!$F$47</f>
        <v>74.183199999999999</v>
      </c>
      <c r="EA35" s="214">
        <f>[42]SAS_SA_2019_3T!$F$52</f>
        <v>74.475800000000007</v>
      </c>
      <c r="EB35" s="215">
        <f>[42]SAS_SA_2019_3T!$F$55</f>
        <v>73.885099999999994</v>
      </c>
      <c r="EC35" s="216">
        <f>[42]SAS_SA_2019_3T!$F$47</f>
        <v>74.274100000000004</v>
      </c>
      <c r="ED35" s="214">
        <f>[43]SAS_SA_2019_4T!$F$52</f>
        <v>74.520399999999995</v>
      </c>
      <c r="EE35" s="215">
        <f>[43]SAS_SA_2019_4T!$F$55</f>
        <v>73.930599999999998</v>
      </c>
      <c r="EF35" s="216">
        <f>[43]SAS_SA_2019_4T!$F$47</f>
        <v>74.318200000000004</v>
      </c>
      <c r="EG35" s="214">
        <f>[44]SAS_SA_2020_1T!$F$53</f>
        <v>74.598500000000001</v>
      </c>
      <c r="EH35" s="215">
        <f>[44]SAS_SA_2020_1T!$F$56</f>
        <v>74.003600000000006</v>
      </c>
      <c r="EI35" s="216">
        <f>[44]SAS_SA_2020_1T!$F$48</f>
        <v>74.394000000000005</v>
      </c>
      <c r="EJ35" s="214">
        <f>[45]SAS_SA_2020_2T!$F$53</f>
        <v>74.6614</v>
      </c>
      <c r="EK35" s="215">
        <f>[45]SAS_SA_2020_2T!$F$56</f>
        <v>74.086600000000004</v>
      </c>
      <c r="EL35" s="216">
        <f>[45]SAS_SA_2020_2T!$F$48</f>
        <v>74.463099999999997</v>
      </c>
      <c r="EM35" s="214">
        <f>[46]SAS_SA_2020_3T!$F$53</f>
        <v>74.736099999999993</v>
      </c>
      <c r="EN35" s="215">
        <f>[46]SAS_SA_2020_3T!$F$56</f>
        <v>74.182400000000001</v>
      </c>
      <c r="EO35" s="216">
        <f>[46]SAS_SA_2020_3T!$F$48</f>
        <v>74.544499999999999</v>
      </c>
      <c r="EP35" s="214">
        <f>[47]SAS_SA_2020_4T!$F53</f>
        <v>74.766599999999997</v>
      </c>
      <c r="EQ35" s="215">
        <f>[47]SAS_SA_2020_4T!$F56</f>
        <v>74.245000000000005</v>
      </c>
      <c r="ER35" s="216">
        <f>[47]SAS_SA_2020_4T!$F48</f>
        <v>74.585400000000007</v>
      </c>
      <c r="ES35" s="214">
        <f>[48]SAS_SA_2021_1T!$F53</f>
        <v>74.83</v>
      </c>
      <c r="ET35" s="215">
        <f>[48]SAS_SA_2021_1T!$F56</f>
        <v>74.311999999999998</v>
      </c>
      <c r="EU35" s="216">
        <f>[48]SAS_SA_2021_1T!$F48</f>
        <v>74.649000000000001</v>
      </c>
      <c r="EV35" s="214">
        <f>[49]SAS_SA_2021_2T!$F53</f>
        <v>74.892700000000005</v>
      </c>
      <c r="EW35" s="215">
        <f>[49]SAS_SA_2021_2T!$F56</f>
        <v>74.397599999999997</v>
      </c>
      <c r="EX35" s="216">
        <f>[49]SAS_SA_2021_2T!$F48</f>
        <v>74.719300000000004</v>
      </c>
      <c r="EY35" s="214">
        <f>[50]SAS_SA_2021_3T!$F53</f>
        <v>74.966499999999996</v>
      </c>
      <c r="EZ35" s="215">
        <f>[50]SAS_SA_2021_3T!$F56</f>
        <v>74.484999999999999</v>
      </c>
      <c r="FA35" s="216">
        <f>[50]SAS_SA_2021_3T!$F48</f>
        <v>74.797399999999996</v>
      </c>
      <c r="FB35" s="371">
        <f>[66]SAS_SA_2021_4T!$F$37</f>
        <v>75.016186932047802</v>
      </c>
      <c r="FC35" s="372">
        <f>[66]SAS_SA_2021_4T!$F$40</f>
        <v>74.558812785546294</v>
      </c>
      <c r="FD35" s="373">
        <f>[66]SAS_SA_2021_4T!$F$32</f>
        <v>74.855267942580795</v>
      </c>
      <c r="FE35" s="214">
        <f>[52]SAS_SA_2022_1T!$F$37</f>
        <v>75.077063881715304</v>
      </c>
      <c r="FF35" s="215">
        <f>[52]SAS_SA_2022_1T!$F$40</f>
        <v>74.626625177686094</v>
      </c>
      <c r="FG35" s="216">
        <f>[52]SAS_SA_2022_1T!$F$32</f>
        <v>74.918040110895603</v>
      </c>
      <c r="FH35" s="214">
        <f>[53]SAS_SA_2022_2T!$F$37</f>
        <v>75.138441478535299</v>
      </c>
      <c r="FI35" s="215">
        <f>[53]SAS_SA_2022_2T!$F$40</f>
        <v>74.709817065867796</v>
      </c>
      <c r="FJ35" s="216">
        <f>[53]SAS_SA_2022_2T!$F$32</f>
        <v>74.986579050945906</v>
      </c>
      <c r="FK35" s="214">
        <f>[54]SAS_SA_2022_3T!$F$37</f>
        <v>75.206063776580805</v>
      </c>
      <c r="FL35" s="215">
        <f>[54]SAS_SA_2022_3T!$F$40</f>
        <v>74.791708313415299</v>
      </c>
      <c r="FM35" s="216">
        <f>[54]SAS_SA_2022_3T!$F$32</f>
        <v>75.058830214807998</v>
      </c>
      <c r="FN35" s="147">
        <f>[55]SAS_SA_2022_4T!$F$37</f>
        <v>75.263813113300301</v>
      </c>
      <c r="FO35" s="148">
        <f>[55]SAS_SA_2022_4T!$F$40</f>
        <v>74.866518708615601</v>
      </c>
      <c r="FP35" s="149">
        <f>[55]SAS_SA_2022_4T!$F$32</f>
        <v>75.122359569113996</v>
      </c>
      <c r="FQ35" s="147">
        <f>[56]SAS_SA_2023_1T!$F$37</f>
        <v>75.311405076173699</v>
      </c>
      <c r="FR35" s="148">
        <f>[56]SAS_SA_2023_1T!$F$40</f>
        <v>74.914494700128003</v>
      </c>
      <c r="FS35" s="149">
        <f>[56]SAS_SA_2023_1T!$F$32</f>
        <v>75.169575482443193</v>
      </c>
      <c r="FT35" s="147">
        <f>[57]SAS_SA_2023_2T!$F$37</f>
        <v>75.379364414106803</v>
      </c>
      <c r="FU35" s="148">
        <f>[57]SAS_SA_2023_2T!$F$40</f>
        <v>74.996947470248799</v>
      </c>
      <c r="FV35" s="149">
        <f>[57]SAS_SA_2023_2T!$F$32</f>
        <v>75.242325331233801</v>
      </c>
      <c r="FW35" s="147">
        <f>[58]SAS_SA_2023_3T!$F$37</f>
        <v>75.4445988043706</v>
      </c>
      <c r="FX35" s="148">
        <f>[58]SAS_SA_2023_3T!$F$40</f>
        <v>75.075301125708506</v>
      </c>
      <c r="FY35" s="149">
        <f>[58]SAS_SA_2023_3T!$F$32</f>
        <v>75.311922750291004</v>
      </c>
      <c r="FZ35" s="147">
        <f>[59]SAS_SA_2023_4T!$F$37</f>
        <v>75.524760818427296</v>
      </c>
      <c r="GA35" s="148">
        <f>[59]SAS_SA_2023_4T!$F$40</f>
        <v>75.177820005760495</v>
      </c>
      <c r="GB35" s="149">
        <f>[59]SAS_SA_2023_4T!$F$32</f>
        <v>75.399956534154796</v>
      </c>
      <c r="GC35" s="147">
        <f>[60]SAS_SA_2024_1T!$F$37</f>
        <v>75.587005744663301</v>
      </c>
      <c r="GD35" s="148">
        <f>[60]SAS_SA_2024_1T!$F$40</f>
        <v>75.248086588686206</v>
      </c>
      <c r="GE35" s="149">
        <f>[60]SAS_SA_2024_1T!$F$32</f>
        <v>75.464696023993</v>
      </c>
      <c r="GF35" s="147">
        <f>[61]SAS_SA_2024_2T!$F$37</f>
        <v>75.664292536608201</v>
      </c>
      <c r="GG35" s="148">
        <f>[61]SAS_SA_2024_2T!$F$40</f>
        <v>75.349504183698201</v>
      </c>
      <c r="GH35" s="149">
        <f>[61]SAS_SA_2024_2T!$F$32</f>
        <v>75.550324622444805</v>
      </c>
      <c r="GI35" s="147">
        <f>[62]SAS_SA_2024_3T!$F$37</f>
        <v>75.739130872601507</v>
      </c>
      <c r="GJ35" s="148">
        <f>[62]SAS_SA_2024_3T!$F$40</f>
        <v>75.437620463463006</v>
      </c>
      <c r="GK35" s="149">
        <f>[62]SAS_SA_2024_3T!$F$32</f>
        <v>75.629665808911298</v>
      </c>
      <c r="GL35" s="147">
        <f>[63]SAS_SA_2024_4T!$F$37</f>
        <v>75.791531555077398</v>
      </c>
      <c r="GM35" s="148">
        <f>[63]SAS_SA_2024_4T!$F$40</f>
        <v>75.508725374355905</v>
      </c>
      <c r="GN35" s="149">
        <f>[63]SAS_SA_2024_4T!$F$32</f>
        <v>75.688644346340993</v>
      </c>
    </row>
    <row r="36" spans="1:196" x14ac:dyDescent="0.25">
      <c r="A36" s="39" t="s">
        <v>3</v>
      </c>
      <c r="B36" s="25">
        <f>[1]SAS_SA_4T2008!$F$54</f>
        <v>74.379199999999997</v>
      </c>
      <c r="C36" s="26">
        <f>[1]SAS_SA_4T2008!$F$58</f>
        <v>77.163399999999996</v>
      </c>
      <c r="D36" s="44">
        <f>[1]SAS_SA_4T2008!$F$48</f>
        <v>77.112799999999993</v>
      </c>
      <c r="E36" s="25">
        <f>[2]SAS_SA_1T2009!$F$54</f>
        <v>74.406000000000006</v>
      </c>
      <c r="F36" s="26">
        <f>[2]SAS_SA_1T2009!$F$58</f>
        <v>77.287400000000005</v>
      </c>
      <c r="G36" s="44">
        <f>[2]SAS_SA_1T2009!$F$48</f>
        <v>77.234099999999998</v>
      </c>
      <c r="H36" s="25">
        <f>[64]SAS_SA_2T2009!$F$54</f>
        <v>74.432599999999994</v>
      </c>
      <c r="I36" s="26">
        <f>[64]SAS_SA_2T2009!$F$58</f>
        <v>77.365399999999994</v>
      </c>
      <c r="J36" s="44">
        <f>[64]SAS_SA_2T2009!$F$48</f>
        <v>77.310199999999995</v>
      </c>
      <c r="K36" s="25">
        <f>[3]SAS_SA_3T2009!$F$54</f>
        <v>74.447100000000006</v>
      </c>
      <c r="L36" s="26">
        <f>[3]SAS_SA_3T2009!$F$58</f>
        <v>77.4452</v>
      </c>
      <c r="M36" s="44">
        <f>[3]SAS_SA_3T2009!$F$48</f>
        <v>77.388000000000005</v>
      </c>
      <c r="N36" s="25">
        <f>[4]SAS_SA_4T2009!$F$54</f>
        <v>74.483800000000002</v>
      </c>
      <c r="O36" s="26">
        <f>[4]SAS_SA_4T2009!$F$58</f>
        <v>77.511099999999999</v>
      </c>
      <c r="P36" s="27">
        <f>[4]SAS_SA_4T2009!$F$48</f>
        <v>77.452500000000001</v>
      </c>
      <c r="Q36" s="25">
        <f>[5]SAS_SA_1T2010!$F$54</f>
        <v>74.554400000000001</v>
      </c>
      <c r="R36" s="26">
        <f>[5]SAS_SA_1T2010!$F$58</f>
        <v>77.600999999999999</v>
      </c>
      <c r="S36" s="27">
        <f>[5]SAS_SA_1T2010!$F$48</f>
        <v>77.541399999999996</v>
      </c>
      <c r="T36" s="25">
        <f>[65]SAS_SA_2T2010!$F$54</f>
        <v>74.642499999999998</v>
      </c>
      <c r="U36" s="26">
        <f>[65]SAS_SA_2T2010!$F$58</f>
        <v>77.741299999999995</v>
      </c>
      <c r="V36" s="27">
        <f>[65]SAS_SA_2T2010!$F$48</f>
        <v>77.680400000000006</v>
      </c>
      <c r="W36" s="25">
        <f>[6]SAS_SA_3T2010!$F$54</f>
        <v>74.703599999999994</v>
      </c>
      <c r="X36" s="26">
        <f>[6]SAS_SA_3T2010!$F$58</f>
        <v>77.845299999999995</v>
      </c>
      <c r="Y36" s="27">
        <f>[6]SAS_SA_3T2010!$F$48</f>
        <v>77.782899999999998</v>
      </c>
      <c r="Z36" s="25">
        <f>[7]SAS_SA_2010_4T!$F$54</f>
        <v>74.662000000000006</v>
      </c>
      <c r="AA36" s="26">
        <f>[7]SAS_SA_2010_4T!$F$58</f>
        <v>77.855999999999995</v>
      </c>
      <c r="AB36" s="44">
        <f>[7]SAS_SA_2010_4T!$F$48</f>
        <v>77.791399999999996</v>
      </c>
      <c r="AC36" s="25">
        <f>[8]SAS_SA_2011_1T!$F$53</f>
        <v>74.694599999999994</v>
      </c>
      <c r="AD36" s="26">
        <f>[8]SAS_SA_2011_1T!$F$56</f>
        <v>77.957499999999996</v>
      </c>
      <c r="AE36" s="44">
        <f>[8]SAS_SA_2011_1T!$F$48</f>
        <v>77.891000000000005</v>
      </c>
      <c r="AF36" s="25">
        <f>[9]SAS_SA_2011_2T!$F$53</f>
        <v>74.786299999999997</v>
      </c>
      <c r="AG36" s="26">
        <f>[9]SAS_SA_2011_2T!$F$56</f>
        <v>78.046400000000006</v>
      </c>
      <c r="AH36" s="44">
        <f>[9]SAS_SA_2011_2T!$F$48</f>
        <v>77.979299999999995</v>
      </c>
      <c r="AI36" s="25">
        <f>[10]SAS_SA_2011_3T!$F$53</f>
        <v>75.037300000000002</v>
      </c>
      <c r="AJ36" s="26">
        <f>[10]SAS_SA_2011_3T!$F$56</f>
        <v>78.289599999999993</v>
      </c>
      <c r="AK36" s="44">
        <f>[10]SAS_SA_2011_3T!$F$48</f>
        <v>78.222700000000003</v>
      </c>
      <c r="AL36" s="25">
        <f>[11]SAS_SA_2011_4T!$F$53</f>
        <v>74.930599999999998</v>
      </c>
      <c r="AM36" s="26">
        <f>[11]SAS_SA_2011_4T!$F$56</f>
        <v>78.197599999999994</v>
      </c>
      <c r="AN36" s="44">
        <f>[11]SAS_SA_2011_4T!$F$48</f>
        <v>78.128600000000006</v>
      </c>
      <c r="AO36" s="25">
        <f>'[12]120612-17H07S59-PROGRAM-TdB_STO'!$F$53</f>
        <v>74.990300000000005</v>
      </c>
      <c r="AP36" s="26">
        <f>'[12]120612-17H07S59-PROGRAM-TdB_STO'!$F$56</f>
        <v>78.2881</v>
      </c>
      <c r="AQ36" s="44">
        <f>'[12]120612-17H07S59-PROGRAM-TdB_STO'!$F$48</f>
        <v>78.217699999999994</v>
      </c>
      <c r="AR36" s="25">
        <f>[13]SAS_SA_2012_2T!$F$53</f>
        <v>75.026499999999999</v>
      </c>
      <c r="AS36" s="26">
        <f>[13]SAS_SA_2012_2T!$F$56</f>
        <v>78.365899999999996</v>
      </c>
      <c r="AT36" s="44">
        <f>[13]SAS_SA_2012_2T!$F$48</f>
        <v>78.293999999999997</v>
      </c>
      <c r="AU36" s="25">
        <f>'[14]121105-09H31S06-PROGRAM-TdB_STO'!$F$53</f>
        <v>75.116900000000001</v>
      </c>
      <c r="AV36" s="26">
        <f>'[14]121105-09H31S06-PROGRAM-TdB_STO'!$F$56</f>
        <v>78.449100000000001</v>
      </c>
      <c r="AW36" s="44">
        <f>'[14]121105-09H31S06-PROGRAM-TdB_STO'!$F$48</f>
        <v>78.376599999999996</v>
      </c>
      <c r="AX36" s="25">
        <f>[15]SAS_SA_2012_4T!$F$53</f>
        <v>75.145099999999999</v>
      </c>
      <c r="AY36" s="26">
        <f>[15]SAS_SA_2012_4T!$F$56</f>
        <v>78.525800000000004</v>
      </c>
      <c r="AZ36" s="44">
        <f>[15]SAS_SA_2012_4T!$F$48</f>
        <v>78.451499999999996</v>
      </c>
      <c r="BA36" s="25">
        <f>[16]SAS_SA_2013_1T!$F$53</f>
        <v>75.256900000000002</v>
      </c>
      <c r="BB36" s="26">
        <f>[16]SAS_SA_2013_1T!$F$56</f>
        <v>78.631900000000002</v>
      </c>
      <c r="BC36" s="44">
        <f>[16]SAS_SA_2013_1T!$F$48</f>
        <v>78.556799999999996</v>
      </c>
      <c r="BD36" s="25">
        <f>[17]SAS_SA_2013_2T!$F$53</f>
        <v>75.285799999999995</v>
      </c>
      <c r="BE36" s="26">
        <f>[17]SAS_SA_2013_2T!$F$56</f>
        <v>78.710099999999997</v>
      </c>
      <c r="BF36" s="44">
        <f>[17]SAS_SA_2013_2T!$F$48</f>
        <v>78.633300000000006</v>
      </c>
      <c r="BG36" s="25">
        <f>[18]SAS_SA_2013_3T!$F$53</f>
        <v>75.356800000000007</v>
      </c>
      <c r="BH36" s="26">
        <f>[18]SAS_SA_2013_3T!$F$56</f>
        <v>78.788200000000003</v>
      </c>
      <c r="BI36" s="44">
        <f>[18]SAS_SA_2013_3T!$F$48</f>
        <v>78.710400000000007</v>
      </c>
      <c r="BJ36" s="25">
        <f>[19]SAS_SA_2013_4T!$F$53</f>
        <v>75.410799999999995</v>
      </c>
      <c r="BK36" s="26">
        <f>[19]SAS_SA_2013_4T!$F$56</f>
        <v>78.849199999999996</v>
      </c>
      <c r="BL36" s="44">
        <f>[19]SAS_SA_2013_4T!$F$48</f>
        <v>78.770300000000006</v>
      </c>
      <c r="BM36" s="25">
        <f>[20]SAS_SA_2014_1T!$F$53</f>
        <v>75.455600000000004</v>
      </c>
      <c r="BN36" s="26">
        <f>[20]SAS_SA_2014_1T!$F$56</f>
        <v>78.937399999999997</v>
      </c>
      <c r="BO36" s="44">
        <f>[20]SAS_SA_2014_1T!$F$48</f>
        <v>78.856200000000001</v>
      </c>
      <c r="BP36" s="25">
        <f>[21]SAS_SA_2014_2T!$F$53</f>
        <v>75.514799999999994</v>
      </c>
      <c r="BQ36" s="26">
        <f>[21]SAS_SA_2014_2T!$F$56</f>
        <v>79.023700000000005</v>
      </c>
      <c r="BR36" s="44">
        <f>[21]SAS_SA_2014_2T!$F$48</f>
        <v>78.941199999999995</v>
      </c>
      <c r="BS36" s="25">
        <f>[22]SAS_SA_2014_3T!$F$53</f>
        <v>75.593100000000007</v>
      </c>
      <c r="BT36" s="26">
        <f>[22]SAS_SA_2014_3T!$F$56</f>
        <v>79.117099999999994</v>
      </c>
      <c r="BU36" s="44">
        <f>[22]SAS_SA_2014_3T!$F$48</f>
        <v>79.033900000000003</v>
      </c>
      <c r="BV36" s="25">
        <f>[23]SAS_SA_2014_4T!$F$53</f>
        <v>75.7</v>
      </c>
      <c r="BW36" s="26">
        <f>[23]SAS_SA_2014_4T!$F$56</f>
        <v>79.2</v>
      </c>
      <c r="BX36" s="44">
        <f>[23]SAS_SA_2014_4T!$F$48</f>
        <v>79.099999999999994</v>
      </c>
      <c r="BY36" s="25">
        <f>[24]SAS_SA_2015_1T!$F$53</f>
        <v>75.7</v>
      </c>
      <c r="BZ36" s="26">
        <f>[24]SAS_SA_2015_1T!$F$56</f>
        <v>79.3</v>
      </c>
      <c r="CA36" s="44">
        <f>[24]SAS_SA_2015_1T!$F$48</f>
        <v>79.2</v>
      </c>
      <c r="CB36" s="25">
        <f>[25]SAS_SA_2015_2T!$F$53</f>
        <v>75.7821</v>
      </c>
      <c r="CC36" s="26">
        <f>[25]SAS_SA_2015_2T!$F$56</f>
        <v>79.311599999999999</v>
      </c>
      <c r="CD36" s="44">
        <f>[25]SAS_SA_2015_2T!$F$48</f>
        <v>79.225999999999999</v>
      </c>
      <c r="CE36" s="25">
        <f>[26]SAS_SA_2015_3T!$F$53</f>
        <v>75.900000000000006</v>
      </c>
      <c r="CF36" s="26">
        <f>[26]SAS_SA_2015_3T!$F$56</f>
        <v>79.400000000000006</v>
      </c>
      <c r="CG36" s="44">
        <f>[26]SAS_SA_2015_3T!$F$48</f>
        <v>79.3</v>
      </c>
      <c r="CH36" s="25">
        <f>[27]SAS_SA_2015_4T!$F$53</f>
        <v>75.894300000000001</v>
      </c>
      <c r="CI36" s="26">
        <f>[27]SAS_SA_2015_4T!$F$56</f>
        <v>79.412300000000002</v>
      </c>
      <c r="CJ36" s="44">
        <f>[27]SAS_SA_2015_4T!$F$48</f>
        <v>79.3249</v>
      </c>
      <c r="CK36" s="25">
        <f>[28]SAS_SA_2016_1T!$F$53</f>
        <v>75.892099999999999</v>
      </c>
      <c r="CL36" s="26">
        <f>[28]SAS_SA_2016_1T!$F$56</f>
        <v>79.496600000000001</v>
      </c>
      <c r="CM36" s="44">
        <f>[28]SAS_SA_2016_1T!$F$48</f>
        <v>79.405900000000003</v>
      </c>
      <c r="CN36" s="25">
        <f>'[29]160822-11H12S04-PROGRAM-TdB_STO'!$F$53</f>
        <v>75.900999999999996</v>
      </c>
      <c r="CO36" s="26">
        <f>'[29]160822-11H12S04-PROGRAM-TdB_STO'!$F$56</f>
        <v>79.5685</v>
      </c>
      <c r="CP36" s="44">
        <f>'[29]160822-11H12S04-PROGRAM-TdB_STO'!$F$48</f>
        <v>79.475499999999997</v>
      </c>
      <c r="CQ36" s="147">
        <f>[30]SAS_SA_2016_3T!$F$53</f>
        <v>76.000699999999995</v>
      </c>
      <c r="CR36" s="148">
        <f>[30]SAS_SA_2016_3T!$F$56</f>
        <v>79.636600000000001</v>
      </c>
      <c r="CS36" s="149">
        <f>[30]SAS_SA_2016_3T!$F$48</f>
        <v>79.543300000000002</v>
      </c>
      <c r="CT36" s="147">
        <f>[31]SAS_SA_2016_4T!$F$53</f>
        <v>76.024900000000002</v>
      </c>
      <c r="CU36" s="148">
        <f>[31]SAS_SA_2016_4T!$F$56</f>
        <v>79.682900000000004</v>
      </c>
      <c r="CV36" s="149">
        <f>[31]SAS_SA_2016_4T!$F$48</f>
        <v>79.587699999999998</v>
      </c>
      <c r="CW36" s="147">
        <f>[32]SAS_SA_2017_1T!$F$53</f>
        <v>76.019900000000007</v>
      </c>
      <c r="CX36" s="148">
        <f>[32]SAS_SA_2017_1T!$F$56</f>
        <v>79.723500000000001</v>
      </c>
      <c r="CY36" s="149">
        <f>[32]SAS_SA_2017_1T!$F$48</f>
        <v>79.626000000000005</v>
      </c>
      <c r="CZ36" s="147">
        <f>[33]SAS_SA_2017_2T!$F$53</f>
        <v>76.119799999999998</v>
      </c>
      <c r="DA36" s="148">
        <f>[33]SAS_SA_2017_2T!$F$56</f>
        <v>79.792299999999997</v>
      </c>
      <c r="DB36" s="149">
        <f>[33]SAS_SA_2017_2T!$F$48</f>
        <v>79.694800000000001</v>
      </c>
      <c r="DC36" s="147">
        <f>[34]SAS_SA_2017_3T!$F$53</f>
        <v>76.173000000000002</v>
      </c>
      <c r="DD36" s="148">
        <f>[34]SAS_SA_2017_3T!$F$56</f>
        <v>79.865600000000001</v>
      </c>
      <c r="DE36" s="149">
        <f>[34]SAS_SA_2017_3T!$F$48</f>
        <v>79.766400000000004</v>
      </c>
      <c r="DF36" s="147">
        <f>[35]SAS_SA_2017_4T!$F$53</f>
        <v>76.230800000000002</v>
      </c>
      <c r="DG36" s="148">
        <f>[35]SAS_SA_2017_4T!$F$56</f>
        <v>79.920299999999997</v>
      </c>
      <c r="DH36" s="149">
        <f>[35]SAS_SA_2017_4T!$F$48</f>
        <v>79.819900000000004</v>
      </c>
      <c r="DI36" s="147">
        <f>[36]SAS_SA_2018_1T!$F$53</f>
        <v>76.326499999999996</v>
      </c>
      <c r="DJ36" s="148">
        <f>[36]SAS_SA_2018_1T!$F$56</f>
        <v>80.004900000000006</v>
      </c>
      <c r="DK36" s="149">
        <f>[36]SAS_SA_2018_1T!$F$48</f>
        <v>79.904300000000006</v>
      </c>
      <c r="DL36" s="147">
        <f>[37]SAS_SA_2018_2T!$F$53</f>
        <v>76.381500000000003</v>
      </c>
      <c r="DM36" s="148">
        <f>[37]SAS_SA_2018_2T!$F$56</f>
        <v>80.054599999999994</v>
      </c>
      <c r="DN36" s="149">
        <f>[37]SAS_SA_2018_2T!$F$48</f>
        <v>79.953199999999995</v>
      </c>
      <c r="DO36" s="147">
        <f>[38]SAS_SA_2018_3T!$F$53</f>
        <v>76.466300000000004</v>
      </c>
      <c r="DP36" s="148">
        <f>[38]SAS_SA_2018_3T!$F$56</f>
        <v>80.131500000000003</v>
      </c>
      <c r="DQ36" s="149">
        <f>[38]SAS_SA_2018_3T!$F$48</f>
        <v>80.029600000000002</v>
      </c>
      <c r="DR36" s="147">
        <f>'[39]190227-14H32S38-PROGRAM-TdB_STO'!$F$53</f>
        <v>76.547899999999998</v>
      </c>
      <c r="DS36" s="148">
        <f>'[39]190227-14H32S38-PROGRAM-TdB_STO'!$F$56</f>
        <v>80.183199999999999</v>
      </c>
      <c r="DT36" s="149">
        <f>'[39]190227-14H32S38-PROGRAM-TdB_STO'!$F$48</f>
        <v>80.081199999999995</v>
      </c>
      <c r="DU36" s="214">
        <f>[40]SAS_SA_2019_1T!$F$53</f>
        <v>76.616799999999998</v>
      </c>
      <c r="DV36" s="215">
        <f>[40]SAS_SA_2019_1T!$F$56</f>
        <v>80.241799999999998</v>
      </c>
      <c r="DW36" s="216">
        <f>[40]SAS_SA_2019_1T!$F$48</f>
        <v>80.138999999999996</v>
      </c>
      <c r="DX36" s="214">
        <f>[41]SAS_SA_2019_2T!$F$53</f>
        <v>76.687200000000004</v>
      </c>
      <c r="DY36" s="215">
        <f>[41]SAS_SA_2019_2T!$F$56</f>
        <v>80.304299999999998</v>
      </c>
      <c r="DZ36" s="216">
        <f>[41]SAS_SA_2019_2T!$F$48</f>
        <v>80.201499999999996</v>
      </c>
      <c r="EA36" s="214">
        <f>[42]SAS_SA_2019_3T!$F$53</f>
        <v>76.818100000000001</v>
      </c>
      <c r="EB36" s="215">
        <f>[42]SAS_SA_2019_3T!$F$56</f>
        <v>80.375699999999995</v>
      </c>
      <c r="EC36" s="216">
        <f>[42]SAS_SA_2019_3T!$F$48</f>
        <v>80.274199999999993</v>
      </c>
      <c r="ED36" s="214">
        <f>[43]SAS_SA_2019_4T!$F$53</f>
        <v>76.844499999999996</v>
      </c>
      <c r="EE36" s="215">
        <f>[43]SAS_SA_2019_4T!$F$56</f>
        <v>80.402600000000007</v>
      </c>
      <c r="EF36" s="216">
        <f>[43]SAS_SA_2019_4T!$F$48</f>
        <v>80.299300000000002</v>
      </c>
      <c r="EG36" s="214">
        <f>[44]SAS_SA_2020_1T!$F$54</f>
        <v>76.983800000000002</v>
      </c>
      <c r="EH36" s="215">
        <f>[44]SAS_SA_2020_1T!$F$57</f>
        <v>80.4786</v>
      </c>
      <c r="EI36" s="216">
        <f>[44]SAS_SA_2020_1T!$F$49</f>
        <v>80.376300000000001</v>
      </c>
      <c r="EJ36" s="214">
        <f>[45]SAS_SA_2020_2T!$F$54</f>
        <v>77.081699999999998</v>
      </c>
      <c r="EK36" s="215">
        <f>[45]SAS_SA_2020_2T!$F$57</f>
        <v>80.512</v>
      </c>
      <c r="EL36" s="216">
        <f>[45]SAS_SA_2020_2T!$F$49</f>
        <v>80.410700000000006</v>
      </c>
      <c r="EM36" s="214">
        <f>[46]SAS_SA_2020_3T!$F$54</f>
        <v>77.196100000000001</v>
      </c>
      <c r="EN36" s="215">
        <f>[46]SAS_SA_2020_3T!$F$57</f>
        <v>80.5822</v>
      </c>
      <c r="EO36" s="216">
        <f>[46]SAS_SA_2020_3T!$F$49</f>
        <v>80.481499999999997</v>
      </c>
      <c r="EP36" s="214">
        <f>[47]SAS_SA_2020_4T!$F54</f>
        <v>77.3</v>
      </c>
      <c r="EQ36" s="215">
        <f>[47]SAS_SA_2020_4T!$F57</f>
        <v>80.615200000000002</v>
      </c>
      <c r="ER36" s="216">
        <f>[47]SAS_SA_2020_4T!$F49</f>
        <v>80.5154</v>
      </c>
      <c r="ES36" s="214">
        <f>[48]SAS_SA_2021_1T!$F54</f>
        <v>77.334999999999994</v>
      </c>
      <c r="ET36" s="215">
        <f>[48]SAS_SA_2021_1T!$F57</f>
        <v>80.653999999999996</v>
      </c>
      <c r="EU36" s="216">
        <f>[48]SAS_SA_2021_1T!$F49</f>
        <v>80.552999999999997</v>
      </c>
      <c r="EV36" s="214">
        <f>[49]SAS_SA_2021_2T!$F54</f>
        <v>77.444100000000006</v>
      </c>
      <c r="EW36" s="215">
        <f>[49]SAS_SA_2021_2T!$F57</f>
        <v>80.690299999999993</v>
      </c>
      <c r="EX36" s="216">
        <f>[49]SAS_SA_2021_2T!$F49</f>
        <v>80.591300000000004</v>
      </c>
      <c r="EY36" s="214">
        <f>[50]SAS_SA_2021_3T!$F54</f>
        <v>77.567400000000006</v>
      </c>
      <c r="EZ36" s="215">
        <f>[50]SAS_SA_2021_3T!$F57</f>
        <v>80.752399999999994</v>
      </c>
      <c r="FA36" s="216">
        <f>[50]SAS_SA_2021_3T!$F49</f>
        <v>80.654499999999999</v>
      </c>
      <c r="FB36" s="371">
        <f>[66]SAS_SA_2021_4T!$F$38</f>
        <v>77.672698757389298</v>
      </c>
      <c r="FC36" s="372">
        <f>[66]SAS_SA_2021_4T!$F$41</f>
        <v>80.794724316896094</v>
      </c>
      <c r="FD36" s="373">
        <f>[66]SAS_SA_2021_4T!$F$33</f>
        <v>80.697926465940199</v>
      </c>
      <c r="FE36" s="214">
        <f>[52]SAS_SA_2022_1T!$F$38</f>
        <v>77.718385272530398</v>
      </c>
      <c r="FF36" s="215">
        <f>[52]SAS_SA_2022_1T!$F$41</f>
        <v>80.849204297899107</v>
      </c>
      <c r="FG36" s="216">
        <f>[52]SAS_SA_2022_1T!$F$33</f>
        <v>80.751236353984098</v>
      </c>
      <c r="FH36" s="214">
        <f>[53]SAS_SA_2022_2T!$F$38</f>
        <v>77.831228196800197</v>
      </c>
      <c r="FI36" s="215">
        <f>[53]SAS_SA_2022_2T!$F$41</f>
        <v>80.874213270466697</v>
      </c>
      <c r="FJ36" s="216">
        <f>[53]SAS_SA_2022_2T!$F$33</f>
        <v>80.778350427560994</v>
      </c>
      <c r="FK36" s="214">
        <f>[54]SAS_SA_2022_3T!$F$38</f>
        <v>77.953182282589097</v>
      </c>
      <c r="FL36" s="215">
        <f>[54]SAS_SA_2022_3T!$F$41</f>
        <v>80.930364544501401</v>
      </c>
      <c r="FM36" s="216">
        <f>[54]SAS_SA_2022_3T!$F$33</f>
        <v>80.836002682047805</v>
      </c>
      <c r="FN36" s="147">
        <f>[55]SAS_SA_2022_4T!$F$38</f>
        <v>78.021395181589398</v>
      </c>
      <c r="FO36" s="148">
        <f>[55]SAS_SA_2022_4T!$F$41</f>
        <v>80.954050525233001</v>
      </c>
      <c r="FP36" s="149">
        <f>[55]SAS_SA_2022_4T!$F$33</f>
        <v>80.860338276749602</v>
      </c>
      <c r="FQ36" s="147">
        <f>[56]SAS_SA_2023_1T!$F$38</f>
        <v>78.072197631295595</v>
      </c>
      <c r="FR36" s="148">
        <f>[56]SAS_SA_2023_1T!$F$41</f>
        <v>80.986974013785201</v>
      </c>
      <c r="FS36" s="149">
        <f>[56]SAS_SA_2023_1T!$F$33</f>
        <v>80.893003908894102</v>
      </c>
      <c r="FT36" s="147">
        <f>[57]SAS_SA_2023_2T!$F$38</f>
        <v>78.185916164808305</v>
      </c>
      <c r="FU36" s="148">
        <f>[57]SAS_SA_2023_2T!$F$41</f>
        <v>81.022513605142294</v>
      </c>
      <c r="FV36" s="149">
        <f>[57]SAS_SA_2023_2T!$F$33</f>
        <v>80.930291346077396</v>
      </c>
      <c r="FW36" s="147">
        <f>[58]SAS_SA_2023_3T!$F$38</f>
        <v>78.319919517102605</v>
      </c>
      <c r="FX36" s="148">
        <f>[58]SAS_SA_2023_3T!$F$41</f>
        <v>81.0717788290453</v>
      </c>
      <c r="FY36" s="149">
        <f>[58]SAS_SA_2023_3T!$F$33</f>
        <v>80.981360602154098</v>
      </c>
      <c r="FZ36" s="147">
        <f>[59]SAS_SA_2023_4T!$F$38</f>
        <v>78.425236925237002</v>
      </c>
      <c r="GA36" s="148">
        <f>[59]SAS_SA_2023_4T!$F$41</f>
        <v>81.1019610525194</v>
      </c>
      <c r="GB36" s="149">
        <f>[59]SAS_SA_2023_4T!$F$33</f>
        <v>81.012980699110301</v>
      </c>
      <c r="GC36" s="147">
        <f>[60]SAS_SA_2024_1T!$F$38</f>
        <v>78.485806641199005</v>
      </c>
      <c r="GD36" s="148">
        <f>[60]SAS_SA_2024_1T!$F$41</f>
        <v>81.144626472581507</v>
      </c>
      <c r="GE36" s="149">
        <f>[60]SAS_SA_2024_1T!$F$33</f>
        <v>81.055896064975101</v>
      </c>
      <c r="GF36" s="147">
        <f>[61]SAS_SA_2024_2T!$F$38</f>
        <v>78.625036836211507</v>
      </c>
      <c r="GG36" s="148">
        <f>[61]SAS_SA_2024_2T!$F$41</f>
        <v>81.189083489897797</v>
      </c>
      <c r="GH36" s="149">
        <f>[61]SAS_SA_2024_2T!$F$33</f>
        <v>81.103126555967407</v>
      </c>
      <c r="GI36" s="147">
        <f>[62]SAS_SA_2024_3T!$F$38</f>
        <v>78.720964422228803</v>
      </c>
      <c r="GJ36" s="148">
        <f>[62]SAS_SA_2024_3T!$F$41</f>
        <v>81.232074280225206</v>
      </c>
      <c r="GK36" s="149">
        <f>[62]SAS_SA_2024_3T!$F$33</f>
        <v>81.147208464834506</v>
      </c>
      <c r="GL36" s="147">
        <f>[63]SAS_SA_2024_4T!$F$38</f>
        <v>78.797156564474605</v>
      </c>
      <c r="GM36" s="148">
        <f>[63]SAS_SA_2024_4T!$F$41</f>
        <v>81.256653030544001</v>
      </c>
      <c r="GN36" s="149">
        <f>[63]SAS_SA_2024_4T!$F$33</f>
        <v>81.172803159501001</v>
      </c>
    </row>
    <row r="37" spans="1:196" x14ac:dyDescent="0.25">
      <c r="A37" s="39" t="s">
        <v>4</v>
      </c>
      <c r="B37" s="25">
        <f>[1]SAS_SA_4T2008!$F$55</f>
        <v>78.983099999999993</v>
      </c>
      <c r="C37" s="26">
        <f>[1]SAS_SA_4T2008!$F$59</f>
        <v>79.200599999999994</v>
      </c>
      <c r="D37" s="44">
        <f>[1]SAS_SA_4T2008!$F$49</f>
        <v>79.179400000000001</v>
      </c>
      <c r="E37" s="25">
        <f>[2]SAS_SA_1T2009!$F$55</f>
        <v>79.073700000000002</v>
      </c>
      <c r="F37" s="26">
        <f>[2]SAS_SA_1T2009!$F$59</f>
        <v>79.303700000000006</v>
      </c>
      <c r="G37" s="44">
        <f>[2]SAS_SA_1T2009!$F$49</f>
        <v>79.281199999999998</v>
      </c>
      <c r="H37" s="25">
        <f>[64]SAS_SA_2T2009!$F$55</f>
        <v>79.1494</v>
      </c>
      <c r="I37" s="26">
        <f>[64]SAS_SA_2T2009!$F$59</f>
        <v>79.405299999999997</v>
      </c>
      <c r="J37" s="44">
        <f>[64]SAS_SA_2T2009!$F$49</f>
        <v>79.380099999999999</v>
      </c>
      <c r="K37" s="25">
        <f>[3]SAS_SA_3T2009!$F$55</f>
        <v>79.234499999999997</v>
      </c>
      <c r="L37" s="26">
        <f>[3]SAS_SA_3T2009!$F$59</f>
        <v>79.481800000000007</v>
      </c>
      <c r="M37" s="44">
        <f>[3]SAS_SA_3T2009!$F$49</f>
        <v>79.4572</v>
      </c>
      <c r="N37" s="25">
        <f>[4]SAS_SA_4T2009!$F$55</f>
        <v>79.315100000000001</v>
      </c>
      <c r="O37" s="26">
        <f>[4]SAS_SA_4T2009!$F$59</f>
        <v>79.551199999999994</v>
      </c>
      <c r="P37" s="27">
        <f>[4]SAS_SA_4T2009!$F$49</f>
        <v>79.527500000000003</v>
      </c>
      <c r="Q37" s="25">
        <f>[5]SAS_SA_1T2010!$F$55</f>
        <v>79.403599999999997</v>
      </c>
      <c r="R37" s="26">
        <f>[5]SAS_SA_1T2010!$F$59</f>
        <v>79.647300000000001</v>
      </c>
      <c r="S37" s="27">
        <f>[5]SAS_SA_1T2010!$F$49</f>
        <v>79.622699999999995</v>
      </c>
      <c r="T37" s="25">
        <f>[65]SAS_SA_2T2010!$F$55</f>
        <v>79.495800000000003</v>
      </c>
      <c r="U37" s="26">
        <f>[65]SAS_SA_2T2010!$F$59</f>
        <v>79.744699999999995</v>
      </c>
      <c r="V37" s="27">
        <f>[65]SAS_SA_2T2010!$F$49</f>
        <v>79.719399999999993</v>
      </c>
      <c r="W37" s="25">
        <f>[6]SAS_SA_3T2010!$F$55</f>
        <v>79.573599999999999</v>
      </c>
      <c r="X37" s="26">
        <f>[6]SAS_SA_3T2010!$F$59</f>
        <v>79.832599999999999</v>
      </c>
      <c r="Y37" s="27">
        <f>[6]SAS_SA_3T2010!$F$49</f>
        <v>79.806200000000004</v>
      </c>
      <c r="Z37" s="25">
        <f>[7]SAS_SA_2010_4T!$F$55</f>
        <v>79.660899999999998</v>
      </c>
      <c r="AA37" s="26">
        <f>[7]SAS_SA_2010_4T!$F$59</f>
        <v>79.919700000000006</v>
      </c>
      <c r="AB37" s="44">
        <f>[7]SAS_SA_2010_4T!$F$49</f>
        <v>79.893100000000004</v>
      </c>
      <c r="AC37" s="25">
        <f>[8]SAS_SA_2011_1T!$F$54</f>
        <v>79.731099999999998</v>
      </c>
      <c r="AD37" s="26">
        <f>[8]SAS_SA_2011_1T!$F$57</f>
        <v>79.999799999999993</v>
      </c>
      <c r="AE37" s="44">
        <f>[8]SAS_SA_2011_1T!$F$49</f>
        <v>79.971999999999994</v>
      </c>
      <c r="AF37" s="25">
        <f>[9]SAS_SA_2011_2T!$F$54</f>
        <v>79.813699999999997</v>
      </c>
      <c r="AG37" s="26">
        <f>[9]SAS_SA_2011_2T!$F$57</f>
        <v>80.090800000000002</v>
      </c>
      <c r="AH37" s="44">
        <f>[9]SAS_SA_2011_2T!$F$49</f>
        <v>80.061999999999998</v>
      </c>
      <c r="AI37" s="25">
        <f>[10]SAS_SA_2011_3T!$F$54</f>
        <v>80.058099999999996</v>
      </c>
      <c r="AJ37" s="26">
        <f>[10]SAS_SA_2011_3T!$F$57</f>
        <v>80.337400000000002</v>
      </c>
      <c r="AK37" s="44">
        <f>[10]SAS_SA_2011_3T!$F$49</f>
        <v>80.308300000000003</v>
      </c>
      <c r="AL37" s="25">
        <f>[11]SAS_SA_2011_4T!$F$54</f>
        <v>80.003100000000003</v>
      </c>
      <c r="AM37" s="26">
        <f>[11]SAS_SA_2011_4T!$F$57</f>
        <v>80.282499999999999</v>
      </c>
      <c r="AN37" s="44">
        <f>[11]SAS_SA_2011_4T!$F$49</f>
        <v>80.253200000000007</v>
      </c>
      <c r="AO37" s="25">
        <f>'[12]120612-17H07S59-PROGRAM-TdB_STO'!$F$54</f>
        <v>80.096599999999995</v>
      </c>
      <c r="AP37" s="26">
        <f>'[12]120612-17H07S59-PROGRAM-TdB_STO'!$F$57</f>
        <v>80.371600000000001</v>
      </c>
      <c r="AQ37" s="44">
        <f>'[12]120612-17H07S59-PROGRAM-TdB_STO'!$F$49</f>
        <v>80.342699999999994</v>
      </c>
      <c r="AR37" s="25">
        <f>[13]SAS_SA_2012_2T!$F$54</f>
        <v>80.188299999999998</v>
      </c>
      <c r="AS37" s="26">
        <f>[13]SAS_SA_2012_2T!$F$57</f>
        <v>80.462400000000002</v>
      </c>
      <c r="AT37" s="44">
        <f>[13]SAS_SA_2012_2T!$F$49</f>
        <v>80.433499999999995</v>
      </c>
      <c r="AU37" s="25">
        <f>'[14]121105-09H31S06-PROGRAM-TdB_STO'!$F$54</f>
        <v>80.298699999999997</v>
      </c>
      <c r="AV37" s="26">
        <f>'[14]121105-09H31S06-PROGRAM-TdB_STO'!$F$57</f>
        <v>80.5548</v>
      </c>
      <c r="AW37" s="44">
        <f>'[14]121105-09H31S06-PROGRAM-TdB_STO'!$F$49</f>
        <v>80.527699999999996</v>
      </c>
      <c r="AX37" s="25">
        <f>[15]SAS_SA_2012_4T!$F$54</f>
        <v>80.4114</v>
      </c>
      <c r="AY37" s="26">
        <f>[15]SAS_SA_2012_4T!$F$57</f>
        <v>80.651399999999995</v>
      </c>
      <c r="AZ37" s="44">
        <f>[15]SAS_SA_2012_4T!$F$49</f>
        <v>80.625799999999998</v>
      </c>
      <c r="BA37" s="25">
        <f>[16]SAS_SA_2013_1T!$F$54</f>
        <v>80.488</v>
      </c>
      <c r="BB37" s="26">
        <f>[16]SAS_SA_2013_1T!$F$57</f>
        <v>80.740600000000001</v>
      </c>
      <c r="BC37" s="44">
        <f>[16]SAS_SA_2013_1T!$F$49</f>
        <v>80.713700000000003</v>
      </c>
      <c r="BD37" s="25">
        <f>[17]SAS_SA_2013_2T!$F$54</f>
        <v>80.585099999999997</v>
      </c>
      <c r="BE37" s="26">
        <f>[17]SAS_SA_2013_2T!$F$57</f>
        <v>80.825999999999993</v>
      </c>
      <c r="BF37" s="44">
        <f>[17]SAS_SA_2013_2T!$F$49</f>
        <v>80.800200000000004</v>
      </c>
      <c r="BG37" s="25">
        <f>[18]SAS_SA_2013_3T!$F$54</f>
        <v>80.624799999999993</v>
      </c>
      <c r="BH37" s="26">
        <f>[18]SAS_SA_2013_3T!$F$57</f>
        <v>80.887200000000007</v>
      </c>
      <c r="BI37" s="44">
        <f>[18]SAS_SA_2013_3T!$F$49</f>
        <v>80.858999999999995</v>
      </c>
      <c r="BJ37" s="25">
        <f>[19]SAS_SA_2013_4T!$F$54</f>
        <v>80.668599999999998</v>
      </c>
      <c r="BK37" s="26">
        <f>[19]SAS_SA_2013_4T!$F$57</f>
        <v>80.955100000000002</v>
      </c>
      <c r="BL37" s="44">
        <f>[19]SAS_SA_2013_4T!$F$49</f>
        <v>80.924300000000002</v>
      </c>
      <c r="BM37" s="25">
        <f>[20]SAS_SA_2014_1T!$F$54</f>
        <v>80.7624</v>
      </c>
      <c r="BN37" s="26">
        <f>[20]SAS_SA_2014_1T!$F$57</f>
        <v>81.039500000000004</v>
      </c>
      <c r="BO37" s="44">
        <f>[20]SAS_SA_2014_1T!$F$49</f>
        <v>81.009600000000006</v>
      </c>
      <c r="BP37" s="25">
        <f>[21]SAS_SA_2014_2T!$F$54</f>
        <v>80.832599999999999</v>
      </c>
      <c r="BQ37" s="26">
        <f>[21]SAS_SA_2014_2T!$F$57</f>
        <v>81.134100000000004</v>
      </c>
      <c r="BR37" s="44">
        <f>[21]SAS_SA_2014_2T!$F$49</f>
        <v>81.101500000000001</v>
      </c>
      <c r="BS37" s="25">
        <f>[22]SAS_SA_2014_3T!$F$54</f>
        <v>80.900999999999996</v>
      </c>
      <c r="BT37" s="26">
        <f>[22]SAS_SA_2014_3T!$F$57</f>
        <v>81.214699999999993</v>
      </c>
      <c r="BU37" s="44">
        <f>[22]SAS_SA_2014_3T!$F$49</f>
        <v>81.180800000000005</v>
      </c>
      <c r="BV37" s="25">
        <f>[23]SAS_SA_2014_4T!$F$54</f>
        <v>81</v>
      </c>
      <c r="BW37" s="26">
        <f>[23]SAS_SA_2014_4T!$F$57</f>
        <v>81.3</v>
      </c>
      <c r="BX37" s="44">
        <f>[23]SAS_SA_2014_4T!$F$49</f>
        <v>81.3</v>
      </c>
      <c r="BY37" s="25">
        <f>[24]SAS_SA_2015_1T!$F$54</f>
        <v>81</v>
      </c>
      <c r="BZ37" s="26">
        <f>[24]SAS_SA_2015_1T!$F$57</f>
        <v>81.3</v>
      </c>
      <c r="CA37" s="44">
        <f>[24]SAS_SA_2015_1T!$F$49</f>
        <v>81.3</v>
      </c>
      <c r="CB37" s="25">
        <f>[25]SAS_SA_2015_2T!$F$54</f>
        <v>81.075000000000003</v>
      </c>
      <c r="CC37" s="26">
        <f>[25]SAS_SA_2015_2T!$F$57</f>
        <v>81.401200000000003</v>
      </c>
      <c r="CD37" s="44">
        <f>[25]SAS_SA_2015_2T!$F$49</f>
        <v>81.365600000000001</v>
      </c>
      <c r="CE37" s="25">
        <f>[26]SAS_SA_2015_3T!$F$54</f>
        <v>81.2</v>
      </c>
      <c r="CF37" s="26">
        <f>[26]SAS_SA_2015_3T!$F$57</f>
        <v>81.5</v>
      </c>
      <c r="CG37" s="44">
        <f>[26]SAS_SA_2015_3T!$F$49</f>
        <v>81.400000000000006</v>
      </c>
      <c r="CH37" s="25">
        <f>[27]SAS_SA_2015_4T!$F$54</f>
        <v>81.177400000000006</v>
      </c>
      <c r="CI37" s="26">
        <f>[27]SAS_SA_2015_4T!$F$57</f>
        <v>81.518299999999996</v>
      </c>
      <c r="CJ37" s="44">
        <f>[27]SAS_SA_2015_4T!$F$49</f>
        <v>81.480800000000002</v>
      </c>
      <c r="CK37" s="25">
        <f>[28]SAS_SA_2016_1T!$F$54</f>
        <v>81.253699999999995</v>
      </c>
      <c r="CL37" s="26">
        <f>[28]SAS_SA_2016_1T!$F$57</f>
        <v>81.577699999999993</v>
      </c>
      <c r="CM37" s="44">
        <f>[28]SAS_SA_2016_1T!$F$49</f>
        <v>81.542000000000002</v>
      </c>
      <c r="CN37" s="25">
        <f>'[29]160822-11H12S04-PROGRAM-TdB_STO'!$F$54</f>
        <v>81.313500000000005</v>
      </c>
      <c r="CO37" s="26">
        <f>'[29]160822-11H12S04-PROGRAM-TdB_STO'!$F$57</f>
        <v>81.627200000000002</v>
      </c>
      <c r="CP37" s="44">
        <f>'[29]160822-11H12S04-PROGRAM-TdB_STO'!$F$49</f>
        <v>81.592500000000001</v>
      </c>
      <c r="CQ37" s="147">
        <f>[30]SAS_SA_2016_3T!$F$54</f>
        <v>81.389099999999999</v>
      </c>
      <c r="CR37" s="148">
        <f>[30]SAS_SA_2016_3T!$F$57</f>
        <v>81.690899999999999</v>
      </c>
      <c r="CS37" s="149">
        <f>[30]SAS_SA_2016_3T!$F$49</f>
        <v>81.657499999999999</v>
      </c>
      <c r="CT37" s="147">
        <f>[31]SAS_SA_2016_4T!$F$54</f>
        <v>81.42</v>
      </c>
      <c r="CU37" s="148">
        <f>[31]SAS_SA_2016_4T!$F$57</f>
        <v>81.734800000000007</v>
      </c>
      <c r="CV37" s="149">
        <f>[31]SAS_SA_2016_4T!$F$49</f>
        <v>81.699799999999996</v>
      </c>
      <c r="CW37" s="147">
        <f>[32]SAS_SA_2017_1T!$F$54</f>
        <v>81.441199999999995</v>
      </c>
      <c r="CX37" s="148">
        <f>[32]SAS_SA_2017_1T!$F$57</f>
        <v>81.7774</v>
      </c>
      <c r="CY37" s="149">
        <f>[32]SAS_SA_2017_1T!$F$49</f>
        <v>81.739900000000006</v>
      </c>
      <c r="CZ37" s="147">
        <f>[33]SAS_SA_2017_2T!$F$54</f>
        <v>81.493799999999993</v>
      </c>
      <c r="DA37" s="148">
        <f>[33]SAS_SA_2017_2T!$F$57</f>
        <v>81.829300000000003</v>
      </c>
      <c r="DB37" s="149">
        <f>[33]SAS_SA_2017_2T!$F$49</f>
        <v>81.791899999999998</v>
      </c>
      <c r="DC37" s="147">
        <f>[34]SAS_SA_2017_3T!$F$54</f>
        <v>81.558099999999996</v>
      </c>
      <c r="DD37" s="148">
        <f>[34]SAS_SA_2017_3T!$F$57</f>
        <v>81.889399999999995</v>
      </c>
      <c r="DE37" s="149">
        <f>[34]SAS_SA_2017_3T!$F$49</f>
        <v>81.852400000000003</v>
      </c>
      <c r="DF37" s="147">
        <f>[35]SAS_SA_2017_4T!$F$54</f>
        <v>81.6126</v>
      </c>
      <c r="DG37" s="148">
        <f>[35]SAS_SA_2017_4T!$F$57</f>
        <v>81.932100000000005</v>
      </c>
      <c r="DH37" s="149">
        <f>[35]SAS_SA_2017_4T!$F$49</f>
        <v>81.896299999999997</v>
      </c>
      <c r="DI37" s="147">
        <f>[36]SAS_SA_2018_1T!$F$54</f>
        <v>81.663200000000003</v>
      </c>
      <c r="DJ37" s="148">
        <f>[36]SAS_SA_2018_1T!$F$57</f>
        <v>81.981700000000004</v>
      </c>
      <c r="DK37" s="149">
        <f>[36]SAS_SA_2018_1T!$F$49</f>
        <v>81.945999999999998</v>
      </c>
      <c r="DL37" s="147">
        <f>[37]SAS_SA_2018_2T!$F$54</f>
        <v>81.705399999999997</v>
      </c>
      <c r="DM37" s="148">
        <f>[37]SAS_SA_2018_2T!$F$57</f>
        <v>82.038399999999996</v>
      </c>
      <c r="DN37" s="149">
        <f>[37]SAS_SA_2018_2T!$F$49</f>
        <v>82.001199999999997</v>
      </c>
      <c r="DO37" s="147">
        <f>[38]SAS_SA_2018_3T!$F$54</f>
        <v>81.768699999999995</v>
      </c>
      <c r="DP37" s="148">
        <f>[38]SAS_SA_2018_3T!$F$57</f>
        <v>82.105900000000005</v>
      </c>
      <c r="DQ37" s="149">
        <f>[38]SAS_SA_2018_3T!$F$49</f>
        <v>82.068100000000001</v>
      </c>
      <c r="DR37" s="147">
        <f>'[39]190227-14H32S38-PROGRAM-TdB_STO'!$F$54</f>
        <v>81.835400000000007</v>
      </c>
      <c r="DS37" s="148">
        <f>'[39]190227-14H32S38-PROGRAM-TdB_STO'!$F$57</f>
        <v>82.153700000000001</v>
      </c>
      <c r="DT37" s="149">
        <f>'[39]190227-14H32S38-PROGRAM-TdB_STO'!$F$49</f>
        <v>82.117999999999995</v>
      </c>
      <c r="DU37" s="214">
        <f>[40]SAS_SA_2019_1T!$F$54</f>
        <v>81.885400000000004</v>
      </c>
      <c r="DV37" s="215">
        <f>[40]SAS_SA_2019_1T!$F$57</f>
        <v>82.208299999999994</v>
      </c>
      <c r="DW37" s="216">
        <f>[40]SAS_SA_2019_1T!$F$49</f>
        <v>82.171999999999997</v>
      </c>
      <c r="DX37" s="214">
        <f>[41]SAS_SA_2019_2T!$F$54</f>
        <v>81.946799999999996</v>
      </c>
      <c r="DY37" s="215">
        <f>[41]SAS_SA_2019_2T!$F$57</f>
        <v>82.275099999999995</v>
      </c>
      <c r="DZ37" s="216">
        <f>[41]SAS_SA_2019_2T!$F$49</f>
        <v>82.238100000000003</v>
      </c>
      <c r="EA37" s="214">
        <f>[42]SAS_SA_2019_3T!$F$54</f>
        <v>82.007999999999996</v>
      </c>
      <c r="EB37" s="215">
        <f>[42]SAS_SA_2019_3T!$F$57</f>
        <v>82.334500000000006</v>
      </c>
      <c r="EC37" s="216">
        <f>[42]SAS_SA_2019_3T!$F$49</f>
        <v>82.297600000000003</v>
      </c>
      <c r="ED37" s="214">
        <f>[43]SAS_SA_2019_4T!$F$54</f>
        <v>82.041600000000003</v>
      </c>
      <c r="EE37" s="215">
        <f>[43]SAS_SA_2019_4T!$F$57</f>
        <v>82.362799999999993</v>
      </c>
      <c r="EF37" s="216">
        <f>[43]SAS_SA_2019_4T!$F$49</f>
        <v>82.326300000000003</v>
      </c>
      <c r="EG37" s="214">
        <f>[44]SAS_SA_2020_1T!$F$55</f>
        <v>82.086399999999998</v>
      </c>
      <c r="EH37" s="215">
        <f>[44]SAS_SA_2020_1T!$F$58</f>
        <v>82.412499999999994</v>
      </c>
      <c r="EI37" s="216">
        <f>[44]SAS_SA_2020_1T!$F$50</f>
        <v>82.375299999999996</v>
      </c>
      <c r="EJ37" s="214">
        <f>[45]SAS_SA_2020_2T!$F$55</f>
        <v>82.134699999999995</v>
      </c>
      <c r="EK37" s="215">
        <f>[45]SAS_SA_2020_2T!$F$58</f>
        <v>82.466999999999999</v>
      </c>
      <c r="EL37" s="216">
        <f>[45]SAS_SA_2020_2T!$F$50</f>
        <v>82.429100000000005</v>
      </c>
      <c r="EM37" s="214">
        <f>[46]SAS_SA_2020_3T!$F$55</f>
        <v>82.204499999999996</v>
      </c>
      <c r="EN37" s="215">
        <f>[46]SAS_SA_2020_3T!$F$58</f>
        <v>82.53</v>
      </c>
      <c r="EO37" s="216">
        <f>[46]SAS_SA_2020_3T!$F$50</f>
        <v>82.492699999999999</v>
      </c>
      <c r="EP37" s="214">
        <f>[47]SAS_SA_2020_4T!$F55</f>
        <v>82.270499999999998</v>
      </c>
      <c r="EQ37" s="215">
        <f>[47]SAS_SA_2020_4T!$F58</f>
        <v>82.562700000000007</v>
      </c>
      <c r="ER37" s="216">
        <f>[47]SAS_SA_2020_4T!$F50</f>
        <v>82.5291</v>
      </c>
      <c r="ES37" s="214">
        <f>[48]SAS_SA_2021_1T!$F55</f>
        <v>82.275000000000006</v>
      </c>
      <c r="ET37" s="215">
        <f>[48]SAS_SA_2021_1T!$F58</f>
        <v>82.593999999999994</v>
      </c>
      <c r="EU37" s="216">
        <f>[48]SAS_SA_2021_1T!$F50</f>
        <v>82.558000000000007</v>
      </c>
      <c r="EV37" s="214">
        <f>[49]SAS_SA_2021_2T!$F55</f>
        <v>82.281999999999996</v>
      </c>
      <c r="EW37" s="215">
        <f>[49]SAS_SA_2021_2T!$F58</f>
        <v>82.625600000000006</v>
      </c>
      <c r="EX37" s="216">
        <f>[49]SAS_SA_2021_2T!$F50</f>
        <v>82.586100000000002</v>
      </c>
      <c r="EY37" s="214">
        <f>[50]SAS_SA_2021_3T!$F55</f>
        <v>82.355699999999999</v>
      </c>
      <c r="EZ37" s="215">
        <f>[50]SAS_SA_2021_3T!$F58</f>
        <v>82.683400000000006</v>
      </c>
      <c r="FA37" s="216">
        <f>[50]SAS_SA_2021_3T!$F50</f>
        <v>82.645700000000005</v>
      </c>
      <c r="FB37" s="371">
        <f>[66]SAS_SA_2021_4T!$F$39</f>
        <v>82.392254648442304</v>
      </c>
      <c r="FC37" s="372">
        <f>[66]SAS_SA_2021_4T!$F$42</f>
        <v>82.743772270488904</v>
      </c>
      <c r="FD37" s="373">
        <f>[66]SAS_SA_2021_4T!$F$34</f>
        <v>82.7033168706201</v>
      </c>
      <c r="FE37" s="214">
        <f>[52]SAS_SA_2022_1T!$F$39</f>
        <v>82.438019605410105</v>
      </c>
      <c r="FF37" s="215">
        <f>[52]SAS_SA_2022_1T!$F$42</f>
        <v>82.779274293239794</v>
      </c>
      <c r="FG37" s="216">
        <f>[52]SAS_SA_2022_1T!$F$34</f>
        <v>82.739954391759099</v>
      </c>
      <c r="FH37" s="214">
        <f>[53]SAS_SA_2022_2T!$F$39</f>
        <v>82.466924131057695</v>
      </c>
      <c r="FI37" s="215">
        <f>[53]SAS_SA_2022_2T!$F$42</f>
        <v>82.807212114787106</v>
      </c>
      <c r="FJ37" s="216">
        <f>[53]SAS_SA_2022_2T!$F$34</f>
        <v>82.7678196724858</v>
      </c>
      <c r="FK37" s="214">
        <f>[54]SAS_SA_2022_3T!$F$39</f>
        <v>82.525546987649705</v>
      </c>
      <c r="FL37" s="215">
        <f>[54]SAS_SA_2022_3T!$F$42</f>
        <v>82.870178693086203</v>
      </c>
      <c r="FM37" s="216">
        <f>[54]SAS_SA_2022_3T!$F$34</f>
        <v>82.830280156771707</v>
      </c>
      <c r="FN37" s="147">
        <f>[55]SAS_SA_2022_4T!$F$39</f>
        <v>82.559780205899102</v>
      </c>
      <c r="FO37" s="148">
        <f>[55]SAS_SA_2022_4T!$F$42</f>
        <v>82.882437341383707</v>
      </c>
      <c r="FP37" s="149">
        <f>[55]SAS_SA_2022_4T!$F$34</f>
        <v>82.844985961131101</v>
      </c>
      <c r="FQ37" s="147">
        <f>[56]SAS_SA_2023_1T!$F$39</f>
        <v>82.558580858085804</v>
      </c>
      <c r="FR37" s="148">
        <f>[56]SAS_SA_2023_1T!$F$42</f>
        <v>82.912580100051898</v>
      </c>
      <c r="FS37" s="149">
        <f>[56]SAS_SA_2023_1T!$F$34</f>
        <v>82.871354235960197</v>
      </c>
      <c r="FT37" s="147">
        <f>[57]SAS_SA_2023_2T!$F$39</f>
        <v>82.538609051393493</v>
      </c>
      <c r="FU37" s="148">
        <f>[57]SAS_SA_2023_2T!$F$42</f>
        <v>82.944425247153404</v>
      </c>
      <c r="FV37" s="149">
        <f>[57]SAS_SA_2023_2T!$F$34</f>
        <v>82.897151792695198</v>
      </c>
      <c r="FW37" s="147">
        <f>[58]SAS_SA_2023_3T!$F$39</f>
        <v>82.610024998397606</v>
      </c>
      <c r="FX37" s="148">
        <f>[58]SAS_SA_2023_3T!$F$42</f>
        <v>82.994841999170006</v>
      </c>
      <c r="FY37" s="149">
        <f>[58]SAS_SA_2023_3T!$F$34</f>
        <v>82.949928929453193</v>
      </c>
      <c r="FZ37" s="147">
        <f>[59]SAS_SA_2023_4T!$F$39</f>
        <v>82.662370968776102</v>
      </c>
      <c r="GA37" s="148">
        <f>[59]SAS_SA_2023_4T!$F$42</f>
        <v>83.020529558644299</v>
      </c>
      <c r="GB37" s="149">
        <f>[59]SAS_SA_2023_4T!$F$34</f>
        <v>82.978509101850506</v>
      </c>
      <c r="GC37" s="147">
        <f>[60]SAS_SA_2024_1T!$F$39</f>
        <v>82.720755444208905</v>
      </c>
      <c r="GD37" s="148">
        <f>[60]SAS_SA_2024_1T!$F$42</f>
        <v>83.062443640985606</v>
      </c>
      <c r="GE37" s="149">
        <f>[60]SAS_SA_2024_1T!$F$34</f>
        <v>83.022150172716806</v>
      </c>
      <c r="GF37" s="147">
        <f>[61]SAS_SA_2024_2T!$F$39</f>
        <v>82.734325461015899</v>
      </c>
      <c r="GG37" s="148">
        <f>[61]SAS_SA_2024_2T!$F$42</f>
        <v>83.097021453503004</v>
      </c>
      <c r="GH37" s="149">
        <f>[61]SAS_SA_2024_2T!$F$34</f>
        <v>83.054203522923501</v>
      </c>
      <c r="GI37" s="147">
        <f>[62]SAS_SA_2024_3T!$F$39</f>
        <v>82.762013282979595</v>
      </c>
      <c r="GJ37" s="148">
        <f>[62]SAS_SA_2024_3T!$F$42</f>
        <v>83.149587822218393</v>
      </c>
      <c r="GK37" s="149">
        <f>[62]SAS_SA_2024_3T!$F$34</f>
        <v>83.103797896809795</v>
      </c>
      <c r="GL37" s="147">
        <f>[63]SAS_SA_2024_4T!$F$39</f>
        <v>82.781926371542596</v>
      </c>
      <c r="GM37" s="148">
        <f>[63]SAS_SA_2024_4T!$F$42</f>
        <v>83.182955701308302</v>
      </c>
      <c r="GN37" s="149">
        <f>[63]SAS_SA_2024_4T!$F$34</f>
        <v>83.135537394558398</v>
      </c>
    </row>
    <row r="38" spans="1:196" ht="12" thickBot="1" x14ac:dyDescent="0.3">
      <c r="A38" s="40" t="s">
        <v>5</v>
      </c>
      <c r="B38" s="28">
        <f>[1]SAS_SA_4T2008!$F$51</f>
        <v>72.617199999999997</v>
      </c>
      <c r="C38" s="29">
        <f>[1]SAS_SA_4T2008!$F$52</f>
        <v>75.500100000000003</v>
      </c>
      <c r="D38" s="45">
        <f>[1]SAS_SA_4T2008!$F$46</f>
        <v>74.015000000000001</v>
      </c>
      <c r="E38" s="28">
        <f>[2]SAS_SA_1T2009!$F$51</f>
        <v>72.687299999999993</v>
      </c>
      <c r="F38" s="29">
        <f>[2]SAS_SA_1T2009!$F$52</f>
        <v>75.543400000000005</v>
      </c>
      <c r="G38" s="45">
        <f>[2]SAS_SA_1T2009!$F$46</f>
        <v>74.0702</v>
      </c>
      <c r="H38" s="28">
        <f>[64]SAS_SA_2T2009!$F$51</f>
        <v>72.764099999999999</v>
      </c>
      <c r="I38" s="29">
        <f>[64]SAS_SA_2T2009!$F$52</f>
        <v>75.616100000000003</v>
      </c>
      <c r="J38" s="45">
        <f>[64]SAS_SA_2T2009!$F$46</f>
        <v>74.148799999999994</v>
      </c>
      <c r="K38" s="28">
        <f>[3]SAS_SA_3T2009!$F$51</f>
        <v>72.818899999999999</v>
      </c>
      <c r="L38" s="29">
        <f>[3]SAS_SA_3T2009!$F$52</f>
        <v>75.648799999999994</v>
      </c>
      <c r="M38" s="45">
        <f>[3]SAS_SA_3T2009!$F$46</f>
        <v>74.197699999999998</v>
      </c>
      <c r="N38" s="28">
        <f>[4]SAS_SA_4T2009!$F$51</f>
        <v>72.880399999999995</v>
      </c>
      <c r="O38" s="29">
        <f>[4]SAS_SA_4T2009!$F$52</f>
        <v>75.700999999999993</v>
      </c>
      <c r="P38" s="30">
        <f>[4]SAS_SA_4T2009!$F$46</f>
        <v>74.258799999999994</v>
      </c>
      <c r="Q38" s="28">
        <f>[5]SAS_SA_1T2010!$F$51</f>
        <v>72.927400000000006</v>
      </c>
      <c r="R38" s="29">
        <f>[5]SAS_SA_1T2010!$F$52</f>
        <v>75.754300000000001</v>
      </c>
      <c r="S38" s="30">
        <f>[5]SAS_SA_1T2010!$F$46</f>
        <v>74.311099999999996</v>
      </c>
      <c r="T38" s="28">
        <f>[65]SAS_SA_2T2010!$F$51</f>
        <v>72.943399999999997</v>
      </c>
      <c r="U38" s="29">
        <f>[65]SAS_SA_2T2010!$F$52</f>
        <v>75.813800000000001</v>
      </c>
      <c r="V38" s="30">
        <f>[65]SAS_SA_2T2010!$F$46</f>
        <v>74.352699999999999</v>
      </c>
      <c r="W38" s="28">
        <f>[6]SAS_SA_3T2010!$F$51</f>
        <v>72.984200000000001</v>
      </c>
      <c r="X38" s="29">
        <f>[6]SAS_SA_3T2010!$F$52</f>
        <v>75.865499999999997</v>
      </c>
      <c r="Y38" s="30">
        <f>[6]SAS_SA_3T2010!$F$46</f>
        <v>74.401600000000002</v>
      </c>
      <c r="Z38" s="28">
        <f>[7]SAS_SA_2010_4T!$F$51</f>
        <v>73.048500000000004</v>
      </c>
      <c r="AA38" s="29">
        <f>[7]SAS_SA_2010_4T!$F$52</f>
        <v>75.894199999999998</v>
      </c>
      <c r="AB38" s="45">
        <f>[7]SAS_SA_2010_4T!$F$46</f>
        <v>74.450900000000004</v>
      </c>
      <c r="AC38" s="28">
        <f>[8]SAS_SA_2011_1T!$F$50</f>
        <v>73.093900000000005</v>
      </c>
      <c r="AD38" s="29">
        <f>[8]SAS_SA_2011_1T!$F$51</f>
        <v>75.947900000000004</v>
      </c>
      <c r="AE38" s="45">
        <f>[8]SAS_SA_2011_1T!$F$46</f>
        <v>74.502700000000004</v>
      </c>
      <c r="AF38" s="28">
        <f>[9]SAS_SA_2011_2T!$F$50</f>
        <v>73.149799999999999</v>
      </c>
      <c r="AG38" s="29">
        <f>[9]SAS_SA_2011_2T!$F$51</f>
        <v>76.007000000000005</v>
      </c>
      <c r="AH38" s="45">
        <f>[9]SAS_SA_2011_2T!$F$46</f>
        <v>74.563299999999998</v>
      </c>
      <c r="AI38" s="28">
        <f>[10]SAS_SA_2011_3T!$F$50</f>
        <v>73.389399999999995</v>
      </c>
      <c r="AJ38" s="29">
        <f>[10]SAS_SA_2011_3T!$F$51</f>
        <v>76.250900000000001</v>
      </c>
      <c r="AK38" s="45">
        <f>[10]SAS_SA_2011_3T!$F$46</f>
        <v>74.805000000000007</v>
      </c>
      <c r="AL38" s="28">
        <f>[11]SAS_SA_2011_4T!$F$50</f>
        <v>73.316299999999998</v>
      </c>
      <c r="AM38" s="29">
        <f>[11]SAS_SA_2011_4T!$F$51</f>
        <v>76.166899999999998</v>
      </c>
      <c r="AN38" s="45">
        <f>[11]SAS_SA_2011_4T!$F$46</f>
        <v>74.7346</v>
      </c>
      <c r="AO38" s="28">
        <f>'[12]120612-17H07S59-PROGRAM-TdB_STO'!$F$50</f>
        <v>73.402600000000007</v>
      </c>
      <c r="AP38" s="29">
        <f>'[12]120612-17H07S59-PROGRAM-TdB_STO'!$F$51</f>
        <v>76.243399999999994</v>
      </c>
      <c r="AQ38" s="45">
        <f>'[12]120612-17H07S59-PROGRAM-TdB_STO'!$F$46</f>
        <v>74.819199999999995</v>
      </c>
      <c r="AR38" s="28">
        <f>[13]SAS_SA_2012_2T!$F$50</f>
        <v>73.466899999999995</v>
      </c>
      <c r="AS38" s="29">
        <f>[13]SAS_SA_2012_2T!$F$51</f>
        <v>76.311599999999999</v>
      </c>
      <c r="AT38" s="45">
        <f>[13]SAS_SA_2012_2T!$F$46</f>
        <v>74.888300000000001</v>
      </c>
      <c r="AU38" s="28">
        <f>'[14]121105-09H31S06-PROGRAM-TdB_STO'!$F$50</f>
        <v>73.551400000000001</v>
      </c>
      <c r="AV38" s="29">
        <f>'[14]121105-09H31S06-PROGRAM-TdB_STO'!$F$51</f>
        <v>76.386700000000005</v>
      </c>
      <c r="AW38" s="45">
        <f>'[14]121105-09H31S06-PROGRAM-TdB_STO'!$F$46</f>
        <v>74.9726</v>
      </c>
      <c r="AX38" s="28">
        <f>[15]SAS_SA_2012_4T!$F$50</f>
        <v>73.638900000000007</v>
      </c>
      <c r="AY38" s="29">
        <f>[15]SAS_SA_2012_4T!$F$51</f>
        <v>76.473600000000005</v>
      </c>
      <c r="AZ38" s="45">
        <f>[15]SAS_SA_2012_4T!$F$46</f>
        <v>75.063599999999994</v>
      </c>
      <c r="BA38" s="28">
        <f>[16]SAS_SA_2013_1T!$F$50</f>
        <v>73.699799999999996</v>
      </c>
      <c r="BB38" s="29">
        <f>[16]SAS_SA_2013_1T!$F$51</f>
        <v>76.537400000000005</v>
      </c>
      <c r="BC38" s="45">
        <f>[16]SAS_SA_2013_1T!$F$46</f>
        <v>75.127300000000005</v>
      </c>
      <c r="BD38" s="28">
        <f>[17]SAS_SA_2013_2T!$F$50</f>
        <v>73.761700000000005</v>
      </c>
      <c r="BE38" s="29">
        <f>[17]SAS_SA_2013_2T!$F$51</f>
        <v>76.597899999999996</v>
      </c>
      <c r="BF38" s="45">
        <f>[17]SAS_SA_2013_2T!$F$46</f>
        <v>75.191400000000002</v>
      </c>
      <c r="BG38" s="28">
        <f>[18]SAS_SA_2013_3T!$F$50</f>
        <v>73.754999999999995</v>
      </c>
      <c r="BH38" s="29">
        <f>[18]SAS_SA_2013_3T!$F$51</f>
        <v>76.597200000000001</v>
      </c>
      <c r="BI38" s="45">
        <f>[18]SAS_SA_2013_3T!$F$46</f>
        <v>75.190200000000004</v>
      </c>
      <c r="BJ38" s="28">
        <f>[19]SAS_SA_2013_4T!$F$50</f>
        <v>73.771799999999999</v>
      </c>
      <c r="BK38" s="29">
        <f>[19]SAS_SA_2013_4T!$F$51</f>
        <v>76.619100000000003</v>
      </c>
      <c r="BL38" s="45">
        <f>[19]SAS_SA_2013_4T!$F$46</f>
        <v>75.212400000000002</v>
      </c>
      <c r="BM38" s="28">
        <f>[20]SAS_SA_2014_1T!$F$50</f>
        <v>73.829499999999996</v>
      </c>
      <c r="BN38" s="29">
        <f>[20]SAS_SA_2014_1T!$F$51</f>
        <v>76.680899999999994</v>
      </c>
      <c r="BO38" s="45">
        <f>[20]SAS_SA_2014_1T!$F$46</f>
        <v>75.273600000000002</v>
      </c>
      <c r="BP38" s="28">
        <f>[21]SAS_SA_2014_2T!$F$50</f>
        <v>73.866</v>
      </c>
      <c r="BQ38" s="29">
        <f>[21]SAS_SA_2014_2T!$F$51</f>
        <v>76.729799999999997</v>
      </c>
      <c r="BR38" s="45">
        <f>[21]SAS_SA_2014_2T!$F$46</f>
        <v>75.317800000000005</v>
      </c>
      <c r="BS38" s="28">
        <f>[22]SAS_SA_2014_3T!$F$50</f>
        <v>73.869699999999995</v>
      </c>
      <c r="BT38" s="29">
        <f>[22]SAS_SA_2014_3T!$F$51</f>
        <v>76.758600000000001</v>
      </c>
      <c r="BU38" s="45">
        <f>[22]SAS_SA_2014_3T!$F$46</f>
        <v>75.335599999999999</v>
      </c>
      <c r="BV38" s="28">
        <f>[23]SAS_SA_2014_4T!$F$50</f>
        <v>73.900000000000006</v>
      </c>
      <c r="BW38" s="29">
        <f>[23]SAS_SA_2014_4T!$F$51</f>
        <v>76.8</v>
      </c>
      <c r="BX38" s="45">
        <f>[23]SAS_SA_2014_4T!$F$46</f>
        <v>75.3</v>
      </c>
      <c r="BY38" s="28">
        <f>[24]SAS_SA_2015_1T!$F$50</f>
        <v>73.900000000000006</v>
      </c>
      <c r="BZ38" s="29">
        <f>[24]SAS_SA_2015_1T!$F$51</f>
        <v>76.8</v>
      </c>
      <c r="CA38" s="45">
        <f>[24]SAS_SA_2015_1T!$F$46</f>
        <v>75.400000000000006</v>
      </c>
      <c r="CB38" s="28">
        <f>[25]SAS_SA_2015_2T!$F$50</f>
        <v>73.904300000000006</v>
      </c>
      <c r="CC38" s="29">
        <f>[25]SAS_SA_2015_2T!$F$51</f>
        <v>76.810699999999997</v>
      </c>
      <c r="CD38" s="45">
        <f>[25]SAS_SA_2015_2T!$F$46</f>
        <v>75.383600000000001</v>
      </c>
      <c r="CE38" s="28">
        <f>[26]SAS_SA_2015_3T!$F$50</f>
        <v>73.900000000000006</v>
      </c>
      <c r="CF38" s="29">
        <f>[26]SAS_SA_2015_3T!$F$51</f>
        <v>76.900000000000006</v>
      </c>
      <c r="CG38" s="45">
        <f>[26]SAS_SA_2015_3T!$F$46</f>
        <v>75.400000000000006</v>
      </c>
      <c r="CH38" s="28">
        <f>[27]SAS_SA_2015_4T!$F$50</f>
        <v>73.929599999999994</v>
      </c>
      <c r="CI38" s="29">
        <f>[27]SAS_SA_2015_4T!$F$51</f>
        <v>76.853899999999996</v>
      </c>
      <c r="CJ38" s="45">
        <f>[27]SAS_SA_2015_4T!$F$46</f>
        <v>75.422499999999999</v>
      </c>
      <c r="CK38" s="28">
        <f>[28]SAS_SA_2016_1T!$F$50</f>
        <v>73.928799999999995</v>
      </c>
      <c r="CL38" s="29">
        <f>[28]SAS_SA_2016_1T!$F$51</f>
        <v>76.8596</v>
      </c>
      <c r="CM38" s="45">
        <f>[28]SAS_SA_2016_1T!$F$46</f>
        <v>75.426599999999993</v>
      </c>
      <c r="CN38" s="28">
        <f>'[29]160822-11H12S04-PROGRAM-TdB_STO'!$F$50</f>
        <v>73.933899999999994</v>
      </c>
      <c r="CO38" s="29">
        <f>'[29]160822-11H12S04-PROGRAM-TdB_STO'!$F$51</f>
        <v>76.877899999999997</v>
      </c>
      <c r="CP38" s="45">
        <f>'[29]160822-11H12S04-PROGRAM-TdB_STO'!$F$46</f>
        <v>75.439899999999994</v>
      </c>
      <c r="CQ38" s="150">
        <f>[30]SAS_SA_2016_3T!$F$50</f>
        <v>73.9405</v>
      </c>
      <c r="CR38" s="151">
        <f>[30]SAS_SA_2016_3T!$F$51</f>
        <v>76.901899999999998</v>
      </c>
      <c r="CS38" s="152">
        <f>[30]SAS_SA_2016_3T!$F$46</f>
        <v>75.4572</v>
      </c>
      <c r="CT38" s="150">
        <f>[31]SAS_SA_2016_4T!$F$50</f>
        <v>73.973799999999997</v>
      </c>
      <c r="CU38" s="151">
        <f>[31]SAS_SA_2016_4T!$F$51</f>
        <v>76.947500000000005</v>
      </c>
      <c r="CV38" s="152">
        <f>[31]SAS_SA_2016_4T!$F$46</f>
        <v>75.498699999999999</v>
      </c>
      <c r="CW38" s="150">
        <f>[32]SAS_SA_2017_1T!$F$50</f>
        <v>73.978499999999997</v>
      </c>
      <c r="CX38" s="151">
        <f>[32]SAS_SA_2017_1T!$F$51</f>
        <v>76.955600000000004</v>
      </c>
      <c r="CY38" s="152">
        <f>[32]SAS_SA_2017_1T!$F$46</f>
        <v>75.506100000000004</v>
      </c>
      <c r="CZ38" s="150">
        <f>[33]SAS_SA_2017_2T!$F$50</f>
        <v>73.989599999999996</v>
      </c>
      <c r="DA38" s="151">
        <f>[33]SAS_SA_2017_2T!$F$51</f>
        <v>76.9773</v>
      </c>
      <c r="DB38" s="152">
        <f>[33]SAS_SA_2017_2T!$F$46</f>
        <v>75.523300000000006</v>
      </c>
      <c r="DC38" s="150">
        <f>[34]SAS_SA_2017_3T!$F$50</f>
        <v>74.031499999999994</v>
      </c>
      <c r="DD38" s="151">
        <f>[34]SAS_SA_2017_3T!$F$51</f>
        <v>77.033299999999997</v>
      </c>
      <c r="DE38" s="152">
        <f>[34]SAS_SA_2017_3T!$F$46</f>
        <v>75.573999999999998</v>
      </c>
      <c r="DF38" s="150">
        <f>[35]SAS_SA_2017_4T!$F$50</f>
        <v>74.084999999999994</v>
      </c>
      <c r="DG38" s="151">
        <f>[35]SAS_SA_2017_4T!$F$51</f>
        <v>77.090999999999994</v>
      </c>
      <c r="DH38" s="152">
        <f>[35]SAS_SA_2017_4T!$F$46</f>
        <v>75.631900000000002</v>
      </c>
      <c r="DI38" s="150">
        <f>[36]SAS_SA_2018_1T!$F$50</f>
        <v>74.164699999999996</v>
      </c>
      <c r="DJ38" s="151">
        <f>[36]SAS_SA_2018_1T!$F$51</f>
        <v>77.155699999999996</v>
      </c>
      <c r="DK38" s="152">
        <f>[36]SAS_SA_2018_1T!$F$46</f>
        <v>75.705200000000005</v>
      </c>
      <c r="DL38" s="150">
        <f>[37]SAS_SA_2018_2T!$F$50</f>
        <v>74.2316</v>
      </c>
      <c r="DM38" s="151">
        <f>[37]SAS_SA_2018_2T!$F$51</f>
        <v>77.211799999999997</v>
      </c>
      <c r="DN38" s="152">
        <f>[37]SAS_SA_2018_2T!$F$46</f>
        <v>75.7684</v>
      </c>
      <c r="DO38" s="150">
        <f>[38]SAS_SA_2018_3T!$F$50</f>
        <v>74.308800000000005</v>
      </c>
      <c r="DP38" s="151">
        <f>[38]SAS_SA_2018_3T!$F$51</f>
        <v>77.284099999999995</v>
      </c>
      <c r="DQ38" s="152">
        <f>[38]SAS_SA_2018_3T!$F$46</f>
        <v>75.845600000000005</v>
      </c>
      <c r="DR38" s="150">
        <f>'[39]190227-14H32S38-PROGRAM-TdB_STO'!$F$50</f>
        <v>74.371600000000001</v>
      </c>
      <c r="DS38" s="151">
        <f>'[39]190227-14H32S38-PROGRAM-TdB_STO'!$F$51</f>
        <v>77.341099999999997</v>
      </c>
      <c r="DT38" s="152">
        <f>'[39]190227-14H32S38-PROGRAM-TdB_STO'!$F$46</f>
        <v>75.907499999999999</v>
      </c>
      <c r="DU38" s="217">
        <f>[40]SAS_SA_2019_1T!$F$50</f>
        <v>74.447000000000003</v>
      </c>
      <c r="DV38" s="218">
        <f>[40]SAS_SA_2019_1T!$F$51</f>
        <v>77.398300000000006</v>
      </c>
      <c r="DW38" s="219">
        <f>[40]SAS_SA_2019_1T!$F$46</f>
        <v>75.975800000000007</v>
      </c>
      <c r="DX38" s="217">
        <f>[41]SAS_SA_2019_2T!$F$50</f>
        <v>74.525599999999997</v>
      </c>
      <c r="DY38" s="218">
        <f>[41]SAS_SA_2019_2T!$F$51</f>
        <v>77.476100000000002</v>
      </c>
      <c r="DZ38" s="219">
        <f>[41]SAS_SA_2019_2T!$F$46</f>
        <v>76.055700000000002</v>
      </c>
      <c r="EA38" s="217">
        <f>[42]SAS_SA_2019_3T!$F$50</f>
        <v>74.616200000000006</v>
      </c>
      <c r="EB38" s="218">
        <f>[42]SAS_SA_2019_3T!$F$51</f>
        <v>77.553700000000006</v>
      </c>
      <c r="EC38" s="219">
        <f>[42]SAS_SA_2019_3T!$F$46</f>
        <v>76.142099999999999</v>
      </c>
      <c r="ED38" s="217">
        <f>[43]SAS_SA_2019_4T!$F$50</f>
        <v>74.661500000000004</v>
      </c>
      <c r="EE38" s="218">
        <f>[43]SAS_SA_2019_4T!$F$51</f>
        <v>77.584800000000001</v>
      </c>
      <c r="EF38" s="219">
        <f>[43]SAS_SA_2019_4T!$F$46</f>
        <v>76.1828</v>
      </c>
      <c r="EG38" s="217">
        <f>[44]SAS_SA_2020_1T!$F$51</f>
        <v>74.740700000000004</v>
      </c>
      <c r="EH38" s="218">
        <f>[44]SAS_SA_2020_1T!$F$52</f>
        <v>77.649500000000003</v>
      </c>
      <c r="EI38" s="219">
        <f>[44]SAS_SA_2020_1T!$F$47</f>
        <v>76.256100000000004</v>
      </c>
      <c r="EJ38" s="217">
        <f>[45]SAS_SA_2020_2T!$F$51</f>
        <v>74.804599999999994</v>
      </c>
      <c r="EK38" s="218">
        <f>[45]SAS_SA_2020_2T!$F$52</f>
        <v>77.701499999999996</v>
      </c>
      <c r="EL38" s="219">
        <f>[45]SAS_SA_2020_2T!$F$47</f>
        <v>76.316100000000006</v>
      </c>
      <c r="EM38" s="217">
        <f>[46]SAS_SA_2020_3T!$F$51</f>
        <v>74.880600000000001</v>
      </c>
      <c r="EN38" s="218">
        <f>[46]SAS_SA_2020_3T!$F$52</f>
        <v>77.776300000000006</v>
      </c>
      <c r="EO38" s="219">
        <f>[46]SAS_SA_2020_3T!$F$47</f>
        <v>76.393299999999996</v>
      </c>
      <c r="EP38" s="217">
        <f>[47]SAS_SA_2020_4T!$F$51</f>
        <v>74.913899999999998</v>
      </c>
      <c r="EQ38" s="218">
        <f>[47]SAS_SA_2020_4T!$F$52</f>
        <v>77.818799999999996</v>
      </c>
      <c r="ER38" s="219">
        <f>[47]SAS_SA_2020_4T!$F$47</f>
        <v>76.434100000000001</v>
      </c>
      <c r="ES38" s="217">
        <f>[48]SAS_SA_2021_1T!$F$51</f>
        <v>74.975999999999999</v>
      </c>
      <c r="ET38" s="218">
        <f>[48]SAS_SA_2021_1T!$F$52</f>
        <v>77.86</v>
      </c>
      <c r="EU38" s="219">
        <f>[48]SAS_SA_2021_1T!$F$47</f>
        <v>76.486999999999995</v>
      </c>
      <c r="EV38" s="217">
        <f>[49]SAS_SA_2021_2T!$F$51</f>
        <v>75.038899999999998</v>
      </c>
      <c r="EW38" s="218">
        <f>[49]SAS_SA_2021_2T!$F$52</f>
        <v>77.9131</v>
      </c>
      <c r="EX38" s="219">
        <f>[49]SAS_SA_2021_2T!$F$47</f>
        <v>76.548100000000005</v>
      </c>
      <c r="EY38" s="217">
        <f>[50]SAS_SA_2021_3T!$F$51</f>
        <v>75.1143</v>
      </c>
      <c r="EZ38" s="218">
        <f>[50]SAS_SA_2021_3T!$F$52</f>
        <v>77.984800000000007</v>
      </c>
      <c r="FA38" s="219">
        <f>[50]SAS_SA_2021_3T!$F$47</f>
        <v>76.624300000000005</v>
      </c>
      <c r="FB38" s="374">
        <f>[66]SAS_SA_2021_4T!$F$35</f>
        <v>75.1655481106705</v>
      </c>
      <c r="FC38" s="375">
        <f>[66]SAS_SA_2021_4T!$F$36</f>
        <v>78.043180550196297</v>
      </c>
      <c r="FD38" s="376">
        <f>[66]SAS_SA_2021_4T!$F$31</f>
        <v>76.681141748098995</v>
      </c>
      <c r="FE38" s="217">
        <f>[52]SAS_SA_2022_1T!$F$35</f>
        <v>75.226210946460498</v>
      </c>
      <c r="FF38" s="218">
        <f>[52]SAS_SA_2022_1T!$F$36</f>
        <v>78.091915280207701</v>
      </c>
      <c r="FG38" s="219">
        <f>[52]SAS_SA_2022_1T!$F$31</f>
        <v>76.736985999472495</v>
      </c>
      <c r="FH38" s="217">
        <f>[53]SAS_SA_2022_2T!$F$35</f>
        <v>75.288469265507203</v>
      </c>
      <c r="FI38" s="218">
        <f>[53]SAS_SA_2022_2T!$F$36</f>
        <v>78.134808587031202</v>
      </c>
      <c r="FJ38" s="219">
        <f>[53]SAS_SA_2022_2T!$F$31</f>
        <v>76.790641758583106</v>
      </c>
      <c r="FK38" s="217">
        <f>[54]SAS_SA_2022_3T!$F$35</f>
        <v>75.357009595873294</v>
      </c>
      <c r="FL38" s="218">
        <f>[54]SAS_SA_2022_3T!$F$36</f>
        <v>78.196841477406096</v>
      </c>
      <c r="FM38" s="219">
        <f>[54]SAS_SA_2022_3T!$F$31</f>
        <v>76.857289612763694</v>
      </c>
      <c r="FN38" s="150">
        <f>[55]SAS_SA_2022_4T!$F$35</f>
        <v>75.414784394250503</v>
      </c>
      <c r="FO38" s="151">
        <f>[55]SAS_SA_2022_4T!$F$36</f>
        <v>78.237250031259094</v>
      </c>
      <c r="FP38" s="152">
        <f>[55]SAS_SA_2022_4T!$F$31</f>
        <v>76.906671648479104</v>
      </c>
      <c r="FQ38" s="150">
        <f>[56]SAS_SA_2023_1T!$F$35</f>
        <v>75.462353585771794</v>
      </c>
      <c r="FR38" s="151">
        <f>[56]SAS_SA_2023_1T!$F$36</f>
        <v>78.267677994408501</v>
      </c>
      <c r="FS38" s="152">
        <f>[56]SAS_SA_2023_1T!$F$31</f>
        <v>76.946903776669103</v>
      </c>
      <c r="FT38" s="150">
        <f>[57]SAS_SA_2023_2T!$F$35</f>
        <v>75.529996041689202</v>
      </c>
      <c r="FU38" s="151">
        <f>[57]SAS_SA_2023_2T!$F$36</f>
        <v>78.318155448534696</v>
      </c>
      <c r="FV38" s="152">
        <f>[57]SAS_SA_2023_2T!$F$31</f>
        <v>77.006885218158104</v>
      </c>
      <c r="FW38" s="150">
        <f>[58]SAS_SA_2023_3T!$F$35</f>
        <v>75.597185459762798</v>
      </c>
      <c r="FX38" s="151">
        <f>[58]SAS_SA_2023_3T!$F$36</f>
        <v>78.376961228419901</v>
      </c>
      <c r="FY38" s="152">
        <f>[58]SAS_SA_2023_3T!$F$31</f>
        <v>77.071253352353693</v>
      </c>
      <c r="FZ38" s="150">
        <f>[59]SAS_SA_2023_4T!$F$35</f>
        <v>75.678569072988793</v>
      </c>
      <c r="GA38" s="151">
        <f>[59]SAS_SA_2023_4T!$F$36</f>
        <v>78.442841697145795</v>
      </c>
      <c r="GB38" s="152">
        <f>[59]SAS_SA_2023_4T!$F$31</f>
        <v>77.146064357356906</v>
      </c>
      <c r="GC38" s="150">
        <f>[60]SAS_SA_2024_1T!$F$35</f>
        <v>75.741477406808499</v>
      </c>
      <c r="GD38" s="151">
        <f>[60]SAS_SA_2024_1T!$F$36</f>
        <v>78.489883333602407</v>
      </c>
      <c r="GE38" s="152">
        <f>[60]SAS_SA_2024_1T!$F$31</f>
        <v>77.201845956896705</v>
      </c>
      <c r="GF38" s="150">
        <f>[61]SAS_SA_2024_2T!$F$35</f>
        <v>75.818962340629398</v>
      </c>
      <c r="GG38" s="151">
        <f>[61]SAS_SA_2024_2T!$F$36</f>
        <v>78.551469075531102</v>
      </c>
      <c r="GH38" s="152">
        <f>[61]SAS_SA_2024_2T!$F$31</f>
        <v>77.272181123578207</v>
      </c>
      <c r="GI38" s="150">
        <f>[62]SAS_SA_2024_3T!$F$35</f>
        <v>75.893762409452506</v>
      </c>
      <c r="GJ38" s="151">
        <f>[62]SAS_SA_2024_3T!$F$36</f>
        <v>78.609517867534194</v>
      </c>
      <c r="GK38" s="152">
        <f>[62]SAS_SA_2024_3T!$F$31</f>
        <v>77.339228149881507</v>
      </c>
      <c r="GL38" s="150">
        <f>[63]SAS_SA_2024_4T!$F$35</f>
        <v>75.946775579383498</v>
      </c>
      <c r="GM38" s="151">
        <f>[63]SAS_SA_2024_4T!$F$36</f>
        <v>78.655140178878597</v>
      </c>
      <c r="GN38" s="152">
        <f>[63]SAS_SA_2024_4T!$F$31</f>
        <v>77.389858646622102</v>
      </c>
    </row>
    <row r="39" spans="1:196" x14ac:dyDescent="0.25">
      <c r="A39" s="3"/>
      <c r="B39" s="3"/>
      <c r="C39" s="3"/>
      <c r="D39" s="3"/>
      <c r="AR39" s="4"/>
      <c r="AS39" s="4"/>
      <c r="AT39" s="4"/>
      <c r="AU39" s="76"/>
      <c r="AV39" s="76"/>
      <c r="AW39" s="76"/>
      <c r="BG39" s="4"/>
      <c r="BH39" s="4"/>
      <c r="BI39" s="4"/>
      <c r="BJ39" s="4"/>
      <c r="BK39" s="4"/>
      <c r="BL39" s="4"/>
      <c r="DC39" s="126"/>
      <c r="DD39" s="126"/>
      <c r="DE39" s="126"/>
      <c r="DF39" s="126"/>
      <c r="DG39" s="126"/>
      <c r="DH39" s="126"/>
      <c r="DI39" s="126"/>
      <c r="DJ39" s="126"/>
      <c r="FN39" s="198"/>
      <c r="FO39" s="198"/>
      <c r="FP39" s="198"/>
      <c r="FQ39" s="198"/>
      <c r="FR39" s="198"/>
      <c r="FS39" s="198"/>
      <c r="FT39" s="198"/>
      <c r="FU39" s="198"/>
      <c r="FV39" s="198"/>
      <c r="FW39" s="198"/>
      <c r="FX39" s="198"/>
      <c r="FY39" s="198"/>
      <c r="FZ39" s="198"/>
      <c r="GA39" s="198"/>
      <c r="GB39" s="198"/>
      <c r="GC39" s="198"/>
      <c r="GD39" s="198"/>
      <c r="GE39" s="198"/>
      <c r="GF39" s="198"/>
      <c r="GG39" s="198"/>
      <c r="GH39" s="198"/>
      <c r="GI39" s="198"/>
      <c r="GJ39" s="198"/>
      <c r="GK39" s="198"/>
      <c r="GL39" s="198"/>
      <c r="GM39" s="198"/>
      <c r="GN39" s="198"/>
    </row>
    <row r="40" spans="1:196" ht="23.5" thickBot="1" x14ac:dyDescent="0.3">
      <c r="A40" s="186" t="s">
        <v>377</v>
      </c>
      <c r="B40" s="3"/>
      <c r="C40" s="3"/>
      <c r="D40" s="3"/>
      <c r="AR40" s="4"/>
      <c r="AS40" s="4"/>
      <c r="AT40" s="4"/>
      <c r="AU40" s="76"/>
      <c r="AV40" s="76"/>
      <c r="AW40" s="76"/>
      <c r="BG40" s="4"/>
      <c r="BH40" s="4"/>
      <c r="BI40" s="4"/>
      <c r="BJ40" s="4"/>
      <c r="BK40" s="4"/>
      <c r="BL40" s="4"/>
      <c r="DC40" s="126"/>
      <c r="DD40" s="126"/>
      <c r="DE40" s="126"/>
      <c r="DF40" s="126"/>
      <c r="DG40" s="126"/>
      <c r="DH40" s="126"/>
      <c r="DI40" s="126"/>
      <c r="DJ40" s="126"/>
      <c r="FB40" s="277" t="s">
        <v>373</v>
      </c>
      <c r="FC40" s="277"/>
      <c r="FD40" s="277"/>
      <c r="FE40" s="277"/>
      <c r="FF40" s="277"/>
      <c r="FG40" s="277"/>
      <c r="FH40" s="277"/>
      <c r="FI40" s="277"/>
      <c r="FJ40" s="277"/>
      <c r="FK40" s="277"/>
      <c r="FL40" s="277"/>
      <c r="FM40" s="277"/>
      <c r="FN40" s="277"/>
      <c r="FO40" s="277"/>
      <c r="FP40" s="277"/>
      <c r="FQ40" s="277"/>
      <c r="FR40" s="277"/>
      <c r="FS40" s="277"/>
      <c r="FT40" s="277"/>
      <c r="FU40" s="277"/>
      <c r="FV40" s="277"/>
      <c r="FW40" s="277"/>
      <c r="FX40" s="277"/>
      <c r="FY40" s="277"/>
      <c r="FZ40" s="277"/>
      <c r="GA40" s="277"/>
      <c r="GB40" s="277"/>
      <c r="GC40" s="277"/>
      <c r="GD40" s="277"/>
      <c r="GE40" s="277"/>
      <c r="GF40" s="277"/>
      <c r="GG40" s="277"/>
      <c r="GH40" s="277"/>
      <c r="GI40" s="277"/>
      <c r="GJ40" s="277"/>
      <c r="GK40" s="277"/>
      <c r="GL40" s="277"/>
      <c r="GM40" s="277"/>
      <c r="GN40" s="277"/>
    </row>
    <row r="41" spans="1:196" s="185" customFormat="1" ht="24" customHeight="1" x14ac:dyDescent="0.25">
      <c r="A41" s="184"/>
      <c r="B41" s="444" t="str">
        <f>B5</f>
        <v>Situation au 31/12/2008</v>
      </c>
      <c r="C41" s="445"/>
      <c r="D41" s="446"/>
      <c r="E41" s="444" t="str">
        <f>E5</f>
        <v>Situation au 31/03/2009</v>
      </c>
      <c r="F41" s="445"/>
      <c r="G41" s="446"/>
      <c r="H41" s="444" t="str">
        <f>H5</f>
        <v>Situation au 30/06/2009</v>
      </c>
      <c r="I41" s="445"/>
      <c r="J41" s="446"/>
      <c r="K41" s="444" t="str">
        <f>K5</f>
        <v>Situation au 30/09/2009</v>
      </c>
      <c r="L41" s="445"/>
      <c r="M41" s="446"/>
      <c r="N41" s="444" t="str">
        <f>N5</f>
        <v>Situation au 31/12/2009</v>
      </c>
      <c r="O41" s="445"/>
      <c r="P41" s="445"/>
      <c r="Q41" s="444" t="str">
        <f>Q5</f>
        <v>Situation au 31/03/2010</v>
      </c>
      <c r="R41" s="445"/>
      <c r="S41" s="446"/>
      <c r="T41" s="444" t="str">
        <f>T5</f>
        <v>Situation au 30/06/2010</v>
      </c>
      <c r="U41" s="445"/>
      <c r="V41" s="446"/>
      <c r="W41" s="444" t="str">
        <f>W5</f>
        <v>Situation au 31/09/2010</v>
      </c>
      <c r="X41" s="445"/>
      <c r="Y41" s="446"/>
      <c r="Z41" s="444" t="str">
        <f>Z5</f>
        <v>Situation au 31/12/2010</v>
      </c>
      <c r="AA41" s="445"/>
      <c r="AB41" s="446"/>
      <c r="AC41" s="444" t="str">
        <f>AC5</f>
        <v>Situation au 31/03/2011</v>
      </c>
      <c r="AD41" s="445"/>
      <c r="AE41" s="446"/>
      <c r="AF41" s="444" t="str">
        <f>AF5</f>
        <v>Situation au 30/06/2011</v>
      </c>
      <c r="AG41" s="445"/>
      <c r="AH41" s="446"/>
      <c r="AI41" s="444" t="str">
        <f>AI5</f>
        <v>Situation au 30/09/2011</v>
      </c>
      <c r="AJ41" s="445"/>
      <c r="AK41" s="446"/>
      <c r="AL41" s="444" t="str">
        <f>AL5</f>
        <v>Situation au 31/12/2011</v>
      </c>
      <c r="AM41" s="445"/>
      <c r="AN41" s="446"/>
      <c r="AO41" s="444" t="str">
        <f>AO5</f>
        <v>Situation au 31/03/2012</v>
      </c>
      <c r="AP41" s="445"/>
      <c r="AQ41" s="446"/>
      <c r="AR41" s="444" t="str">
        <f>AR5</f>
        <v>Situation au 30/06/2012</v>
      </c>
      <c r="AS41" s="445"/>
      <c r="AT41" s="446"/>
      <c r="AU41" s="444" t="str">
        <f>AU5</f>
        <v>Situation au 30/09/2012</v>
      </c>
      <c r="AV41" s="445"/>
      <c r="AW41" s="446"/>
      <c r="AX41" s="444" t="str">
        <f>AX5</f>
        <v>Situation au 31/12/2012</v>
      </c>
      <c r="AY41" s="445"/>
      <c r="AZ41" s="446"/>
      <c r="BA41" s="444" t="str">
        <f>BA5</f>
        <v>Situation au 31/03/2013</v>
      </c>
      <c r="BB41" s="445"/>
      <c r="BC41" s="446"/>
      <c r="BD41" s="444" t="str">
        <f>BD5</f>
        <v>Situation au 31/06/2013</v>
      </c>
      <c r="BE41" s="445"/>
      <c r="BF41" s="446"/>
      <c r="BG41" s="444" t="str">
        <f>BG5</f>
        <v>Situation au 31/09/2013</v>
      </c>
      <c r="BH41" s="445"/>
      <c r="BI41" s="446"/>
      <c r="BJ41" s="444" t="str">
        <f>BJ5</f>
        <v>Situation au 31/12/2013</v>
      </c>
      <c r="BK41" s="445"/>
      <c r="BL41" s="446"/>
      <c r="BM41" s="444" t="str">
        <f>BM5</f>
        <v>Situation au 31/03/2014</v>
      </c>
      <c r="BN41" s="445"/>
      <c r="BO41" s="446"/>
      <c r="BP41" s="444" t="str">
        <f>BP5</f>
        <v>Situation au 30/06/2014</v>
      </c>
      <c r="BQ41" s="445"/>
      <c r="BR41" s="446"/>
      <c r="BS41" s="444" t="str">
        <f>BS5</f>
        <v>Situation au 30/09/2014</v>
      </c>
      <c r="BT41" s="445"/>
      <c r="BU41" s="446"/>
      <c r="BV41" s="444" t="str">
        <f>BV5</f>
        <v>Situation au 31/12/2014</v>
      </c>
      <c r="BW41" s="445"/>
      <c r="BX41" s="446"/>
      <c r="BY41" s="444" t="str">
        <f>BY5</f>
        <v>Situation au 31/03/2015</v>
      </c>
      <c r="BZ41" s="445"/>
      <c r="CA41" s="446"/>
      <c r="CB41" s="444" t="str">
        <f>CE5</f>
        <v>Situation au 30/09/2015</v>
      </c>
      <c r="CC41" s="445"/>
      <c r="CD41" s="446"/>
      <c r="CE41" s="444" t="str">
        <f>CE5</f>
        <v>Situation au 30/09/2015</v>
      </c>
      <c r="CF41" s="445"/>
      <c r="CG41" s="446"/>
      <c r="CH41" s="444" t="str">
        <f>CH5</f>
        <v>Situation au 31/12/2015</v>
      </c>
      <c r="CI41" s="445"/>
      <c r="CJ41" s="446"/>
      <c r="CK41" s="444" t="str">
        <f>CK5</f>
        <v>Situation au 31/03/2016</v>
      </c>
      <c r="CL41" s="445"/>
      <c r="CM41" s="446"/>
      <c r="CN41" s="444" t="str">
        <f>CN5</f>
        <v>Situation au 30/06/2016</v>
      </c>
      <c r="CO41" s="445"/>
      <c r="CP41" s="446"/>
      <c r="CQ41" s="433" t="str">
        <f>CQ5</f>
        <v>Situation au 30/09/2016</v>
      </c>
      <c r="CR41" s="434"/>
      <c r="CS41" s="435"/>
      <c r="CT41" s="433" t="str">
        <f>CT5</f>
        <v>Situation au 31/12/2016</v>
      </c>
      <c r="CU41" s="434"/>
      <c r="CV41" s="435"/>
      <c r="CW41" s="433" t="str">
        <f>CW5</f>
        <v>Situation au 31/03/2017</v>
      </c>
      <c r="CX41" s="434"/>
      <c r="CY41" s="435"/>
      <c r="CZ41" s="433" t="str">
        <f>CZ5</f>
        <v>Situation au 30/06/2017</v>
      </c>
      <c r="DA41" s="434"/>
      <c r="DB41" s="435"/>
      <c r="DC41" s="433" t="str">
        <f>DC5</f>
        <v>Situation au 30/09/2017</v>
      </c>
      <c r="DD41" s="434"/>
      <c r="DE41" s="435"/>
      <c r="DF41" s="433" t="str">
        <f>DF5</f>
        <v>Situation au 31/12/2017</v>
      </c>
      <c r="DG41" s="434"/>
      <c r="DH41" s="435"/>
      <c r="DI41" s="433" t="str">
        <f>DI5</f>
        <v>Situation au 31/03/2018</v>
      </c>
      <c r="DJ41" s="434"/>
      <c r="DK41" s="435"/>
      <c r="DL41" s="433" t="str">
        <f>DL5</f>
        <v>Situation au 30/06/2018</v>
      </c>
      <c r="DM41" s="434"/>
      <c r="DN41" s="435"/>
      <c r="DO41" s="433" t="s">
        <v>273</v>
      </c>
      <c r="DP41" s="434"/>
      <c r="DQ41" s="435"/>
      <c r="DR41" s="433" t="s">
        <v>276</v>
      </c>
      <c r="DS41" s="434"/>
      <c r="DT41" s="435"/>
      <c r="DU41" s="441" t="str">
        <f>DU5</f>
        <v>Situation au 31/03/2019</v>
      </c>
      <c r="DV41" s="442"/>
      <c r="DW41" s="443"/>
      <c r="DX41" s="441" t="str">
        <f>DX5</f>
        <v>Situation au 30/06/2019</v>
      </c>
      <c r="DY41" s="442"/>
      <c r="DZ41" s="443"/>
      <c r="EA41" s="441" t="str">
        <f>EA5</f>
        <v>Situation au 30/09/2019</v>
      </c>
      <c r="EB41" s="442"/>
      <c r="EC41" s="443"/>
      <c r="ED41" s="441" t="str">
        <f>ED5</f>
        <v>Situation au 31/12/2019</v>
      </c>
      <c r="EE41" s="442"/>
      <c r="EF41" s="443"/>
      <c r="EG41" s="441" t="str">
        <f>EG5</f>
        <v>Situation au 31/03/2020</v>
      </c>
      <c r="EH41" s="442"/>
      <c r="EI41" s="443"/>
      <c r="EJ41" s="441" t="str">
        <f>EJ5</f>
        <v>Situation au 30/06/2020</v>
      </c>
      <c r="EK41" s="442"/>
      <c r="EL41" s="443"/>
      <c r="EM41" s="441" t="str">
        <f>EM5</f>
        <v>Situation au 30/09/2020</v>
      </c>
      <c r="EN41" s="442"/>
      <c r="EO41" s="443"/>
      <c r="EP41" s="441" t="str">
        <f>EP5</f>
        <v>Situation au 31/12/2020</v>
      </c>
      <c r="EQ41" s="442"/>
      <c r="ER41" s="443"/>
      <c r="ES41" s="441" t="str">
        <f>ES5</f>
        <v>Situation au 31/03/2021</v>
      </c>
      <c r="ET41" s="442"/>
      <c r="EU41" s="443"/>
      <c r="EV41" s="441" t="str">
        <f>EV5</f>
        <v>Situation au 30/06/2021</v>
      </c>
      <c r="EW41" s="442"/>
      <c r="EX41" s="443"/>
      <c r="EY41" s="441" t="str">
        <f>EY5</f>
        <v>Situation au 30/09/2021</v>
      </c>
      <c r="EZ41" s="442"/>
      <c r="FA41" s="443"/>
      <c r="FB41" s="436" t="str">
        <f>FB5</f>
        <v>Situation au 31/12/2021</v>
      </c>
      <c r="FC41" s="437"/>
      <c r="FD41" s="438"/>
      <c r="FE41" s="436" t="str">
        <f>FE5</f>
        <v>Situation au 31/03/2022</v>
      </c>
      <c r="FF41" s="437"/>
      <c r="FG41" s="438"/>
      <c r="FH41" s="436" t="str">
        <f>FH5</f>
        <v>Situation au 30/06/2022</v>
      </c>
      <c r="FI41" s="437"/>
      <c r="FJ41" s="438"/>
      <c r="FK41" s="436" t="str">
        <f>FK5</f>
        <v>Situation au 30/09/2022</v>
      </c>
      <c r="FL41" s="437"/>
      <c r="FM41" s="438"/>
      <c r="FN41" s="436" t="str">
        <f>FN5</f>
        <v>Situation au 31/12/2022</v>
      </c>
      <c r="FO41" s="437"/>
      <c r="FP41" s="438"/>
      <c r="FQ41" s="436" t="str">
        <f>FQ5</f>
        <v>Situation au 31/03/2023</v>
      </c>
      <c r="FR41" s="437"/>
      <c r="FS41" s="438"/>
      <c r="FT41" s="436" t="str">
        <f>FT5</f>
        <v>Situation au 30/06/2023</v>
      </c>
      <c r="FU41" s="437"/>
      <c r="FV41" s="438"/>
      <c r="FW41" s="436" t="str">
        <f>FW5</f>
        <v>Situation au 30/09/2023</v>
      </c>
      <c r="FX41" s="437"/>
      <c r="FY41" s="438"/>
      <c r="FZ41" s="436" t="str">
        <f>FZ5</f>
        <v>Situation au 31/12/2023</v>
      </c>
      <c r="GA41" s="437"/>
      <c r="GB41" s="438"/>
      <c r="GC41" s="436" t="str">
        <f>GC5</f>
        <v>Situation au 31/03/2024</v>
      </c>
      <c r="GD41" s="437"/>
      <c r="GE41" s="438"/>
      <c r="GF41" s="436" t="str">
        <f>GF5</f>
        <v>Situation au 30/06/2024</v>
      </c>
      <c r="GG41" s="437"/>
      <c r="GH41" s="438"/>
      <c r="GI41" s="436" t="str">
        <f>GI5</f>
        <v>Situation au 30/09/2024</v>
      </c>
      <c r="GJ41" s="437"/>
      <c r="GK41" s="438"/>
      <c r="GL41" s="436" t="str">
        <f>GL5</f>
        <v>Situation au 31/12/2024</v>
      </c>
      <c r="GM41" s="437"/>
      <c r="GN41" s="438"/>
    </row>
    <row r="42" spans="1:196" ht="12" thickBot="1" x14ac:dyDescent="0.3">
      <c r="A42" s="3"/>
      <c r="B42" s="34" t="str">
        <f>B6</f>
        <v>Hommes</v>
      </c>
      <c r="C42" s="35" t="str">
        <f>C6</f>
        <v>Femmes</v>
      </c>
      <c r="D42" s="36" t="str">
        <f>D6</f>
        <v>Ensemble</v>
      </c>
      <c r="E42" s="34" t="str">
        <f>E6</f>
        <v>Hommes</v>
      </c>
      <c r="F42" s="35" t="str">
        <f t="shared" ref="F42:P42" si="56">F6</f>
        <v>Femmes</v>
      </c>
      <c r="G42" s="36" t="str">
        <f t="shared" si="56"/>
        <v>Ensemble</v>
      </c>
      <c r="H42" s="34" t="str">
        <f t="shared" si="56"/>
        <v>Hommes</v>
      </c>
      <c r="I42" s="35" t="str">
        <f t="shared" si="56"/>
        <v>Femmes</v>
      </c>
      <c r="J42" s="36" t="str">
        <f t="shared" si="56"/>
        <v>Ensemble</v>
      </c>
      <c r="K42" s="34" t="str">
        <f t="shared" si="56"/>
        <v>Hommes</v>
      </c>
      <c r="L42" s="35" t="str">
        <f t="shared" si="56"/>
        <v>Femmes</v>
      </c>
      <c r="M42" s="36" t="str">
        <f t="shared" si="56"/>
        <v>Ensemble</v>
      </c>
      <c r="N42" s="34" t="str">
        <f t="shared" si="56"/>
        <v>Hommes</v>
      </c>
      <c r="O42" s="35" t="str">
        <f t="shared" si="56"/>
        <v>Femmes</v>
      </c>
      <c r="P42" s="37" t="str">
        <f t="shared" si="56"/>
        <v>Ensemble</v>
      </c>
      <c r="Q42" s="34" t="str">
        <f>Q6</f>
        <v>Hommes</v>
      </c>
      <c r="R42" s="35" t="str">
        <f>R6</f>
        <v>Femmes</v>
      </c>
      <c r="S42" s="36" t="str">
        <f>S6</f>
        <v>Ensemble</v>
      </c>
      <c r="T42" s="34" t="str">
        <f>T6</f>
        <v>Hommes</v>
      </c>
      <c r="U42" s="35" t="str">
        <f>U6</f>
        <v>Femmes</v>
      </c>
      <c r="V42" s="36" t="str">
        <f>V6</f>
        <v>Ensemble</v>
      </c>
      <c r="W42" s="34" t="str">
        <f>W6</f>
        <v>Hommes</v>
      </c>
      <c r="X42" s="35" t="str">
        <f>X6</f>
        <v>Femmes</v>
      </c>
      <c r="Y42" s="36" t="str">
        <f>Y6</f>
        <v>Ensemble</v>
      </c>
      <c r="Z42" s="34" t="str">
        <f>Z6</f>
        <v>Hommes</v>
      </c>
      <c r="AA42" s="35" t="str">
        <f>AA6</f>
        <v>Femmes</v>
      </c>
      <c r="AB42" s="36" t="str">
        <f>AB6</f>
        <v>Ensemble</v>
      </c>
      <c r="AC42" s="34" t="str">
        <f>AC6</f>
        <v>Hommes</v>
      </c>
      <c r="AD42" s="35" t="str">
        <f>AD6</f>
        <v>Femmes</v>
      </c>
      <c r="AE42" s="36" t="str">
        <f>AE6</f>
        <v>Ensemble</v>
      </c>
      <c r="AF42" s="34" t="str">
        <f>AF6</f>
        <v>Hommes</v>
      </c>
      <c r="AG42" s="35" t="str">
        <f>AG6</f>
        <v>Femmes</v>
      </c>
      <c r="AH42" s="36" t="str">
        <f>AH6</f>
        <v>Ensemble</v>
      </c>
      <c r="AI42" s="34" t="str">
        <f>AI6</f>
        <v>Hommes</v>
      </c>
      <c r="AJ42" s="35" t="str">
        <f>AJ6</f>
        <v>Femmes</v>
      </c>
      <c r="AK42" s="36" t="str">
        <f>AK6</f>
        <v>Ensemble</v>
      </c>
      <c r="AL42" s="34" t="str">
        <f>AL6</f>
        <v>Hommes</v>
      </c>
      <c r="AM42" s="35" t="str">
        <f>AM6</f>
        <v>Femmes</v>
      </c>
      <c r="AN42" s="36" t="str">
        <f>AN6</f>
        <v>Ensemble</v>
      </c>
      <c r="AO42" s="34" t="str">
        <f>AO6</f>
        <v>Hommes</v>
      </c>
      <c r="AP42" s="35" t="str">
        <f>AP6</f>
        <v>Femmes</v>
      </c>
      <c r="AQ42" s="36" t="str">
        <f>AQ6</f>
        <v>Ensemble</v>
      </c>
      <c r="AR42" s="34" t="str">
        <f>AR6</f>
        <v>Hommes</v>
      </c>
      <c r="AS42" s="35" t="str">
        <f>AS6</f>
        <v>Femmes</v>
      </c>
      <c r="AT42" s="36" t="str">
        <f>AT6</f>
        <v>Ensemble</v>
      </c>
      <c r="AU42" s="34" t="str">
        <f>AU6</f>
        <v>Hommes</v>
      </c>
      <c r="AV42" s="35" t="str">
        <f>AV6</f>
        <v>Femmes</v>
      </c>
      <c r="AW42" s="36" t="str">
        <f>AW6</f>
        <v>Ensemble</v>
      </c>
      <c r="AX42" s="34" t="str">
        <f>AX6</f>
        <v>Hommes</v>
      </c>
      <c r="AY42" s="35" t="str">
        <f>AY6</f>
        <v>Femmes</v>
      </c>
      <c r="AZ42" s="36" t="str">
        <f>AZ6</f>
        <v>Ensemble</v>
      </c>
      <c r="BA42" s="34" t="str">
        <f>BA6</f>
        <v>Hommes</v>
      </c>
      <c r="BB42" s="35" t="str">
        <f>BB6</f>
        <v>Femmes</v>
      </c>
      <c r="BC42" s="36" t="str">
        <f>BC6</f>
        <v>Ensemble</v>
      </c>
      <c r="BD42" s="34" t="str">
        <f>BD6</f>
        <v>Hommes</v>
      </c>
      <c r="BE42" s="35" t="str">
        <f>BE6</f>
        <v>Femmes</v>
      </c>
      <c r="BF42" s="36" t="str">
        <f>BF6</f>
        <v>Ensemble</v>
      </c>
      <c r="BG42" s="34" t="str">
        <f>BG6</f>
        <v>Hommes</v>
      </c>
      <c r="BH42" s="35" t="str">
        <f>BH6</f>
        <v>Femmes</v>
      </c>
      <c r="BI42" s="36" t="str">
        <f>BI6</f>
        <v>Ensemble</v>
      </c>
      <c r="BJ42" s="34" t="str">
        <f>BJ6</f>
        <v>Hommes</v>
      </c>
      <c r="BK42" s="35" t="str">
        <f>BK6</f>
        <v>Femmes</v>
      </c>
      <c r="BL42" s="36" t="str">
        <f>BL6</f>
        <v>Ensemble</v>
      </c>
      <c r="BM42" s="34" t="str">
        <f>BM6</f>
        <v>Hommes</v>
      </c>
      <c r="BN42" s="35" t="str">
        <f>BN6</f>
        <v>Femmes</v>
      </c>
      <c r="BO42" s="36" t="str">
        <f>BO6</f>
        <v>Ensemble</v>
      </c>
      <c r="BP42" s="34" t="str">
        <f>BP6</f>
        <v>Hommes</v>
      </c>
      <c r="BQ42" s="35" t="str">
        <f>BQ6</f>
        <v>Femmes</v>
      </c>
      <c r="BR42" s="36" t="str">
        <f>BR6</f>
        <v>Ensemble</v>
      </c>
      <c r="BS42" s="34" t="str">
        <f>BS6</f>
        <v>Hommes</v>
      </c>
      <c r="BT42" s="35" t="str">
        <f>BT6</f>
        <v>Femmes</v>
      </c>
      <c r="BU42" s="36" t="str">
        <f>BU6</f>
        <v>Ensemble</v>
      </c>
      <c r="BV42" s="34" t="str">
        <f>BV6</f>
        <v>Hommes</v>
      </c>
      <c r="BW42" s="35" t="str">
        <f>BW6</f>
        <v>Femmes</v>
      </c>
      <c r="BX42" s="36" t="str">
        <f>BX6</f>
        <v>Ensemble</v>
      </c>
      <c r="BY42" s="34" t="str">
        <f>BY6</f>
        <v>Hommes</v>
      </c>
      <c r="BZ42" s="35" t="str">
        <f>BZ6</f>
        <v>Femmes</v>
      </c>
      <c r="CA42" s="36" t="str">
        <f>CA6</f>
        <v>Ensemble</v>
      </c>
      <c r="CB42" s="34" t="str">
        <f>CE6</f>
        <v>Hommes</v>
      </c>
      <c r="CC42" s="35" t="str">
        <f>CF6</f>
        <v>Femmes</v>
      </c>
      <c r="CD42" s="36" t="str">
        <f>CG6</f>
        <v>Ensemble</v>
      </c>
      <c r="CE42" s="34" t="str">
        <f>CE6</f>
        <v>Hommes</v>
      </c>
      <c r="CF42" s="35" t="str">
        <f>CF6</f>
        <v>Femmes</v>
      </c>
      <c r="CG42" s="36" t="str">
        <f>CG6</f>
        <v>Ensemble</v>
      </c>
      <c r="CH42" s="34" t="str">
        <f>CH6</f>
        <v>Hommes</v>
      </c>
      <c r="CI42" s="35" t="str">
        <f>CI6</f>
        <v>Femmes</v>
      </c>
      <c r="CJ42" s="36" t="str">
        <f>CJ6</f>
        <v>Ensemble</v>
      </c>
      <c r="CK42" s="34" t="str">
        <f>CK6</f>
        <v>Hommes</v>
      </c>
      <c r="CL42" s="35" t="str">
        <f>CL6</f>
        <v>Femmes</v>
      </c>
      <c r="CM42" s="36" t="str">
        <f>CM6</f>
        <v>Ensemble</v>
      </c>
      <c r="CN42" s="34" t="str">
        <f>CQ6</f>
        <v>Hommes</v>
      </c>
      <c r="CO42" s="35" t="str">
        <f>CO6</f>
        <v>Femmes</v>
      </c>
      <c r="CP42" s="36" t="str">
        <f>CS6</f>
        <v>Ensemble</v>
      </c>
      <c r="CQ42" s="129" t="str">
        <f>CQ6</f>
        <v>Hommes</v>
      </c>
      <c r="CR42" s="130" t="str">
        <f>CR6</f>
        <v>Femmes</v>
      </c>
      <c r="CS42" s="131" t="str">
        <f>CS6</f>
        <v>Ensemble</v>
      </c>
      <c r="CT42" s="129" t="str">
        <f>CT6</f>
        <v>Hommes</v>
      </c>
      <c r="CU42" s="130" t="str">
        <f>CU6</f>
        <v>Femmes</v>
      </c>
      <c r="CV42" s="131" t="str">
        <f>CV6</f>
        <v>Ensemble</v>
      </c>
      <c r="CW42" s="129" t="str">
        <f>CW6</f>
        <v>Hommes</v>
      </c>
      <c r="CX42" s="130" t="str">
        <f>CX6</f>
        <v>Femmes</v>
      </c>
      <c r="CY42" s="131" t="str">
        <f>CY6</f>
        <v>Ensemble</v>
      </c>
      <c r="CZ42" s="129" t="str">
        <f>CZ6</f>
        <v>Hommes</v>
      </c>
      <c r="DA42" s="130" t="str">
        <f>DA6</f>
        <v>Femmes</v>
      </c>
      <c r="DB42" s="131" t="str">
        <f>DB6</f>
        <v>Ensemble</v>
      </c>
      <c r="DC42" s="129" t="str">
        <f>DC6</f>
        <v>Hommes</v>
      </c>
      <c r="DD42" s="130" t="str">
        <f>DD6</f>
        <v>Femmes</v>
      </c>
      <c r="DE42" s="131" t="str">
        <f>DE6</f>
        <v>Ensemble</v>
      </c>
      <c r="DF42" s="129" t="str">
        <f>DF6</f>
        <v>Hommes</v>
      </c>
      <c r="DG42" s="130" t="str">
        <f>DG6</f>
        <v>Femmes</v>
      </c>
      <c r="DH42" s="131" t="str">
        <f>DH6</f>
        <v>Ensemble</v>
      </c>
      <c r="DI42" s="129" t="str">
        <f>DI6</f>
        <v>Hommes</v>
      </c>
      <c r="DJ42" s="130" t="str">
        <f>DJ6</f>
        <v>Femmes</v>
      </c>
      <c r="DK42" s="131" t="str">
        <f>DK6</f>
        <v>Ensemble</v>
      </c>
      <c r="DL42" s="129" t="str">
        <f>DL6</f>
        <v>Hommes</v>
      </c>
      <c r="DM42" s="130" t="str">
        <f>DM6</f>
        <v>Femmes</v>
      </c>
      <c r="DN42" s="131" t="str">
        <f>DN6</f>
        <v>Ensemble</v>
      </c>
      <c r="DO42" s="129" t="s">
        <v>0</v>
      </c>
      <c r="DP42" s="130" t="s">
        <v>1</v>
      </c>
      <c r="DQ42" s="131" t="s">
        <v>5</v>
      </c>
      <c r="DR42" s="129" t="s">
        <v>0</v>
      </c>
      <c r="DS42" s="130" t="s">
        <v>1</v>
      </c>
      <c r="DT42" s="131" t="s">
        <v>5</v>
      </c>
      <c r="DU42" s="199" t="str">
        <f>DU6</f>
        <v>Hommes</v>
      </c>
      <c r="DV42" s="200" t="str">
        <f>DV6</f>
        <v>Femmes</v>
      </c>
      <c r="DW42" s="201" t="str">
        <f>DW6</f>
        <v>Ensemble</v>
      </c>
      <c r="DX42" s="199" t="str">
        <f>DX6</f>
        <v>Hommes</v>
      </c>
      <c r="DY42" s="200" t="str">
        <f>DY6</f>
        <v>Femmes</v>
      </c>
      <c r="DZ42" s="201" t="str">
        <f>DZ6</f>
        <v>Ensemble</v>
      </c>
      <c r="EA42" s="199" t="str">
        <f>EA6</f>
        <v>Hommes</v>
      </c>
      <c r="EB42" s="200" t="str">
        <f>EB6</f>
        <v>Femmes</v>
      </c>
      <c r="EC42" s="201" t="str">
        <f>EC6</f>
        <v>Ensemble</v>
      </c>
      <c r="ED42" s="199" t="str">
        <f>ED6</f>
        <v>Hommes</v>
      </c>
      <c r="EE42" s="200" t="str">
        <f>EE6</f>
        <v>Femmes</v>
      </c>
      <c r="EF42" s="201" t="str">
        <f>EF6</f>
        <v>Ensemble</v>
      </c>
      <c r="EG42" s="199" t="str">
        <f>EG6</f>
        <v>Hommes</v>
      </c>
      <c r="EH42" s="200" t="str">
        <f>EH6</f>
        <v>Femmes</v>
      </c>
      <c r="EI42" s="201" t="str">
        <f>EI6</f>
        <v>Ensemble</v>
      </c>
      <c r="EJ42" s="199" t="str">
        <f>EJ6</f>
        <v>Hommes</v>
      </c>
      <c r="EK42" s="200" t="str">
        <f>EK6</f>
        <v>Femmes</v>
      </c>
      <c r="EL42" s="201" t="str">
        <f>EL6</f>
        <v>Ensemble</v>
      </c>
      <c r="EM42" s="199" t="str">
        <f>EM6</f>
        <v>Hommes</v>
      </c>
      <c r="EN42" s="200" t="str">
        <f>EN6</f>
        <v>Femmes</v>
      </c>
      <c r="EO42" s="201" t="str">
        <f>EO6</f>
        <v>Ensemble</v>
      </c>
      <c r="EP42" s="199" t="str">
        <f>EP6</f>
        <v>Hommes</v>
      </c>
      <c r="EQ42" s="200" t="str">
        <f>EQ6</f>
        <v>Femmes</v>
      </c>
      <c r="ER42" s="201" t="str">
        <f>ER6</f>
        <v>Ensemble</v>
      </c>
      <c r="ES42" s="199" t="str">
        <f>ES6</f>
        <v>Hommes</v>
      </c>
      <c r="ET42" s="200" t="str">
        <f>ET6</f>
        <v>Femmes</v>
      </c>
      <c r="EU42" s="201" t="str">
        <f>EU6</f>
        <v>Ensemble</v>
      </c>
      <c r="EV42" s="199" t="str">
        <f>EV6</f>
        <v>Hommes</v>
      </c>
      <c r="EW42" s="200" t="str">
        <f>EW6</f>
        <v>Femmes</v>
      </c>
      <c r="EX42" s="201" t="str">
        <f>EX6</f>
        <v>Ensemble</v>
      </c>
      <c r="EY42" s="199" t="str">
        <f>EY6</f>
        <v>Hommes</v>
      </c>
      <c r="EZ42" s="200" t="str">
        <f>EZ6</f>
        <v>Femmes</v>
      </c>
      <c r="FA42" s="201" t="str">
        <f>FA6</f>
        <v>Ensemble</v>
      </c>
      <c r="FB42" s="199" t="str">
        <f>FB6</f>
        <v>Hommes</v>
      </c>
      <c r="FC42" s="200" t="str">
        <f>FC6</f>
        <v>Femmes</v>
      </c>
      <c r="FD42" s="201" t="str">
        <f>FD6</f>
        <v>Ensemble</v>
      </c>
      <c r="FE42" s="199" t="str">
        <f>FE6</f>
        <v>Hommes</v>
      </c>
      <c r="FF42" s="200" t="str">
        <f>FF6</f>
        <v>Femmes</v>
      </c>
      <c r="FG42" s="201" t="str">
        <f>FG6</f>
        <v>Ensemble</v>
      </c>
      <c r="FH42" s="199" t="str">
        <f>FH6</f>
        <v>Hommes</v>
      </c>
      <c r="FI42" s="200" t="str">
        <f>FI6</f>
        <v>Femmes</v>
      </c>
      <c r="FJ42" s="201" t="str">
        <f>FJ6</f>
        <v>Ensemble</v>
      </c>
      <c r="FK42" s="199" t="str">
        <f>FK6</f>
        <v>Hommes</v>
      </c>
      <c r="FL42" s="200" t="str">
        <f>FL6</f>
        <v>Femmes</v>
      </c>
      <c r="FM42" s="201" t="str">
        <f>FM6</f>
        <v>Ensemble</v>
      </c>
      <c r="FN42" s="129" t="str">
        <f>FN6</f>
        <v>Hommes</v>
      </c>
      <c r="FO42" s="130" t="str">
        <f>FO6</f>
        <v>Femmes</v>
      </c>
      <c r="FP42" s="131" t="str">
        <f>FP6</f>
        <v>Ensemble</v>
      </c>
      <c r="FQ42" s="129" t="str">
        <f>FQ6</f>
        <v>Hommes</v>
      </c>
      <c r="FR42" s="366" t="str">
        <f>FR6</f>
        <v>Femmes</v>
      </c>
      <c r="FS42" s="131" t="str">
        <f>FS6</f>
        <v>Ensemble</v>
      </c>
      <c r="FT42" s="129" t="str">
        <f>FT6</f>
        <v>Hommes</v>
      </c>
      <c r="FU42" s="383" t="str">
        <f>FU6</f>
        <v>Femmes</v>
      </c>
      <c r="FV42" s="131" t="str">
        <f>FV6</f>
        <v>Ensemble</v>
      </c>
      <c r="FW42" s="129" t="str">
        <f>FW6</f>
        <v>Hommes</v>
      </c>
      <c r="FX42" s="385" t="str">
        <f>FX6</f>
        <v>Femmes</v>
      </c>
      <c r="FY42" s="131" t="str">
        <f>FY6</f>
        <v>Ensemble</v>
      </c>
      <c r="FZ42" s="129" t="str">
        <f>FZ6</f>
        <v>Hommes</v>
      </c>
      <c r="GA42" s="386" t="str">
        <f>GA6</f>
        <v>Femmes</v>
      </c>
      <c r="GB42" s="131" t="str">
        <f>GB6</f>
        <v>Ensemble</v>
      </c>
      <c r="GC42" s="129" t="str">
        <f>GC6</f>
        <v>Hommes</v>
      </c>
      <c r="GD42" s="391" t="str">
        <f>GD6</f>
        <v>Femmes</v>
      </c>
      <c r="GE42" s="131" t="str">
        <f>GE6</f>
        <v>Ensemble</v>
      </c>
      <c r="GF42" s="129" t="str">
        <f>GF6</f>
        <v>Hommes</v>
      </c>
      <c r="GG42" s="392" t="str">
        <f>GG6</f>
        <v>Femmes</v>
      </c>
      <c r="GH42" s="131" t="str">
        <f>GH6</f>
        <v>Ensemble</v>
      </c>
      <c r="GI42" s="129" t="str">
        <f>GI6</f>
        <v>Hommes</v>
      </c>
      <c r="GJ42" s="393" t="str">
        <f>GJ6</f>
        <v>Femmes</v>
      </c>
      <c r="GK42" s="131" t="str">
        <f>GK6</f>
        <v>Ensemble</v>
      </c>
      <c r="GL42" s="129" t="str">
        <f>GL6</f>
        <v>Hommes</v>
      </c>
      <c r="GM42" s="394" t="str">
        <f>GM6</f>
        <v>Femmes</v>
      </c>
      <c r="GN42" s="131" t="str">
        <f>GN6</f>
        <v>Ensemble</v>
      </c>
    </row>
    <row r="43" spans="1:196" ht="12" thickBot="1" x14ac:dyDescent="0.3">
      <c r="A43" s="46" t="s">
        <v>381</v>
      </c>
      <c r="B43" s="47">
        <f>[1]SAS_SA_4T2008!$D$115</f>
        <v>0.89620103639758375</v>
      </c>
      <c r="C43" s="48">
        <f>[1]SAS_SA_4T2008!$E$115</f>
        <v>0.83217412570310589</v>
      </c>
      <c r="D43" s="49">
        <f>[1]SAS_SA_4T2008!$F$115</f>
        <v>0.87461579485942476</v>
      </c>
      <c r="E43" s="47">
        <f>[2]SAS_SA_1T2009!$D$115</f>
        <v>0.8966210821185302</v>
      </c>
      <c r="F43" s="48">
        <f>[2]SAS_SA_1T2009!$E$115</f>
        <v>0.83257527788161523</v>
      </c>
      <c r="G43" s="49">
        <f>[2]SAS_SA_1T2009!$F$115</f>
        <v>0.87494616893196064</v>
      </c>
      <c r="H43" s="47">
        <f>[64]SAS_SA_2T2009!$D$115</f>
        <v>0.89877989140657333</v>
      </c>
      <c r="I43" s="48">
        <f>[64]SAS_SA_2T2009!$E$115</f>
        <v>0.83603261084975411</v>
      </c>
      <c r="J43" s="49">
        <f>[64]SAS_SA_2T2009!$F$115</f>
        <v>0.87747433913237027</v>
      </c>
      <c r="K43" s="47">
        <f>[3]SAS_SA_3T2009!$D$115</f>
        <v>0.90087508845815278</v>
      </c>
      <c r="L43" s="48">
        <f>[3]SAS_SA_3T2009!$E$115</f>
        <v>0.84002802570132351</v>
      </c>
      <c r="M43" s="49">
        <f>[3]SAS_SA_3T2009!$F$115</f>
        <v>0.88009988447047593</v>
      </c>
      <c r="N43" s="47">
        <f>[4]SAS_SA_4T2009!$D$115</f>
        <v>0.90271219137925474</v>
      </c>
      <c r="O43" s="48">
        <f>[4]SAS_SA_4T2009!$E$115</f>
        <v>0.84311422035158412</v>
      </c>
      <c r="P43" s="50">
        <f>[4]SAS_SA_4T2009!$F$115</f>
        <v>0.88229026283805567</v>
      </c>
      <c r="Q43" s="47">
        <f>[5]SAS_SA_1T2010!$D$115</f>
        <v>0.90457814583953899</v>
      </c>
      <c r="R43" s="48">
        <f>[5]SAS_SA_1T2010!$E$115</f>
        <v>0.84662886175382968</v>
      </c>
      <c r="S43" s="50">
        <f>[5]SAS_SA_1T2010!$F$115</f>
        <v>0.88466649676902143</v>
      </c>
      <c r="T43" s="47">
        <f>[65]SAS_SA_2T2010!$D$115</f>
        <v>0.90933486876067193</v>
      </c>
      <c r="U43" s="48">
        <f>[65]SAS_SA_2T2010!$E$115</f>
        <v>0.85073451234669584</v>
      </c>
      <c r="V43" s="50">
        <f>[65]SAS_SA_2T2010!$F$115</f>
        <v>0.88902664327898118</v>
      </c>
      <c r="W43" s="47">
        <f>[6]SAS_SA_3T2010!$D$115</f>
        <v>0.91140690581275829</v>
      </c>
      <c r="X43" s="48">
        <f>[6]SAS_SA_3T2010!$E$115</f>
        <v>0.85415207119113989</v>
      </c>
      <c r="Y43" s="50">
        <f>[6]SAS_SA_3T2010!$F$115</f>
        <v>0.89148336685862006</v>
      </c>
      <c r="Z43" s="47">
        <f>[7]SAS_SA_2010_4T!$D$115</f>
        <v>0.91087531858432924</v>
      </c>
      <c r="AA43" s="48">
        <f>[7]SAS_SA_2010_4T!$E$115</f>
        <v>0.85710093374833263</v>
      </c>
      <c r="AB43" s="49">
        <f>[7]SAS_SA_2010_4T!$F$115</f>
        <v>0.89218920362395981</v>
      </c>
      <c r="AC43" s="47">
        <f>[8]SAS_SA_2011_1T!$D$108</f>
        <v>0.91274001060436172</v>
      </c>
      <c r="AD43" s="48">
        <f>[8]SAS_SA_2011_1T!$E$108</f>
        <v>0.86062623106703795</v>
      </c>
      <c r="AE43" s="49">
        <f>[8]SAS_SA_2011_1T!$F$108</f>
        <v>0.89457296907773676</v>
      </c>
      <c r="AF43" s="47">
        <f>[9]SAS_SA_2011_2T!$D$108</f>
        <v>0.91465173583581583</v>
      </c>
      <c r="AG43" s="48">
        <f>[9]SAS_SA_2011_2T!$E$108</f>
        <v>0.86387931656291261</v>
      </c>
      <c r="AH43" s="49">
        <f>[9]SAS_SA_2011_2T!$F$108</f>
        <v>0.89688979248804246</v>
      </c>
      <c r="AI43" s="47">
        <f>[10]SAS_SA_2011_3T!$D$108</f>
        <v>0.91465232509326511</v>
      </c>
      <c r="AJ43" s="48">
        <f>[10]SAS_SA_2011_3T!$E$108</f>
        <v>0.86387891581251497</v>
      </c>
      <c r="AK43" s="49">
        <f>[10]SAS_SA_2011_3T!$F$108</f>
        <v>0.89689004196494182</v>
      </c>
      <c r="AL43" s="47">
        <f>[11]SAS_SA_2011_4T!$D$108</f>
        <v>0.91772796291856473</v>
      </c>
      <c r="AM43" s="48">
        <f>[11]SAS_SA_2011_4T!$E$108</f>
        <v>0.86884478686063715</v>
      </c>
      <c r="AN43" s="49">
        <f>[11]SAS_SA_2011_4T!$F$108</f>
        <v>0.90052491603156226</v>
      </c>
      <c r="AO43" s="47">
        <f>'[12]120612-17H07S59-PROGRAM-TdB_STO'!$D$108</f>
        <v>0.91946698310898156</v>
      </c>
      <c r="AP43" s="48">
        <f>'[12]120612-17H07S59-PROGRAM-TdB_STO'!$E$108</f>
        <v>0.87187577295909358</v>
      </c>
      <c r="AQ43" s="49">
        <f>'[12]120612-17H07S59-PROGRAM-TdB_STO'!$F$108</f>
        <v>0.90267269766750735</v>
      </c>
      <c r="AR43" s="47">
        <f>[13]SAS_SA_2012_2T!$D$108</f>
        <v>0.92126247803213057</v>
      </c>
      <c r="AS43" s="48">
        <f>[13]SAS_SA_2012_2T!$E$108</f>
        <v>0.87480230547889937</v>
      </c>
      <c r="AT43" s="49">
        <f>[13]SAS_SA_2012_2T!$F$108</f>
        <v>0.90482121277339722</v>
      </c>
      <c r="AU43" s="47">
        <f>'[14]121105-09H31S06-PROGRAM-TdB_STO'!$D$108</f>
        <v>0.92275341708273806</v>
      </c>
      <c r="AV43" s="48">
        <f>'[14]121105-09H31S06-PROGRAM-TdB_STO'!$E$108</f>
        <v>0.87752135092025263</v>
      </c>
      <c r="AW43" s="49">
        <f>'[14]121105-09H31S06-PROGRAM-TdB_STO'!$F$108</f>
        <v>0.90668430775793296</v>
      </c>
      <c r="AX43" s="47">
        <f>[15]SAS_SA_2012_4T!$D$108</f>
        <v>0.92387040404394416</v>
      </c>
      <c r="AY43" s="48">
        <f>[15]SAS_SA_2012_4T!$E$108</f>
        <v>0.87964070268869143</v>
      </c>
      <c r="AZ43" s="49">
        <f>[15]SAS_SA_2012_4T!$F$108</f>
        <v>0.90811332941220302</v>
      </c>
      <c r="BA43" s="47">
        <f>[16]SAS_SA_2013_1T!$D$108</f>
        <v>0.92541126050200562</v>
      </c>
      <c r="BB43" s="48">
        <f>[16]SAS_SA_2013_1T!$E$108</f>
        <v>0.88260780136634098</v>
      </c>
      <c r="BC43" s="49">
        <f>[16]SAS_SA_2013_1T!$F$108</f>
        <v>0.91011915946961386</v>
      </c>
      <c r="BD43" s="47">
        <f>[17]SAS_SA_2013_2T!$D$108</f>
        <v>0.92694526294350876</v>
      </c>
      <c r="BE43" s="48">
        <f>[17]SAS_SA_2013_2T!$E$108</f>
        <v>0.88549465673098982</v>
      </c>
      <c r="BF43" s="49">
        <f>[17]SAS_SA_2013_2T!$F$108</f>
        <v>0.91209062780590411</v>
      </c>
      <c r="BG43" s="47">
        <f>[18]SAS_SA_2013_3T!$D$108</f>
        <v>0.92867847729951747</v>
      </c>
      <c r="BH43" s="48">
        <f>[18]SAS_SA_2013_3T!$E$108</f>
        <v>0.88888888888888884</v>
      </c>
      <c r="BI43" s="49">
        <f>[18]SAS_SA_2013_3T!$F$108</f>
        <v>0.91435012768325108</v>
      </c>
      <c r="BJ43" s="47">
        <f>[19]SAS_SA_2013_4T!$D$108</f>
        <v>0.92999669474628688</v>
      </c>
      <c r="BK43" s="48">
        <f>[19]SAS_SA_2013_4T!$E$108</f>
        <v>0.89149800270171553</v>
      </c>
      <c r="BL43" s="49">
        <f>[19]SAS_SA_2013_4T!$F$108</f>
        <v>0.91608435561854873</v>
      </c>
      <c r="BM43" s="47">
        <f>[20]SAS_SA_2014_1T!$D$108</f>
        <v>0.9312143515543112</v>
      </c>
      <c r="BN43" s="48">
        <f>[20]SAS_SA_2014_1T!$E$108</f>
        <v>0.89422380531779411</v>
      </c>
      <c r="BO43" s="49">
        <f>[20]SAS_SA_2014_1T!$F$108</f>
        <v>0.91781784370657893</v>
      </c>
      <c r="BP43" s="47">
        <f>[21]SAS_SA_2014_2T!$D$108</f>
        <v>0.93258349371767479</v>
      </c>
      <c r="BQ43" s="48">
        <f>[21]SAS_SA_2014_2T!$E$108</f>
        <v>0.89685305868978549</v>
      </c>
      <c r="BR43" s="49">
        <f>[21]SAS_SA_2014_2T!$F$108</f>
        <v>0.91960271944756777</v>
      </c>
      <c r="BS43" s="47">
        <f>[22]SAS_SA_2014_3T!$D$108</f>
        <v>0.93401051519180611</v>
      </c>
      <c r="BT43" s="48">
        <f>[22]SAS_SA_2014_3T!$E$108</f>
        <v>0.89967242606669218</v>
      </c>
      <c r="BU43" s="49">
        <f>[22]SAS_SA_2014_3T!$F$108</f>
        <v>0.92149212378248513</v>
      </c>
      <c r="BV43" s="47">
        <f>[23]SAS_SA_2014_4T!$D$108</f>
        <v>0.93537999999999999</v>
      </c>
      <c r="BW43" s="48">
        <f>[23]SAS_SA_2014_4T!$E$108</f>
        <v>0.90244999999999997</v>
      </c>
      <c r="BX43" s="49">
        <f>[23]SAS_SA_2014_4T!$F$108</f>
        <v>0.92334000000000005</v>
      </c>
      <c r="BY43" s="47">
        <f>[24]SAS_SA_2015_1T!$D$108</f>
        <v>0.93666000000000005</v>
      </c>
      <c r="BZ43" s="48">
        <f>[24]SAS_SA_2015_1T!$E$108</f>
        <v>0.90547</v>
      </c>
      <c r="CA43" s="49">
        <f>[24]SAS_SA_2015_1T!$F$108</f>
        <v>0.92520999999999998</v>
      </c>
      <c r="CB43" s="47">
        <f>[25]SAS_SA_2015_2T!$D$108</f>
        <v>0.938168723348765</v>
      </c>
      <c r="CC43" s="48">
        <f>[25]SAS_SA_2015_2T!$E$108</f>
        <v>0.90807330403545128</v>
      </c>
      <c r="CD43" s="49">
        <f>[25]SAS_SA_2015_2T!$F$108</f>
        <v>0.92709203117444905</v>
      </c>
      <c r="CE43" s="47">
        <f>[26]SAS_SA_2015_3T!$D$108</f>
        <v>0.93932000000000004</v>
      </c>
      <c r="CF43" s="48">
        <f>[26]SAS_SA_2015_3T!$E$108</f>
        <v>0.91022999999999998</v>
      </c>
      <c r="CG43" s="49">
        <f>[26]SAS_SA_2015_3T!$F$108</f>
        <v>0.92859000000000003</v>
      </c>
      <c r="CH43" s="47">
        <f>[27]SAS_SA_2015_4T!$D$108</f>
        <v>0.94048370795501568</v>
      </c>
      <c r="CI43" s="48">
        <f>[27]SAS_SA_2015_4T!$E$108</f>
        <v>0.91283849824642094</v>
      </c>
      <c r="CJ43" s="49">
        <f>[27]SAS_SA_2015_4T!$F$108</f>
        <v>0.93024874893505671</v>
      </c>
      <c r="CK43" s="47">
        <f>[28]SAS_SA_2016_1T!$D$108</f>
        <v>0.94179968224437549</v>
      </c>
      <c r="CL43" s="48">
        <f>[28]SAS_SA_2016_1T!$E$108</f>
        <v>0.9154908993732489</v>
      </c>
      <c r="CM43" s="49">
        <f>[28]SAS_SA_2016_1T!$F$108</f>
        <v>0.93202230249058959</v>
      </c>
      <c r="CN43" s="47">
        <f>'[29]160822-11H12S04-PROGRAM-TdB_STO'!$D$108</f>
        <v>0.94320895122865245</v>
      </c>
      <c r="CO43" s="48">
        <f>'[29]160822-11H12S04-PROGRAM-TdB_STO'!$E$108</f>
        <v>0.91787596843396924</v>
      </c>
      <c r="CP43" s="49">
        <f>'[29]160822-11H12S04-PROGRAM-TdB_STO'!$F$108</f>
        <v>0.93376173769237003</v>
      </c>
      <c r="CQ43" s="153">
        <f>[30]SAS_SA_2016_3T!$D$108</f>
        <v>0.94431687289894606</v>
      </c>
      <c r="CR43" s="154">
        <f>[30]SAS_SA_2016_3T!$E$108</f>
        <v>0.92008560780716764</v>
      </c>
      <c r="CS43" s="155">
        <f>[30]SAS_SA_2016_3T!$F$108</f>
        <v>0.93525074574721834</v>
      </c>
      <c r="CT43" s="153">
        <f>[31]SAS_SA_2016_4T!$D$108</f>
        <v>0.94524961336220226</v>
      </c>
      <c r="CU43" s="154">
        <f>[31]SAS_SA_2016_4T!$E$108</f>
        <v>0.92192821082960563</v>
      </c>
      <c r="CV43" s="155">
        <f>[31]SAS_SA_2016_4T!$F$108</f>
        <v>0.93650903337661706</v>
      </c>
      <c r="CW43" s="153">
        <f>[32]SAS_SA_2017_1T!$C$108</f>
        <v>0.94639963040497599</v>
      </c>
      <c r="CX43" s="154">
        <f>[32]SAS_SA_2017_1T!$D$108</f>
        <v>0.92441108373775405</v>
      </c>
      <c r="CY43" s="155">
        <f>[32]SAS_SA_2017_1T!$E$108</f>
        <v>0.93813819701523338</v>
      </c>
      <c r="CZ43" s="153">
        <f>[33]SAS_SA_2017_2T!$C$108</f>
        <v>0.94758497198326108</v>
      </c>
      <c r="DA43" s="154">
        <f>[33]SAS_SA_2017_2T!$D$108</f>
        <v>0.92654827200960499</v>
      </c>
      <c r="DB43" s="155">
        <f>[33]SAS_SA_2017_2T!$E$108</f>
        <v>0.93965893441089954</v>
      </c>
      <c r="DC43" s="153">
        <f>[34]SAS_SA_2017_3T!$C$108</f>
        <v>0.94808103582619074</v>
      </c>
      <c r="DD43" s="154">
        <f>[34]SAS_SA_2017_3T!$D$108</f>
        <v>0.92788701160553466</v>
      </c>
      <c r="DE43" s="155">
        <f>[34]SAS_SA_2017_3T!$E$108</f>
        <v>0.94045297294118801</v>
      </c>
      <c r="DF43" s="153">
        <f>[35]SAS_SA_2017_4T!$C$108</f>
        <v>0.94841009793224584</v>
      </c>
      <c r="DG43" s="154">
        <f>[35]SAS_SA_2017_4T!$D$108</f>
        <v>0.92888583068471009</v>
      </c>
      <c r="DH43" s="155">
        <f>[35]SAS_SA_2017_4T!$E$108</f>
        <v>0.94101926694643712</v>
      </c>
      <c r="DI43" s="153">
        <f>[36]SAS_SA_2018_1T!$D$106/[36]SAS_SA_2018_1T!$D$107</f>
        <v>0.94851382526998562</v>
      </c>
      <c r="DJ43" s="154">
        <f>[36]SAS_SA_2018_1T!$E$106/[36]SAS_SA_2018_1T!$E$107</f>
        <v>0.92995497681846206</v>
      </c>
      <c r="DK43" s="155">
        <f>[36]SAS_SA_2018_1T!$F$106/[36]SAS_SA_2018_1T!$F$107</f>
        <v>0.94147251656195974</v>
      </c>
      <c r="DL43" s="153">
        <f>[37]SAS_SA_2018_2T!$D$106/[37]SAS_SA_2018_2T!$D$107</f>
        <v>0.94877194105047624</v>
      </c>
      <c r="DM43" s="154">
        <f>[37]SAS_SA_2018_2T!$E$106/[37]SAS_SA_2018_2T!$E$107</f>
        <v>0.93081140967296527</v>
      </c>
      <c r="DN43" s="155">
        <f>[37]SAS_SA_2018_2T!$F$106/[37]SAS_SA_2018_2T!$F$107</f>
        <v>0.94193910504689782</v>
      </c>
      <c r="DO43" s="153">
        <f>[38]SAS_SA_2018_3T!$D$106/[38]SAS_SA_2018_3T!$D$107</f>
        <v>0.9488147344805592</v>
      </c>
      <c r="DP43" s="154">
        <f>[38]SAS_SA_2018_3T!$E$106/[38]SAS_SA_2018_3T!$E$107</f>
        <v>0.93135743826584905</v>
      </c>
      <c r="DQ43" s="155">
        <f>[38]SAS_SA_2018_3T!$F$106/[38]SAS_SA_2018_3T!$F$107</f>
        <v>0.94215409599686928</v>
      </c>
      <c r="DR43" s="153">
        <f>'[39]190227-14H32S38-PROGRAM-TdB_STO'!$D$106/'[39]190227-14H32S38-PROGRAM-TdB_STO'!$D$107</f>
        <v>0.94875079804936358</v>
      </c>
      <c r="DS43" s="154">
        <f>'[39]190227-14H32S38-PROGRAM-TdB_STO'!$E$106/'[39]190227-14H32S38-PROGRAM-TdB_STO'!$E$107</f>
        <v>0.93168854157375836</v>
      </c>
      <c r="DT43" s="155">
        <f>'[39]190227-14H32S38-PROGRAM-TdB_STO'!$F$106/'[39]190227-14H32S38-PROGRAM-TdB_STO'!$F$107</f>
        <v>0.94222917104829074</v>
      </c>
      <c r="DU43" s="220">
        <f>[40]SAS_SA_2019_1T!$D$106/[40]SAS_SA_2019_1T!$D$107</f>
        <v>0.94854493397718043</v>
      </c>
      <c r="DV43" s="221">
        <f>[40]SAS_SA_2019_1T!$E$106/[40]SAS_SA_2019_1T!$E$107</f>
        <v>0.93218881758592465</v>
      </c>
      <c r="DW43" s="222">
        <f>[40]SAS_SA_2019_1T!$F$106/[40]SAS_SA_2019_1T!$F$107</f>
        <v>0.94227712777313588</v>
      </c>
      <c r="DX43" s="220">
        <f>[41]SAS_SA_2019_2T!$C$106/[41]SAS_SA_2019_2T!$C$107</f>
        <v>0.94860241358221431</v>
      </c>
      <c r="DY43" s="221">
        <f>[41]SAS_SA_2019_2T!$D$106/[41]SAS_SA_2019_2T!$D$107</f>
        <v>0.9321682652827048</v>
      </c>
      <c r="DZ43" s="222">
        <f>[41]SAS_SA_2019_2T!$E$106/[41]SAS_SA_2019_2T!$E$107</f>
        <v>0.94229364887298173</v>
      </c>
      <c r="EA43" s="220">
        <f>[42]SAS_SA_2019_3T!$D$106/[42]SAS_SA_2019_3T!$D$107</f>
        <v>0.94840581521937295</v>
      </c>
      <c r="EB43" s="221">
        <f>[42]SAS_SA_2019_3T!$E$106/[42]SAS_SA_2019_3T!$E$107</f>
        <v>0.93201783293487206</v>
      </c>
      <c r="EC43" s="222">
        <f>[42]SAS_SA_2019_3T!$F$106/[42]SAS_SA_2019_3T!$F$107</f>
        <v>0.94209861030042785</v>
      </c>
      <c r="ED43" s="220">
        <f>[43]SAS_SA_2019_4T!$D$106/[43]SAS_SA_2019_4T!$D$107</f>
        <v>0.9482346778144517</v>
      </c>
      <c r="EE43" s="221">
        <f>[43]SAS_SA_2019_4T!$E$106/[43]SAS_SA_2019_4T!$E$107</f>
        <v>0.93205988899597858</v>
      </c>
      <c r="EF43" s="222">
        <f>[43]SAS_SA_2019_4T!$F$106/[43]SAS_SA_2019_4T!$F$107</f>
        <v>0.94199282532011119</v>
      </c>
      <c r="EG43" s="220">
        <f>[44]SAS_SA_2020_1T!$D$101/[44]SAS_SA_2020_1T!$D$102</f>
        <v>0.94794924250511448</v>
      </c>
      <c r="EH43" s="221">
        <f>[44]SAS_SA_2020_1T!$E$101/[44]SAS_SA_2020_1T!$E$102</f>
        <v>0.93183271624547936</v>
      </c>
      <c r="EI43" s="222">
        <f>[44]SAS_SA_2020_1T!$F$101/[44]SAS_SA_2020_1T!$F$102</f>
        <v>0.94171556120737987</v>
      </c>
      <c r="EJ43" s="220">
        <f>[45]SAS_SA_2020_2T!$D$101/[45]SAS_SA_2020_2T!$D$102</f>
        <v>0.94768665839869004</v>
      </c>
      <c r="EK43" s="221">
        <f>[45]SAS_SA_2020_2T!$E$101/[45]SAS_SA_2020_2T!$E$102</f>
        <v>0.93187368268548976</v>
      </c>
      <c r="EL43" s="222">
        <f>[45]SAS_SA_2020_2T!$F$101/[45]SAS_SA_2020_2T!$F$102</f>
        <v>0.94155326984840559</v>
      </c>
      <c r="EM43" s="220">
        <f>[46]SAS_SA_2020_3T!$D$101/[46]SAS_SA_2020_3T!$D$102</f>
        <v>0.94789217586779684</v>
      </c>
      <c r="EN43" s="221">
        <f>[46]SAS_SA_2020_3T!$E$101/[46]SAS_SA_2020_3T!$E$102</f>
        <v>0.93234818006189946</v>
      </c>
      <c r="EO43" s="222">
        <f>[46]SAS_SA_2020_3T!$F$101/[46]SAS_SA_2020_3T!$F$102</f>
        <v>0.94184874826487586</v>
      </c>
      <c r="EP43" s="220">
        <f>[47]SAS_SA_2020_4T!$D$101/[47]SAS_SA_2020_4T!$D$102</f>
        <v>0.94832009093839476</v>
      </c>
      <c r="EQ43" s="221">
        <f>[47]SAS_SA_2020_4T!$E$101/[47]SAS_SA_2020_4T!$E$102</f>
        <v>0.93287144648858789</v>
      </c>
      <c r="ER43" s="222">
        <f>[47]SAS_SA_2020_4T!$F$101/[47]SAS_SA_2020_4T!$F$102</f>
        <v>0.94229534739019172</v>
      </c>
      <c r="ES43" s="220">
        <f>[48]SAS_SA_2021_1T!$D$101/[48]SAS_SA_2021_1T!$D$102</f>
        <v>0.94774602783594042</v>
      </c>
      <c r="ET43" s="221">
        <f>[48]SAS_SA_2021_1T!$E$101/[48]SAS_SA_2021_1T!$E$102</f>
        <v>0.93268877117479698</v>
      </c>
      <c r="EU43" s="222">
        <f>[48]SAS_SA_2021_1T!$F$101/[48]SAS_SA_2021_1T!$F$102</f>
        <v>0.94185508649458349</v>
      </c>
      <c r="EV43" s="220">
        <f>[49]SAS_SA_2021_2T!$D$101/[49]SAS_SA_2021_2T!$D$102</f>
        <v>0.94736144912919229</v>
      </c>
      <c r="EW43" s="221">
        <f>[49]SAS_SA_2021_2T!$E$101/[49]SAS_SA_2021_2T!$E$102</f>
        <v>0.93258752854422333</v>
      </c>
      <c r="EX43" s="222">
        <f>[49]SAS_SA_2021_2T!$F$101/[49]SAS_SA_2021_2T!$F$102</f>
        <v>0.94156479299039531</v>
      </c>
      <c r="EY43" s="220">
        <f>[50]SAS_SA_2021_3T!$D$101/[50]SAS_SA_2021_3T!$D$102</f>
        <v>0.94696481274205668</v>
      </c>
      <c r="EZ43" s="221">
        <f>[50]SAS_SA_2021_3T!$E$101/[50]SAS_SA_2021_3T!$E$102</f>
        <v>0.93237561317449191</v>
      </c>
      <c r="FA43" s="222">
        <f>[50]SAS_SA_2021_3T!$F$101/[50]SAS_SA_2021_3T!$F$102</f>
        <v>0.94122645746791023</v>
      </c>
      <c r="FB43" s="278">
        <f>[51]SAS_SA_2021_4T!$B$76/[51]SAS_SA_2021_4T!$B$77</f>
        <v>0.79931384570659725</v>
      </c>
      <c r="FC43" s="278">
        <f>[51]SAS_SA_2021_4T!$C$76/[51]SAS_SA_2021_4T!$C$77</f>
        <v>0.78113666434018569</v>
      </c>
      <c r="FD43" s="278">
        <f>[51]SAS_SA_2021_4T!$D$76/[51]SAS_SA_2021_4T!$D$77</f>
        <v>0.79213431522383149</v>
      </c>
      <c r="FE43" s="278">
        <f>[52]SAS_SA_2022_1T!$B$76/[52]SAS_SA_2022_1T!$B$77</f>
        <v>0.80460256348138515</v>
      </c>
      <c r="FF43" s="278">
        <f>[52]SAS_SA_2022_1T!$C$76/[52]SAS_SA_2022_1T!$C$77</f>
        <v>0.78431666402618216</v>
      </c>
      <c r="FG43" s="278">
        <f>[52]SAS_SA_2022_1T!$D$76/[52]SAS_SA_2022_1T!$D$77</f>
        <v>0.79659014227189673</v>
      </c>
      <c r="FH43" s="278">
        <f>[53]SAS_SA_2022_2T!$B$76/[53]SAS_SA_2022_2T!$B$77</f>
        <v>0.80646350558403734</v>
      </c>
      <c r="FI43" s="278">
        <f>[53]SAS_SA_2022_2T!$C$76/[53]SAS_SA_2022_2T!$C$77</f>
        <v>0.78579749719493486</v>
      </c>
      <c r="FJ43" s="278">
        <f>[53]SAS_SA_2022_2T!$D$76/[53]SAS_SA_2022_2T!$D$77</f>
        <v>0.79828086139395404</v>
      </c>
      <c r="FK43" s="278">
        <f>[54]SAS_SA_2022_3T!$B$76/[54]SAS_SA_2022_3T!$B$77</f>
        <v>0.80758962569963677</v>
      </c>
      <c r="FL43" s="278">
        <f>[54]SAS_SA_2022_3T!$C$76/[54]SAS_SA_2022_3T!$C$77</f>
        <v>0.78632313112534147</v>
      </c>
      <c r="FM43" s="278">
        <f>[54]SAS_SA_2022_3T!$D$76/[54]SAS_SA_2022_3T!$D$77</f>
        <v>0.79915082358954914</v>
      </c>
      <c r="FN43" s="278">
        <f>[55]SAS_SA_2022_4T!$B$76/[55]SAS_SA_2022_4T!$B$77</f>
        <v>0.80889586832413485</v>
      </c>
      <c r="FO43" s="278">
        <f>[55]SAS_SA_2022_4T!$C$76/[55]SAS_SA_2022_4T!$C$77</f>
        <v>0.78741212400599281</v>
      </c>
      <c r="FP43" s="278">
        <f>[55]SAS_SA_2022_4T!$D$76/[55]SAS_SA_2022_4T!$D$77</f>
        <v>0.80036144861003089</v>
      </c>
      <c r="FQ43" s="278">
        <f>[56]SAS_SA_2023_1T!$B$76/[56]SAS_SA_2023_1T!$B$77</f>
        <v>0.80224254620720259</v>
      </c>
      <c r="FR43" s="278">
        <f>[56]SAS_SA_2023_1T!$C$76/[56]SAS_SA_2023_1T!$C$77</f>
        <v>0.77315384070776005</v>
      </c>
      <c r="FS43" s="278">
        <f>[56]SAS_SA_2023_1T!$D$76/[56]SAS_SA_2023_1T!$D$77</f>
        <v>0.79065634519197958</v>
      </c>
      <c r="FT43" s="278">
        <f>[57]SAS_SA_2023_2T!$B$76/[57]SAS_SA_2023_2T!$B$77</f>
        <v>0.81147093775710022</v>
      </c>
      <c r="FU43" s="278">
        <f>[57]SAS_SA_2023_2T!$C$76/[57]SAS_SA_2023_2T!$C$77</f>
        <v>0.78862623640461937</v>
      </c>
      <c r="FV43" s="278">
        <f>[57]SAS_SA_2023_2T!$D$76/[57]SAS_SA_2023_2T!$D$77</f>
        <v>0.80235299151278694</v>
      </c>
      <c r="FW43" s="278">
        <f>[58]SAS_SA_2023_3T!$B$76/[58]SAS_SA_2023_3T!$B$77</f>
        <v>0.81207549432187398</v>
      </c>
      <c r="FX43" s="278">
        <f>[58]SAS_SA_2023_3T!$C$76/[58]SAS_SA_2023_3T!$C$77</f>
        <v>0.78867952453364598</v>
      </c>
      <c r="FY43" s="278">
        <f>[58]SAS_SA_2023_3T!$D$76/[58]SAS_SA_2023_3T!$D$77</f>
        <v>0.80271916997423576</v>
      </c>
      <c r="FZ43" s="278">
        <f>[59]SAS_SA_2023_4T!$B$76/[59]SAS_SA_2023_4T!$B$77</f>
        <v>0.81307473959067222</v>
      </c>
      <c r="GA43" s="278">
        <f>[59]SAS_SA_2023_4T!$C$76/[59]SAS_SA_2023_4T!$C$77</f>
        <v>0.78980369543596618</v>
      </c>
      <c r="GB43" s="278">
        <f>[59]SAS_SA_2023_4T!$D$76/[59]SAS_SA_2023_4T!$D$77</f>
        <v>0.80376059568992042</v>
      </c>
      <c r="GC43" s="278">
        <f>[60]SAS_SA_2024_1T!$B$76/[60]SAS_SA_2024_1T!$B$77</f>
        <v>0.80629771366123648</v>
      </c>
      <c r="GD43" s="278">
        <f>[60]SAS_SA_2024_1T!$C$76/[60]SAS_SA_2024_1T!$C$77</f>
        <v>0.77540754813488733</v>
      </c>
      <c r="GE43" s="278">
        <f>[60]SAS_SA_2024_1T!$D$76/[60]SAS_SA_2024_1T!$D$77</f>
        <v>0.79390385412592768</v>
      </c>
      <c r="GF43" s="278">
        <f>[61]SAS_SA_2024_2T!$B$76/[61]SAS_SA_2024_2T!$B$77</f>
        <v>0.81546362581424992</v>
      </c>
      <c r="GG43" s="278">
        <f>[61]SAS_SA_2024_2T!$C$76/[61]SAS_SA_2024_2T!$C$77</f>
        <v>0.79155271419400797</v>
      </c>
      <c r="GH43" s="278">
        <f>[61]SAS_SA_2024_2T!$D$76/[61]SAS_SA_2024_2T!$D$77</f>
        <v>0.80584753200410941</v>
      </c>
      <c r="GI43" s="278">
        <f>[62]SAS_SA_2024_3T!$B$76/[62]SAS_SA_2024_3T!$B$77</f>
        <v>0.81594925938817342</v>
      </c>
      <c r="GJ43" s="278">
        <f>[62]SAS_SA_2024_3T!$C$76/[62]SAS_SA_2024_3T!$C$77</f>
        <v>0.79188250538433735</v>
      </c>
      <c r="GK43" s="278">
        <f>[62]SAS_SA_2024_3T!$D$76/[62]SAS_SA_2024_3T!$D$77</f>
        <v>0.80625078074076095</v>
      </c>
      <c r="GL43" s="278">
        <f>[63]SAS_SA_2024_4T!$B$76/[63]SAS_SA_2024_4T!$B$77</f>
        <v>0.81206655759945734</v>
      </c>
      <c r="GM43" s="278">
        <f>[63]SAS_SA_2024_4T!$C$76/[63]SAS_SA_2024_4T!$C$77</f>
        <v>0.78532953502115554</v>
      </c>
      <c r="GN43" s="278">
        <f>[63]SAS_SA_2024_4T!$D$76/[63]SAS_SA_2024_4T!$D$77</f>
        <v>0.80127389444415686</v>
      </c>
    </row>
    <row r="44" spans="1:196" x14ac:dyDescent="0.25">
      <c r="A44" s="3"/>
      <c r="B44" s="51">
        <f>B43*100</f>
        <v>89.620103639758369</v>
      </c>
      <c r="C44" s="51">
        <f t="shared" ref="C44:Y44" si="57">C43*100</f>
        <v>83.217412570310586</v>
      </c>
      <c r="D44" s="51">
        <f t="shared" si="57"/>
        <v>87.46157948594248</v>
      </c>
      <c r="E44" s="51">
        <f t="shared" si="57"/>
        <v>89.662108211853024</v>
      </c>
      <c r="F44" s="51">
        <f t="shared" si="57"/>
        <v>83.257527788161525</v>
      </c>
      <c r="G44" s="51">
        <f t="shared" si="57"/>
        <v>87.494616893196067</v>
      </c>
      <c r="H44" s="51">
        <f t="shared" si="57"/>
        <v>89.877989140657334</v>
      </c>
      <c r="I44" s="51">
        <f t="shared" si="57"/>
        <v>83.603261084975415</v>
      </c>
      <c r="J44" s="51">
        <f t="shared" si="57"/>
        <v>87.747433913237032</v>
      </c>
      <c r="K44" s="51">
        <f t="shared" si="57"/>
        <v>90.087508845815279</v>
      </c>
      <c r="L44" s="51">
        <f t="shared" si="57"/>
        <v>84.002802570132346</v>
      </c>
      <c r="M44" s="51">
        <f t="shared" si="57"/>
        <v>88.00998844704759</v>
      </c>
      <c r="N44" s="51">
        <f t="shared" si="57"/>
        <v>90.27121913792547</v>
      </c>
      <c r="O44" s="51">
        <f t="shared" si="57"/>
        <v>84.311422035158415</v>
      </c>
      <c r="P44" s="51">
        <f t="shared" si="57"/>
        <v>88.229026283805567</v>
      </c>
      <c r="Q44" s="51">
        <f t="shared" si="57"/>
        <v>90.457814583953905</v>
      </c>
      <c r="R44" s="51">
        <f t="shared" si="57"/>
        <v>84.662886175382965</v>
      </c>
      <c r="S44" s="51">
        <f t="shared" si="57"/>
        <v>88.466649676902136</v>
      </c>
      <c r="T44" s="51">
        <f t="shared" si="57"/>
        <v>90.933486876067192</v>
      </c>
      <c r="U44" s="51">
        <f t="shared" si="57"/>
        <v>85.073451234669591</v>
      </c>
      <c r="V44" s="51">
        <f t="shared" si="57"/>
        <v>88.902664327898123</v>
      </c>
      <c r="W44" s="51">
        <f t="shared" si="57"/>
        <v>91.140690581275834</v>
      </c>
      <c r="X44" s="51">
        <f t="shared" si="57"/>
        <v>85.415207119113987</v>
      </c>
      <c r="Y44" s="51">
        <f t="shared" si="57"/>
        <v>89.148336685862006</v>
      </c>
      <c r="Z44" s="51">
        <f t="shared" ref="Z44:AH44" si="58">Z43*100</f>
        <v>91.087531858432925</v>
      </c>
      <c r="AA44" s="51">
        <f t="shared" si="58"/>
        <v>85.710093374833264</v>
      </c>
      <c r="AB44" s="51">
        <f t="shared" si="58"/>
        <v>89.218920362395977</v>
      </c>
      <c r="AC44" s="51">
        <f t="shared" si="58"/>
        <v>91.274001060436177</v>
      </c>
      <c r="AD44" s="51">
        <f t="shared" si="58"/>
        <v>86.062623106703796</v>
      </c>
      <c r="AE44" s="51">
        <f t="shared" si="58"/>
        <v>89.457296907773681</v>
      </c>
      <c r="AF44" s="51">
        <f t="shared" si="58"/>
        <v>91.465173583581588</v>
      </c>
      <c r="AG44" s="51">
        <f t="shared" si="58"/>
        <v>86.387931656291258</v>
      </c>
      <c r="AH44" s="51">
        <f t="shared" si="58"/>
        <v>89.688979248804245</v>
      </c>
      <c r="AI44" s="51">
        <f t="shared" ref="AI44:AN44" si="59">AI43*100</f>
        <v>91.465232509326512</v>
      </c>
      <c r="AJ44" s="51">
        <f t="shared" si="59"/>
        <v>86.387891581251495</v>
      </c>
      <c r="AK44" s="51">
        <f t="shared" si="59"/>
        <v>89.689004196494182</v>
      </c>
      <c r="AL44" s="51">
        <f t="shared" si="59"/>
        <v>91.77279629185648</v>
      </c>
      <c r="AM44" s="51">
        <f t="shared" si="59"/>
        <v>86.884478686063716</v>
      </c>
      <c r="AN44" s="51">
        <f t="shared" si="59"/>
        <v>90.052491603156227</v>
      </c>
      <c r="AO44" s="51">
        <f t="shared" ref="AO44:AT44" si="60">AO43*100</f>
        <v>91.946698310898157</v>
      </c>
      <c r="AP44" s="51">
        <f t="shared" si="60"/>
        <v>87.187577295909364</v>
      </c>
      <c r="AQ44" s="51">
        <f t="shared" si="60"/>
        <v>90.267269766750729</v>
      </c>
      <c r="AR44" s="51">
        <f t="shared" si="60"/>
        <v>92.126247803213062</v>
      </c>
      <c r="AS44" s="51">
        <f t="shared" si="60"/>
        <v>87.480230547889931</v>
      </c>
      <c r="AT44" s="51">
        <f t="shared" si="60"/>
        <v>90.482121277339729</v>
      </c>
      <c r="AU44" s="51">
        <f t="shared" ref="AU44:AZ44" si="61">AU43*100</f>
        <v>92.2753417082738</v>
      </c>
      <c r="AV44" s="51">
        <f t="shared" si="61"/>
        <v>87.75213509202527</v>
      </c>
      <c r="AW44" s="51">
        <f t="shared" si="61"/>
        <v>90.668430775793297</v>
      </c>
      <c r="AX44" s="51">
        <f t="shared" si="61"/>
        <v>92.387040404394412</v>
      </c>
      <c r="AY44" s="51">
        <f t="shared" si="61"/>
        <v>87.964070268869136</v>
      </c>
      <c r="AZ44" s="51">
        <f t="shared" si="61"/>
        <v>90.8113329412203</v>
      </c>
      <c r="BA44" s="51">
        <f t="shared" ref="BA44:BF44" si="62">BA43*100</f>
        <v>92.54112605020056</v>
      </c>
      <c r="BB44" s="51">
        <f t="shared" si="62"/>
        <v>88.260780136634096</v>
      </c>
      <c r="BC44" s="51">
        <f t="shared" si="62"/>
        <v>91.011915946961381</v>
      </c>
      <c r="BD44" s="51">
        <f t="shared" si="62"/>
        <v>92.694526294350879</v>
      </c>
      <c r="BE44" s="51">
        <f t="shared" si="62"/>
        <v>88.549465673098979</v>
      </c>
      <c r="BF44" s="51">
        <f t="shared" si="62"/>
        <v>91.209062780590415</v>
      </c>
      <c r="BG44" s="51">
        <f t="shared" ref="BG44:BI44" si="63">BG43*100</f>
        <v>92.867847729951748</v>
      </c>
      <c r="BH44" s="51">
        <f t="shared" si="63"/>
        <v>88.888888888888886</v>
      </c>
      <c r="BI44" s="51">
        <f t="shared" si="63"/>
        <v>91.435012768325109</v>
      </c>
      <c r="BJ44" s="51">
        <f t="shared" ref="BJ44:BL44" si="64">BJ43*100</f>
        <v>92.999669474628689</v>
      </c>
      <c r="BK44" s="51">
        <f t="shared" si="64"/>
        <v>89.149800270171554</v>
      </c>
      <c r="BL44" s="51">
        <f t="shared" si="64"/>
        <v>91.608435561854876</v>
      </c>
      <c r="BM44" s="51">
        <f t="shared" ref="BM44:BO44" si="65">BM43*100</f>
        <v>93.121435155431115</v>
      </c>
      <c r="BN44" s="51">
        <f t="shared" si="65"/>
        <v>89.42238053177941</v>
      </c>
      <c r="BO44" s="51">
        <f t="shared" si="65"/>
        <v>91.781784370657888</v>
      </c>
      <c r="BP44" s="51">
        <f t="shared" ref="BP44:BR44" si="66">BP43*100</f>
        <v>93.25834937176748</v>
      </c>
      <c r="BQ44" s="51">
        <f t="shared" si="66"/>
        <v>89.685305868978546</v>
      </c>
      <c r="BR44" s="51">
        <f t="shared" si="66"/>
        <v>91.960271944756784</v>
      </c>
      <c r="BS44" s="51">
        <f t="shared" ref="BS44:BU44" si="67">BS43*100</f>
        <v>93.401051519180612</v>
      </c>
      <c r="BT44" s="51">
        <f t="shared" si="67"/>
        <v>89.967242606669217</v>
      </c>
      <c r="BU44" s="51">
        <f t="shared" si="67"/>
        <v>92.149212378248507</v>
      </c>
      <c r="BV44" s="51">
        <f t="shared" ref="BV44:BX44" si="68">BV43*100</f>
        <v>93.537999999999997</v>
      </c>
      <c r="BW44" s="51">
        <f t="shared" si="68"/>
        <v>90.245000000000005</v>
      </c>
      <c r="BX44" s="51">
        <f t="shared" si="68"/>
        <v>92.334000000000003</v>
      </c>
      <c r="BY44" s="51">
        <f t="shared" ref="BY44:CA44" si="69">BY43*100</f>
        <v>93.666000000000011</v>
      </c>
      <c r="BZ44" s="51">
        <f t="shared" si="69"/>
        <v>90.546999999999997</v>
      </c>
      <c r="CA44" s="51">
        <f t="shared" si="69"/>
        <v>92.521000000000001</v>
      </c>
      <c r="CB44" s="51">
        <f>CE43*100</f>
        <v>93.932000000000002</v>
      </c>
      <c r="CC44" s="51">
        <f>CF43*100</f>
        <v>91.022999999999996</v>
      </c>
      <c r="CD44" s="51">
        <f>CG43*100</f>
        <v>92.859000000000009</v>
      </c>
      <c r="CE44" s="51">
        <f t="shared" ref="CE44:CG44" si="70">CE43*100</f>
        <v>93.932000000000002</v>
      </c>
      <c r="CF44" s="51">
        <f t="shared" si="70"/>
        <v>91.022999999999996</v>
      </c>
      <c r="CG44" s="51">
        <f t="shared" si="70"/>
        <v>92.859000000000009</v>
      </c>
      <c r="CH44" s="51">
        <f t="shared" ref="CH44:CJ44" si="71">CH43*100</f>
        <v>94.048370795501569</v>
      </c>
      <c r="CI44" s="51">
        <f t="shared" si="71"/>
        <v>91.28384982464209</v>
      </c>
      <c r="CJ44" s="51">
        <f t="shared" si="71"/>
        <v>93.024874893505668</v>
      </c>
      <c r="CK44" s="51">
        <f t="shared" ref="CK44:CM44" si="72">CK43*100</f>
        <v>94.179968224437545</v>
      </c>
      <c r="CL44" s="51">
        <f t="shared" si="72"/>
        <v>91.549089937324894</v>
      </c>
      <c r="CM44" s="51">
        <f t="shared" si="72"/>
        <v>93.202230249058957</v>
      </c>
      <c r="CN44" s="51">
        <f>CQ43*100</f>
        <v>94.431687289894612</v>
      </c>
      <c r="CO44" s="51">
        <f t="shared" ref="CO44" si="73">CO43*100</f>
        <v>91.787596843396926</v>
      </c>
      <c r="CP44" s="51">
        <f>CS43*100</f>
        <v>93.525074574721828</v>
      </c>
      <c r="CQ44" s="156">
        <f>CQ43*100</f>
        <v>94.431687289894612</v>
      </c>
      <c r="CR44" s="156">
        <f t="shared" ref="CR44:CS44" si="74">CR43*100</f>
        <v>92.008560780716763</v>
      </c>
      <c r="CS44" s="156">
        <f t="shared" si="74"/>
        <v>93.525074574721828</v>
      </c>
      <c r="CT44" s="156">
        <f>CT43*100</f>
        <v>94.52496133622023</v>
      </c>
      <c r="CU44" s="156">
        <f t="shared" ref="CU44:CV44" si="75">CU43*100</f>
        <v>92.192821082960563</v>
      </c>
      <c r="CV44" s="156">
        <f t="shared" si="75"/>
        <v>93.650903337661703</v>
      </c>
      <c r="CW44" s="156">
        <f>CW43*100</f>
        <v>94.639963040497605</v>
      </c>
      <c r="CX44" s="156">
        <f t="shared" ref="CX44:CY44" si="76">CX43*100</f>
        <v>92.441108373775407</v>
      </c>
      <c r="CY44" s="156">
        <f t="shared" si="76"/>
        <v>93.813819701523343</v>
      </c>
      <c r="CZ44" s="156">
        <f>CZ43*100</f>
        <v>94.758497198326111</v>
      </c>
      <c r="DA44" s="156">
        <f t="shared" ref="DA44:DB44" si="77">DA43*100</f>
        <v>92.654827200960497</v>
      </c>
      <c r="DB44" s="156">
        <f t="shared" si="77"/>
        <v>93.96589344108996</v>
      </c>
      <c r="DC44" s="156">
        <f>DC43*100</f>
        <v>94.808103582619069</v>
      </c>
      <c r="DD44" s="156">
        <f t="shared" ref="DD44:DE44" si="78">DD43*100</f>
        <v>92.788701160553472</v>
      </c>
      <c r="DE44" s="156">
        <f t="shared" si="78"/>
        <v>94.045297294118797</v>
      </c>
      <c r="DF44" s="156">
        <f>DF43*100</f>
        <v>94.841009793224586</v>
      </c>
      <c r="DG44" s="156">
        <f t="shared" ref="DG44:DH44" si="79">DG43*100</f>
        <v>92.888583068471007</v>
      </c>
      <c r="DH44" s="156">
        <f t="shared" si="79"/>
        <v>94.101926694643709</v>
      </c>
      <c r="DI44" s="156">
        <f>DI43*100</f>
        <v>94.851382526998563</v>
      </c>
      <c r="DJ44" s="156">
        <f t="shared" ref="DJ44:DK44" si="80">DJ43*100</f>
        <v>92.995497681846203</v>
      </c>
      <c r="DK44" s="156">
        <f t="shared" si="80"/>
        <v>94.147251656195976</v>
      </c>
      <c r="DL44" s="156">
        <f>DL43*100</f>
        <v>94.877194105047622</v>
      </c>
      <c r="DM44" s="156">
        <f t="shared" ref="DM44:DN44" si="81">DM43*100</f>
        <v>93.081140967296534</v>
      </c>
      <c r="DN44" s="156">
        <f t="shared" si="81"/>
        <v>94.193910504689782</v>
      </c>
      <c r="DP44" s="197"/>
      <c r="DQ44" s="197">
        <f>DQ43*100</f>
        <v>94.215409599686922</v>
      </c>
      <c r="DR44" s="197"/>
      <c r="DT44" s="126">
        <f>DT43*100</f>
        <v>94.222917104829079</v>
      </c>
      <c r="DU44" s="223">
        <f>DU43*100</f>
        <v>94.854493397718045</v>
      </c>
      <c r="DV44" s="223">
        <f t="shared" ref="DV44:DW44" si="82">DV43*100</f>
        <v>93.21888175859246</v>
      </c>
      <c r="DW44" s="223">
        <f t="shared" si="82"/>
        <v>94.227712777313585</v>
      </c>
      <c r="DX44" s="223">
        <f>DX43*100</f>
        <v>94.86024135822143</v>
      </c>
      <c r="DY44" s="223">
        <f t="shared" ref="DY44:DZ44" si="83">DY43*100</f>
        <v>93.216826528270474</v>
      </c>
      <c r="DZ44" s="223">
        <f t="shared" si="83"/>
        <v>94.229364887298175</v>
      </c>
      <c r="EA44" s="223">
        <f>EA43*100</f>
        <v>94.840581521937295</v>
      </c>
      <c r="EB44" s="223">
        <f t="shared" ref="EB44:EC44" si="84">EB43*100</f>
        <v>93.20178329348721</v>
      </c>
      <c r="EC44" s="223">
        <f t="shared" si="84"/>
        <v>94.209861030042788</v>
      </c>
      <c r="ED44" s="223">
        <f>ED43*100</f>
        <v>94.823467781445174</v>
      </c>
      <c r="EE44" s="223">
        <f t="shared" ref="EE44:EF44" si="85">EE43*100</f>
        <v>93.205988899597855</v>
      </c>
      <c r="EF44" s="223">
        <f t="shared" si="85"/>
        <v>94.199282532011125</v>
      </c>
      <c r="EG44" s="223">
        <f>EG43*100</f>
        <v>94.794924250511443</v>
      </c>
      <c r="EH44" s="223">
        <f t="shared" ref="EH44:EI44" si="86">EH43*100</f>
        <v>93.183271624547942</v>
      </c>
      <c r="EI44" s="223">
        <f t="shared" si="86"/>
        <v>94.171556120737989</v>
      </c>
      <c r="EJ44" s="223">
        <f>EJ43*100</f>
        <v>94.768665839869001</v>
      </c>
      <c r="EK44" s="223">
        <f t="shared" ref="EK44:EL44" si="87">EK43*100</f>
        <v>93.18736826854898</v>
      </c>
      <c r="EL44" s="223">
        <f t="shared" si="87"/>
        <v>94.155326984840556</v>
      </c>
      <c r="EM44" s="223">
        <f>EM43*100</f>
        <v>94.789217586779685</v>
      </c>
      <c r="EN44" s="223">
        <f t="shared" ref="EN44:EO44" si="88">EN43*100</f>
        <v>93.23481800618994</v>
      </c>
      <c r="EO44" s="223">
        <f t="shared" si="88"/>
        <v>94.184874826487587</v>
      </c>
      <c r="EP44" s="223">
        <f>EP43*100</f>
        <v>94.832009093839474</v>
      </c>
      <c r="EQ44" s="223">
        <f t="shared" ref="EQ44:ER44" si="89">EQ43*100</f>
        <v>93.287144648858785</v>
      </c>
      <c r="ER44" s="223">
        <f t="shared" si="89"/>
        <v>94.229534739019172</v>
      </c>
      <c r="ES44" s="223">
        <f>ES43*100</f>
        <v>94.774602783594048</v>
      </c>
      <c r="ET44" s="223">
        <f t="shared" ref="ET44:EU44" si="90">ET43*100</f>
        <v>93.268877117479704</v>
      </c>
      <c r="EU44" s="223">
        <f t="shared" si="90"/>
        <v>94.185508649458356</v>
      </c>
      <c r="EV44" s="223">
        <f>EV43*100</f>
        <v>94.736144912919229</v>
      </c>
      <c r="EW44" s="223">
        <f t="shared" ref="EW44:EX44" si="91">EW43*100</f>
        <v>93.25875285442234</v>
      </c>
      <c r="EX44" s="223">
        <f t="shared" si="91"/>
        <v>94.156479299039532</v>
      </c>
      <c r="EY44" s="223">
        <f>EY43*100</f>
        <v>94.696481274205667</v>
      </c>
      <c r="EZ44" s="223">
        <f t="shared" ref="EZ44:FA44" si="92">EZ43*100</f>
        <v>93.237561317449192</v>
      </c>
      <c r="FA44" s="223">
        <f t="shared" si="92"/>
        <v>94.122645746791022</v>
      </c>
      <c r="FB44" s="223">
        <f>FB43*100</f>
        <v>79.931384570659731</v>
      </c>
      <c r="FC44" s="223">
        <f t="shared" ref="FC44:FD44" si="93">FC43*100</f>
        <v>78.113666434018569</v>
      </c>
      <c r="FD44" s="223">
        <f t="shared" si="93"/>
        <v>79.213431522383146</v>
      </c>
      <c r="FE44" s="223">
        <f>FE43*100</f>
        <v>80.460256348138515</v>
      </c>
      <c r="FF44" s="223">
        <f t="shared" ref="FF44:FG44" si="94">FF43*100</f>
        <v>78.43166640261822</v>
      </c>
      <c r="FG44" s="223">
        <f t="shared" si="94"/>
        <v>79.659014227189672</v>
      </c>
      <c r="FH44" s="223">
        <f>FH43*100</f>
        <v>80.646350558403739</v>
      </c>
      <c r="FI44" s="223">
        <f t="shared" ref="FI44:FJ44" si="95">FI43*100</f>
        <v>78.579749719493492</v>
      </c>
      <c r="FJ44" s="223">
        <f t="shared" si="95"/>
        <v>79.82808613939541</v>
      </c>
      <c r="FK44" s="223">
        <f>FK43*100</f>
        <v>80.758962569963671</v>
      </c>
      <c r="FL44" s="223">
        <f t="shared" ref="FL44:FM44" si="96">FL43*100</f>
        <v>78.632313112534149</v>
      </c>
      <c r="FM44" s="223">
        <f t="shared" si="96"/>
        <v>79.915082358954919</v>
      </c>
      <c r="FN44" s="223">
        <f>FN43*100</f>
        <v>80.889586832413485</v>
      </c>
      <c r="FO44" s="223">
        <f t="shared" ref="FO44:FP44" si="97">FO43*100</f>
        <v>78.741212400599281</v>
      </c>
      <c r="FP44" s="223">
        <f t="shared" si="97"/>
        <v>80.036144861003095</v>
      </c>
      <c r="FQ44" s="223">
        <f>FQ43*100</f>
        <v>80.224254620720259</v>
      </c>
      <c r="FR44" s="223">
        <f t="shared" ref="FR44:FS44" si="98">FR43*100</f>
        <v>77.315384070776005</v>
      </c>
      <c r="FS44" s="223">
        <f t="shared" si="98"/>
        <v>79.065634519197957</v>
      </c>
      <c r="FT44" s="223">
        <f>FT43*100</f>
        <v>81.147093775710019</v>
      </c>
      <c r="FU44" s="223">
        <f t="shared" ref="FU44:FV44" si="99">FU43*100</f>
        <v>78.862623640461933</v>
      </c>
      <c r="FV44" s="223">
        <f t="shared" si="99"/>
        <v>80.235299151278696</v>
      </c>
      <c r="FW44" s="223">
        <f>FW43*100</f>
        <v>81.207549432187392</v>
      </c>
      <c r="FX44" s="223">
        <f t="shared" ref="FX44:FY44" si="100">FX43*100</f>
        <v>78.867952453364595</v>
      </c>
      <c r="FY44" s="223">
        <f t="shared" si="100"/>
        <v>80.271916997423574</v>
      </c>
      <c r="FZ44" s="223">
        <f>FZ43*100</f>
        <v>81.307473959067224</v>
      </c>
      <c r="GA44" s="223">
        <f t="shared" ref="GA44:GB44" si="101">GA43*100</f>
        <v>78.980369543596623</v>
      </c>
      <c r="GB44" s="223">
        <f t="shared" si="101"/>
        <v>80.376059568992048</v>
      </c>
      <c r="GC44" s="223">
        <f>GC43*100</f>
        <v>80.629771366123649</v>
      </c>
      <c r="GD44" s="223">
        <f t="shared" ref="GD44:GE44" si="102">GD43*100</f>
        <v>77.540754813488732</v>
      </c>
      <c r="GE44" s="223">
        <f t="shared" si="102"/>
        <v>79.390385412592764</v>
      </c>
      <c r="GF44" s="223">
        <f>GF43*100</f>
        <v>81.546362581424987</v>
      </c>
      <c r="GG44" s="223">
        <f t="shared" ref="GG44:GH44" si="103">GG43*100</f>
        <v>79.15527141940079</v>
      </c>
      <c r="GH44" s="223">
        <f t="shared" si="103"/>
        <v>80.584753200410944</v>
      </c>
      <c r="GI44" s="223">
        <f>GI43*100</f>
        <v>81.59492593881734</v>
      </c>
      <c r="GJ44" s="223">
        <f t="shared" ref="GJ44:GK44" si="104">GJ43*100</f>
        <v>79.188250538433735</v>
      </c>
      <c r="GK44" s="223">
        <f t="shared" si="104"/>
        <v>80.6250780740761</v>
      </c>
      <c r="GL44" s="223">
        <f>GL43*100</f>
        <v>81.206655759945733</v>
      </c>
      <c r="GM44" s="223">
        <f t="shared" ref="GM44:GN44" si="105">GM43*100</f>
        <v>78.532953502115561</v>
      </c>
      <c r="GN44" s="223">
        <f t="shared" si="105"/>
        <v>80.127389444415684</v>
      </c>
    </row>
    <row r="45" spans="1:196" ht="12" thickBot="1" x14ac:dyDescent="0.3">
      <c r="A45" s="186" t="s">
        <v>156</v>
      </c>
      <c r="B45" s="3"/>
      <c r="C45" s="3"/>
      <c r="D45" s="3"/>
      <c r="Z45" s="57"/>
      <c r="AC45" s="57"/>
      <c r="AF45" s="57"/>
      <c r="AI45" s="57"/>
      <c r="AL45" s="57"/>
      <c r="AO45" s="57"/>
      <c r="AR45" s="57"/>
      <c r="AS45" s="4"/>
      <c r="AT45" s="4"/>
      <c r="AU45" s="100"/>
      <c r="AV45" s="76"/>
      <c r="AW45" s="76"/>
      <c r="AX45" s="57"/>
      <c r="BA45" s="57"/>
      <c r="BB45" s="4"/>
      <c r="BC45" s="4"/>
      <c r="BD45" s="57"/>
      <c r="BE45" s="4"/>
      <c r="BF45" s="4"/>
      <c r="BG45" s="57"/>
      <c r="BH45" s="4"/>
      <c r="BI45" s="4"/>
      <c r="BJ45" s="57"/>
      <c r="BK45" s="4"/>
      <c r="BL45" s="4"/>
      <c r="BM45" s="57"/>
      <c r="BP45" s="57"/>
      <c r="BS45" s="57"/>
      <c r="BV45" s="57"/>
      <c r="BY45" s="57"/>
      <c r="CB45" s="57"/>
      <c r="CE45" s="57"/>
      <c r="CH45" s="57"/>
      <c r="CK45" s="57"/>
      <c r="CN45" s="57"/>
      <c r="CQ45" s="157"/>
      <c r="CT45" s="157"/>
      <c r="CW45" s="157"/>
      <c r="CZ45" s="157"/>
      <c r="DC45" s="157"/>
      <c r="DD45" s="126"/>
      <c r="DE45" s="126"/>
      <c r="DF45" s="157"/>
      <c r="DG45" s="126"/>
      <c r="DH45" s="126"/>
      <c r="DI45" s="157"/>
      <c r="DJ45" s="126"/>
      <c r="DL45" s="157"/>
      <c r="DU45" s="224"/>
      <c r="DX45" s="224"/>
      <c r="EA45" s="224"/>
      <c r="ED45" s="224"/>
      <c r="EG45" s="224"/>
      <c r="EJ45" s="224"/>
      <c r="EM45" s="224"/>
      <c r="EP45" s="224"/>
      <c r="ES45" s="224"/>
      <c r="EV45" s="224"/>
      <c r="EY45" s="224"/>
      <c r="FB45" s="224"/>
      <c r="FE45" s="224"/>
      <c r="FH45" s="224"/>
      <c r="FK45" s="224"/>
      <c r="FN45" s="224"/>
      <c r="FO45" s="198"/>
      <c r="FP45" s="198"/>
      <c r="FQ45" s="224"/>
      <c r="FR45" s="198"/>
      <c r="FS45" s="198"/>
      <c r="FT45" s="224"/>
      <c r="FU45" s="198"/>
      <c r="FV45" s="198"/>
      <c r="FW45" s="224"/>
      <c r="FX45" s="198"/>
      <c r="FY45" s="198"/>
      <c r="FZ45" s="224"/>
      <c r="GA45" s="198"/>
      <c r="GB45" s="198"/>
      <c r="GC45" s="224"/>
      <c r="GD45" s="198"/>
      <c r="GE45" s="198"/>
      <c r="GF45" s="224"/>
      <c r="GG45" s="198"/>
      <c r="GH45" s="198"/>
      <c r="GI45" s="224"/>
      <c r="GJ45" s="198"/>
      <c r="GK45" s="198"/>
      <c r="GL45" s="224"/>
      <c r="GM45" s="198"/>
      <c r="GN45" s="198"/>
    </row>
    <row r="46" spans="1:196" s="185" customFormat="1" ht="24" customHeight="1" x14ac:dyDescent="0.25">
      <c r="A46" s="184"/>
      <c r="B46" s="444" t="str">
        <f>B5</f>
        <v>Situation au 31/12/2008</v>
      </c>
      <c r="C46" s="445"/>
      <c r="D46" s="446"/>
      <c r="E46" s="444" t="str">
        <f>E5</f>
        <v>Situation au 31/03/2009</v>
      </c>
      <c r="F46" s="445"/>
      <c r="G46" s="446"/>
      <c r="H46" s="444" t="str">
        <f>H5</f>
        <v>Situation au 30/06/2009</v>
      </c>
      <c r="I46" s="445"/>
      <c r="J46" s="446"/>
      <c r="K46" s="444" t="str">
        <f>K5</f>
        <v>Situation au 30/09/2009</v>
      </c>
      <c r="L46" s="445"/>
      <c r="M46" s="446"/>
      <c r="N46" s="444" t="str">
        <f>N5</f>
        <v>Situation au 31/12/2009</v>
      </c>
      <c r="O46" s="445"/>
      <c r="P46" s="445"/>
      <c r="Q46" s="444" t="str">
        <f>Q5</f>
        <v>Situation au 31/03/2010</v>
      </c>
      <c r="R46" s="445"/>
      <c r="S46" s="446"/>
      <c r="T46" s="444" t="str">
        <f>T5</f>
        <v>Situation au 30/06/2010</v>
      </c>
      <c r="U46" s="445"/>
      <c r="V46" s="446"/>
      <c r="W46" s="444" t="str">
        <f>W5</f>
        <v>Situation au 31/09/2010</v>
      </c>
      <c r="X46" s="445"/>
      <c r="Y46" s="446"/>
      <c r="Z46" s="444" t="str">
        <f>Z5</f>
        <v>Situation au 31/12/2010</v>
      </c>
      <c r="AA46" s="445"/>
      <c r="AB46" s="446"/>
      <c r="AC46" s="444" t="str">
        <f>AC5</f>
        <v>Situation au 31/03/2011</v>
      </c>
      <c r="AD46" s="445"/>
      <c r="AE46" s="446"/>
      <c r="AF46" s="444" t="str">
        <f>AF5</f>
        <v>Situation au 30/06/2011</v>
      </c>
      <c r="AG46" s="445"/>
      <c r="AH46" s="446"/>
      <c r="AI46" s="444" t="str">
        <f>AI5</f>
        <v>Situation au 30/09/2011</v>
      </c>
      <c r="AJ46" s="445"/>
      <c r="AK46" s="446"/>
      <c r="AL46" s="444" t="str">
        <f>AL5</f>
        <v>Situation au 31/12/2011</v>
      </c>
      <c r="AM46" s="445"/>
      <c r="AN46" s="446"/>
      <c r="AO46" s="444" t="str">
        <f>AO5</f>
        <v>Situation au 31/03/2012</v>
      </c>
      <c r="AP46" s="445"/>
      <c r="AQ46" s="446"/>
      <c r="AR46" s="444" t="str">
        <f>AR5</f>
        <v>Situation au 30/06/2012</v>
      </c>
      <c r="AS46" s="445"/>
      <c r="AT46" s="446"/>
      <c r="AU46" s="444" t="str">
        <f>AU5</f>
        <v>Situation au 30/09/2012</v>
      </c>
      <c r="AV46" s="445"/>
      <c r="AW46" s="446"/>
      <c r="AX46" s="444" t="str">
        <f>AX5</f>
        <v>Situation au 31/12/2012</v>
      </c>
      <c r="AY46" s="445"/>
      <c r="AZ46" s="446"/>
      <c r="BA46" s="444" t="str">
        <f>BA5</f>
        <v>Situation au 31/03/2013</v>
      </c>
      <c r="BB46" s="445"/>
      <c r="BC46" s="446"/>
      <c r="BD46" s="444" t="str">
        <f>BD5</f>
        <v>Situation au 31/06/2013</v>
      </c>
      <c r="BE46" s="445"/>
      <c r="BF46" s="446"/>
      <c r="BG46" s="444" t="str">
        <f>BG5</f>
        <v>Situation au 31/09/2013</v>
      </c>
      <c r="BH46" s="445"/>
      <c r="BI46" s="446"/>
      <c r="BJ46" s="444" t="str">
        <f>BJ5</f>
        <v>Situation au 31/12/2013</v>
      </c>
      <c r="BK46" s="445"/>
      <c r="BL46" s="446"/>
      <c r="BM46" s="444" t="str">
        <f>BM5</f>
        <v>Situation au 31/03/2014</v>
      </c>
      <c r="BN46" s="445"/>
      <c r="BO46" s="446"/>
      <c r="BP46" s="444" t="str">
        <f>BP5</f>
        <v>Situation au 30/06/2014</v>
      </c>
      <c r="BQ46" s="445"/>
      <c r="BR46" s="446"/>
      <c r="BS46" s="444" t="str">
        <f>BS5</f>
        <v>Situation au 30/09/2014</v>
      </c>
      <c r="BT46" s="445"/>
      <c r="BU46" s="446"/>
      <c r="BV46" s="444" t="str">
        <f>BV5</f>
        <v>Situation au 31/12/2014</v>
      </c>
      <c r="BW46" s="445"/>
      <c r="BX46" s="446"/>
      <c r="BY46" s="444" t="str">
        <f>BY5</f>
        <v>Situation au 31/03/2015</v>
      </c>
      <c r="BZ46" s="445"/>
      <c r="CA46" s="446"/>
      <c r="CB46" s="444" t="str">
        <f>CE5</f>
        <v>Situation au 30/09/2015</v>
      </c>
      <c r="CC46" s="445"/>
      <c r="CD46" s="446"/>
      <c r="CE46" s="444" t="str">
        <f>CE5</f>
        <v>Situation au 30/09/2015</v>
      </c>
      <c r="CF46" s="445"/>
      <c r="CG46" s="446"/>
      <c r="CH46" s="444" t="str">
        <f>CH5</f>
        <v>Situation au 31/12/2015</v>
      </c>
      <c r="CI46" s="445"/>
      <c r="CJ46" s="446"/>
      <c r="CK46" s="444" t="str">
        <f>CK5</f>
        <v>Situation au 31/03/2016</v>
      </c>
      <c r="CL46" s="445"/>
      <c r="CM46" s="446"/>
      <c r="CN46" s="444" t="str">
        <f>CN5</f>
        <v>Situation au 30/06/2016</v>
      </c>
      <c r="CO46" s="445"/>
      <c r="CP46" s="446"/>
      <c r="CQ46" s="433" t="str">
        <f>CQ5</f>
        <v>Situation au 30/09/2016</v>
      </c>
      <c r="CR46" s="434"/>
      <c r="CS46" s="435"/>
      <c r="CT46" s="433" t="str">
        <f>CT5</f>
        <v>Situation au 31/12/2016</v>
      </c>
      <c r="CU46" s="434"/>
      <c r="CV46" s="435"/>
      <c r="CW46" s="433" t="str">
        <f>CW5</f>
        <v>Situation au 31/03/2017</v>
      </c>
      <c r="CX46" s="434"/>
      <c r="CY46" s="435"/>
      <c r="CZ46" s="433" t="str">
        <f>CZ5</f>
        <v>Situation au 30/06/2017</v>
      </c>
      <c r="DA46" s="434"/>
      <c r="DB46" s="435"/>
      <c r="DC46" s="433" t="str">
        <f>DC5</f>
        <v>Situation au 30/09/2017</v>
      </c>
      <c r="DD46" s="434"/>
      <c r="DE46" s="435"/>
      <c r="DF46" s="433" t="str">
        <f>DF5</f>
        <v>Situation au 31/12/2017</v>
      </c>
      <c r="DG46" s="434"/>
      <c r="DH46" s="435"/>
      <c r="DI46" s="433" t="str">
        <f>DI5</f>
        <v>Situation au 31/03/2018</v>
      </c>
      <c r="DJ46" s="434"/>
      <c r="DK46" s="435"/>
      <c r="DL46" s="433" t="str">
        <f>DL5</f>
        <v>Situation au 30/06/2018</v>
      </c>
      <c r="DM46" s="434"/>
      <c r="DN46" s="435"/>
      <c r="DO46" s="433" t="s">
        <v>273</v>
      </c>
      <c r="DP46" s="434"/>
      <c r="DQ46" s="435"/>
      <c r="DR46" s="433" t="s">
        <v>276</v>
      </c>
      <c r="DS46" s="434"/>
      <c r="DT46" s="435"/>
      <c r="DU46" s="441" t="str">
        <f>DU5</f>
        <v>Situation au 31/03/2019</v>
      </c>
      <c r="DV46" s="442"/>
      <c r="DW46" s="443"/>
      <c r="DX46" s="441" t="str">
        <f>DX5</f>
        <v>Situation au 30/06/2019</v>
      </c>
      <c r="DY46" s="442"/>
      <c r="DZ46" s="443"/>
      <c r="EA46" s="441" t="str">
        <f>EA5</f>
        <v>Situation au 30/09/2019</v>
      </c>
      <c r="EB46" s="442"/>
      <c r="EC46" s="443"/>
      <c r="ED46" s="441" t="str">
        <f>ED5</f>
        <v>Situation au 31/12/2019</v>
      </c>
      <c r="EE46" s="442"/>
      <c r="EF46" s="443"/>
      <c r="EG46" s="441" t="str">
        <f>EG5</f>
        <v>Situation au 31/03/2020</v>
      </c>
      <c r="EH46" s="442"/>
      <c r="EI46" s="443"/>
      <c r="EJ46" s="441" t="str">
        <f>EJ5</f>
        <v>Situation au 30/06/2020</v>
      </c>
      <c r="EK46" s="442"/>
      <c r="EL46" s="443"/>
      <c r="EM46" s="441" t="str">
        <f>EM5</f>
        <v>Situation au 30/09/2020</v>
      </c>
      <c r="EN46" s="442"/>
      <c r="EO46" s="443"/>
      <c r="EP46" s="441" t="str">
        <f>EP5</f>
        <v>Situation au 31/12/2020</v>
      </c>
      <c r="EQ46" s="442"/>
      <c r="ER46" s="443"/>
      <c r="ES46" s="441" t="str">
        <f>ES5</f>
        <v>Situation au 31/03/2021</v>
      </c>
      <c r="ET46" s="442"/>
      <c r="EU46" s="443"/>
      <c r="EV46" s="441" t="str">
        <f>EV5</f>
        <v>Situation au 30/06/2021</v>
      </c>
      <c r="EW46" s="442"/>
      <c r="EX46" s="443"/>
      <c r="EY46" s="441" t="str">
        <f>EY5</f>
        <v>Situation au 30/09/2021</v>
      </c>
      <c r="EZ46" s="442"/>
      <c r="FA46" s="443"/>
      <c r="FB46" s="433" t="str">
        <f>FB5</f>
        <v>Situation au 31/12/2021</v>
      </c>
      <c r="FC46" s="434"/>
      <c r="FD46" s="435"/>
      <c r="FE46" s="433" t="str">
        <f>FE5</f>
        <v>Situation au 31/03/2022</v>
      </c>
      <c r="FF46" s="434"/>
      <c r="FG46" s="435"/>
      <c r="FH46" s="433" t="str">
        <f>FH5</f>
        <v>Situation au 30/06/2022</v>
      </c>
      <c r="FI46" s="434"/>
      <c r="FJ46" s="435"/>
      <c r="FK46" s="433" t="str">
        <f>FK5</f>
        <v>Situation au 30/09/2022</v>
      </c>
      <c r="FL46" s="434"/>
      <c r="FM46" s="435"/>
      <c r="FN46" s="433" t="str">
        <f>FN5</f>
        <v>Situation au 31/12/2022</v>
      </c>
      <c r="FO46" s="434"/>
      <c r="FP46" s="435"/>
      <c r="FQ46" s="433" t="str">
        <f>FQ5</f>
        <v>Situation au 31/03/2023</v>
      </c>
      <c r="FR46" s="434"/>
      <c r="FS46" s="435"/>
      <c r="FT46" s="433" t="str">
        <f>FT5</f>
        <v>Situation au 30/06/2023</v>
      </c>
      <c r="FU46" s="434"/>
      <c r="FV46" s="435"/>
      <c r="FW46" s="433" t="str">
        <f>FW5</f>
        <v>Situation au 30/09/2023</v>
      </c>
      <c r="FX46" s="434"/>
      <c r="FY46" s="435"/>
      <c r="FZ46" s="433" t="str">
        <f>FZ5</f>
        <v>Situation au 31/12/2023</v>
      </c>
      <c r="GA46" s="434"/>
      <c r="GB46" s="435"/>
      <c r="GC46" s="433" t="str">
        <f>GC5</f>
        <v>Situation au 31/03/2024</v>
      </c>
      <c r="GD46" s="434"/>
      <c r="GE46" s="435"/>
      <c r="GF46" s="433" t="str">
        <f>GF5</f>
        <v>Situation au 30/06/2024</v>
      </c>
      <c r="GG46" s="434"/>
      <c r="GH46" s="435"/>
      <c r="GI46" s="433" t="str">
        <f>GI5</f>
        <v>Situation au 30/09/2024</v>
      </c>
      <c r="GJ46" s="434"/>
      <c r="GK46" s="435"/>
      <c r="GL46" s="433" t="str">
        <f>GL5</f>
        <v>Situation au 31/12/2024</v>
      </c>
      <c r="GM46" s="434"/>
      <c r="GN46" s="435"/>
    </row>
    <row r="47" spans="1:196" ht="12" thickBot="1" x14ac:dyDescent="0.3">
      <c r="A47" s="3"/>
      <c r="B47" s="34" t="str">
        <f>B6</f>
        <v>Hommes</v>
      </c>
      <c r="C47" s="35" t="str">
        <f>C6</f>
        <v>Femmes</v>
      </c>
      <c r="D47" s="36" t="str">
        <f>D6</f>
        <v>Ensemble</v>
      </c>
      <c r="E47" s="34" t="str">
        <f>E6</f>
        <v>Hommes</v>
      </c>
      <c r="F47" s="35" t="str">
        <f t="shared" ref="F47:P47" si="106">F6</f>
        <v>Femmes</v>
      </c>
      <c r="G47" s="36" t="str">
        <f t="shared" si="106"/>
        <v>Ensemble</v>
      </c>
      <c r="H47" s="34" t="str">
        <f t="shared" si="106"/>
        <v>Hommes</v>
      </c>
      <c r="I47" s="35" t="str">
        <f t="shared" si="106"/>
        <v>Femmes</v>
      </c>
      <c r="J47" s="36" t="str">
        <f t="shared" si="106"/>
        <v>Ensemble</v>
      </c>
      <c r="K47" s="34" t="str">
        <f t="shared" si="106"/>
        <v>Hommes</v>
      </c>
      <c r="L47" s="35" t="str">
        <f t="shared" si="106"/>
        <v>Femmes</v>
      </c>
      <c r="M47" s="36" t="str">
        <f t="shared" si="106"/>
        <v>Ensemble</v>
      </c>
      <c r="N47" s="34" t="str">
        <f t="shared" si="106"/>
        <v>Hommes</v>
      </c>
      <c r="O47" s="35" t="str">
        <f t="shared" si="106"/>
        <v>Femmes</v>
      </c>
      <c r="P47" s="37" t="str">
        <f t="shared" si="106"/>
        <v>Ensemble</v>
      </c>
      <c r="Q47" s="34" t="str">
        <f>Q6</f>
        <v>Hommes</v>
      </c>
      <c r="R47" s="35" t="str">
        <f>R6</f>
        <v>Femmes</v>
      </c>
      <c r="S47" s="36" t="str">
        <f>S6</f>
        <v>Ensemble</v>
      </c>
      <c r="T47" s="34" t="str">
        <f>T6</f>
        <v>Hommes</v>
      </c>
      <c r="U47" s="35" t="str">
        <f>U6</f>
        <v>Femmes</v>
      </c>
      <c r="V47" s="36" t="str">
        <f>V6</f>
        <v>Ensemble</v>
      </c>
      <c r="W47" s="34" t="str">
        <f>W6</f>
        <v>Hommes</v>
      </c>
      <c r="X47" s="35" t="str">
        <f>X6</f>
        <v>Femmes</v>
      </c>
      <c r="Y47" s="36" t="str">
        <f>Y6</f>
        <v>Ensemble</v>
      </c>
      <c r="Z47" s="34" t="str">
        <f>Z6</f>
        <v>Hommes</v>
      </c>
      <c r="AA47" s="35" t="str">
        <f>AA6</f>
        <v>Femmes</v>
      </c>
      <c r="AB47" s="36" t="str">
        <f>AB6</f>
        <v>Ensemble</v>
      </c>
      <c r="AC47" s="34" t="str">
        <f>AC6</f>
        <v>Hommes</v>
      </c>
      <c r="AD47" s="35" t="str">
        <f>AD6</f>
        <v>Femmes</v>
      </c>
      <c r="AE47" s="36" t="str">
        <f>AE6</f>
        <v>Ensemble</v>
      </c>
      <c r="AF47" s="34" t="str">
        <f>AF6</f>
        <v>Hommes</v>
      </c>
      <c r="AG47" s="35" t="str">
        <f>AG6</f>
        <v>Femmes</v>
      </c>
      <c r="AH47" s="36" t="str">
        <f>AH6</f>
        <v>Ensemble</v>
      </c>
      <c r="AI47" s="34" t="str">
        <f>AI6</f>
        <v>Hommes</v>
      </c>
      <c r="AJ47" s="35" t="str">
        <f>AJ6</f>
        <v>Femmes</v>
      </c>
      <c r="AK47" s="36" t="str">
        <f>AK6</f>
        <v>Ensemble</v>
      </c>
      <c r="AL47" s="34" t="str">
        <f>AL6</f>
        <v>Hommes</v>
      </c>
      <c r="AM47" s="35" t="str">
        <f>AM6</f>
        <v>Femmes</v>
      </c>
      <c r="AN47" s="36" t="str">
        <f>AN6</f>
        <v>Ensemble</v>
      </c>
      <c r="AO47" s="34" t="str">
        <f>AO6</f>
        <v>Hommes</v>
      </c>
      <c r="AP47" s="35" t="str">
        <f>AP6</f>
        <v>Femmes</v>
      </c>
      <c r="AQ47" s="36" t="str">
        <f>AQ6</f>
        <v>Ensemble</v>
      </c>
      <c r="AR47" s="34" t="str">
        <f>AR6</f>
        <v>Hommes</v>
      </c>
      <c r="AS47" s="35" t="str">
        <f>AS6</f>
        <v>Femmes</v>
      </c>
      <c r="AT47" s="36" t="str">
        <f>AT6</f>
        <v>Ensemble</v>
      </c>
      <c r="AU47" s="34" t="str">
        <f>AU6</f>
        <v>Hommes</v>
      </c>
      <c r="AV47" s="35" t="str">
        <f>AV6</f>
        <v>Femmes</v>
      </c>
      <c r="AW47" s="36" t="str">
        <f>AW6</f>
        <v>Ensemble</v>
      </c>
      <c r="AX47" s="34" t="str">
        <f>AX6</f>
        <v>Hommes</v>
      </c>
      <c r="AY47" s="35" t="str">
        <f>AY6</f>
        <v>Femmes</v>
      </c>
      <c r="AZ47" s="36" t="str">
        <f>AZ6</f>
        <v>Ensemble</v>
      </c>
      <c r="BA47" s="34" t="str">
        <f>BA6</f>
        <v>Hommes</v>
      </c>
      <c r="BB47" s="35" t="str">
        <f>BB6</f>
        <v>Femmes</v>
      </c>
      <c r="BC47" s="36" t="str">
        <f>BC6</f>
        <v>Ensemble</v>
      </c>
      <c r="BD47" s="34" t="str">
        <f>BD6</f>
        <v>Hommes</v>
      </c>
      <c r="BE47" s="35" t="str">
        <f>BE6</f>
        <v>Femmes</v>
      </c>
      <c r="BF47" s="36" t="str">
        <f>BF6</f>
        <v>Ensemble</v>
      </c>
      <c r="BG47" s="34" t="str">
        <f>BG6</f>
        <v>Hommes</v>
      </c>
      <c r="BH47" s="35" t="str">
        <f>BH6</f>
        <v>Femmes</v>
      </c>
      <c r="BI47" s="36" t="str">
        <f>BI6</f>
        <v>Ensemble</v>
      </c>
      <c r="BJ47" s="34" t="str">
        <f>BJ6</f>
        <v>Hommes</v>
      </c>
      <c r="BK47" s="35" t="str">
        <f>BK6</f>
        <v>Femmes</v>
      </c>
      <c r="BL47" s="36" t="str">
        <f>BL6</f>
        <v>Ensemble</v>
      </c>
      <c r="BM47" s="34" t="str">
        <f>BM6</f>
        <v>Hommes</v>
      </c>
      <c r="BN47" s="35" t="str">
        <f>BN6</f>
        <v>Femmes</v>
      </c>
      <c r="BO47" s="36" t="str">
        <f>BO6</f>
        <v>Ensemble</v>
      </c>
      <c r="BP47" s="34" t="str">
        <f>BP6</f>
        <v>Hommes</v>
      </c>
      <c r="BQ47" s="35" t="str">
        <f>BQ6</f>
        <v>Femmes</v>
      </c>
      <c r="BR47" s="36" t="str">
        <f>BR6</f>
        <v>Ensemble</v>
      </c>
      <c r="BS47" s="34" t="str">
        <f>BS6</f>
        <v>Hommes</v>
      </c>
      <c r="BT47" s="35" t="str">
        <f>BT6</f>
        <v>Femmes</v>
      </c>
      <c r="BU47" s="36" t="str">
        <f>BU6</f>
        <v>Ensemble</v>
      </c>
      <c r="BV47" s="34" t="str">
        <f>BV6</f>
        <v>Hommes</v>
      </c>
      <c r="BW47" s="35" t="str">
        <f>BW6</f>
        <v>Femmes</v>
      </c>
      <c r="BX47" s="36" t="str">
        <f>BX6</f>
        <v>Ensemble</v>
      </c>
      <c r="BY47" s="34" t="str">
        <f>BY6</f>
        <v>Hommes</v>
      </c>
      <c r="BZ47" s="35" t="str">
        <f>BZ6</f>
        <v>Femmes</v>
      </c>
      <c r="CA47" s="36" t="str">
        <f>CA6</f>
        <v>Ensemble</v>
      </c>
      <c r="CB47" s="34" t="str">
        <f>CE6</f>
        <v>Hommes</v>
      </c>
      <c r="CC47" s="35" t="str">
        <f>CF6</f>
        <v>Femmes</v>
      </c>
      <c r="CD47" s="36" t="str">
        <f>CG6</f>
        <v>Ensemble</v>
      </c>
      <c r="CE47" s="34" t="str">
        <f>CE6</f>
        <v>Hommes</v>
      </c>
      <c r="CF47" s="35" t="str">
        <f>CF6</f>
        <v>Femmes</v>
      </c>
      <c r="CG47" s="36" t="str">
        <f>CG6</f>
        <v>Ensemble</v>
      </c>
      <c r="CH47" s="34" t="str">
        <f>CH6</f>
        <v>Hommes</v>
      </c>
      <c r="CI47" s="35" t="str">
        <f>CI6</f>
        <v>Femmes</v>
      </c>
      <c r="CJ47" s="36" t="str">
        <f>CJ6</f>
        <v>Ensemble</v>
      </c>
      <c r="CK47" s="34" t="str">
        <f>CK6</f>
        <v>Hommes</v>
      </c>
      <c r="CL47" s="35" t="str">
        <f>CL6</f>
        <v>Femmes</v>
      </c>
      <c r="CM47" s="36" t="str">
        <f>CM6</f>
        <v>Ensemble</v>
      </c>
      <c r="CN47" s="34" t="str">
        <f>CQ6</f>
        <v>Hommes</v>
      </c>
      <c r="CO47" s="35" t="str">
        <f>CO6</f>
        <v>Femmes</v>
      </c>
      <c r="CP47" s="36" t="str">
        <f>CS6</f>
        <v>Ensemble</v>
      </c>
      <c r="CQ47" s="129" t="str">
        <f>CQ6</f>
        <v>Hommes</v>
      </c>
      <c r="CR47" s="130" t="str">
        <f>CR6</f>
        <v>Femmes</v>
      </c>
      <c r="CS47" s="131" t="str">
        <f>CS6</f>
        <v>Ensemble</v>
      </c>
      <c r="CT47" s="129" t="str">
        <f>CT6</f>
        <v>Hommes</v>
      </c>
      <c r="CU47" s="130" t="str">
        <f>CU6</f>
        <v>Femmes</v>
      </c>
      <c r="CV47" s="131" t="str">
        <f>CV6</f>
        <v>Ensemble</v>
      </c>
      <c r="CW47" s="129" t="str">
        <f>CW6</f>
        <v>Hommes</v>
      </c>
      <c r="CX47" s="130" t="str">
        <f>CX6</f>
        <v>Femmes</v>
      </c>
      <c r="CY47" s="131" t="str">
        <f>CY6</f>
        <v>Ensemble</v>
      </c>
      <c r="CZ47" s="129" t="str">
        <f>CZ6</f>
        <v>Hommes</v>
      </c>
      <c r="DA47" s="130" t="str">
        <f>DA6</f>
        <v>Femmes</v>
      </c>
      <c r="DB47" s="131" t="str">
        <f>DB6</f>
        <v>Ensemble</v>
      </c>
      <c r="DC47" s="129" t="str">
        <f>DC6</f>
        <v>Hommes</v>
      </c>
      <c r="DD47" s="130" t="str">
        <f>DD6</f>
        <v>Femmes</v>
      </c>
      <c r="DE47" s="131" t="str">
        <f>DE6</f>
        <v>Ensemble</v>
      </c>
      <c r="DF47" s="129" t="str">
        <f>DF6</f>
        <v>Hommes</v>
      </c>
      <c r="DG47" s="130" t="str">
        <f>DG6</f>
        <v>Femmes</v>
      </c>
      <c r="DH47" s="131" t="str">
        <f>DH6</f>
        <v>Ensemble</v>
      </c>
      <c r="DI47" s="129" t="str">
        <f>DI6</f>
        <v>Hommes</v>
      </c>
      <c r="DJ47" s="130" t="str">
        <f>DJ6</f>
        <v>Femmes</v>
      </c>
      <c r="DK47" s="131" t="str">
        <f>DK6</f>
        <v>Ensemble</v>
      </c>
      <c r="DL47" s="129" t="str">
        <f>DL6</f>
        <v>Hommes</v>
      </c>
      <c r="DM47" s="130" t="str">
        <f>DM6</f>
        <v>Femmes</v>
      </c>
      <c r="DN47" s="131" t="str">
        <f>DN6</f>
        <v>Ensemble</v>
      </c>
      <c r="DO47" s="129" t="s">
        <v>0</v>
      </c>
      <c r="DP47" s="130" t="s">
        <v>1</v>
      </c>
      <c r="DQ47" s="131" t="s">
        <v>5</v>
      </c>
      <c r="DR47" s="129" t="s">
        <v>0</v>
      </c>
      <c r="DS47" s="130" t="s">
        <v>1</v>
      </c>
      <c r="DT47" s="131" t="s">
        <v>5</v>
      </c>
      <c r="DU47" s="199" t="str">
        <f>DU6</f>
        <v>Hommes</v>
      </c>
      <c r="DV47" s="200" t="str">
        <f>DV6</f>
        <v>Femmes</v>
      </c>
      <c r="DW47" s="201" t="str">
        <f>DW6</f>
        <v>Ensemble</v>
      </c>
      <c r="DX47" s="199" t="str">
        <f>DX6</f>
        <v>Hommes</v>
      </c>
      <c r="DY47" s="200" t="str">
        <f>DY6</f>
        <v>Femmes</v>
      </c>
      <c r="DZ47" s="201" t="str">
        <f>DZ6</f>
        <v>Ensemble</v>
      </c>
      <c r="EA47" s="199" t="str">
        <f>EA6</f>
        <v>Hommes</v>
      </c>
      <c r="EB47" s="200" t="str">
        <f>EB6</f>
        <v>Femmes</v>
      </c>
      <c r="EC47" s="201" t="str">
        <f>EC6</f>
        <v>Ensemble</v>
      </c>
      <c r="ED47" s="199" t="str">
        <f>ED6</f>
        <v>Hommes</v>
      </c>
      <c r="EE47" s="200" t="str">
        <f>EE6</f>
        <v>Femmes</v>
      </c>
      <c r="EF47" s="201" t="str">
        <f>EF6</f>
        <v>Ensemble</v>
      </c>
      <c r="EG47" s="199" t="str">
        <f>EG6</f>
        <v>Hommes</v>
      </c>
      <c r="EH47" s="200" t="str">
        <f>EH6</f>
        <v>Femmes</v>
      </c>
      <c r="EI47" s="201" t="str">
        <f>EI6</f>
        <v>Ensemble</v>
      </c>
      <c r="EJ47" s="199" t="str">
        <f>EJ6</f>
        <v>Hommes</v>
      </c>
      <c r="EK47" s="200" t="str">
        <f>EK6</f>
        <v>Femmes</v>
      </c>
      <c r="EL47" s="201" t="str">
        <f>EL6</f>
        <v>Ensemble</v>
      </c>
      <c r="EM47" s="199" t="str">
        <f>EM6</f>
        <v>Hommes</v>
      </c>
      <c r="EN47" s="200" t="str">
        <f>EN6</f>
        <v>Femmes</v>
      </c>
      <c r="EO47" s="201" t="str">
        <f>EO6</f>
        <v>Ensemble</v>
      </c>
      <c r="EP47" s="199" t="str">
        <f>EP6</f>
        <v>Hommes</v>
      </c>
      <c r="EQ47" s="200" t="str">
        <f>EQ6</f>
        <v>Femmes</v>
      </c>
      <c r="ER47" s="201" t="str">
        <f>ER6</f>
        <v>Ensemble</v>
      </c>
      <c r="ES47" s="199" t="str">
        <f>ES6</f>
        <v>Hommes</v>
      </c>
      <c r="ET47" s="200" t="str">
        <f>ET6</f>
        <v>Femmes</v>
      </c>
      <c r="EU47" s="201" t="str">
        <f>EU6</f>
        <v>Ensemble</v>
      </c>
      <c r="EV47" s="199" t="str">
        <f>EV6</f>
        <v>Hommes</v>
      </c>
      <c r="EW47" s="200" t="str">
        <f>EW6</f>
        <v>Femmes</v>
      </c>
      <c r="EX47" s="201" t="str">
        <f>EX6</f>
        <v>Ensemble</v>
      </c>
      <c r="EY47" s="199" t="str">
        <f>EY6</f>
        <v>Hommes</v>
      </c>
      <c r="EZ47" s="200" t="str">
        <f>EZ6</f>
        <v>Femmes</v>
      </c>
      <c r="FA47" s="201" t="str">
        <f>FA6</f>
        <v>Ensemble</v>
      </c>
      <c r="FB47" s="199" t="str">
        <f>FB6</f>
        <v>Hommes</v>
      </c>
      <c r="FC47" s="200" t="str">
        <f>FC6</f>
        <v>Femmes</v>
      </c>
      <c r="FD47" s="201" t="str">
        <f>FD6</f>
        <v>Ensemble</v>
      </c>
      <c r="FE47" s="199" t="str">
        <f>FE6</f>
        <v>Hommes</v>
      </c>
      <c r="FF47" s="200" t="str">
        <f>FF6</f>
        <v>Femmes</v>
      </c>
      <c r="FG47" s="201" t="str">
        <f>FG6</f>
        <v>Ensemble</v>
      </c>
      <c r="FH47" s="199" t="str">
        <f>FH6</f>
        <v>Hommes</v>
      </c>
      <c r="FI47" s="200" t="str">
        <f>FI6</f>
        <v>Femmes</v>
      </c>
      <c r="FJ47" s="201" t="str">
        <f>FJ6</f>
        <v>Ensemble</v>
      </c>
      <c r="FK47" s="199" t="str">
        <f>FK6</f>
        <v>Hommes</v>
      </c>
      <c r="FL47" s="200" t="str">
        <f>FL6</f>
        <v>Femmes</v>
      </c>
      <c r="FM47" s="201" t="str">
        <f>FM6</f>
        <v>Ensemble</v>
      </c>
      <c r="FN47" s="129" t="str">
        <f>FN6</f>
        <v>Hommes</v>
      </c>
      <c r="FO47" s="130" t="str">
        <f>FO6</f>
        <v>Femmes</v>
      </c>
      <c r="FP47" s="131" t="str">
        <f>FP6</f>
        <v>Ensemble</v>
      </c>
      <c r="FQ47" s="129" t="str">
        <f>FQ6</f>
        <v>Hommes</v>
      </c>
      <c r="FR47" s="366" t="str">
        <f>FR6</f>
        <v>Femmes</v>
      </c>
      <c r="FS47" s="131" t="str">
        <f>FS6</f>
        <v>Ensemble</v>
      </c>
      <c r="FT47" s="129" t="str">
        <f>FT6</f>
        <v>Hommes</v>
      </c>
      <c r="FU47" s="383" t="str">
        <f>FU6</f>
        <v>Femmes</v>
      </c>
      <c r="FV47" s="131" t="str">
        <f>FV6</f>
        <v>Ensemble</v>
      </c>
      <c r="FW47" s="129" t="str">
        <f>FW6</f>
        <v>Hommes</v>
      </c>
      <c r="FX47" s="385" t="str">
        <f>FX6</f>
        <v>Femmes</v>
      </c>
      <c r="FY47" s="131" t="str">
        <f>FY6</f>
        <v>Ensemble</v>
      </c>
      <c r="FZ47" s="129" t="str">
        <f>FZ6</f>
        <v>Hommes</v>
      </c>
      <c r="GA47" s="386" t="str">
        <f>GA6</f>
        <v>Femmes</v>
      </c>
      <c r="GB47" s="131" t="str">
        <f>GB6</f>
        <v>Ensemble</v>
      </c>
      <c r="GC47" s="129" t="str">
        <f>GC6</f>
        <v>Hommes</v>
      </c>
      <c r="GD47" s="391" t="str">
        <f>GD6</f>
        <v>Femmes</v>
      </c>
      <c r="GE47" s="131" t="str">
        <f>GE6</f>
        <v>Ensemble</v>
      </c>
      <c r="GF47" s="129" t="str">
        <f>GF6</f>
        <v>Hommes</v>
      </c>
      <c r="GG47" s="392" t="str">
        <f>GG6</f>
        <v>Femmes</v>
      </c>
      <c r="GH47" s="131" t="str">
        <f>GH6</f>
        <v>Ensemble</v>
      </c>
      <c r="GI47" s="129" t="str">
        <f>GI6</f>
        <v>Hommes</v>
      </c>
      <c r="GJ47" s="393" t="str">
        <f>GJ6</f>
        <v>Femmes</v>
      </c>
      <c r="GK47" s="131" t="str">
        <f>GK6</f>
        <v>Ensemble</v>
      </c>
      <c r="GL47" s="129" t="str">
        <f>GL6</f>
        <v>Hommes</v>
      </c>
      <c r="GM47" s="394" t="str">
        <f>GM6</f>
        <v>Femmes</v>
      </c>
      <c r="GN47" s="131" t="str">
        <f>GN6</f>
        <v>Ensemble</v>
      </c>
    </row>
    <row r="48" spans="1:196" ht="12" thickBot="1" x14ac:dyDescent="0.3">
      <c r="A48" s="46" t="s">
        <v>14</v>
      </c>
      <c r="B48" s="52">
        <f>[1]SAS_SA_4T2008!$D$125</f>
        <v>40.112099999999998</v>
      </c>
      <c r="C48" s="53">
        <f>[1]SAS_SA_4T2008!$D$126</f>
        <v>31.727799999999998</v>
      </c>
      <c r="D48" s="54">
        <f>[1]SAS_SA_4T2008!$D$124</f>
        <v>37.285499999999999</v>
      </c>
      <c r="E48" s="52">
        <f>[2]SAS_SA_1T2009!$D$125</f>
        <v>40.264400000000002</v>
      </c>
      <c r="F48" s="53">
        <f>[2]SAS_SA_1T2009!$D$126</f>
        <v>31.859200000000001</v>
      </c>
      <c r="G48" s="54">
        <f>[2]SAS_SA_1T2009!$D$124</f>
        <v>37.419800000000002</v>
      </c>
      <c r="H48" s="52">
        <f>[64]SAS_SA_2T2009!$D$125</f>
        <v>40.264299999999999</v>
      </c>
      <c r="I48" s="53">
        <f>[64]SAS_SA_2T2009!$D$126</f>
        <v>31.9468</v>
      </c>
      <c r="J48" s="54">
        <f>[64]SAS_SA_2T2009!$D$124</f>
        <v>37.440100000000001</v>
      </c>
      <c r="K48" s="52">
        <f>[3]SAS_SA_3T2009!$D$125</f>
        <v>40.180700000000002</v>
      </c>
      <c r="L48" s="53">
        <f>[3]SAS_SA_3T2009!$D$126</f>
        <v>31.890499999999999</v>
      </c>
      <c r="M48" s="54">
        <f>[3]SAS_SA_3T2009!$D$124</f>
        <v>37.350200000000001</v>
      </c>
      <c r="N48" s="52">
        <f>[4]SAS_SA_4T2009!$D$125</f>
        <v>40.128599999999999</v>
      </c>
      <c r="O48" s="53">
        <f>[4]SAS_SA_4T2009!$D$126</f>
        <v>31.911000000000001</v>
      </c>
      <c r="P48" s="55">
        <f>[4]SAS_SA_4T2009!$D$124</f>
        <v>37.3127</v>
      </c>
      <c r="Q48" s="52">
        <f>[5]SAS_SA_1T2010!$D$125</f>
        <v>40.067900000000002</v>
      </c>
      <c r="R48" s="53">
        <f>[5]SAS_SA_1T2010!$D$126</f>
        <v>31.934999999999999</v>
      </c>
      <c r="S48" s="55">
        <f>[5]SAS_SA_1T2010!$D$124</f>
        <v>37.273400000000002</v>
      </c>
      <c r="T48" s="52">
        <f>[65]SAS_SA_2T2010!$D$125</f>
        <v>40.314</v>
      </c>
      <c r="U48" s="53">
        <f>[65]SAS_SA_2T2010!$D$126</f>
        <v>32.033799999999999</v>
      </c>
      <c r="V48" s="55">
        <f>[65]SAS_SA_2T2010!$D$124</f>
        <v>37.444400000000002</v>
      </c>
      <c r="W48" s="52">
        <f>[6]SAS_SA_3T2010!$D$125</f>
        <v>40.284199999999998</v>
      </c>
      <c r="X48" s="53">
        <f>[6]SAS_SA_3T2010!$D$126</f>
        <v>32.066299999999998</v>
      </c>
      <c r="Y48" s="55">
        <f>[6]SAS_SA_3T2010!$D$124</f>
        <v>37.424599999999998</v>
      </c>
      <c r="Z48" s="52">
        <f>[7]SAS_SA_2010_4T!$D$125</f>
        <v>39.970700000000001</v>
      </c>
      <c r="AA48" s="53">
        <f>[7]SAS_SA_2010_4T!$D$126</f>
        <v>32.0563</v>
      </c>
      <c r="AB48" s="54">
        <f>[7]SAS_SA_2010_4T!$D$124</f>
        <v>37.220500000000001</v>
      </c>
      <c r="AC48" s="52">
        <f>[8]SAS_SA_2011_1T!$D$118</f>
        <v>39.958100000000002</v>
      </c>
      <c r="AD48" s="53">
        <f>[8]SAS_SA_2011_1T!$D$119</f>
        <v>32.088999999999999</v>
      </c>
      <c r="AE48" s="54">
        <f>[8]SAS_SA_2011_1T!$D$117</f>
        <v>37.2149</v>
      </c>
      <c r="AF48" s="52">
        <f>[9]SAS_SA_2011_2T!$D$118</f>
        <v>39.942</v>
      </c>
      <c r="AG48" s="53">
        <f>[9]SAS_SA_2011_2T!$D$119</f>
        <v>32.134300000000003</v>
      </c>
      <c r="AH48" s="54">
        <f>[9]SAS_SA_2011_2T!$D$117</f>
        <v>37.210599999999999</v>
      </c>
      <c r="AI48" s="52">
        <f>[10]SAS_SA_2011_3T!$D$118</f>
        <v>39.941800000000001</v>
      </c>
      <c r="AJ48" s="53">
        <f>[10]SAS_SA_2011_3T!$D$119</f>
        <v>32.134099999999997</v>
      </c>
      <c r="AK48" s="54">
        <f>[10]SAS_SA_2011_3T!$D$117</f>
        <v>37.2104</v>
      </c>
      <c r="AL48" s="52">
        <f>[11]SAS_SA_2011_4T!$D$118</f>
        <v>39.877499999999998</v>
      </c>
      <c r="AM48" s="53">
        <f>[11]SAS_SA_2011_4T!$D$119</f>
        <v>32.168399999999998</v>
      </c>
      <c r="AN48" s="54">
        <f>[11]SAS_SA_2011_4T!$D$117</f>
        <v>37.164499999999997</v>
      </c>
      <c r="AO48" s="52">
        <f>'[12]120612-17H07S59-PROGRAM-TdB_STO'!$D$118</f>
        <v>39.923400000000001</v>
      </c>
      <c r="AP48" s="53">
        <f>'[12]120612-17H07S59-PROGRAM-TdB_STO'!$D$119</f>
        <v>32.281799999999997</v>
      </c>
      <c r="AQ48" s="54">
        <f>'[12]120612-17H07S59-PROGRAM-TdB_STO'!$D$117</f>
        <v>37.226799999999997</v>
      </c>
      <c r="AR48" s="52">
        <f>[13]SAS_SA_2012_2T!$D$118</f>
        <v>39.9011</v>
      </c>
      <c r="AS48" s="53">
        <f>[13]SAS_SA_2012_2T!$D$119</f>
        <v>32.319000000000003</v>
      </c>
      <c r="AT48" s="54">
        <f>[13]SAS_SA_2012_2T!$D$117</f>
        <v>37.218000000000004</v>
      </c>
      <c r="AU48" s="52">
        <f>'[14]121105-09H31S06-PROGRAM-TdB_STO'!$D$118</f>
        <v>39.850099999999998</v>
      </c>
      <c r="AV48" s="53">
        <f>'[14]121105-09H31S06-PROGRAM-TdB_STO'!$D$119</f>
        <v>32.248100000000001</v>
      </c>
      <c r="AW48" s="54">
        <f>'[14]121105-09H31S06-PROGRAM-TdB_STO'!$D$117</f>
        <v>37.1494</v>
      </c>
      <c r="AX48" s="52">
        <f>[15]SAS_SA_2012_4T!$D$118</f>
        <v>39.927</v>
      </c>
      <c r="AY48" s="53">
        <f>[15]SAS_SA_2012_4T!$D$119</f>
        <v>32.347700000000003</v>
      </c>
      <c r="AZ48" s="54">
        <f>[15]SAS_SA_2012_4T!$D$117</f>
        <v>37.226799999999997</v>
      </c>
      <c r="BA48" s="52">
        <f>[16]SAS_SA_2013_1T!$D$118</f>
        <v>39.979700000000001</v>
      </c>
      <c r="BB48" s="53">
        <f>[16]SAS_SA_2013_1T!$D$119</f>
        <v>32.4666</v>
      </c>
      <c r="BC48" s="54">
        <f>[16]SAS_SA_2013_1T!$D$117</f>
        <v>37.2956</v>
      </c>
      <c r="BD48" s="52">
        <f>[17]SAS_SA_2013_2T!$D$118</f>
        <v>40.0488</v>
      </c>
      <c r="BE48" s="53">
        <f>[17]SAS_SA_2013_2T!$D$119</f>
        <v>32.595799999999997</v>
      </c>
      <c r="BF48" s="54">
        <f>[17]SAS_SA_2013_2T!$D$117</f>
        <v>37.377899999999997</v>
      </c>
      <c r="BG48" s="52">
        <f>[18]SAS_SA_2013_3T!$D$118</f>
        <v>39.956600000000002</v>
      </c>
      <c r="BH48" s="53">
        <f>[18]SAS_SA_2013_3T!$D$119</f>
        <v>32.532600000000002</v>
      </c>
      <c r="BI48" s="54">
        <f>[18]SAS_SA_2013_3T!$D$117</f>
        <v>37.283200000000001</v>
      </c>
      <c r="BJ48" s="52">
        <f>[19]SAS_SA_2013_4T!$D$118</f>
        <v>39.8446</v>
      </c>
      <c r="BK48" s="53">
        <f>[19]SAS_SA_2013_4T!$D$119</f>
        <v>32.453800000000001</v>
      </c>
      <c r="BL48" s="54">
        <f>[19]SAS_SA_2013_4T!$D$117</f>
        <v>37.1738</v>
      </c>
      <c r="BM48" s="52">
        <f>[20]SAS_SA_2014_1T!$D$118</f>
        <v>39.782499999999999</v>
      </c>
      <c r="BN48" s="53">
        <f>[20]SAS_SA_2014_1T!$D$119</f>
        <v>32.424300000000002</v>
      </c>
      <c r="BO48" s="54">
        <f>[20]SAS_SA_2014_1T!$D$117</f>
        <v>37.117699999999999</v>
      </c>
      <c r="BP48" s="52">
        <f>[21]SAS_SA_2014_2T!$D$118</f>
        <v>39.747199999999999</v>
      </c>
      <c r="BQ48" s="53">
        <f>[21]SAS_SA_2014_2T!$D$119</f>
        <v>32.464599999999997</v>
      </c>
      <c r="BR48" s="54">
        <f>[21]SAS_SA_2014_2T!$D$117</f>
        <v>37.101399999999998</v>
      </c>
      <c r="BS48" s="52">
        <f>[22]SAS_SA_2014_3T!$D$118</f>
        <v>39.673699999999997</v>
      </c>
      <c r="BT48" s="53">
        <f>[22]SAS_SA_2014_3T!$D$119</f>
        <v>32.46</v>
      </c>
      <c r="BU48" s="54">
        <f>[22]SAS_SA_2014_3T!$D$117</f>
        <v>37.043799999999997</v>
      </c>
      <c r="BV48" s="52">
        <f>[23]SAS_SA_2014_4T!$D$118</f>
        <v>39.594999999999999</v>
      </c>
      <c r="BW48" s="53">
        <f>[23]SAS_SA_2014_4T!$D$119</f>
        <v>32.410200000000003</v>
      </c>
      <c r="BX48" s="54">
        <f>[23]SAS_SA_2014_4T!$D$117</f>
        <v>36.967199999999998</v>
      </c>
      <c r="BY48" s="52">
        <f>[24]SAS_SA_2015_1T!$D$118</f>
        <v>39.540599999999998</v>
      </c>
      <c r="BZ48" s="53">
        <f>[24]SAS_SA_2015_1T!$D$119</f>
        <v>32.400199999999998</v>
      </c>
      <c r="CA48" s="54">
        <f>[24]SAS_SA_2015_1T!$D$117</f>
        <v>36.919899999999998</v>
      </c>
      <c r="CB48" s="52">
        <f>[25]SAS_SA_2015_2T!$D$118</f>
        <v>39.450699999999998</v>
      </c>
      <c r="CC48" s="53">
        <f>[25]SAS_SA_2015_2T!$D$119</f>
        <v>32.384900000000002</v>
      </c>
      <c r="CD48" s="54">
        <f>[25]SAS_SA_2015_2T!$D$117</f>
        <v>36.850099999999998</v>
      </c>
      <c r="CE48" s="52">
        <f>[26]SAS_SA_2015_3T!$D$118</f>
        <v>39.4</v>
      </c>
      <c r="CF48" s="53">
        <f>[26]SAS_SA_2015_3T!$D$119</f>
        <v>32.4</v>
      </c>
      <c r="CG48" s="54">
        <f>[26]SAS_SA_2015_3T!$D$117</f>
        <v>36.799999999999997</v>
      </c>
      <c r="CH48" s="52">
        <f>[27]SAS_SA_2015_4T!$D$118</f>
        <v>39.320099999999996</v>
      </c>
      <c r="CI48" s="53">
        <f>[27]SAS_SA_2015_4T!$D$119</f>
        <v>32.375700000000002</v>
      </c>
      <c r="CJ48" s="54">
        <f>[27]SAS_SA_2015_4T!$D$117</f>
        <v>36.749099999999999</v>
      </c>
      <c r="CK48" s="52">
        <f>[28]SAS_SA_2016_1T!$D$118</f>
        <v>39.2316</v>
      </c>
      <c r="CL48" s="53">
        <f>[28]SAS_SA_2016_1T!$D$119</f>
        <v>32.357599999999998</v>
      </c>
      <c r="CM48" s="54">
        <f>[28]SAS_SA_2016_1T!$D$117</f>
        <v>36.677</v>
      </c>
      <c r="CN48" s="52">
        <f>'[29]160822-11H12S04-PROGRAM-TdB_STO'!$D$118</f>
        <v>39.166699999999999</v>
      </c>
      <c r="CO48" s="53">
        <f>'[29]160822-11H12S04-PROGRAM-TdB_STO'!$D$119</f>
        <v>32.338099999999997</v>
      </c>
      <c r="CP48" s="54">
        <f>'[29]160822-11H12S04-PROGRAM-TdB_STO'!$D$117</f>
        <v>36.620100000000001</v>
      </c>
      <c r="CQ48" s="158">
        <f>[30]SAS_SA_2016_3T!$D$118</f>
        <v>39.122399999999999</v>
      </c>
      <c r="CR48" s="159">
        <f>[30]SAS_SA_2016_3T!$D$119</f>
        <v>32.335900000000002</v>
      </c>
      <c r="CS48" s="160">
        <f>[30]SAS_SA_2016_3T!$D$117</f>
        <v>36.583199999999998</v>
      </c>
      <c r="CT48" s="158">
        <f>[31]SAS_SA_2016_4T!$D$118</f>
        <v>39.059899999999999</v>
      </c>
      <c r="CU48" s="159">
        <f>[31]SAS_SA_2016_4T!$D$119</f>
        <v>32.334200000000003</v>
      </c>
      <c r="CV48" s="160">
        <f>[31]SAS_SA_2016_4T!$D$117</f>
        <v>36.539200000000001</v>
      </c>
      <c r="CW48" s="158">
        <f>[32]SAS_SA_2017_1T!$D$118</f>
        <v>38.9938</v>
      </c>
      <c r="CX48" s="159">
        <f>[32]SAS_SA_2017_1T!$D$119</f>
        <v>32.350299999999997</v>
      </c>
      <c r="CY48" s="160">
        <f>[32]SAS_SA_2017_1T!$D$117</f>
        <v>36.497700000000002</v>
      </c>
      <c r="CZ48" s="158">
        <f>[33]SAS_SA_2017_2T!$D$118</f>
        <v>38.921799999999998</v>
      </c>
      <c r="DA48" s="159">
        <f>[33]SAS_SA_2017_2T!$D$119</f>
        <v>32.363700000000001</v>
      </c>
      <c r="DB48" s="160">
        <f>[33]SAS_SA_2017_2T!$D$117</f>
        <v>36.450899999999997</v>
      </c>
      <c r="DC48" s="158">
        <f>[34]SAS_SA_2017_3T!$D$118</f>
        <v>39.0871</v>
      </c>
      <c r="DD48" s="159">
        <f>[34]SAS_SA_2017_3T!$D$119</f>
        <v>32.5899</v>
      </c>
      <c r="DE48" s="160">
        <f>[34]SAS_SA_2017_3T!$D$117</f>
        <v>36.632800000000003</v>
      </c>
      <c r="DF48" s="158">
        <f>[35]SAS_SA_2017_4T!$D$118</f>
        <v>39.305300000000003</v>
      </c>
      <c r="DG48" s="159">
        <f>[35]SAS_SA_2017_4T!$D$119</f>
        <v>32.892299999999999</v>
      </c>
      <c r="DH48" s="160">
        <f>[35]SAS_SA_2017_4T!$D$117</f>
        <v>36.877699999999997</v>
      </c>
      <c r="DI48" s="158">
        <f>[36]SAS_SA_2018_1T!$D$118</f>
        <v>39.609400000000001</v>
      </c>
      <c r="DJ48" s="159">
        <f>[36]SAS_SA_2018_1T!$D$119</f>
        <v>33.342100000000002</v>
      </c>
      <c r="DK48" s="160">
        <f>[36]SAS_SA_2018_1T!$D$117</f>
        <v>37.231499999999997</v>
      </c>
      <c r="DL48" s="158">
        <f>[37]SAS_SA_2018_2T!$D$118</f>
        <v>39.853299999999997</v>
      </c>
      <c r="DM48" s="159">
        <f>[37]SAS_SA_2018_2T!$D$119</f>
        <v>33.700499999999998</v>
      </c>
      <c r="DN48" s="160">
        <f>[37]SAS_SA_2018_2T!$D$117</f>
        <v>37.512599999999999</v>
      </c>
      <c r="DO48" s="158">
        <f>[38]SAS_SA_2018_3T!$D$118</f>
        <v>40.128</v>
      </c>
      <c r="DP48" s="159">
        <f>[38]SAS_SA_2018_3T!$D$119</f>
        <v>34.111199999999997</v>
      </c>
      <c r="DQ48" s="160">
        <f>[38]SAS_SA_2018_3T!$D$117</f>
        <v>37.8324</v>
      </c>
      <c r="DR48" s="158">
        <f>'[39]190227-14H32S38-PROGRAM-TdB_STO'!$D$118</f>
        <v>40.413400000000003</v>
      </c>
      <c r="DS48" s="159">
        <f>'[39]190227-14H32S38-PROGRAM-TdB_STO'!$D$119</f>
        <v>34.523000000000003</v>
      </c>
      <c r="DT48" s="160">
        <f>'[39]190227-14H32S38-PROGRAM-TdB_STO'!$D$117</f>
        <v>38.161900000000003</v>
      </c>
      <c r="DU48" s="225">
        <f>[40]SAS_SA_2019_1T!$D$118</f>
        <v>40.774700000000003</v>
      </c>
      <c r="DV48" s="226">
        <f>[40]SAS_SA_2019_1T!$D$119</f>
        <v>35.014499999999998</v>
      </c>
      <c r="DW48" s="227">
        <f>[40]SAS_SA_2019_1T!$D$117</f>
        <v>38.567300000000003</v>
      </c>
      <c r="DX48" s="225">
        <f>[41]SAS_SA_2019_2T!$D$118</f>
        <v>41.059199999999997</v>
      </c>
      <c r="DY48" s="226">
        <f>[41]SAS_SA_2019_2T!$D$119</f>
        <v>35.508699999999997</v>
      </c>
      <c r="DZ48" s="227">
        <f>[41]SAS_SA_2019_2T!$D$117</f>
        <v>38.9285</v>
      </c>
      <c r="EA48" s="225">
        <f>[42]SAS_SA_2019_3T!$D$118</f>
        <v>41.459600000000002</v>
      </c>
      <c r="EB48" s="226">
        <f>[42]SAS_SA_2019_3T!$D$119</f>
        <v>36.065800000000003</v>
      </c>
      <c r="EC48" s="227">
        <f>[42]SAS_SA_2019_3T!$D$117</f>
        <v>39.383699999999997</v>
      </c>
      <c r="ED48" s="225">
        <f>[43]SAS_SA_2019_4T!$D$118</f>
        <v>41.665999999999997</v>
      </c>
      <c r="EE48" s="226">
        <f>[43]SAS_SA_2019_4T!$D$119</f>
        <v>36.450699999999998</v>
      </c>
      <c r="EF48" s="227">
        <f>[43]SAS_SA_2019_4T!$D$117</f>
        <v>39.653399999999998</v>
      </c>
      <c r="EG48" s="225">
        <f>[44]SAS_SA_2020_1T!$D$111</f>
        <v>42.042900000000003</v>
      </c>
      <c r="EH48" s="226">
        <f>[44]SAS_SA_2020_1T!$D$112</f>
        <v>37.010599999999997</v>
      </c>
      <c r="EI48" s="227">
        <f>[44]SAS_SA_2020_1T!$D$110</f>
        <v>40.096400000000003</v>
      </c>
      <c r="EJ48" s="225">
        <f>[45]SAS_SA_2020_2T!$D$111</f>
        <v>42.366199999999999</v>
      </c>
      <c r="EK48" s="226">
        <f>[45]SAS_SA_2020_2T!$D$112</f>
        <v>37.502800000000001</v>
      </c>
      <c r="EL48" s="227">
        <f>[45]SAS_SA_2020_2T!$D$110</f>
        <v>40.479799999999997</v>
      </c>
      <c r="EM48" s="225">
        <f>[46]SAS_SA_2020_3T!$D$111</f>
        <v>42.716700000000003</v>
      </c>
      <c r="EN48" s="226">
        <f>[46]SAS_SA_2020_3T!$D$112</f>
        <v>37.9741</v>
      </c>
      <c r="EO48" s="227">
        <f>[46]SAS_SA_2020_3T!$D$110</f>
        <v>40.872799999999998</v>
      </c>
      <c r="EP48" s="225">
        <f>[47]SAS_SA_2020_4T!$D$111</f>
        <v>43.097200000000001</v>
      </c>
      <c r="EQ48" s="226">
        <f>[47]SAS_SA_2020_4T!$D$112</f>
        <v>38.451999999999998</v>
      </c>
      <c r="ER48" s="227">
        <f>[47]SAS_SA_2020_4T!$D$110</f>
        <v>41.285600000000002</v>
      </c>
      <c r="ES48" s="225">
        <f>[48]SAS_SA_2021_1T!$D$111</f>
        <v>43.505899999999997</v>
      </c>
      <c r="ET48" s="226">
        <f>[48]SAS_SA_2021_1T!$D$112</f>
        <v>39.060099999999998</v>
      </c>
      <c r="EU48" s="227">
        <f>[48]SAS_SA_2021_1T!$D$110</f>
        <v>41.766599999999997</v>
      </c>
      <c r="EV48" s="225">
        <f>[49]SAS_SA_2021_2T!$D$111</f>
        <v>43.831800000000001</v>
      </c>
      <c r="EW48" s="226">
        <f>[49]SAS_SA_2021_2T!$D$112</f>
        <v>39.558999999999997</v>
      </c>
      <c r="EX48" s="227">
        <f>[49]SAS_SA_2021_2T!$D$110</f>
        <v>42.155299999999997</v>
      </c>
      <c r="EY48" s="225">
        <f>[50]SAS_SA_2021_3T!$D$111</f>
        <v>44.2102</v>
      </c>
      <c r="EZ48" s="226">
        <f>[50]SAS_SA_2021_3T!$D$112</f>
        <v>40.071100000000001</v>
      </c>
      <c r="FA48" s="227">
        <f>[50]SAS_SA_2021_3T!$D$110</f>
        <v>42.5822</v>
      </c>
      <c r="FB48" s="377">
        <f>[66]SAS_SA_2021_4T!$D$83</f>
        <v>44.544592047924198</v>
      </c>
      <c r="FC48" s="378">
        <f>[66]SAS_SA_2021_4T!$D$84</f>
        <v>40.536806803073603</v>
      </c>
      <c r="FD48" s="379">
        <f>[66]SAS_SA_2021_4T!$D$82</f>
        <v>42.965407616225001</v>
      </c>
      <c r="FE48" s="225">
        <f>[52]SAS_SA_2022_1T!$D$83</f>
        <v>44.994824957977301</v>
      </c>
      <c r="FF48" s="226">
        <f>[52]SAS_SA_2022_1T!$D$84</f>
        <v>41.1587616270523</v>
      </c>
      <c r="FG48" s="227">
        <f>[52]SAS_SA_2022_1T!$D$82</f>
        <v>43.479676208397898</v>
      </c>
      <c r="FH48" s="225">
        <f>[53]SAS_SA_2022_2T!$D$83</f>
        <v>45.362906607503902</v>
      </c>
      <c r="FI48" s="226">
        <f>[53]SAS_SA_2022_2T!$D$84</f>
        <v>41.6781473975865</v>
      </c>
      <c r="FJ48" s="227">
        <f>[53]SAS_SA_2022_2T!$D$82</f>
        <v>43.903937222937799</v>
      </c>
      <c r="FK48" s="225">
        <f>[54]SAS_SA_2022_3T!$D$83</f>
        <v>45.7510590691139</v>
      </c>
      <c r="FL48" s="226">
        <f>[54]SAS_SA_2022_3T!$D$84</f>
        <v>42.217749431935601</v>
      </c>
      <c r="FM48" s="227">
        <f>[54]SAS_SA_2022_3T!$D$82</f>
        <v>44.348999095494499</v>
      </c>
      <c r="FN48" s="158">
        <f>[55]SAS_SA_2022_4T!$D$83</f>
        <v>46.089566324520298</v>
      </c>
      <c r="FO48" s="159">
        <f>[55]SAS_SA_2022_4T!$D$84</f>
        <v>42.721058545580298</v>
      </c>
      <c r="FP48" s="160">
        <f>[55]SAS_SA_2022_4T!$D$82</f>
        <v>44.751426251264</v>
      </c>
      <c r="FQ48" s="158">
        <f>[56]SAS_SA_2023_1T!$D$83</f>
        <v>46.553528045696503</v>
      </c>
      <c r="FR48" s="159">
        <f>[56]SAS_SA_2023_1T!$D$84</f>
        <v>43.419637941970699</v>
      </c>
      <c r="FS48" s="160">
        <f>[56]SAS_SA_2023_1T!$D$82</f>
        <v>45.3052813438252</v>
      </c>
      <c r="FT48" s="158">
        <f>[57]SAS_SA_2023_2T!$D$83</f>
        <v>46.986717676743901</v>
      </c>
      <c r="FU48" s="159">
        <f>[57]SAS_SA_2023_2T!$D$84</f>
        <v>44.009980259782402</v>
      </c>
      <c r="FV48" s="160">
        <f>[57]SAS_SA_2023_2T!$D$82</f>
        <v>45.798644192117699</v>
      </c>
      <c r="FW48" s="158">
        <f>[58]SAS_SA_2023_3T!$D$83</f>
        <v>47.378757873697701</v>
      </c>
      <c r="FX48" s="159">
        <f>[58]SAS_SA_2023_3T!$D$84</f>
        <v>44.586944371455097</v>
      </c>
      <c r="FY48" s="160">
        <f>[58]SAS_SA_2023_3T!$D$82</f>
        <v>46.262296661828699</v>
      </c>
      <c r="FZ48" s="158">
        <f>[59]SAS_SA_2023_4T!$D$83</f>
        <v>47.632573835232101</v>
      </c>
      <c r="GA48" s="159">
        <f>[59]SAS_SA_2023_4T!$D$84</f>
        <v>44.948996212121202</v>
      </c>
      <c r="GB48" s="160">
        <f>[59]SAS_SA_2023_4T!$D$82</f>
        <v>46.558500595344299</v>
      </c>
      <c r="GC48" s="158">
        <f>[60]SAS_SA_2024_1T!$D$83</f>
        <v>48.044803127234999</v>
      </c>
      <c r="GD48" s="159">
        <f>[60]SAS_SA_2024_1T!$D$84</f>
        <v>45.513572434323798</v>
      </c>
      <c r="GE48" s="160">
        <f>[60]SAS_SA_2024_1T!$D$82</f>
        <v>47.0292373783683</v>
      </c>
      <c r="GF48" s="158">
        <f>[61]SAS_SA_2024_2T!$D$83</f>
        <v>48.3925093706846</v>
      </c>
      <c r="GG48" s="159">
        <f>[61]SAS_SA_2024_2T!$D$84</f>
        <v>45.932576789581802</v>
      </c>
      <c r="GH48" s="160">
        <f>[61]SAS_SA_2024_2T!$D$82</f>
        <v>47.403231941293598</v>
      </c>
      <c r="GI48" s="158">
        <f>[62]SAS_SA_2024_3T!$D$83</f>
        <v>48.787503980840398</v>
      </c>
      <c r="GJ48" s="159">
        <f>[62]SAS_SA_2024_3T!$D$84</f>
        <v>46.431707908603897</v>
      </c>
      <c r="GK48" s="160">
        <f>[62]SAS_SA_2024_3T!$D$82</f>
        <v>47.8381810449402</v>
      </c>
      <c r="GL48" s="158">
        <f>[63]SAS_SA_2024_4T!$D$83</f>
        <v>49.1359372037087</v>
      </c>
      <c r="GM48" s="159">
        <f>[63]SAS_SA_2024_4T!$D$84</f>
        <v>46.902113812027601</v>
      </c>
      <c r="GN48" s="160">
        <f>[63]SAS_SA_2024_4T!$D$82</f>
        <v>48.234250459475703</v>
      </c>
    </row>
    <row r="49" spans="1:196" x14ac:dyDescent="0.25">
      <c r="A49" s="3"/>
      <c r="B49" s="3"/>
      <c r="C49" s="3"/>
      <c r="D49" s="3"/>
      <c r="AR49" s="4"/>
      <c r="AS49" s="4"/>
      <c r="AT49" s="4"/>
      <c r="AU49" s="76"/>
      <c r="AV49" s="76"/>
      <c r="AW49" s="76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DC49" s="126"/>
      <c r="DD49" s="126"/>
      <c r="DE49" s="126"/>
      <c r="DF49" s="126"/>
      <c r="DG49" s="126"/>
      <c r="DH49" s="126"/>
      <c r="DI49" s="126"/>
      <c r="DJ49" s="126"/>
      <c r="FN49" s="198"/>
      <c r="FO49" s="198"/>
      <c r="FP49" s="198"/>
      <c r="FQ49" s="198"/>
      <c r="FR49" s="198"/>
      <c r="FS49" s="198"/>
      <c r="FT49" s="198"/>
      <c r="FU49" s="198"/>
      <c r="FV49" s="198"/>
      <c r="FW49" s="198"/>
      <c r="FX49" s="198"/>
      <c r="FY49" s="198"/>
      <c r="FZ49" s="198"/>
      <c r="GA49" s="198"/>
      <c r="GB49" s="198"/>
      <c r="GC49" s="198"/>
      <c r="GD49" s="198"/>
      <c r="GE49" s="198"/>
      <c r="GF49" s="198"/>
      <c r="GG49" s="198"/>
      <c r="GH49" s="198"/>
      <c r="GI49" s="198"/>
      <c r="GJ49" s="198"/>
      <c r="GK49" s="198"/>
      <c r="GL49" s="198"/>
      <c r="GM49" s="198"/>
      <c r="GN49" s="198"/>
    </row>
    <row r="50" spans="1:196" ht="23.5" thickBot="1" x14ac:dyDescent="0.3">
      <c r="A50" s="186" t="s">
        <v>391</v>
      </c>
      <c r="B50" s="3"/>
      <c r="C50" s="3"/>
      <c r="D50" s="3"/>
      <c r="AR50" s="4"/>
      <c r="AS50" s="4"/>
      <c r="AT50" s="4"/>
      <c r="AU50" s="76"/>
      <c r="AV50" s="76"/>
      <c r="AW50" s="76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DC50" s="126"/>
      <c r="DD50" s="126"/>
      <c r="DE50" s="126"/>
      <c r="DF50" s="126"/>
      <c r="DG50" s="126"/>
      <c r="DH50" s="126"/>
      <c r="DI50" s="126"/>
      <c r="DJ50" s="126"/>
      <c r="FB50" s="439" t="s">
        <v>374</v>
      </c>
      <c r="FC50" s="439"/>
      <c r="FD50" s="439"/>
      <c r="FE50" s="439"/>
      <c r="FF50" s="439"/>
      <c r="FG50" s="439"/>
      <c r="FH50" s="439"/>
      <c r="FI50" s="439"/>
      <c r="FJ50" s="439"/>
      <c r="FK50" s="439"/>
      <c r="FL50" s="439"/>
      <c r="FM50" s="439"/>
      <c r="FN50" s="439"/>
      <c r="FO50" s="439"/>
      <c r="FP50" s="439"/>
      <c r="FQ50" s="439"/>
      <c r="FR50" s="439"/>
      <c r="FS50" s="439"/>
      <c r="FT50" s="439"/>
      <c r="FU50" s="439"/>
      <c r="FV50" s="439"/>
      <c r="FW50" s="439"/>
      <c r="FX50" s="439"/>
      <c r="FY50" s="439"/>
      <c r="FZ50" s="439"/>
      <c r="GA50" s="439"/>
      <c r="GB50" s="439"/>
      <c r="GC50" s="439"/>
      <c r="GD50" s="439"/>
      <c r="GE50" s="439"/>
      <c r="GF50" s="439"/>
      <c r="GG50" s="439"/>
      <c r="GH50" s="439"/>
      <c r="GI50" s="439"/>
      <c r="GJ50" s="439"/>
      <c r="GK50" s="439"/>
      <c r="GL50" s="439"/>
      <c r="GM50" s="439"/>
      <c r="GN50" s="439"/>
    </row>
    <row r="51" spans="1:196" s="185" customFormat="1" ht="24" customHeight="1" x14ac:dyDescent="0.25">
      <c r="A51" s="184"/>
      <c r="B51" s="444" t="str">
        <f>B5</f>
        <v>Situation au 31/12/2008</v>
      </c>
      <c r="C51" s="445"/>
      <c r="D51" s="446"/>
      <c r="E51" s="444" t="str">
        <f>E5</f>
        <v>Situation au 31/03/2009</v>
      </c>
      <c r="F51" s="445"/>
      <c r="G51" s="446"/>
      <c r="H51" s="444" t="str">
        <f>H5</f>
        <v>Situation au 30/06/2009</v>
      </c>
      <c r="I51" s="445"/>
      <c r="J51" s="446"/>
      <c r="K51" s="444" t="str">
        <f>K5</f>
        <v>Situation au 30/09/2009</v>
      </c>
      <c r="L51" s="445"/>
      <c r="M51" s="446"/>
      <c r="N51" s="444" t="str">
        <f>N5</f>
        <v>Situation au 31/12/2009</v>
      </c>
      <c r="O51" s="445"/>
      <c r="P51" s="445"/>
      <c r="Q51" s="444" t="str">
        <f>Q5</f>
        <v>Situation au 31/03/2010</v>
      </c>
      <c r="R51" s="445"/>
      <c r="S51" s="446"/>
      <c r="T51" s="444" t="str">
        <f>T5</f>
        <v>Situation au 30/06/2010</v>
      </c>
      <c r="U51" s="445"/>
      <c r="V51" s="446"/>
      <c r="W51" s="444" t="str">
        <f>W5</f>
        <v>Situation au 31/09/2010</v>
      </c>
      <c r="X51" s="445"/>
      <c r="Y51" s="446"/>
      <c r="Z51" s="444" t="str">
        <f>Z5</f>
        <v>Situation au 31/12/2010</v>
      </c>
      <c r="AA51" s="445"/>
      <c r="AB51" s="446"/>
      <c r="AC51" s="444" t="str">
        <f>AC5</f>
        <v>Situation au 31/03/2011</v>
      </c>
      <c r="AD51" s="445"/>
      <c r="AE51" s="446"/>
      <c r="AF51" s="444" t="str">
        <f>AF5</f>
        <v>Situation au 30/06/2011</v>
      </c>
      <c r="AG51" s="445"/>
      <c r="AH51" s="446"/>
      <c r="AI51" s="444" t="str">
        <f>AI5</f>
        <v>Situation au 30/09/2011</v>
      </c>
      <c r="AJ51" s="445"/>
      <c r="AK51" s="446"/>
      <c r="AL51" s="444" t="str">
        <f>AL5</f>
        <v>Situation au 31/12/2011</v>
      </c>
      <c r="AM51" s="445"/>
      <c r="AN51" s="446"/>
      <c r="AO51" s="444" t="str">
        <f>AO5</f>
        <v>Situation au 31/03/2012</v>
      </c>
      <c r="AP51" s="445"/>
      <c r="AQ51" s="446"/>
      <c r="AR51" s="444" t="str">
        <f>AR5</f>
        <v>Situation au 30/06/2012</v>
      </c>
      <c r="AS51" s="445"/>
      <c r="AT51" s="446"/>
      <c r="AU51" s="444" t="str">
        <f>AU5</f>
        <v>Situation au 30/09/2012</v>
      </c>
      <c r="AV51" s="445"/>
      <c r="AW51" s="446"/>
      <c r="AX51" s="444" t="str">
        <f>AX5</f>
        <v>Situation au 31/12/2012</v>
      </c>
      <c r="AY51" s="445"/>
      <c r="AZ51" s="446"/>
      <c r="BA51" s="444" t="str">
        <f>BA5</f>
        <v>Situation au 31/03/2013</v>
      </c>
      <c r="BB51" s="445"/>
      <c r="BC51" s="446"/>
      <c r="BD51" s="444" t="str">
        <f>BD5</f>
        <v>Situation au 31/06/2013</v>
      </c>
      <c r="BE51" s="445"/>
      <c r="BF51" s="446"/>
      <c r="BG51" s="444" t="str">
        <f>BG5</f>
        <v>Situation au 31/09/2013</v>
      </c>
      <c r="BH51" s="445"/>
      <c r="BI51" s="446"/>
      <c r="BJ51" s="444" t="str">
        <f>BJ5</f>
        <v>Situation au 31/12/2013</v>
      </c>
      <c r="BK51" s="445"/>
      <c r="BL51" s="446"/>
      <c r="BM51" s="444" t="str">
        <f>BM5</f>
        <v>Situation au 31/03/2014</v>
      </c>
      <c r="BN51" s="445"/>
      <c r="BO51" s="446"/>
      <c r="BP51" s="444" t="str">
        <f>BP5</f>
        <v>Situation au 30/06/2014</v>
      </c>
      <c r="BQ51" s="445"/>
      <c r="BR51" s="446"/>
      <c r="BS51" s="444" t="str">
        <f>BS5</f>
        <v>Situation au 30/09/2014</v>
      </c>
      <c r="BT51" s="445"/>
      <c r="BU51" s="446"/>
      <c r="BV51" s="444" t="str">
        <f>BV5</f>
        <v>Situation au 31/12/2014</v>
      </c>
      <c r="BW51" s="445"/>
      <c r="BX51" s="446"/>
      <c r="BY51" s="444" t="str">
        <f>BY5</f>
        <v>Situation au 31/03/2015</v>
      </c>
      <c r="BZ51" s="445"/>
      <c r="CA51" s="446"/>
      <c r="CB51" s="444" t="str">
        <f>CE5</f>
        <v>Situation au 30/09/2015</v>
      </c>
      <c r="CC51" s="445"/>
      <c r="CD51" s="446"/>
      <c r="CE51" s="444" t="str">
        <f>CE5</f>
        <v>Situation au 30/09/2015</v>
      </c>
      <c r="CF51" s="445"/>
      <c r="CG51" s="446"/>
      <c r="CH51" s="444" t="str">
        <f>CH5</f>
        <v>Situation au 31/12/2015</v>
      </c>
      <c r="CI51" s="445"/>
      <c r="CJ51" s="446"/>
      <c r="CK51" s="444" t="str">
        <f>CK5</f>
        <v>Situation au 31/03/2016</v>
      </c>
      <c r="CL51" s="445"/>
      <c r="CM51" s="446"/>
      <c r="CN51" s="444" t="str">
        <f>CN5</f>
        <v>Situation au 30/06/2016</v>
      </c>
      <c r="CO51" s="445"/>
      <c r="CP51" s="446"/>
      <c r="CQ51" s="433" t="str">
        <f>CQ5</f>
        <v>Situation au 30/09/2016</v>
      </c>
      <c r="CR51" s="434"/>
      <c r="CS51" s="435"/>
      <c r="CT51" s="433" t="str">
        <f>CT5</f>
        <v>Situation au 31/12/2016</v>
      </c>
      <c r="CU51" s="434"/>
      <c r="CV51" s="435"/>
      <c r="CW51" s="433" t="str">
        <f>CW5</f>
        <v>Situation au 31/03/2017</v>
      </c>
      <c r="CX51" s="434"/>
      <c r="CY51" s="435"/>
      <c r="CZ51" s="433" t="str">
        <f>CZ5</f>
        <v>Situation au 30/06/2017</v>
      </c>
      <c r="DA51" s="434"/>
      <c r="DB51" s="435"/>
      <c r="DC51" s="433" t="str">
        <f>DC5</f>
        <v>Situation au 30/09/2017</v>
      </c>
      <c r="DD51" s="434"/>
      <c r="DE51" s="435"/>
      <c r="DF51" s="433" t="str">
        <f>DF5</f>
        <v>Situation au 31/12/2017</v>
      </c>
      <c r="DG51" s="434"/>
      <c r="DH51" s="435"/>
      <c r="DI51" s="433" t="str">
        <f>DI5</f>
        <v>Situation au 31/03/2018</v>
      </c>
      <c r="DJ51" s="434"/>
      <c r="DK51" s="435"/>
      <c r="DL51" s="433" t="str">
        <f>DL5</f>
        <v>Situation au 30/06/2018</v>
      </c>
      <c r="DM51" s="434"/>
      <c r="DN51" s="435"/>
      <c r="DO51" s="433" t="s">
        <v>273</v>
      </c>
      <c r="DP51" s="434"/>
      <c r="DQ51" s="435"/>
      <c r="DR51" s="433" t="s">
        <v>276</v>
      </c>
      <c r="DS51" s="434"/>
      <c r="DT51" s="435"/>
      <c r="DU51" s="441" t="str">
        <f>DU5</f>
        <v>Situation au 31/03/2019</v>
      </c>
      <c r="DV51" s="442"/>
      <c r="DW51" s="443"/>
      <c r="DX51" s="441" t="str">
        <f>DX5</f>
        <v>Situation au 30/06/2019</v>
      </c>
      <c r="DY51" s="442"/>
      <c r="DZ51" s="443"/>
      <c r="EA51" s="441" t="str">
        <f>EA5</f>
        <v>Situation au 30/09/2019</v>
      </c>
      <c r="EB51" s="442"/>
      <c r="EC51" s="443"/>
      <c r="ED51" s="441" t="str">
        <f>ED5</f>
        <v>Situation au 31/12/2019</v>
      </c>
      <c r="EE51" s="442"/>
      <c r="EF51" s="443"/>
      <c r="EG51" s="441" t="str">
        <f>EG5</f>
        <v>Situation au 31/03/2020</v>
      </c>
      <c r="EH51" s="442"/>
      <c r="EI51" s="443"/>
      <c r="EJ51" s="441" t="str">
        <f>EJ5</f>
        <v>Situation au 30/06/2020</v>
      </c>
      <c r="EK51" s="442"/>
      <c r="EL51" s="443"/>
      <c r="EM51" s="441" t="str">
        <f>EM5</f>
        <v>Situation au 30/09/2020</v>
      </c>
      <c r="EN51" s="442"/>
      <c r="EO51" s="443"/>
      <c r="EP51" s="441" t="str">
        <f>EP5</f>
        <v>Situation au 31/12/2020</v>
      </c>
      <c r="EQ51" s="442"/>
      <c r="ER51" s="443"/>
      <c r="ES51" s="441" t="str">
        <f>ES5</f>
        <v>Situation au 31/03/2021</v>
      </c>
      <c r="ET51" s="442"/>
      <c r="EU51" s="443"/>
      <c r="EV51" s="441" t="str">
        <f>EV5</f>
        <v>Situation au 30/06/2021</v>
      </c>
      <c r="EW51" s="442"/>
      <c r="EX51" s="443"/>
      <c r="EY51" s="441" t="str">
        <f>EY5</f>
        <v>Situation au 30/09/2021</v>
      </c>
      <c r="EZ51" s="442"/>
      <c r="FA51" s="443"/>
      <c r="FB51" s="433" t="str">
        <f>FB5</f>
        <v>Situation au 31/12/2021</v>
      </c>
      <c r="FC51" s="434"/>
      <c r="FD51" s="435"/>
      <c r="FE51" s="433" t="str">
        <f>FE5</f>
        <v>Situation au 31/03/2022</v>
      </c>
      <c r="FF51" s="434"/>
      <c r="FG51" s="435"/>
      <c r="FH51" s="433" t="str">
        <f>FH5</f>
        <v>Situation au 30/06/2022</v>
      </c>
      <c r="FI51" s="434"/>
      <c r="FJ51" s="435"/>
      <c r="FK51" s="433" t="str">
        <f>FK5</f>
        <v>Situation au 30/09/2022</v>
      </c>
      <c r="FL51" s="434"/>
      <c r="FM51" s="435"/>
      <c r="FN51" s="433" t="str">
        <f>FN5</f>
        <v>Situation au 31/12/2022</v>
      </c>
      <c r="FO51" s="434"/>
      <c r="FP51" s="435"/>
      <c r="FQ51" s="433" t="str">
        <f>FQ5</f>
        <v>Situation au 31/03/2023</v>
      </c>
      <c r="FR51" s="434"/>
      <c r="FS51" s="435"/>
      <c r="FT51" s="433" t="str">
        <f>FT5</f>
        <v>Situation au 30/06/2023</v>
      </c>
      <c r="FU51" s="434"/>
      <c r="FV51" s="435"/>
      <c r="FW51" s="433" t="str">
        <f>FW5</f>
        <v>Situation au 30/09/2023</v>
      </c>
      <c r="FX51" s="434"/>
      <c r="FY51" s="435"/>
      <c r="FZ51" s="433" t="str">
        <f>FZ5</f>
        <v>Situation au 31/12/2023</v>
      </c>
      <c r="GA51" s="434"/>
      <c r="GB51" s="435"/>
      <c r="GC51" s="433" t="str">
        <f>GC5</f>
        <v>Situation au 31/03/2024</v>
      </c>
      <c r="GD51" s="434"/>
      <c r="GE51" s="435"/>
      <c r="GF51" s="433" t="str">
        <f>GF5</f>
        <v>Situation au 30/06/2024</v>
      </c>
      <c r="GG51" s="434"/>
      <c r="GH51" s="435"/>
      <c r="GI51" s="433" t="str">
        <f>GI5</f>
        <v>Situation au 30/09/2024</v>
      </c>
      <c r="GJ51" s="434"/>
      <c r="GK51" s="435"/>
      <c r="GL51" s="433" t="str">
        <f>GL5</f>
        <v>Situation au 31/12/2024</v>
      </c>
      <c r="GM51" s="434"/>
      <c r="GN51" s="435"/>
    </row>
    <row r="52" spans="1:196" ht="12" thickBot="1" x14ac:dyDescent="0.3">
      <c r="A52" s="3"/>
      <c r="B52" s="34" t="str">
        <f>B6</f>
        <v>Hommes</v>
      </c>
      <c r="C52" s="35" t="str">
        <f>C6</f>
        <v>Femmes</v>
      </c>
      <c r="D52" s="36" t="str">
        <f>D6</f>
        <v>Ensemble</v>
      </c>
      <c r="E52" s="34" t="str">
        <f>E6</f>
        <v>Hommes</v>
      </c>
      <c r="F52" s="35" t="str">
        <f t="shared" ref="F52:P52" si="107">F6</f>
        <v>Femmes</v>
      </c>
      <c r="G52" s="36" t="str">
        <f t="shared" si="107"/>
        <v>Ensemble</v>
      </c>
      <c r="H52" s="34" t="str">
        <f t="shared" si="107"/>
        <v>Hommes</v>
      </c>
      <c r="I52" s="35" t="str">
        <f t="shared" si="107"/>
        <v>Femmes</v>
      </c>
      <c r="J52" s="36" t="str">
        <f t="shared" si="107"/>
        <v>Ensemble</v>
      </c>
      <c r="K52" s="34" t="str">
        <f t="shared" si="107"/>
        <v>Hommes</v>
      </c>
      <c r="L52" s="35" t="str">
        <f t="shared" si="107"/>
        <v>Femmes</v>
      </c>
      <c r="M52" s="36" t="str">
        <f t="shared" si="107"/>
        <v>Ensemble</v>
      </c>
      <c r="N52" s="34" t="str">
        <f t="shared" si="107"/>
        <v>Hommes</v>
      </c>
      <c r="O52" s="35" t="str">
        <f t="shared" si="107"/>
        <v>Femmes</v>
      </c>
      <c r="P52" s="37" t="str">
        <f t="shared" si="107"/>
        <v>Ensemble</v>
      </c>
      <c r="Q52" s="34" t="str">
        <f>Q6</f>
        <v>Hommes</v>
      </c>
      <c r="R52" s="35" t="str">
        <f>R6</f>
        <v>Femmes</v>
      </c>
      <c r="S52" s="36" t="str">
        <f>S6</f>
        <v>Ensemble</v>
      </c>
      <c r="T52" s="34" t="str">
        <f>T6</f>
        <v>Hommes</v>
      </c>
      <c r="U52" s="35" t="str">
        <f>U6</f>
        <v>Femmes</v>
      </c>
      <c r="V52" s="36" t="str">
        <f>V6</f>
        <v>Ensemble</v>
      </c>
      <c r="W52" s="34" t="str">
        <f>W6</f>
        <v>Hommes</v>
      </c>
      <c r="X52" s="35" t="str">
        <f>X6</f>
        <v>Femmes</v>
      </c>
      <c r="Y52" s="36" t="str">
        <f>Y6</f>
        <v>Ensemble</v>
      </c>
      <c r="Z52" s="34" t="str">
        <f>Z6</f>
        <v>Hommes</v>
      </c>
      <c r="AA52" s="35" t="str">
        <f>AA6</f>
        <v>Femmes</v>
      </c>
      <c r="AB52" s="36" t="str">
        <f>AB6</f>
        <v>Ensemble</v>
      </c>
      <c r="AC52" s="34" t="str">
        <f>AC6</f>
        <v>Hommes</v>
      </c>
      <c r="AD52" s="35" t="str">
        <f>AD6</f>
        <v>Femmes</v>
      </c>
      <c r="AE52" s="36" t="str">
        <f>AE6</f>
        <v>Ensemble</v>
      </c>
      <c r="AF52" s="34" t="str">
        <f>AF6</f>
        <v>Hommes</v>
      </c>
      <c r="AG52" s="35" t="str">
        <f>AG6</f>
        <v>Femmes</v>
      </c>
      <c r="AH52" s="36" t="str">
        <f>AH6</f>
        <v>Ensemble</v>
      </c>
      <c r="AI52" s="34" t="str">
        <f>AI6</f>
        <v>Hommes</v>
      </c>
      <c r="AJ52" s="35" t="str">
        <f>AJ6</f>
        <v>Femmes</v>
      </c>
      <c r="AK52" s="36" t="str">
        <f>AK6</f>
        <v>Ensemble</v>
      </c>
      <c r="AL52" s="34" t="str">
        <f>AL6</f>
        <v>Hommes</v>
      </c>
      <c r="AM52" s="35" t="str">
        <f>AM6</f>
        <v>Femmes</v>
      </c>
      <c r="AN52" s="36" t="str">
        <f>AN6</f>
        <v>Ensemble</v>
      </c>
      <c r="AO52" s="34" t="str">
        <f>AO6</f>
        <v>Hommes</v>
      </c>
      <c r="AP52" s="35" t="str">
        <f>AP6</f>
        <v>Femmes</v>
      </c>
      <c r="AQ52" s="36" t="str">
        <f>AQ6</f>
        <v>Ensemble</v>
      </c>
      <c r="AR52" s="34" t="str">
        <f>AR6</f>
        <v>Hommes</v>
      </c>
      <c r="AS52" s="35" t="str">
        <f>AS6</f>
        <v>Femmes</v>
      </c>
      <c r="AT52" s="36" t="str">
        <f>AT6</f>
        <v>Ensemble</v>
      </c>
      <c r="AU52" s="34" t="str">
        <f>AU6</f>
        <v>Hommes</v>
      </c>
      <c r="AV52" s="35" t="str">
        <f>AV6</f>
        <v>Femmes</v>
      </c>
      <c r="AW52" s="36" t="str">
        <f>AW6</f>
        <v>Ensemble</v>
      </c>
      <c r="AX52" s="34" t="str">
        <f>AX6</f>
        <v>Hommes</v>
      </c>
      <c r="AY52" s="35" t="str">
        <f>AY6</f>
        <v>Femmes</v>
      </c>
      <c r="AZ52" s="36" t="str">
        <f>AZ6</f>
        <v>Ensemble</v>
      </c>
      <c r="BA52" s="34" t="str">
        <f>BA6</f>
        <v>Hommes</v>
      </c>
      <c r="BB52" s="35" t="str">
        <f>BB6</f>
        <v>Femmes</v>
      </c>
      <c r="BC52" s="36" t="str">
        <f>BC6</f>
        <v>Ensemble</v>
      </c>
      <c r="BD52" s="34" t="str">
        <f>BD6</f>
        <v>Hommes</v>
      </c>
      <c r="BE52" s="35" t="str">
        <f>BE6</f>
        <v>Femmes</v>
      </c>
      <c r="BF52" s="36" t="str">
        <f>BF6</f>
        <v>Ensemble</v>
      </c>
      <c r="BG52" s="34" t="str">
        <f>BG6</f>
        <v>Hommes</v>
      </c>
      <c r="BH52" s="35" t="str">
        <f>BH6</f>
        <v>Femmes</v>
      </c>
      <c r="BI52" s="36" t="str">
        <f>BI6</f>
        <v>Ensemble</v>
      </c>
      <c r="BJ52" s="34" t="str">
        <f>BJ6</f>
        <v>Hommes</v>
      </c>
      <c r="BK52" s="35" t="str">
        <f>BK6</f>
        <v>Femmes</v>
      </c>
      <c r="BL52" s="36" t="str">
        <f>BL6</f>
        <v>Ensemble</v>
      </c>
      <c r="BM52" s="34" t="str">
        <f>BM6</f>
        <v>Hommes</v>
      </c>
      <c r="BN52" s="35" t="str">
        <f>BN6</f>
        <v>Femmes</v>
      </c>
      <c r="BO52" s="36" t="str">
        <f>BO6</f>
        <v>Ensemble</v>
      </c>
      <c r="BP52" s="34" t="str">
        <f>BP6</f>
        <v>Hommes</v>
      </c>
      <c r="BQ52" s="35" t="str">
        <f>BQ6</f>
        <v>Femmes</v>
      </c>
      <c r="BR52" s="36" t="str">
        <f>BR6</f>
        <v>Ensemble</v>
      </c>
      <c r="BS52" s="34" t="str">
        <f>BS6</f>
        <v>Hommes</v>
      </c>
      <c r="BT52" s="35" t="str">
        <f>BT6</f>
        <v>Femmes</v>
      </c>
      <c r="BU52" s="36" t="str">
        <f>BU6</f>
        <v>Ensemble</v>
      </c>
      <c r="BV52" s="34" t="str">
        <f>BV6</f>
        <v>Hommes</v>
      </c>
      <c r="BW52" s="35" t="str">
        <f>BW6</f>
        <v>Femmes</v>
      </c>
      <c r="BX52" s="36" t="str">
        <f>BX6</f>
        <v>Ensemble</v>
      </c>
      <c r="BY52" s="34" t="str">
        <f>BY6</f>
        <v>Hommes</v>
      </c>
      <c r="BZ52" s="35" t="str">
        <f>BZ6</f>
        <v>Femmes</v>
      </c>
      <c r="CA52" s="36" t="str">
        <f>CA6</f>
        <v>Ensemble</v>
      </c>
      <c r="CB52" s="34" t="str">
        <f>CE6</f>
        <v>Hommes</v>
      </c>
      <c r="CC52" s="35" t="str">
        <f>CF6</f>
        <v>Femmes</v>
      </c>
      <c r="CD52" s="36" t="str">
        <f>CG6</f>
        <v>Ensemble</v>
      </c>
      <c r="CE52" s="34" t="str">
        <f>CE6</f>
        <v>Hommes</v>
      </c>
      <c r="CF52" s="35" t="str">
        <f>CF6</f>
        <v>Femmes</v>
      </c>
      <c r="CG52" s="36" t="str">
        <f>CG6</f>
        <v>Ensemble</v>
      </c>
      <c r="CH52" s="34" t="str">
        <f>CH6</f>
        <v>Hommes</v>
      </c>
      <c r="CI52" s="35" t="str">
        <f>CI6</f>
        <v>Femmes</v>
      </c>
      <c r="CJ52" s="36" t="str">
        <f>CJ6</f>
        <v>Ensemble</v>
      </c>
      <c r="CK52" s="34" t="str">
        <f>CK6</f>
        <v>Hommes</v>
      </c>
      <c r="CL52" s="35" t="str">
        <f>CL6</f>
        <v>Femmes</v>
      </c>
      <c r="CM52" s="36" t="str">
        <f>CM6</f>
        <v>Ensemble</v>
      </c>
      <c r="CN52" s="34" t="str">
        <f>CQ6</f>
        <v>Hommes</v>
      </c>
      <c r="CO52" s="35" t="str">
        <f>CO6</f>
        <v>Femmes</v>
      </c>
      <c r="CP52" s="36" t="str">
        <f>CS6</f>
        <v>Ensemble</v>
      </c>
      <c r="CQ52" s="129" t="str">
        <f>CQ6</f>
        <v>Hommes</v>
      </c>
      <c r="CR52" s="130" t="str">
        <f>CR6</f>
        <v>Femmes</v>
      </c>
      <c r="CS52" s="131" t="str">
        <f>CS6</f>
        <v>Ensemble</v>
      </c>
      <c r="CT52" s="129" t="str">
        <f>CT6</f>
        <v>Hommes</v>
      </c>
      <c r="CU52" s="130" t="str">
        <f>CU6</f>
        <v>Femmes</v>
      </c>
      <c r="CV52" s="131" t="str">
        <f>CV6</f>
        <v>Ensemble</v>
      </c>
      <c r="CW52" s="129" t="str">
        <f>CW6</f>
        <v>Hommes</v>
      </c>
      <c r="CX52" s="130" t="str">
        <f>CX6</f>
        <v>Femmes</v>
      </c>
      <c r="CY52" s="131" t="str">
        <f>CY6</f>
        <v>Ensemble</v>
      </c>
      <c r="CZ52" s="129" t="str">
        <f>CZ6</f>
        <v>Hommes</v>
      </c>
      <c r="DA52" s="130" t="str">
        <f>DA6</f>
        <v>Femmes</v>
      </c>
      <c r="DB52" s="131" t="str">
        <f>DB6</f>
        <v>Ensemble</v>
      </c>
      <c r="DC52" s="129" t="str">
        <f>DC6</f>
        <v>Hommes</v>
      </c>
      <c r="DD52" s="130" t="str">
        <f>DD6</f>
        <v>Femmes</v>
      </c>
      <c r="DE52" s="131" t="str">
        <f>DE6</f>
        <v>Ensemble</v>
      </c>
      <c r="DF52" s="129" t="str">
        <f>DF6</f>
        <v>Hommes</v>
      </c>
      <c r="DG52" s="130" t="str">
        <f>DG6</f>
        <v>Femmes</v>
      </c>
      <c r="DH52" s="131" t="str">
        <f>DH6</f>
        <v>Ensemble</v>
      </c>
      <c r="DI52" s="129" t="str">
        <f>DI6</f>
        <v>Hommes</v>
      </c>
      <c r="DJ52" s="130" t="str">
        <f>DJ6</f>
        <v>Femmes</v>
      </c>
      <c r="DK52" s="131" t="str">
        <f>DK6</f>
        <v>Ensemble</v>
      </c>
      <c r="DL52" s="129" t="str">
        <f>DL6</f>
        <v>Hommes</v>
      </c>
      <c r="DM52" s="130" t="str">
        <f>DM6</f>
        <v>Femmes</v>
      </c>
      <c r="DN52" s="131" t="str">
        <f>DN6</f>
        <v>Ensemble</v>
      </c>
      <c r="DO52" s="129" t="s">
        <v>0</v>
      </c>
      <c r="DP52" s="130" t="s">
        <v>1</v>
      </c>
      <c r="DQ52" s="131" t="s">
        <v>5</v>
      </c>
      <c r="DR52" s="129" t="s">
        <v>0</v>
      </c>
      <c r="DS52" s="130" t="s">
        <v>1</v>
      </c>
      <c r="DT52" s="131" t="s">
        <v>5</v>
      </c>
      <c r="DU52" s="199" t="str">
        <f>DU6</f>
        <v>Hommes</v>
      </c>
      <c r="DV52" s="200" t="str">
        <f>DV6</f>
        <v>Femmes</v>
      </c>
      <c r="DW52" s="201" t="str">
        <f>DW6</f>
        <v>Ensemble</v>
      </c>
      <c r="DX52" s="199" t="str">
        <f>DX6</f>
        <v>Hommes</v>
      </c>
      <c r="DY52" s="200" t="str">
        <f>DY6</f>
        <v>Femmes</v>
      </c>
      <c r="DZ52" s="201" t="str">
        <f>DZ6</f>
        <v>Ensemble</v>
      </c>
      <c r="EA52" s="199" t="str">
        <f>EA6</f>
        <v>Hommes</v>
      </c>
      <c r="EB52" s="200" t="str">
        <f>EB6</f>
        <v>Femmes</v>
      </c>
      <c r="EC52" s="201" t="str">
        <f>EC6</f>
        <v>Ensemble</v>
      </c>
      <c r="ED52" s="199" t="str">
        <f>ED6</f>
        <v>Hommes</v>
      </c>
      <c r="EE52" s="200" t="str">
        <f>EE6</f>
        <v>Femmes</v>
      </c>
      <c r="EF52" s="201" t="str">
        <f>EF6</f>
        <v>Ensemble</v>
      </c>
      <c r="EG52" s="199" t="str">
        <f>EG6</f>
        <v>Hommes</v>
      </c>
      <c r="EH52" s="200" t="str">
        <f>EH6</f>
        <v>Femmes</v>
      </c>
      <c r="EI52" s="201" t="str">
        <f>EI6</f>
        <v>Ensemble</v>
      </c>
      <c r="EJ52" s="199" t="str">
        <f>EJ6</f>
        <v>Hommes</v>
      </c>
      <c r="EK52" s="200" t="str">
        <f>EK6</f>
        <v>Femmes</v>
      </c>
      <c r="EL52" s="201" t="str">
        <f>EL6</f>
        <v>Ensemble</v>
      </c>
      <c r="EM52" s="199" t="str">
        <f>EM6</f>
        <v>Hommes</v>
      </c>
      <c r="EN52" s="200" t="str">
        <f>EN6</f>
        <v>Femmes</v>
      </c>
      <c r="EO52" s="201" t="str">
        <f>EO6</f>
        <v>Ensemble</v>
      </c>
      <c r="EP52" s="199" t="str">
        <f>EP6</f>
        <v>Hommes</v>
      </c>
      <c r="EQ52" s="200" t="str">
        <f>EQ6</f>
        <v>Femmes</v>
      </c>
      <c r="ER52" s="201" t="str">
        <f>ER6</f>
        <v>Ensemble</v>
      </c>
      <c r="ES52" s="199" t="str">
        <f>ES6</f>
        <v>Hommes</v>
      </c>
      <c r="ET52" s="200" t="str">
        <f>ET6</f>
        <v>Femmes</v>
      </c>
      <c r="EU52" s="201" t="str">
        <f>EU6</f>
        <v>Ensemble</v>
      </c>
      <c r="EV52" s="199" t="str">
        <f>EV6</f>
        <v>Hommes</v>
      </c>
      <c r="EW52" s="200" t="str">
        <f>EW6</f>
        <v>Femmes</v>
      </c>
      <c r="EX52" s="201" t="str">
        <f>EX6</f>
        <v>Ensemble</v>
      </c>
      <c r="EY52" s="199" t="str">
        <f>EY6</f>
        <v>Hommes</v>
      </c>
      <c r="EZ52" s="200" t="str">
        <f>EZ6</f>
        <v>Femmes</v>
      </c>
      <c r="FA52" s="201" t="str">
        <f>FA6</f>
        <v>Ensemble</v>
      </c>
      <c r="FB52" s="199" t="str">
        <f>FB6</f>
        <v>Hommes</v>
      </c>
      <c r="FC52" s="200" t="str">
        <f>FC6</f>
        <v>Femmes</v>
      </c>
      <c r="FD52" s="201" t="str">
        <f>FD6</f>
        <v>Ensemble</v>
      </c>
      <c r="FE52" s="199" t="str">
        <f>FE6</f>
        <v>Hommes</v>
      </c>
      <c r="FF52" s="200" t="str">
        <f>FF6</f>
        <v>Femmes</v>
      </c>
      <c r="FG52" s="201" t="str">
        <f>FG6</f>
        <v>Ensemble</v>
      </c>
      <c r="FH52" s="199" t="str">
        <f>FH6</f>
        <v>Hommes</v>
      </c>
      <c r="FI52" s="200" t="str">
        <f>FI6</f>
        <v>Femmes</v>
      </c>
      <c r="FJ52" s="201" t="str">
        <f>FJ6</f>
        <v>Ensemble</v>
      </c>
      <c r="FK52" s="199" t="str">
        <f>FK6</f>
        <v>Hommes</v>
      </c>
      <c r="FL52" s="200" t="str">
        <f>FL6</f>
        <v>Femmes</v>
      </c>
      <c r="FM52" s="201" t="str">
        <f>FM6</f>
        <v>Ensemble</v>
      </c>
      <c r="FN52" s="129" t="str">
        <f>FN6</f>
        <v>Hommes</v>
      </c>
      <c r="FO52" s="130" t="str">
        <f>FO6</f>
        <v>Femmes</v>
      </c>
      <c r="FP52" s="131" t="str">
        <f>FP6</f>
        <v>Ensemble</v>
      </c>
      <c r="FQ52" s="129" t="str">
        <f>FQ6</f>
        <v>Hommes</v>
      </c>
      <c r="FR52" s="366" t="str">
        <f>FR6</f>
        <v>Femmes</v>
      </c>
      <c r="FS52" s="131" t="str">
        <f>FS6</f>
        <v>Ensemble</v>
      </c>
      <c r="FT52" s="129" t="str">
        <f>FT6</f>
        <v>Hommes</v>
      </c>
      <c r="FU52" s="383" t="str">
        <f>FU6</f>
        <v>Femmes</v>
      </c>
      <c r="FV52" s="131" t="str">
        <f>FV6</f>
        <v>Ensemble</v>
      </c>
      <c r="FW52" s="129" t="str">
        <f>FW6</f>
        <v>Hommes</v>
      </c>
      <c r="FX52" s="385" t="str">
        <f>FX6</f>
        <v>Femmes</v>
      </c>
      <c r="FY52" s="131" t="str">
        <f>FY6</f>
        <v>Ensemble</v>
      </c>
      <c r="FZ52" s="129" t="str">
        <f>FZ6</f>
        <v>Hommes</v>
      </c>
      <c r="GA52" s="386" t="str">
        <f>GA6</f>
        <v>Femmes</v>
      </c>
      <c r="GB52" s="131" t="str">
        <f>GB6</f>
        <v>Ensemble</v>
      </c>
      <c r="GC52" s="129" t="str">
        <f>GC6</f>
        <v>Hommes</v>
      </c>
      <c r="GD52" s="391" t="str">
        <f>GD6</f>
        <v>Femmes</v>
      </c>
      <c r="GE52" s="131" t="str">
        <f>GE6</f>
        <v>Ensemble</v>
      </c>
      <c r="GF52" s="129" t="str">
        <f>GF6</f>
        <v>Hommes</v>
      </c>
      <c r="GG52" s="392" t="str">
        <f>GG6</f>
        <v>Femmes</v>
      </c>
      <c r="GH52" s="131" t="str">
        <f>GH6</f>
        <v>Ensemble</v>
      </c>
      <c r="GI52" s="129" t="str">
        <f>GI6</f>
        <v>Hommes</v>
      </c>
      <c r="GJ52" s="393" t="str">
        <f>GJ6</f>
        <v>Femmes</v>
      </c>
      <c r="GK52" s="131" t="str">
        <f>GK6</f>
        <v>Ensemble</v>
      </c>
      <c r="GL52" s="129" t="str">
        <f>GL6</f>
        <v>Hommes</v>
      </c>
      <c r="GM52" s="394" t="str">
        <f>GM6</f>
        <v>Femmes</v>
      </c>
      <c r="GN52" s="131" t="str">
        <f>GN6</f>
        <v>Ensemble</v>
      </c>
    </row>
    <row r="53" spans="1:196" x14ac:dyDescent="0.25">
      <c r="A53" s="38" t="s">
        <v>2</v>
      </c>
      <c r="B53" s="7">
        <f>[1]SAS_SA_4T2008!$D$153</f>
        <v>70804</v>
      </c>
      <c r="C53" s="8">
        <f>[1]SAS_SA_4T2008!$D$155</f>
        <v>19562</v>
      </c>
      <c r="D53" s="9">
        <f>[1]SAS_SA_4T2008!$D$149</f>
        <v>90366</v>
      </c>
      <c r="E53" s="7">
        <f>[2]SAS_SA_1T2009!$D$153</f>
        <v>64939</v>
      </c>
      <c r="F53" s="8">
        <f>[2]SAS_SA_1T2009!$D$155</f>
        <v>18251</v>
      </c>
      <c r="G53" s="9">
        <f>[2]SAS_SA_1T2009!$D$149</f>
        <v>83190</v>
      </c>
      <c r="H53" s="7">
        <f>[64]SAS_SA_2T2009!$D$153</f>
        <v>64896</v>
      </c>
      <c r="I53" s="8">
        <f>[64]SAS_SA_2T2009!$D$155</f>
        <v>18522</v>
      </c>
      <c r="J53" s="9">
        <f>[64]SAS_SA_2T2009!$D$149</f>
        <v>83418</v>
      </c>
      <c r="K53" s="7">
        <f>[3]SAS_SA_3T2009!$D$153</f>
        <v>64873</v>
      </c>
      <c r="L53" s="8">
        <f>[3]SAS_SA_3T2009!$D$155</f>
        <v>18827</v>
      </c>
      <c r="M53" s="9">
        <f>[3]SAS_SA_3T2009!$D$149</f>
        <v>83700</v>
      </c>
      <c r="N53" s="7">
        <f>[4]SAS_SA_4T2009!$D$153</f>
        <v>64929</v>
      </c>
      <c r="O53" s="8">
        <f>[4]SAS_SA_4T2009!$D$155</f>
        <v>19031</v>
      </c>
      <c r="P53" s="16">
        <f>[4]SAS_SA_4T2009!$D$149</f>
        <v>83960</v>
      </c>
      <c r="Q53" s="7">
        <f>[5]SAS_SA_1T2010!$D$153</f>
        <v>65022</v>
      </c>
      <c r="R53" s="8">
        <f>[5]SAS_SA_1T2010!$D$155</f>
        <v>19353</v>
      </c>
      <c r="S53" s="16">
        <f>[5]SAS_SA_1T2010!$D$149</f>
        <v>84375</v>
      </c>
      <c r="T53" s="7">
        <f>[65]SAS_SA_2T2010!$D$153</f>
        <v>65120</v>
      </c>
      <c r="U53" s="8">
        <f>[65]SAS_SA_2T2010!$D$155</f>
        <v>19733</v>
      </c>
      <c r="V53" s="16">
        <f>[65]SAS_SA_2T2010!$D$149</f>
        <v>84853</v>
      </c>
      <c r="W53" s="7">
        <f>[6]SAS_SA_3T2010!$D$153</f>
        <v>65276</v>
      </c>
      <c r="X53" s="8">
        <f>[6]SAS_SA_3T2010!$D$155</f>
        <v>20094</v>
      </c>
      <c r="Y53" s="16">
        <f>[6]SAS_SA_3T2010!$D$149</f>
        <v>85370</v>
      </c>
      <c r="Z53" s="7">
        <f>[7]SAS_SA_2010_4T!$D$153</f>
        <v>65501</v>
      </c>
      <c r="AA53" s="8">
        <f>[7]SAS_SA_2010_4T!$D$155</f>
        <v>20413</v>
      </c>
      <c r="AB53" s="9">
        <f>[7]SAS_SA_2010_4T!$D$149</f>
        <v>85914</v>
      </c>
      <c r="AC53" s="7">
        <f>[8]SAS_SA_2011_1T!$D$146</f>
        <v>65643</v>
      </c>
      <c r="AD53" s="8">
        <f>[8]SAS_SA_2011_1T!$D$148</f>
        <v>20724</v>
      </c>
      <c r="AE53" s="9">
        <f>[8]SAS_SA_2011_1T!$D$142</f>
        <v>86367</v>
      </c>
      <c r="AF53" s="7">
        <f>[9]SAS_SA_2011_2T!$D$146</f>
        <v>65702</v>
      </c>
      <c r="AG53" s="8">
        <f>[9]SAS_SA_2011_2T!$D$148</f>
        <v>21045</v>
      </c>
      <c r="AH53" s="9">
        <f>[9]SAS_SA_2011_2T!$D$142</f>
        <v>86747</v>
      </c>
      <c r="AI53" s="7">
        <f>[10]SAS_SA_2011_3T!$D$146</f>
        <v>65700</v>
      </c>
      <c r="AJ53" s="8">
        <f>[10]SAS_SA_2011_3T!$D$148</f>
        <v>21044</v>
      </c>
      <c r="AK53" s="9">
        <f>[10]SAS_SA_2011_3T!$D$142</f>
        <v>86744</v>
      </c>
      <c r="AL53" s="7">
        <f>[11]SAS_SA_2011_4T!$D$146</f>
        <v>65387</v>
      </c>
      <c r="AM53" s="8">
        <f>[11]SAS_SA_2011_4T!$D$148</f>
        <v>21357</v>
      </c>
      <c r="AN53" s="9">
        <f>[11]SAS_SA_2011_4T!$D$142</f>
        <v>86744</v>
      </c>
      <c r="AO53" s="7">
        <f>'[12]120612-17H07S59-PROGRAM-TdB_STO'!$D$146</f>
        <v>65552</v>
      </c>
      <c r="AP53" s="8">
        <f>'[12]120612-17H07S59-PROGRAM-TdB_STO'!$D$148</f>
        <v>21699</v>
      </c>
      <c r="AQ53" s="9">
        <f>'[12]120612-17H07S59-PROGRAM-TdB_STO'!$D$142</f>
        <v>87251</v>
      </c>
      <c r="AR53" s="7">
        <f>[13]SAS_SA_2012_2T!$D$146</f>
        <v>65527</v>
      </c>
      <c r="AS53" s="8">
        <f>[13]SAS_SA_2012_2T!$D$148</f>
        <v>21945</v>
      </c>
      <c r="AT53" s="9">
        <f>[13]SAS_SA_2012_2T!$D$142</f>
        <v>87472</v>
      </c>
      <c r="AU53" s="7">
        <f>'[14]121105-09H31S06-PROGRAM-TdB_STO'!$D$146</f>
        <v>65336</v>
      </c>
      <c r="AV53" s="8">
        <f>'[14]121105-09H31S06-PROGRAM-TdB_STO'!$D$148</f>
        <v>22014</v>
      </c>
      <c r="AW53" s="9">
        <f>'[14]121105-09H31S06-PROGRAM-TdB_STO'!$D$142</f>
        <v>87350</v>
      </c>
      <c r="AX53" s="7">
        <f>[15]SAS_SA_2012_4T!$D$146</f>
        <v>65544</v>
      </c>
      <c r="AY53" s="8">
        <f>[15]SAS_SA_2012_4T!$D$148</f>
        <v>22346</v>
      </c>
      <c r="AZ53" s="9">
        <f>[15]SAS_SA_2012_4T!$D$142</f>
        <v>87890</v>
      </c>
      <c r="BA53" s="7">
        <f>[16]SAS_SA_2013_1T!$D$146</f>
        <v>66083</v>
      </c>
      <c r="BB53" s="8">
        <f>[16]SAS_SA_2013_1T!$D$148</f>
        <v>22901</v>
      </c>
      <c r="BC53" s="9">
        <f>[16]SAS_SA_2013_1T!$D$142</f>
        <v>88984</v>
      </c>
      <c r="BD53" s="7">
        <f>[17]SAS_SA_2013_2T!$D$146</f>
        <v>66293</v>
      </c>
      <c r="BE53" s="8">
        <f>[17]SAS_SA_2013_2T!$D$148</f>
        <v>23329</v>
      </c>
      <c r="BF53" s="9">
        <f>[17]SAS_SA_2013_2T!$D$142</f>
        <v>89622</v>
      </c>
      <c r="BG53" s="7">
        <f>[18]SAS_SA_2013_3T!$D$146</f>
        <v>66714</v>
      </c>
      <c r="BH53" s="8">
        <f>[18]SAS_SA_2013_3T!$D$148</f>
        <v>23838</v>
      </c>
      <c r="BI53" s="9">
        <f>[18]SAS_SA_2013_3T!$D$142</f>
        <v>90552</v>
      </c>
      <c r="BJ53" s="7">
        <f>[19]SAS_SA_2013_4T!$D$146</f>
        <v>66870</v>
      </c>
      <c r="BK53" s="8">
        <f>[19]SAS_SA_2013_4T!$D$148</f>
        <v>24119</v>
      </c>
      <c r="BL53" s="9">
        <f>[19]SAS_SA_2013_4T!$D$142</f>
        <v>90989</v>
      </c>
      <c r="BM53" s="7">
        <f>[20]SAS_SA_2014_1T!$D$146</f>
        <v>67229</v>
      </c>
      <c r="BN53" s="8">
        <f>[20]SAS_SA_2014_1T!$D$148</f>
        <v>24429</v>
      </c>
      <c r="BO53" s="9">
        <f>[20]SAS_SA_2014_1T!$D$142</f>
        <v>91658</v>
      </c>
      <c r="BP53" s="7">
        <f>[21]SAS_SA_2014_2T!$D$146</f>
        <v>67560</v>
      </c>
      <c r="BQ53" s="8">
        <f>[21]SAS_SA_2014_2T!$D$148</f>
        <v>24946</v>
      </c>
      <c r="BR53" s="9">
        <f>[21]SAS_SA_2014_2T!$D$142</f>
        <v>92506</v>
      </c>
      <c r="BS53" s="7">
        <f>[22]SAS_SA_2014_3T!$D$146</f>
        <v>68024</v>
      </c>
      <c r="BT53" s="8">
        <f>[22]SAS_SA_2014_3T!$D$148</f>
        <v>25438</v>
      </c>
      <c r="BU53" s="9">
        <f>[22]SAS_SA_2014_3T!$D$142</f>
        <v>93462</v>
      </c>
      <c r="BV53" s="7">
        <f>[23]SAS_SA_2014_4T!$D$146</f>
        <v>68388</v>
      </c>
      <c r="BW53" s="8">
        <f>[23]SAS_SA_2014_4T!$D$148</f>
        <v>25808</v>
      </c>
      <c r="BX53" s="9">
        <f>[23]SAS_SA_2014_4T!$D$142</f>
        <v>94196</v>
      </c>
      <c r="BY53" s="7">
        <f>[24]SAS_SA_2015_1T!$D$146</f>
        <v>68970</v>
      </c>
      <c r="BZ53" s="8">
        <f>[24]SAS_SA_2015_1T!$D$148</f>
        <v>26356</v>
      </c>
      <c r="CA53" s="9">
        <f>[24]SAS_SA_2015_1T!$D$142</f>
        <v>95326</v>
      </c>
      <c r="CB53" s="7">
        <f>[25]SAS_SA_2015_2T!$D$146</f>
        <v>69023</v>
      </c>
      <c r="CC53" s="8">
        <f>[25]SAS_SA_2015_2T!$D$148</f>
        <v>26684</v>
      </c>
      <c r="CD53" s="9">
        <f>[25]SAS_SA_2015_2T!$D$142</f>
        <v>95707</v>
      </c>
      <c r="CE53" s="7">
        <f>[26]SAS_SA_2015_3T!$D$146</f>
        <v>69327</v>
      </c>
      <c r="CF53" s="8">
        <f>[26]SAS_SA_2015_3T!$D$148</f>
        <v>27121</v>
      </c>
      <c r="CG53" s="9">
        <f>[26]SAS_SA_2015_3T!$D$142</f>
        <v>96448</v>
      </c>
      <c r="CH53" s="7">
        <f>[27]SAS_SA_2015_4T!$D$146</f>
        <v>69544</v>
      </c>
      <c r="CI53" s="8">
        <f>[27]SAS_SA_2015_4T!$D$148</f>
        <v>27475</v>
      </c>
      <c r="CJ53" s="9">
        <f>[27]SAS_SA_2015_4T!$D$142</f>
        <v>97019</v>
      </c>
      <c r="CK53" s="7">
        <f>[28]SAS_SA_2016_1T!$D$146</f>
        <v>69995</v>
      </c>
      <c r="CL53" s="8">
        <f>[28]SAS_SA_2016_1T!$D$148</f>
        <v>28010</v>
      </c>
      <c r="CM53" s="9">
        <f>[28]SAS_SA_2016_1T!$D$142</f>
        <v>98005</v>
      </c>
      <c r="CN53" s="7">
        <f>'[29]160822-11H12S04-PROGRAM-TdB_STO'!$D$146</f>
        <v>70321</v>
      </c>
      <c r="CO53" s="8">
        <f>'[29]160822-11H12S04-PROGRAM-TdB_STO'!$D$148</f>
        <v>28420</v>
      </c>
      <c r="CP53" s="9">
        <f>'[29]160822-11H12S04-PROGRAM-TdB_STO'!$D$142</f>
        <v>98741</v>
      </c>
      <c r="CQ53" s="132">
        <f>[30]SAS_SA_2016_3T!$D$146</f>
        <v>70786</v>
      </c>
      <c r="CR53" s="133">
        <f>[30]SAS_SA_2016_3T!$D$148</f>
        <v>28914</v>
      </c>
      <c r="CS53" s="134">
        <f>[30]SAS_SA_2016_3T!$D$142</f>
        <v>99700</v>
      </c>
      <c r="CT53" s="132">
        <f>[31]SAS_SA_2016_4T!$D$146</f>
        <v>70862</v>
      </c>
      <c r="CU53" s="133">
        <f>[31]SAS_SA_2016_4T!$D$148</f>
        <v>29192</v>
      </c>
      <c r="CV53" s="134">
        <f>[31]SAS_SA_2016_4T!$D$142</f>
        <v>100054</v>
      </c>
      <c r="CW53" s="132">
        <f>[32]SAS_SA_2017_1T!$D$146</f>
        <v>71185</v>
      </c>
      <c r="CX53" s="133">
        <f>[32]SAS_SA_2017_1T!$D$148</f>
        <v>29629</v>
      </c>
      <c r="CY53" s="134">
        <f>[32]SAS_SA_2017_1T!$D$142</f>
        <v>100814</v>
      </c>
      <c r="CZ53" s="132">
        <f>[33]SAS_SA_2017_2T!$D$146</f>
        <v>71544</v>
      </c>
      <c r="DA53" s="133">
        <f>[33]SAS_SA_2017_2T!$D$148</f>
        <v>30050</v>
      </c>
      <c r="DB53" s="134">
        <f>[33]SAS_SA_2017_2T!$D$142</f>
        <v>101594</v>
      </c>
      <c r="DC53" s="132">
        <f>[34]SAS_SA_2017_3T!$D$146</f>
        <v>71520</v>
      </c>
      <c r="DD53" s="133">
        <f>[34]SAS_SA_2017_3T!$D$148</f>
        <v>30207</v>
      </c>
      <c r="DE53" s="134">
        <f>[34]SAS_SA_2017_3T!$D$142</f>
        <v>101727</v>
      </c>
      <c r="DF53" s="132">
        <f>[35]SAS_SA_2017_4T!$D$146</f>
        <v>71415</v>
      </c>
      <c r="DG53" s="133">
        <f>[35]SAS_SA_2017_4T!$D$148</f>
        <v>30279</v>
      </c>
      <c r="DH53" s="134">
        <f>[35]SAS_SA_2017_4T!$D$142</f>
        <v>101694</v>
      </c>
      <c r="DI53" s="132">
        <f>[36]SAS_SA_2018_1T!$D$146</f>
        <v>71208</v>
      </c>
      <c r="DJ53" s="133">
        <f>[36]SAS_SA_2018_1T!$D$148</f>
        <v>30355</v>
      </c>
      <c r="DK53" s="134">
        <f>[36]SAS_SA_2018_1T!$D$142</f>
        <v>101563</v>
      </c>
      <c r="DL53" s="132">
        <f>[37]SAS_SA_2018_2T!$D$146</f>
        <v>70880</v>
      </c>
      <c r="DM53" s="133">
        <f>[37]SAS_SA_2018_2T!$D$148</f>
        <v>30381</v>
      </c>
      <c r="DN53" s="134">
        <f>[37]SAS_SA_2018_2T!$D$142</f>
        <v>101261</v>
      </c>
      <c r="DO53" s="132">
        <f>[38]SAS_SA_2018_3T!$D$146</f>
        <v>70653</v>
      </c>
      <c r="DP53" s="133">
        <f>[38]SAS_SA_2018_3T!$D$148</f>
        <v>30421</v>
      </c>
      <c r="DQ53" s="134">
        <f>[38]SAS_SA_2018_3T!$D$142</f>
        <v>101074</v>
      </c>
      <c r="DR53" s="132">
        <f>'[39]190227-14H32S38-PROGRAM-TdB_STO'!$D$146</f>
        <v>70511</v>
      </c>
      <c r="DS53" s="133">
        <f>'[39]190227-14H32S38-PROGRAM-TdB_STO'!$D$148</f>
        <v>30472</v>
      </c>
      <c r="DT53" s="134">
        <f>'[39]190227-14H32S38-PROGRAM-TdB_STO'!$D$142</f>
        <v>100983</v>
      </c>
      <c r="DU53" s="202">
        <f>[40]SAS_SA_2019_1T!$D$146</f>
        <v>70267</v>
      </c>
      <c r="DV53" s="203">
        <f>[40]SAS_SA_2019_1T!$D$148</f>
        <v>30506</v>
      </c>
      <c r="DW53" s="204">
        <f>[40]SAS_SA_2019_1T!$D$142</f>
        <v>100773</v>
      </c>
      <c r="DX53" s="202">
        <f>[41]SAS_SA_2019_2T!$D$146</f>
        <v>69923</v>
      </c>
      <c r="DY53" s="203">
        <f>[41]SAS_SA_2019_2T!$D$148</f>
        <v>30525</v>
      </c>
      <c r="DZ53" s="204">
        <f>[41]SAS_SA_2019_2T!$D$142</f>
        <v>100448</v>
      </c>
      <c r="EA53" s="202">
        <f>[42]SAS_SA_2019_3T!$D$146</f>
        <v>69706</v>
      </c>
      <c r="EB53" s="203">
        <f>[42]SAS_SA_2019_3T!$D$148</f>
        <v>30542</v>
      </c>
      <c r="EC53" s="204">
        <f>[42]SAS_SA_2019_3T!$D$142</f>
        <v>100248</v>
      </c>
      <c r="ED53" s="202">
        <f>[43]SAS_SA_2019_4T!$D$146</f>
        <v>69412</v>
      </c>
      <c r="EE53" s="203">
        <f>[43]SAS_SA_2019_4T!$D$148</f>
        <v>30534</v>
      </c>
      <c r="EF53" s="204">
        <f>[43]SAS_SA_2019_4T!$D$142</f>
        <v>99946</v>
      </c>
      <c r="EG53" s="202">
        <f>[44]SAS_SA_2020_1T!$D$135</f>
        <v>69217</v>
      </c>
      <c r="EH53" s="203">
        <f>[44]SAS_SA_2020_1T!$D$137</f>
        <v>30557</v>
      </c>
      <c r="EI53" s="204">
        <f>[44]SAS_SA_2020_1T!$D$131</f>
        <v>99774</v>
      </c>
      <c r="EJ53" s="202">
        <f>[45]SAS_SA_2020_2T!$D$135</f>
        <v>68834</v>
      </c>
      <c r="EK53" s="203">
        <f>[45]SAS_SA_2020_2T!$D$137</f>
        <v>30557</v>
      </c>
      <c r="EL53" s="204">
        <f>[45]SAS_SA_2020_2T!$D$131</f>
        <v>99391</v>
      </c>
      <c r="EM53" s="202">
        <f>[46]SAS_SA_2020_3T!$D$135</f>
        <v>68594</v>
      </c>
      <c r="EN53" s="203">
        <f>[46]SAS_SA_2020_3T!$D$137</f>
        <v>30562</v>
      </c>
      <c r="EO53" s="204">
        <f>[46]SAS_SA_2020_3T!$D$131</f>
        <v>99156</v>
      </c>
      <c r="EP53" s="202">
        <f>[47]SAS_SA_2020_4T!$D135</f>
        <v>68261</v>
      </c>
      <c r="EQ53" s="203">
        <f>[47]SAS_SA_2020_4T!$D137</f>
        <v>30548</v>
      </c>
      <c r="ER53" s="204">
        <f>[47]SAS_SA_2020_4T!$D131</f>
        <v>98809</v>
      </c>
      <c r="ES53" s="202">
        <f>[48]SAS_SA_2021_1T!$D135</f>
        <v>67880</v>
      </c>
      <c r="ET53" s="203">
        <f>[48]SAS_SA_2021_1T!$D137</f>
        <v>30569</v>
      </c>
      <c r="EU53" s="204">
        <f>[48]SAS_SA_2021_1T!$D131</f>
        <v>98449</v>
      </c>
      <c r="EV53" s="202">
        <f>[49]SAS_SA_2021_2T!$D135</f>
        <v>67491</v>
      </c>
      <c r="EW53" s="203">
        <f>[49]SAS_SA_2021_2T!$D137</f>
        <v>30543</v>
      </c>
      <c r="EX53" s="204">
        <f>[49]SAS_SA_2021_2T!$D$131</f>
        <v>98034</v>
      </c>
      <c r="EY53" s="202">
        <f>[50]SAS_SA_2021_3T!$D135</f>
        <v>67235</v>
      </c>
      <c r="EZ53" s="203">
        <f>[50]SAS_SA_2021_3T!$D137</f>
        <v>30553</v>
      </c>
      <c r="FA53" s="204">
        <f>[50]SAS_SA_2021_3T!$D$131</f>
        <v>97788</v>
      </c>
      <c r="FB53" s="279">
        <f>[51]SAS_SA_2021_4T!$D$101</f>
        <v>75440</v>
      </c>
      <c r="FC53" s="280">
        <f>[51]SAS_SA_2021_4T!$D$103</f>
        <v>46689</v>
      </c>
      <c r="FD53" s="281">
        <f>[51]SAS_SA_2021_4T!$D$97</f>
        <v>122129</v>
      </c>
      <c r="FE53" s="279">
        <f>[52]SAS_SA_2022_1T!$D$101</f>
        <v>75440</v>
      </c>
      <c r="FF53" s="280">
        <f>[52]SAS_SA_2022_1T!$D$103</f>
        <v>46689</v>
      </c>
      <c r="FG53" s="281">
        <f>[52]SAS_SA_2022_1T!$D$97</f>
        <v>122129</v>
      </c>
      <c r="FH53" s="279">
        <f>[53]SAS_SA_2022_2T!$D$101</f>
        <v>76765</v>
      </c>
      <c r="FI53" s="280">
        <f>[53]SAS_SA_2022_2T!$D$103</f>
        <v>48122</v>
      </c>
      <c r="FJ53" s="281">
        <f>[53]SAS_SA_2022_2T!$D$97</f>
        <v>124887</v>
      </c>
      <c r="FK53" s="279">
        <f>[54]SAS_SA_2022_3T!$D$101</f>
        <v>78197</v>
      </c>
      <c r="FL53" s="280">
        <f>[54]SAS_SA_2022_3T!$D$103</f>
        <v>49572</v>
      </c>
      <c r="FM53" s="281">
        <f>[54]SAS_SA_2022_3T!$D$97</f>
        <v>127769</v>
      </c>
      <c r="FN53" s="279">
        <f>[55]SAS_SA_2022_4T!$D$101</f>
        <v>79176</v>
      </c>
      <c r="FO53" s="280">
        <f>[55]SAS_SA_2022_4T!$D$103</f>
        <v>50724</v>
      </c>
      <c r="FP53" s="281">
        <f>[55]SAS_SA_2022_4T!$D$97</f>
        <v>129900</v>
      </c>
      <c r="FQ53" s="279">
        <f>[56]SAS_SA_2023_1T!$D$101</f>
        <v>80722</v>
      </c>
      <c r="FR53" s="280">
        <f>[56]SAS_SA_2023_1T!$D$103</f>
        <v>52581</v>
      </c>
      <c r="FS53" s="281">
        <f>[56]SAS_SA_2023_1T!$D$97</f>
        <v>133303</v>
      </c>
      <c r="FT53" s="279">
        <f>[57]SAS_SA_2023_2T!$D$101</f>
        <v>82132</v>
      </c>
      <c r="FU53" s="279">
        <f>[57]SAS_SA_2023_2T!$D$103</f>
        <v>53993</v>
      </c>
      <c r="FV53" s="281">
        <f>[57]SAS_SA_2023_2T!$D$97</f>
        <v>136125</v>
      </c>
      <c r="FW53" s="279">
        <f>[58]SAS_SA_2023_3T!$D$101</f>
        <v>83523</v>
      </c>
      <c r="FX53" s="279">
        <f>[58]SAS_SA_2023_3T!$D$103</f>
        <v>55505</v>
      </c>
      <c r="FY53" s="281">
        <f>[58]SAS_SA_2023_3T!$D$97</f>
        <v>139028</v>
      </c>
      <c r="FZ53" s="279">
        <f>[59]SAS_SA_2023_4T!$D$101</f>
        <v>84128</v>
      </c>
      <c r="GA53" s="279">
        <f>[59]SAS_SA_2023_4T!$D$103</f>
        <v>56120</v>
      </c>
      <c r="GB53" s="281">
        <f>[59]SAS_SA_2023_4T!$D$97</f>
        <v>140248</v>
      </c>
      <c r="GC53" s="279">
        <f>[60]SAS_SA_2024_1T!$D$101</f>
        <v>85256</v>
      </c>
      <c r="GD53" s="279">
        <f>[60]SAS_SA_2024_1T!$D$103</f>
        <v>57465</v>
      </c>
      <c r="GE53" s="281">
        <f>[60]SAS_SA_2024_1T!$D$97</f>
        <v>142721</v>
      </c>
      <c r="GF53" s="279">
        <f>[61]SAS_SA_2024_2T!$D$101</f>
        <v>86224</v>
      </c>
      <c r="GG53" s="279">
        <f>[61]SAS_SA_2024_2T!$D$103</f>
        <v>58438</v>
      </c>
      <c r="GH53" s="281">
        <f>[61]SAS_SA_2024_2T!$D$97</f>
        <v>144662</v>
      </c>
      <c r="GI53" s="279">
        <f>[62]SAS_SA_2024_3T!$D$101</f>
        <v>87404</v>
      </c>
      <c r="GJ53" s="279">
        <f>[62]SAS_SA_2024_3T!$D$103</f>
        <v>59707</v>
      </c>
      <c r="GK53" s="281">
        <f>[62]SAS_SA_2024_3T!$D$97</f>
        <v>147111</v>
      </c>
      <c r="GL53" s="279">
        <f>[63]SAS_SA_2024_4T!$D$101</f>
        <v>88318</v>
      </c>
      <c r="GM53" s="279">
        <f>[63]SAS_SA_2024_4T!$D$103</f>
        <v>60700</v>
      </c>
      <c r="GN53" s="281">
        <f>[63]SAS_SA_2024_4T!$D$97</f>
        <v>149018</v>
      </c>
    </row>
    <row r="54" spans="1:196" x14ac:dyDescent="0.25">
      <c r="A54" s="39" t="s">
        <v>4</v>
      </c>
      <c r="B54" s="7">
        <f>[1]SAS_SA_4T2008!$D$154</f>
        <v>1847</v>
      </c>
      <c r="C54" s="8">
        <f>[1]SAS_SA_4T2008!$D$156</f>
        <v>1328</v>
      </c>
      <c r="D54" s="9">
        <f>[1]SAS_SA_4T2008!$D$150</f>
        <v>3175</v>
      </c>
      <c r="E54" s="7">
        <f>[2]SAS_SA_1T2009!$D$154</f>
        <v>1687</v>
      </c>
      <c r="F54" s="8">
        <f>[2]SAS_SA_1T2009!$D$156</f>
        <v>1211</v>
      </c>
      <c r="G54" s="9">
        <f>[2]SAS_SA_1T2009!$D$150</f>
        <v>2898</v>
      </c>
      <c r="H54" s="7">
        <f>[64]SAS_SA_2T2009!$D$154</f>
        <v>1690</v>
      </c>
      <c r="I54" s="8">
        <f>[64]SAS_SA_2T2009!$D$156</f>
        <v>1208</v>
      </c>
      <c r="J54" s="9">
        <f>[64]SAS_SA_2T2009!$D$150</f>
        <v>2898</v>
      </c>
      <c r="K54" s="7">
        <f>[3]SAS_SA_3T2009!$D$154</f>
        <v>1697</v>
      </c>
      <c r="L54" s="8">
        <f>[3]SAS_SA_3T2009!$D$156</f>
        <v>1212</v>
      </c>
      <c r="M54" s="9">
        <f>[3]SAS_SA_3T2009!$D$150</f>
        <v>2909</v>
      </c>
      <c r="N54" s="7">
        <f>[4]SAS_SA_4T2009!$D$154</f>
        <v>1700</v>
      </c>
      <c r="O54" s="8">
        <f>[4]SAS_SA_4T2009!$D$156</f>
        <v>1210</v>
      </c>
      <c r="P54" s="16">
        <f>[4]SAS_SA_4T2009!$D$150</f>
        <v>2910</v>
      </c>
      <c r="Q54" s="7">
        <f>[5]SAS_SA_1T2010!$D$154</f>
        <v>1707</v>
      </c>
      <c r="R54" s="8">
        <f>[5]SAS_SA_1T2010!$D$156</f>
        <v>1210</v>
      </c>
      <c r="S54" s="16">
        <f>[5]SAS_SA_1T2010!$D$150</f>
        <v>2917</v>
      </c>
      <c r="T54" s="7">
        <f>[65]SAS_SA_2T2010!$D$154</f>
        <v>1701</v>
      </c>
      <c r="U54" s="8">
        <f>[65]SAS_SA_2T2010!$D$156</f>
        <v>1216</v>
      </c>
      <c r="V54" s="16">
        <f>[65]SAS_SA_2T2010!$D$150</f>
        <v>2917</v>
      </c>
      <c r="W54" s="7">
        <f>[6]SAS_SA_3T2010!$D$154</f>
        <v>1699</v>
      </c>
      <c r="X54" s="8">
        <f>[6]SAS_SA_3T2010!$D$156</f>
        <v>1215</v>
      </c>
      <c r="Y54" s="16">
        <f>[6]SAS_SA_3T2010!$D$150</f>
        <v>2914</v>
      </c>
      <c r="Z54" s="7">
        <f>[7]SAS_SA_2010_4T!$D$154</f>
        <v>1704</v>
      </c>
      <c r="AA54" s="8">
        <f>[7]SAS_SA_2010_4T!$D$156</f>
        <v>1208</v>
      </c>
      <c r="AB54" s="9">
        <f>[7]SAS_SA_2010_4T!$D$150</f>
        <v>2912</v>
      </c>
      <c r="AC54" s="7">
        <f>[8]SAS_SA_2011_1T!$D$147</f>
        <v>1706</v>
      </c>
      <c r="AD54" s="8">
        <f>[8]SAS_SA_2011_1T!$D$149</f>
        <v>1209</v>
      </c>
      <c r="AE54" s="9">
        <f>[8]SAS_SA_2011_1T!$D$143</f>
        <v>2915</v>
      </c>
      <c r="AF54" s="7">
        <f>[9]SAS_SA_2011_2T!$D$147</f>
        <v>1716</v>
      </c>
      <c r="AG54" s="8">
        <f>[9]SAS_SA_2011_2T!$D$149</f>
        <v>1204</v>
      </c>
      <c r="AH54" s="9">
        <f>[9]SAS_SA_2011_2T!$D$143</f>
        <v>2920</v>
      </c>
      <c r="AI54" s="7">
        <f>[10]SAS_SA_2011_3T!$D$147</f>
        <v>1716</v>
      </c>
      <c r="AJ54" s="8">
        <f>[10]SAS_SA_2011_3T!$D$149</f>
        <v>1204</v>
      </c>
      <c r="AK54" s="9">
        <f>[10]SAS_SA_2011_3T!$D$143</f>
        <v>2920</v>
      </c>
      <c r="AL54" s="7">
        <f>[11]SAS_SA_2011_4T!$D$147</f>
        <v>1693</v>
      </c>
      <c r="AM54" s="8">
        <f>[11]SAS_SA_2011_4T!$D$149</f>
        <v>1204</v>
      </c>
      <c r="AN54" s="9">
        <f>[11]SAS_SA_2011_4T!$D$143</f>
        <v>2897</v>
      </c>
      <c r="AO54" s="7">
        <f>'[12]120612-17H07S59-PROGRAM-TdB_STO'!$D$147</f>
        <v>1700</v>
      </c>
      <c r="AP54" s="8">
        <f>'[12]120612-17H07S59-PROGRAM-TdB_STO'!$D$149</f>
        <v>1194</v>
      </c>
      <c r="AQ54" s="9">
        <f>'[12]120612-17H07S59-PROGRAM-TdB_STO'!$D$143</f>
        <v>2894</v>
      </c>
      <c r="AR54" s="7">
        <f>[13]SAS_SA_2012_2T!$D$147</f>
        <v>1700</v>
      </c>
      <c r="AS54" s="8">
        <f>[13]SAS_SA_2012_2T!$D$149</f>
        <v>1187</v>
      </c>
      <c r="AT54" s="9">
        <f>[13]SAS_SA_2012_2T!$D$143</f>
        <v>2887</v>
      </c>
      <c r="AU54" s="7">
        <f>'[14]121105-09H31S06-PROGRAM-TdB_STO'!$D$147</f>
        <v>1695</v>
      </c>
      <c r="AV54" s="8">
        <f>'[14]121105-09H31S06-PROGRAM-TdB_STO'!$D$149</f>
        <v>1189</v>
      </c>
      <c r="AW54" s="9">
        <f>'[14]121105-09H31S06-PROGRAM-TdB_STO'!$D$143</f>
        <v>2884</v>
      </c>
      <c r="AX54" s="7">
        <f>[15]SAS_SA_2012_4T!$D$147</f>
        <v>1702</v>
      </c>
      <c r="AY54" s="8">
        <f>[15]SAS_SA_2012_4T!$D$149</f>
        <v>1194</v>
      </c>
      <c r="AZ54" s="9">
        <f>[15]SAS_SA_2012_4T!$D$143</f>
        <v>2896</v>
      </c>
      <c r="BA54" s="7">
        <f>[16]SAS_SA_2013_1T!$D$147</f>
        <v>1674</v>
      </c>
      <c r="BB54" s="8">
        <f>[16]SAS_SA_2013_1T!$D$149</f>
        <v>1190</v>
      </c>
      <c r="BC54" s="9">
        <f>[16]SAS_SA_2013_1T!$D$143</f>
        <v>2864</v>
      </c>
      <c r="BD54" s="7">
        <f>[17]SAS_SA_2013_2T!$D$147</f>
        <v>1663</v>
      </c>
      <c r="BE54" s="8">
        <f>[17]SAS_SA_2013_2T!$D$149</f>
        <v>1181</v>
      </c>
      <c r="BF54" s="9">
        <f>[17]SAS_SA_2013_2T!$D$143</f>
        <v>2844</v>
      </c>
      <c r="BG54" s="7">
        <f>[18]SAS_SA_2013_3T!$D$147</f>
        <v>1659</v>
      </c>
      <c r="BH54" s="8">
        <f>[18]SAS_SA_2013_3T!$D$149</f>
        <v>1184</v>
      </c>
      <c r="BI54" s="9">
        <f>[18]SAS_SA_2013_3T!$D$143</f>
        <v>2843</v>
      </c>
      <c r="BJ54" s="7">
        <f>[19]SAS_SA_2013_4T!$D$147</f>
        <v>1671</v>
      </c>
      <c r="BK54" s="8">
        <f>[19]SAS_SA_2013_4T!$D$149</f>
        <v>1178</v>
      </c>
      <c r="BL54" s="9">
        <f>[19]SAS_SA_2013_4T!$D$143</f>
        <v>2849</v>
      </c>
      <c r="BM54" s="7">
        <f>[20]SAS_SA_2014_1T!$D$147</f>
        <v>1658</v>
      </c>
      <c r="BN54" s="8">
        <f>[20]SAS_SA_2014_1T!$D$149</f>
        <v>1171</v>
      </c>
      <c r="BO54" s="9">
        <f>[20]SAS_SA_2014_1T!$D$143</f>
        <v>2829</v>
      </c>
      <c r="BP54" s="7">
        <f>[21]SAS_SA_2014_2T!$D$147</f>
        <v>1643</v>
      </c>
      <c r="BQ54" s="8">
        <f>[21]SAS_SA_2014_2T!$D$149</f>
        <v>1172</v>
      </c>
      <c r="BR54" s="9">
        <f>[21]SAS_SA_2014_2T!$D$143</f>
        <v>2815</v>
      </c>
      <c r="BS54" s="7">
        <f>[22]SAS_SA_2014_3T!$D$147</f>
        <v>1636</v>
      </c>
      <c r="BT54" s="8">
        <f>[22]SAS_SA_2014_3T!$D$149</f>
        <v>1164</v>
      </c>
      <c r="BU54" s="9">
        <f>[22]SAS_SA_2014_3T!$D$143</f>
        <v>2800</v>
      </c>
      <c r="BV54" s="7">
        <f>[23]SAS_SA_2014_4T!$D$147</f>
        <v>1629</v>
      </c>
      <c r="BW54" s="8">
        <f>[23]SAS_SA_2014_4T!$D$149</f>
        <v>1173</v>
      </c>
      <c r="BX54" s="9">
        <f>[23]SAS_SA_2014_4T!$D$143</f>
        <v>2802</v>
      </c>
      <c r="BY54" s="7">
        <f>[24]SAS_SA_2015_1T!$D$147</f>
        <v>1608</v>
      </c>
      <c r="BZ54" s="8">
        <f>[24]SAS_SA_2015_1T!$D$149</f>
        <v>1168</v>
      </c>
      <c r="CA54" s="9">
        <f>[24]SAS_SA_2015_1T!$D$143</f>
        <v>2776</v>
      </c>
      <c r="CB54" s="7">
        <f>[25]SAS_SA_2015_2T!$D$147</f>
        <v>1592</v>
      </c>
      <c r="CC54" s="8">
        <f>[25]SAS_SA_2015_2T!$D$149</f>
        <v>1184</v>
      </c>
      <c r="CD54" s="9">
        <f>[25]SAS_SA_2015_2T!$D$143</f>
        <v>2776</v>
      </c>
      <c r="CE54" s="7">
        <f>[26]SAS_SA_2015_3T!$D$147</f>
        <v>1609</v>
      </c>
      <c r="CF54" s="8">
        <f>[26]SAS_SA_2015_3T!$D$149</f>
        <v>1185</v>
      </c>
      <c r="CG54" s="9">
        <f>[26]SAS_SA_2015_3T!$D$143</f>
        <v>2794</v>
      </c>
      <c r="CH54" s="7">
        <f>[27]SAS_SA_2015_4T!$D$147</f>
        <v>1584</v>
      </c>
      <c r="CI54" s="8">
        <f>[27]SAS_SA_2015_4T!$D$149</f>
        <v>1194</v>
      </c>
      <c r="CJ54" s="9">
        <f>[27]SAS_SA_2015_4T!$D$143</f>
        <v>2778</v>
      </c>
      <c r="CK54" s="7">
        <f>[28]SAS_SA_2016_1T!$D$147</f>
        <v>1576</v>
      </c>
      <c r="CL54" s="8">
        <f>[28]SAS_SA_2016_1T!$D$149</f>
        <v>1206</v>
      </c>
      <c r="CM54" s="9">
        <f>[28]SAS_SA_2016_1T!$D$143</f>
        <v>2782</v>
      </c>
      <c r="CN54" s="7">
        <f>'[29]160822-11H12S04-PROGRAM-TdB_STO'!$D$147</f>
        <v>1571</v>
      </c>
      <c r="CO54" s="8">
        <f>'[29]160822-11H12S04-PROGRAM-TdB_STO'!$D$149</f>
        <v>1208</v>
      </c>
      <c r="CP54" s="9">
        <f>'[29]160822-11H12S04-PROGRAM-TdB_STO'!$D$143</f>
        <v>2779</v>
      </c>
      <c r="CQ54" s="132">
        <f>[30]SAS_SA_2016_3T!$D$147</f>
        <v>1569</v>
      </c>
      <c r="CR54" s="133">
        <f>[30]SAS_SA_2016_3T!$D$149</f>
        <v>1206</v>
      </c>
      <c r="CS54" s="134">
        <f>[30]SAS_SA_2016_3T!$D$143</f>
        <v>2775</v>
      </c>
      <c r="CT54" s="132">
        <f>[31]SAS_SA_2016_4T!$D$147</f>
        <v>1569</v>
      </c>
      <c r="CU54" s="133">
        <f>[31]SAS_SA_2016_4T!$D$149</f>
        <v>1214</v>
      </c>
      <c r="CV54" s="134">
        <f>[31]SAS_SA_2016_4T!$D$143</f>
        <v>2783</v>
      </c>
      <c r="CW54" s="132">
        <f>[32]SAS_SA_2017_1T!$D$147</f>
        <v>1548</v>
      </c>
      <c r="CX54" s="133">
        <f>[32]SAS_SA_2017_1T!$D$149</f>
        <v>1211</v>
      </c>
      <c r="CY54" s="134">
        <f>[32]SAS_SA_2017_1T!$D$143</f>
        <v>2759</v>
      </c>
      <c r="CZ54" s="132">
        <f>[33]SAS_SA_2017_2T!$D$147</f>
        <v>1528</v>
      </c>
      <c r="DA54" s="133">
        <f>[33]SAS_SA_2017_2T!$D$149</f>
        <v>1222</v>
      </c>
      <c r="DB54" s="134">
        <f>[33]SAS_SA_2017_2T!$D$143</f>
        <v>2750</v>
      </c>
      <c r="DC54" s="132">
        <f>[34]SAS_SA_2017_3T!$D$147</f>
        <v>1506</v>
      </c>
      <c r="DD54" s="133">
        <f>[34]SAS_SA_2017_3T!$D$149</f>
        <v>1217</v>
      </c>
      <c r="DE54" s="134">
        <f>[34]SAS_SA_2017_3T!$D$143</f>
        <v>2723</v>
      </c>
      <c r="DF54" s="132">
        <f>[35]SAS_SA_2017_4T!$D$147</f>
        <v>1496</v>
      </c>
      <c r="DG54" s="133">
        <f>[35]SAS_SA_2017_4T!$D$149</f>
        <v>1203</v>
      </c>
      <c r="DH54" s="134">
        <f>[35]SAS_SA_2017_4T!$D$143</f>
        <v>2699</v>
      </c>
      <c r="DI54" s="132">
        <f>[36]SAS_SA_2018_1T!$D$147</f>
        <v>1466</v>
      </c>
      <c r="DJ54" s="133">
        <f>[36]SAS_SA_2018_1T!$D$149</f>
        <v>1207</v>
      </c>
      <c r="DK54" s="134">
        <f>[36]SAS_SA_2018_1T!$D$143</f>
        <v>2673</v>
      </c>
      <c r="DL54" s="132">
        <f>[37]SAS_SA_2018_2T!$D$147</f>
        <v>1428</v>
      </c>
      <c r="DM54" s="133">
        <f>[37]SAS_SA_2018_2T!$D$149</f>
        <v>1209</v>
      </c>
      <c r="DN54" s="134">
        <f>[37]SAS_SA_2018_2T!$D$143</f>
        <v>2637</v>
      </c>
      <c r="DO54" s="132">
        <f>[38]SAS_SA_2018_3T!$D$147</f>
        <v>1415</v>
      </c>
      <c r="DP54" s="133">
        <f>[38]SAS_SA_2018_3T!$D$149</f>
        <v>1206</v>
      </c>
      <c r="DQ54" s="134">
        <f>[38]SAS_SA_2018_3T!$D$143</f>
        <v>2621</v>
      </c>
      <c r="DR54" s="132">
        <f>'[39]190227-14H32S38-PROGRAM-TdB_STO'!$D$147</f>
        <v>1395</v>
      </c>
      <c r="DS54" s="133">
        <f>'[39]190227-14H32S38-PROGRAM-TdB_STO'!$D$149</f>
        <v>1215</v>
      </c>
      <c r="DT54" s="134">
        <f>'[39]190227-14H32S38-PROGRAM-TdB_STO'!$D$143</f>
        <v>2610</v>
      </c>
      <c r="DU54" s="202">
        <f>[40]SAS_SA_2019_1T!$D$147</f>
        <v>1369</v>
      </c>
      <c r="DV54" s="203">
        <f>[40]SAS_SA_2019_1T!$D$149</f>
        <v>1225</v>
      </c>
      <c r="DW54" s="204">
        <f>[40]SAS_SA_2019_1T!$D$143</f>
        <v>2594</v>
      </c>
      <c r="DX54" s="202">
        <f>[41]SAS_SA_2019_2T!$D$147</f>
        <v>1356</v>
      </c>
      <c r="DY54" s="203">
        <f>[41]SAS_SA_2019_2T!$D$149</f>
        <v>1212</v>
      </c>
      <c r="DZ54" s="204">
        <f>[41]SAS_SA_2019_2T!$D$143</f>
        <v>2568</v>
      </c>
      <c r="EA54" s="202">
        <f>[42]SAS_SA_2019_3T!$D$147</f>
        <v>1340</v>
      </c>
      <c r="EB54" s="203">
        <f>[42]SAS_SA_2019_3T!$D$149</f>
        <v>1214</v>
      </c>
      <c r="EC54" s="204">
        <f>[42]SAS_SA_2019_3T!$D$143</f>
        <v>2554</v>
      </c>
      <c r="ED54" s="202">
        <f>[43]SAS_SA_2019_4T!$D$147</f>
        <v>1343</v>
      </c>
      <c r="EE54" s="203">
        <f>[43]SAS_SA_2019_4T!$D$149</f>
        <v>1218</v>
      </c>
      <c r="EF54" s="204">
        <f>[43]SAS_SA_2019_4T!$D$143</f>
        <v>2561</v>
      </c>
      <c r="EG54" s="202">
        <f>[44]SAS_SA_2020_1T!$D$136</f>
        <v>1325</v>
      </c>
      <c r="EH54" s="203">
        <f>[44]SAS_SA_2020_1T!$D$138</f>
        <v>1215</v>
      </c>
      <c r="EI54" s="204">
        <f>[44]SAS_SA_2020_1T!$D$132</f>
        <v>2540</v>
      </c>
      <c r="EJ54" s="202">
        <f>[45]SAS_SA_2020_2T!$D$136</f>
        <v>1299</v>
      </c>
      <c r="EK54" s="203">
        <f>[45]SAS_SA_2020_2T!$D$138</f>
        <v>1215</v>
      </c>
      <c r="EL54" s="204">
        <f>[45]SAS_SA_2020_2T!$D$132</f>
        <v>2514</v>
      </c>
      <c r="EM54" s="202">
        <f>[46]SAS_SA_2020_3T!$D$136</f>
        <v>1290</v>
      </c>
      <c r="EN54" s="203">
        <f>[46]SAS_SA_2020_3T!$D$138</f>
        <v>1209</v>
      </c>
      <c r="EO54" s="204">
        <f>[46]SAS_SA_2020_3T!$D$132</f>
        <v>2499</v>
      </c>
      <c r="EP54" s="202">
        <f>[47]SAS_SA_2020_4T!$D136</f>
        <v>1284</v>
      </c>
      <c r="EQ54" s="203">
        <f>[47]SAS_SA_2020_4T!$D138</f>
        <v>1214</v>
      </c>
      <c r="ER54" s="204">
        <f>[47]SAS_SA_2020_4T!$D132</f>
        <v>2498</v>
      </c>
      <c r="ES54" s="202">
        <f>[48]SAS_SA_2021_1T!$D136</f>
        <v>1244</v>
      </c>
      <c r="ET54" s="203">
        <f>[48]SAS_SA_2021_1T!$D138</f>
        <v>1215</v>
      </c>
      <c r="EU54" s="204">
        <f>[48]SAS_SA_2021_1T!$D132</f>
        <v>2459</v>
      </c>
      <c r="EV54" s="202">
        <f>[49]SAS_SA_2021_2T!$D136</f>
        <v>1224</v>
      </c>
      <c r="EW54" s="203">
        <f>[49]SAS_SA_2021_2T!$D138</f>
        <v>1209</v>
      </c>
      <c r="EX54" s="204">
        <f>[49]SAS_SA_2021_2T!$D$132</f>
        <v>2433</v>
      </c>
      <c r="EY54" s="202">
        <f>[50]SAS_SA_2021_3T!$D136</f>
        <v>1220</v>
      </c>
      <c r="EZ54" s="203">
        <f>[50]SAS_SA_2021_3T!$D138</f>
        <v>1209</v>
      </c>
      <c r="FA54" s="204">
        <f>[50]SAS_SA_2021_3T!$D$132</f>
        <v>2429</v>
      </c>
      <c r="FB54" s="279">
        <f>[51]SAS_SA_2021_4T!$D$102</f>
        <v>1174</v>
      </c>
      <c r="FC54" s="280">
        <f>[51]SAS_SA_2021_4T!$D$104</f>
        <v>1975</v>
      </c>
      <c r="FD54" s="281">
        <f>[51]SAS_SA_2021_4T!$D$98</f>
        <v>3149</v>
      </c>
      <c r="FE54" s="279">
        <f>[52]SAS_SA_2022_1T!$D$102</f>
        <v>1174</v>
      </c>
      <c r="FF54" s="280">
        <f>[52]SAS_SA_2022_1T!$D$104</f>
        <v>1975</v>
      </c>
      <c r="FG54" s="281">
        <f>[52]SAS_SA_2022_1T!$D$98</f>
        <v>3149</v>
      </c>
      <c r="FH54" s="279">
        <f>[53]SAS_SA_2022_2T!$D$102</f>
        <v>1156</v>
      </c>
      <c r="FI54" s="280">
        <f>[53]SAS_SA_2022_2T!$D$104</f>
        <v>2030</v>
      </c>
      <c r="FJ54" s="281">
        <f>[53]SAS_SA_2022_2T!$D$98</f>
        <v>3186</v>
      </c>
      <c r="FK54" s="279">
        <f>[54]SAS_SA_2022_3T!$D$102</f>
        <v>1154</v>
      </c>
      <c r="FL54" s="280">
        <f>[54]SAS_SA_2022_3T!$D$104</f>
        <v>2071</v>
      </c>
      <c r="FM54" s="281">
        <f>[54]SAS_SA_2022_3T!$D$98</f>
        <v>3225</v>
      </c>
      <c r="FN54" s="279">
        <f>[55]SAS_SA_2022_4T!$D$102</f>
        <v>1149</v>
      </c>
      <c r="FO54" s="280">
        <f>[55]SAS_SA_2022_4T!$D$104</f>
        <v>2120</v>
      </c>
      <c r="FP54" s="281">
        <f>[55]SAS_SA_2022_4T!$D$98</f>
        <v>3269</v>
      </c>
      <c r="FQ54" s="279">
        <f>[56]SAS_SA_2023_1T!$D$102</f>
        <v>1131</v>
      </c>
      <c r="FR54" s="280">
        <f>[56]SAS_SA_2023_1T!$D$104</f>
        <v>2171</v>
      </c>
      <c r="FS54" s="281">
        <f>[56]SAS_SA_2023_1T!$D$98</f>
        <v>3302</v>
      </c>
      <c r="FT54" s="279">
        <f>[57]SAS_SA_2023_2T!$D$102</f>
        <v>1124</v>
      </c>
      <c r="FU54" s="280">
        <f>[57]SAS_SA_2023_2T!$D$104</f>
        <v>2224</v>
      </c>
      <c r="FV54" s="281">
        <f>[57]SAS_SA_2023_2T!$D$98</f>
        <v>3348</v>
      </c>
      <c r="FW54" s="279">
        <f>[58]SAS_SA_2023_3T!$D$102</f>
        <v>1118</v>
      </c>
      <c r="FX54" s="280">
        <f>[58]SAS_SA_2023_3T!$D$104</f>
        <v>2280</v>
      </c>
      <c r="FY54" s="281">
        <f>[58]SAS_SA_2023_3T!$D$98</f>
        <v>3398</v>
      </c>
      <c r="FZ54" s="279">
        <f>[59]SAS_SA_2023_4T!$D$102</f>
        <v>1125</v>
      </c>
      <c r="GA54" s="280">
        <f>[59]SAS_SA_2023_4T!$D$104</f>
        <v>2310</v>
      </c>
      <c r="GB54" s="281">
        <f>[59]SAS_SA_2023_4T!$D$98</f>
        <v>3435</v>
      </c>
      <c r="GC54" s="279">
        <f>[60]SAS_SA_2024_1T!$D$102</f>
        <v>1109</v>
      </c>
      <c r="GD54" s="280">
        <f>[60]SAS_SA_2024_1T!$D$104</f>
        <v>2389</v>
      </c>
      <c r="GE54" s="281">
        <f>[60]SAS_SA_2024_1T!$D$98</f>
        <v>3498</v>
      </c>
      <c r="GF54" s="279">
        <f>[61]SAS_SA_2024_2T!$D$102</f>
        <v>1106</v>
      </c>
      <c r="GG54" s="280">
        <f>[61]SAS_SA_2024_2T!$D$104</f>
        <v>2436</v>
      </c>
      <c r="GH54" s="281">
        <f>[61]SAS_SA_2024_2T!$D$98</f>
        <v>3542</v>
      </c>
      <c r="GI54" s="279">
        <f>[62]SAS_SA_2024_3T!$D$102</f>
        <v>1108</v>
      </c>
      <c r="GJ54" s="280">
        <f>[62]SAS_SA_2024_3T!$D$104</f>
        <v>2497</v>
      </c>
      <c r="GK54" s="281">
        <f>[62]SAS_SA_2024_3T!$D$98</f>
        <v>3605</v>
      </c>
      <c r="GL54" s="279">
        <f>[63]SAS_SA_2024_4T!$D$102</f>
        <v>1103</v>
      </c>
      <c r="GM54" s="280">
        <f>[63]SAS_SA_2024_4T!$D$104</f>
        <v>2550</v>
      </c>
      <c r="GN54" s="281">
        <f>[63]SAS_SA_2024_4T!$D$98</f>
        <v>3653</v>
      </c>
    </row>
    <row r="55" spans="1:196" ht="12" thickBot="1" x14ac:dyDescent="0.3">
      <c r="A55" s="40" t="s">
        <v>5</v>
      </c>
      <c r="B55" s="11">
        <f>[1]SAS_SA_4T2008!$D$151</f>
        <v>72651</v>
      </c>
      <c r="C55" s="12">
        <f>[1]SAS_SA_4T2008!$D$152</f>
        <v>20890</v>
      </c>
      <c r="D55" s="13">
        <f>[1]SAS_SA_4T2008!$D$148</f>
        <v>93541</v>
      </c>
      <c r="E55" s="11">
        <f>[2]SAS_SA_1T2009!$D$151</f>
        <v>66626</v>
      </c>
      <c r="F55" s="12">
        <f>[2]SAS_SA_1T2009!$D$152</f>
        <v>19462</v>
      </c>
      <c r="G55" s="13">
        <f>[2]SAS_SA_1T2009!$D$148</f>
        <v>86088</v>
      </c>
      <c r="H55" s="11">
        <f>[64]SAS_SA_2T2009!$D$151</f>
        <v>66586</v>
      </c>
      <c r="I55" s="12">
        <f>[64]SAS_SA_2T2009!$D$152</f>
        <v>19730</v>
      </c>
      <c r="J55" s="13">
        <f>[64]SAS_SA_2T2009!$D$148</f>
        <v>86316</v>
      </c>
      <c r="K55" s="11">
        <f>[3]SAS_SA_3T2009!$D$151</f>
        <v>66570</v>
      </c>
      <c r="L55" s="12">
        <f>[3]SAS_SA_3T2009!$D$152</f>
        <v>20039</v>
      </c>
      <c r="M55" s="13">
        <f>[3]SAS_SA_3T2009!$D$148</f>
        <v>86609</v>
      </c>
      <c r="N55" s="11">
        <f>[4]SAS_SA_4T2009!$D$151</f>
        <v>66629</v>
      </c>
      <c r="O55" s="12">
        <f>[4]SAS_SA_4T2009!$D$152</f>
        <v>20241</v>
      </c>
      <c r="P55" s="17">
        <f>[4]SAS_SA_4T2009!$D$148</f>
        <v>86870</v>
      </c>
      <c r="Q55" s="11">
        <f>[5]SAS_SA_1T2010!$D$151</f>
        <v>66729</v>
      </c>
      <c r="R55" s="12">
        <f>[5]SAS_SA_1T2010!$D$152</f>
        <v>20563</v>
      </c>
      <c r="S55" s="17">
        <f>[5]SAS_SA_1T2010!$D$148</f>
        <v>87292</v>
      </c>
      <c r="T55" s="11">
        <f>[65]SAS_SA_2T2010!$D$151</f>
        <v>66821</v>
      </c>
      <c r="U55" s="12">
        <f>[65]SAS_SA_2T2010!$D$152</f>
        <v>20949</v>
      </c>
      <c r="V55" s="17">
        <f>[65]SAS_SA_2T2010!$D$148</f>
        <v>87770</v>
      </c>
      <c r="W55" s="11">
        <f>[6]SAS_SA_3T2010!$D$151</f>
        <v>66975</v>
      </c>
      <c r="X55" s="12">
        <f>[6]SAS_SA_3T2010!$D$152</f>
        <v>21309</v>
      </c>
      <c r="Y55" s="17">
        <f>[6]SAS_SA_3T2010!$D$148</f>
        <v>88284</v>
      </c>
      <c r="Z55" s="11">
        <f>[7]SAS_SA_2010_4T!$D$151</f>
        <v>67205</v>
      </c>
      <c r="AA55" s="12">
        <f>[7]SAS_SA_2010_4T!$D$152</f>
        <v>21621</v>
      </c>
      <c r="AB55" s="13">
        <f>[7]SAS_SA_2010_4T!$D$148</f>
        <v>88826</v>
      </c>
      <c r="AC55" s="11">
        <f>[8]SAS_SA_2011_1T!$D$144</f>
        <v>67349</v>
      </c>
      <c r="AD55" s="12">
        <f>[8]SAS_SA_2011_1T!$D$145</f>
        <v>21933</v>
      </c>
      <c r="AE55" s="13">
        <f>[8]SAS_SA_2011_1T!$D$141</f>
        <v>89282</v>
      </c>
      <c r="AF55" s="11">
        <f>[9]SAS_SA_2011_2T!$D$144</f>
        <v>67418</v>
      </c>
      <c r="AG55" s="12">
        <f>[9]SAS_SA_2011_2T!$D$145</f>
        <v>22249</v>
      </c>
      <c r="AH55" s="13">
        <f>[9]SAS_SA_2011_2T!$D$141</f>
        <v>89667</v>
      </c>
      <c r="AI55" s="11">
        <f>[10]SAS_SA_2011_3T!$D$144</f>
        <v>67416</v>
      </c>
      <c r="AJ55" s="12">
        <f>[10]SAS_SA_2011_3T!$D$145</f>
        <v>22248</v>
      </c>
      <c r="AK55" s="13">
        <f>[10]SAS_SA_2011_3T!$D$141</f>
        <v>89664</v>
      </c>
      <c r="AL55" s="11">
        <f>[11]SAS_SA_2011_4T!$D$144</f>
        <v>67080</v>
      </c>
      <c r="AM55" s="12">
        <f>[11]SAS_SA_2011_4T!$D$145</f>
        <v>22561</v>
      </c>
      <c r="AN55" s="13">
        <f>[11]SAS_SA_2011_4T!$D$141</f>
        <v>89641</v>
      </c>
      <c r="AO55" s="11">
        <f>'[12]120612-17H07S59-PROGRAM-TdB_STO'!$D$144</f>
        <v>67252</v>
      </c>
      <c r="AP55" s="12">
        <f>'[12]120612-17H07S59-PROGRAM-TdB_STO'!$D$145</f>
        <v>22893</v>
      </c>
      <c r="AQ55" s="13">
        <f>'[12]120612-17H07S59-PROGRAM-TdB_STO'!$D$141</f>
        <v>90145</v>
      </c>
      <c r="AR55" s="11">
        <f>[13]SAS_SA_2012_2T!$D$144</f>
        <v>67227</v>
      </c>
      <c r="AS55" s="12">
        <f>[13]SAS_SA_2012_2T!$D$145</f>
        <v>23132</v>
      </c>
      <c r="AT55" s="13">
        <f>[13]SAS_SA_2012_2T!$D$141</f>
        <v>90359</v>
      </c>
      <c r="AU55" s="11">
        <f>'[14]121105-09H31S06-PROGRAM-TdB_STO'!$D$144</f>
        <v>67031</v>
      </c>
      <c r="AV55" s="12">
        <f>'[14]121105-09H31S06-PROGRAM-TdB_STO'!$D$145</f>
        <v>23203</v>
      </c>
      <c r="AW55" s="13">
        <f>'[14]121105-09H31S06-PROGRAM-TdB_STO'!$D$141</f>
        <v>90234</v>
      </c>
      <c r="AX55" s="11">
        <f>[15]SAS_SA_2012_4T!$D$144</f>
        <v>67246</v>
      </c>
      <c r="AY55" s="12">
        <f>[15]SAS_SA_2012_4T!$D$145</f>
        <v>23540</v>
      </c>
      <c r="AZ55" s="13">
        <f>[15]SAS_SA_2012_4T!$D$141</f>
        <v>90786</v>
      </c>
      <c r="BA55" s="11">
        <f>[16]SAS_SA_2013_1T!$D$144</f>
        <v>67757</v>
      </c>
      <c r="BB55" s="12">
        <f>[16]SAS_SA_2013_1T!$D$145</f>
        <v>24091</v>
      </c>
      <c r="BC55" s="13">
        <f>[16]SAS_SA_2013_1T!$D$141</f>
        <v>91848</v>
      </c>
      <c r="BD55" s="11">
        <f>[17]SAS_SA_2013_2T!$D$144</f>
        <v>67956</v>
      </c>
      <c r="BE55" s="12">
        <f>[17]SAS_SA_2013_2T!$D$145</f>
        <v>24510</v>
      </c>
      <c r="BF55" s="13">
        <f>[17]SAS_SA_2013_2T!$D$141</f>
        <v>92466</v>
      </c>
      <c r="BG55" s="11">
        <f>[18]SAS_SA_2013_3T!$D$144</f>
        <v>68373</v>
      </c>
      <c r="BH55" s="12">
        <f>[18]SAS_SA_2013_3T!$D$145</f>
        <v>25022</v>
      </c>
      <c r="BI55" s="13">
        <f>[18]SAS_SA_2013_3T!$D$141</f>
        <v>93395</v>
      </c>
      <c r="BJ55" s="11">
        <f>[19]SAS_SA_2013_4T!$D$144</f>
        <v>68541</v>
      </c>
      <c r="BK55" s="12">
        <f>[19]SAS_SA_2013_4T!$D$145</f>
        <v>25297</v>
      </c>
      <c r="BL55" s="13">
        <f>[19]SAS_SA_2013_4T!$D$141</f>
        <v>93838</v>
      </c>
      <c r="BM55" s="11">
        <f>[20]SAS_SA_2014_1T!$D$144</f>
        <v>68887</v>
      </c>
      <c r="BN55" s="12">
        <f>[20]SAS_SA_2014_1T!$D$145</f>
        <v>25600</v>
      </c>
      <c r="BO55" s="13">
        <f>[20]SAS_SA_2014_1T!$D$141</f>
        <v>94487</v>
      </c>
      <c r="BP55" s="11">
        <f>[21]SAS_SA_2014_2T!$D$144</f>
        <v>69203</v>
      </c>
      <c r="BQ55" s="12">
        <f>[21]SAS_SA_2014_2T!$D$145</f>
        <v>26118</v>
      </c>
      <c r="BR55" s="13">
        <f>[21]SAS_SA_2014_2T!$D$141</f>
        <v>95321</v>
      </c>
      <c r="BS55" s="11">
        <f>[22]SAS_SA_2014_3T!$D$144</f>
        <v>69660</v>
      </c>
      <c r="BT55" s="12">
        <f>[22]SAS_SA_2014_3T!$D$145</f>
        <v>26602</v>
      </c>
      <c r="BU55" s="13">
        <f>[22]SAS_SA_2014_3T!$D$141</f>
        <v>96262</v>
      </c>
      <c r="BV55" s="11">
        <f>[23]SAS_SA_2014_4T!$D$144</f>
        <v>70017</v>
      </c>
      <c r="BW55" s="12">
        <f>[23]SAS_SA_2014_4T!$D$145</f>
        <v>26981</v>
      </c>
      <c r="BX55" s="13">
        <f>[23]SAS_SA_2014_4T!$D$141</f>
        <v>96998</v>
      </c>
      <c r="BY55" s="11">
        <f>[24]SAS_SA_2015_1T!$D$144</f>
        <v>70578</v>
      </c>
      <c r="BZ55" s="12">
        <f>[24]SAS_SA_2015_1T!$D$145</f>
        <v>27524</v>
      </c>
      <c r="CA55" s="13">
        <f>[24]SAS_SA_2015_1T!$D$141</f>
        <v>98102</v>
      </c>
      <c r="CB55" s="11">
        <f>[25]SAS_SA_2015_2T!$D$144</f>
        <v>70615</v>
      </c>
      <c r="CC55" s="12">
        <f>[25]SAS_SA_2015_2T!$D$145</f>
        <v>27868</v>
      </c>
      <c r="CD55" s="13">
        <f>[25]SAS_SA_2015_2T!$D$141</f>
        <v>98483</v>
      </c>
      <c r="CE55" s="11">
        <f>[26]SAS_SA_2015_3T!$D$144</f>
        <v>70936</v>
      </c>
      <c r="CF55" s="12">
        <f>[26]SAS_SA_2015_3T!$D$145</f>
        <v>28306</v>
      </c>
      <c r="CG55" s="13">
        <f>[26]SAS_SA_2015_3T!$D$141</f>
        <v>99242</v>
      </c>
      <c r="CH55" s="11">
        <f>[27]SAS_SA_2015_4T!$D$144</f>
        <v>71128</v>
      </c>
      <c r="CI55" s="12">
        <f>[27]SAS_SA_2015_4T!$D$145</f>
        <v>28669</v>
      </c>
      <c r="CJ55" s="13">
        <f>[27]SAS_SA_2015_4T!$D$141</f>
        <v>99797</v>
      </c>
      <c r="CK55" s="11">
        <f>[28]SAS_SA_2016_1T!$D$144</f>
        <v>71571</v>
      </c>
      <c r="CL55" s="12">
        <f>[28]SAS_SA_2016_1T!$D$145</f>
        <v>29216</v>
      </c>
      <c r="CM55" s="13">
        <f>[28]SAS_SA_2016_1T!$D$141</f>
        <v>100787</v>
      </c>
      <c r="CN55" s="11">
        <f>'[29]160822-11H12S04-PROGRAM-TdB_STO'!$D$144</f>
        <v>71892</v>
      </c>
      <c r="CO55" s="12">
        <f>'[29]160822-11H12S04-PROGRAM-TdB_STO'!$D$145</f>
        <v>29628</v>
      </c>
      <c r="CP55" s="13">
        <f>'[29]160822-11H12S04-PROGRAM-TdB_STO'!$D$141</f>
        <v>101520</v>
      </c>
      <c r="CQ55" s="135">
        <f>[30]SAS_SA_2016_3T!$D$144</f>
        <v>72355</v>
      </c>
      <c r="CR55" s="136">
        <f>[30]SAS_SA_2016_3T!$D$145</f>
        <v>30120</v>
      </c>
      <c r="CS55" s="137">
        <f>[30]SAS_SA_2016_3T!$D$141</f>
        <v>102475</v>
      </c>
      <c r="CT55" s="135">
        <f>[31]SAS_SA_2016_4T!$D$144</f>
        <v>72431</v>
      </c>
      <c r="CU55" s="136">
        <f>[31]SAS_SA_2016_4T!$D$145</f>
        <v>30406</v>
      </c>
      <c r="CV55" s="137">
        <f>[31]SAS_SA_2016_4T!$D$141</f>
        <v>102837</v>
      </c>
      <c r="CW55" s="135">
        <f>[32]SAS_SA_2017_1T!$D$144</f>
        <v>72733</v>
      </c>
      <c r="CX55" s="136">
        <f>[32]SAS_SA_2017_1T!$D$145</f>
        <v>30840</v>
      </c>
      <c r="CY55" s="137">
        <f>[32]SAS_SA_2017_1T!$D$141</f>
        <v>103573</v>
      </c>
      <c r="CZ55" s="135">
        <f>[33]SAS_SA_2017_2T!$D$144</f>
        <v>73072</v>
      </c>
      <c r="DA55" s="136">
        <f>[33]SAS_SA_2017_2T!$D$145</f>
        <v>31272</v>
      </c>
      <c r="DB55" s="137">
        <f>[33]SAS_SA_2017_2T!$D$141</f>
        <v>104344</v>
      </c>
      <c r="DC55" s="135">
        <f>[34]SAS_SA_2017_3T!$D$144</f>
        <v>73026</v>
      </c>
      <c r="DD55" s="136">
        <f>[34]SAS_SA_2017_3T!$D$145</f>
        <v>31424</v>
      </c>
      <c r="DE55" s="137">
        <f>[34]SAS_SA_2017_3T!$D$141</f>
        <v>104450</v>
      </c>
      <c r="DF55" s="135">
        <f>[35]SAS_SA_2017_4T!$D$144</f>
        <v>72911</v>
      </c>
      <c r="DG55" s="136">
        <f>[35]SAS_SA_2017_4T!$D$145</f>
        <v>31482</v>
      </c>
      <c r="DH55" s="137">
        <f>[35]SAS_SA_2017_4T!$D$141</f>
        <v>104393</v>
      </c>
      <c r="DI55" s="135">
        <f>[36]SAS_SA_2018_1T!$D$144</f>
        <v>72674</v>
      </c>
      <c r="DJ55" s="136">
        <f>[36]SAS_SA_2018_1T!$D$145</f>
        <v>31562</v>
      </c>
      <c r="DK55" s="137">
        <f>[36]SAS_SA_2018_1T!$D$141</f>
        <v>104236</v>
      </c>
      <c r="DL55" s="135">
        <f>[37]SAS_SA_2018_2T!$D$144</f>
        <v>72308</v>
      </c>
      <c r="DM55" s="136">
        <f>[37]SAS_SA_2018_2T!$D$145</f>
        <v>31590</v>
      </c>
      <c r="DN55" s="137">
        <f>[37]SAS_SA_2018_2T!$D$141</f>
        <v>103898</v>
      </c>
      <c r="DO55" s="135">
        <f>[38]SAS_SA_2018_3T!$D$144</f>
        <v>72068</v>
      </c>
      <c r="DP55" s="136">
        <f>[38]SAS_SA_2018_3T!$D$145</f>
        <v>31627</v>
      </c>
      <c r="DQ55" s="137">
        <f>[38]SAS_SA_2018_3T!$D$141</f>
        <v>103695</v>
      </c>
      <c r="DR55" s="135">
        <f>'[39]190227-14H32S38-PROGRAM-TdB_STO'!$D$144</f>
        <v>71906</v>
      </c>
      <c r="DS55" s="136">
        <f>'[39]190227-14H32S38-PROGRAM-TdB_STO'!$D$145</f>
        <v>31687</v>
      </c>
      <c r="DT55" s="137">
        <f>'[39]190227-14H32S38-PROGRAM-TdB_STO'!$D$141</f>
        <v>103593</v>
      </c>
      <c r="DU55" s="205">
        <f>[40]SAS_SA_2019_1T!$D$144</f>
        <v>71636</v>
      </c>
      <c r="DV55" s="206">
        <f>[40]SAS_SA_2019_1T!$D$145</f>
        <v>31731</v>
      </c>
      <c r="DW55" s="207">
        <f>[40]SAS_SA_2019_1T!$D$141</f>
        <v>103367</v>
      </c>
      <c r="DX55" s="205">
        <f>[41]SAS_SA_2019_2T!$D$144</f>
        <v>71279</v>
      </c>
      <c r="DY55" s="206">
        <f>[41]SAS_SA_2019_2T!$D$145</f>
        <v>31737</v>
      </c>
      <c r="DZ55" s="207">
        <f>[41]SAS_SA_2019_2T!$D$141</f>
        <v>103016</v>
      </c>
      <c r="EA55" s="205">
        <f>[42]SAS_SA_2019_3T!$D$144</f>
        <v>71046</v>
      </c>
      <c r="EB55" s="206">
        <f>[42]SAS_SA_2019_3T!$D$145</f>
        <v>31756</v>
      </c>
      <c r="EC55" s="207">
        <f>[42]SAS_SA_2019_3T!$D$141</f>
        <v>102802</v>
      </c>
      <c r="ED55" s="205">
        <f>[43]SAS_SA_2019_4T!$D$144</f>
        <v>70755</v>
      </c>
      <c r="EE55" s="206">
        <f>[43]SAS_SA_2019_4T!$D$145</f>
        <v>31752</v>
      </c>
      <c r="EF55" s="207">
        <f>[43]SAS_SA_2019_4T!$D$141</f>
        <v>102507</v>
      </c>
      <c r="EG55" s="205">
        <f>[44]SAS_SA_2020_1T!$D$133</f>
        <v>70542</v>
      </c>
      <c r="EH55" s="206">
        <f>[44]SAS_SA_2020_1T!$D$134</f>
        <v>31772</v>
      </c>
      <c r="EI55" s="207">
        <f>[44]SAS_SA_2020_1T!$D$130</f>
        <v>102314</v>
      </c>
      <c r="EJ55" s="205">
        <f>[45]SAS_SA_2020_2T!$D$133</f>
        <v>70133</v>
      </c>
      <c r="EK55" s="206">
        <f>[45]SAS_SA_2020_2T!$D$134</f>
        <v>31772</v>
      </c>
      <c r="EL55" s="207">
        <f>[45]SAS_SA_2020_2T!$D$130</f>
        <v>101905</v>
      </c>
      <c r="EM55" s="205">
        <f>[46]SAS_SA_2020_3T!$D$133</f>
        <v>69884</v>
      </c>
      <c r="EN55" s="206">
        <f>[46]SAS_SA_2020_3T!$D$134</f>
        <v>31771</v>
      </c>
      <c r="EO55" s="207">
        <f>[46]SAS_SA_2020_3T!$D$130</f>
        <v>101655</v>
      </c>
      <c r="EP55" s="205">
        <f>[47]SAS_SA_2020_4T!$D$133</f>
        <v>69545</v>
      </c>
      <c r="EQ55" s="206">
        <f>[47]SAS_SA_2020_4T!$D$134</f>
        <v>31762</v>
      </c>
      <c r="ER55" s="207">
        <f>[47]SAS_SA_2020_4T!$D$130</f>
        <v>101307</v>
      </c>
      <c r="ES55" s="205">
        <f>[48]SAS_SA_2021_1T!$D$133</f>
        <v>69124</v>
      </c>
      <c r="ET55" s="206">
        <f>[48]SAS_SA_2021_1T!$D$134</f>
        <v>31784</v>
      </c>
      <c r="EU55" s="207">
        <f>[48]SAS_SA_2021_1T!$D$130</f>
        <v>100908</v>
      </c>
      <c r="EV55" s="205">
        <f>[49]SAS_SA_2021_2T!$D$133</f>
        <v>68715</v>
      </c>
      <c r="EW55" s="206">
        <f>[49]SAS_SA_2021_2T!$D$134</f>
        <v>31752</v>
      </c>
      <c r="EX55" s="207">
        <f>[49]SAS_SA_2021_2T!$D$130</f>
        <v>100467</v>
      </c>
      <c r="EY55" s="205">
        <f>[50]SAS_SA_2021_3T!$D$133</f>
        <v>68455</v>
      </c>
      <c r="EZ55" s="206">
        <f>[50]SAS_SA_2021_3T!$D$134</f>
        <v>31762</v>
      </c>
      <c r="FA55" s="207">
        <f>[50]SAS_SA_2021_3T!$D$130</f>
        <v>100217</v>
      </c>
      <c r="FB55" s="282">
        <f>[51]SAS_SA_2021_4T!$D$99</f>
        <v>76614</v>
      </c>
      <c r="FC55" s="283">
        <f>[51]SAS_SA_2021_4T!$D$100</f>
        <v>48664</v>
      </c>
      <c r="FD55" s="284">
        <f>[51]SAS_SA_2021_4T!$D$96</f>
        <v>125278</v>
      </c>
      <c r="FE55" s="282">
        <f>[52]SAS_SA_2022_1T!$D$99</f>
        <v>76614</v>
      </c>
      <c r="FF55" s="283">
        <f>[52]SAS_SA_2022_1T!$D$100</f>
        <v>48664</v>
      </c>
      <c r="FG55" s="284">
        <f>[52]SAS_SA_2022_1T!$D$96</f>
        <v>125278</v>
      </c>
      <c r="FH55" s="282">
        <f>[53]SAS_SA_2022_2T!$D$99</f>
        <v>77921</v>
      </c>
      <c r="FI55" s="283">
        <f>[53]SAS_SA_2022_2T!$D$100</f>
        <v>50152</v>
      </c>
      <c r="FJ55" s="284">
        <f>[53]SAS_SA_2022_2T!$D$96</f>
        <v>128073</v>
      </c>
      <c r="FK55" s="282">
        <f>[54]SAS_SA_2022_3T!$D$99</f>
        <v>79351</v>
      </c>
      <c r="FL55" s="283">
        <f>[54]SAS_SA_2022_3T!$D$100</f>
        <v>51643</v>
      </c>
      <c r="FM55" s="284">
        <f>[54]SAS_SA_2022_3T!$D$96</f>
        <v>130994</v>
      </c>
      <c r="FN55" s="282">
        <f>[55]SAS_SA_2022_4T!$D$99</f>
        <v>80325</v>
      </c>
      <c r="FO55" s="283">
        <f>[55]SAS_SA_2022_4T!$D$100</f>
        <v>52844</v>
      </c>
      <c r="FP55" s="284">
        <f>[55]SAS_SA_2022_4T!$D$96</f>
        <v>133169</v>
      </c>
      <c r="FQ55" s="282">
        <f>[56]SAS_SA_2023_1T!$D$99</f>
        <v>81853</v>
      </c>
      <c r="FR55" s="283">
        <f>[56]SAS_SA_2023_1T!$D$100</f>
        <v>54752</v>
      </c>
      <c r="FS55" s="284">
        <f>[56]SAS_SA_2023_1T!$D$96</f>
        <v>136605</v>
      </c>
      <c r="FT55" s="282">
        <f>[57]SAS_SA_2023_2T!$D$99</f>
        <v>83256</v>
      </c>
      <c r="FU55" s="283">
        <f>[57]SAS_SA_2023_2T!$D$100</f>
        <v>56217</v>
      </c>
      <c r="FV55" s="284">
        <f>[57]SAS_SA_2023_2T!$D$96</f>
        <v>139473</v>
      </c>
      <c r="FW55" s="282">
        <f>[58]SAS_SA_2023_3T!$D$99</f>
        <v>84641</v>
      </c>
      <c r="FX55" s="283">
        <f>[58]SAS_SA_2023_3T!$D$100</f>
        <v>57785</v>
      </c>
      <c r="FY55" s="284">
        <f>[58]SAS_SA_2023_3T!$D$96</f>
        <v>142426</v>
      </c>
      <c r="FZ55" s="282">
        <f>[59]SAS_SA_2023_4T!$D$99</f>
        <v>85253</v>
      </c>
      <c r="GA55" s="283">
        <f>[59]SAS_SA_2023_4T!$D$100</f>
        <v>58430</v>
      </c>
      <c r="GB55" s="284">
        <f>[59]SAS_SA_2023_4T!$D$96</f>
        <v>143683</v>
      </c>
      <c r="GC55" s="282">
        <f>[60]SAS_SA_2024_1T!$D$99</f>
        <v>86365</v>
      </c>
      <c r="GD55" s="283">
        <f>[60]SAS_SA_2024_1T!$D$100</f>
        <v>59854</v>
      </c>
      <c r="GE55" s="284">
        <f>[60]SAS_SA_2024_1T!$D$96</f>
        <v>146219</v>
      </c>
      <c r="GF55" s="282">
        <f>[61]SAS_SA_2024_2T!$D$99</f>
        <v>87330</v>
      </c>
      <c r="GG55" s="283">
        <f>[61]SAS_SA_2024_2T!$D$100</f>
        <v>60874</v>
      </c>
      <c r="GH55" s="284">
        <f>[61]SAS_SA_2024_2T!$D$96</f>
        <v>148204</v>
      </c>
      <c r="GI55" s="282">
        <f>[62]SAS_SA_2024_3T!$D$99</f>
        <v>88512</v>
      </c>
      <c r="GJ55" s="283">
        <f>[62]SAS_SA_2024_3T!$D$100</f>
        <v>62204</v>
      </c>
      <c r="GK55" s="284">
        <f>[62]SAS_SA_2024_3T!$D$96</f>
        <v>150716</v>
      </c>
      <c r="GL55" s="282">
        <f>[63]SAS_SA_2024_4T!$D$99</f>
        <v>89421</v>
      </c>
      <c r="GM55" s="283">
        <f>[63]SAS_SA_2024_4T!$D$100</f>
        <v>63250</v>
      </c>
      <c r="GN55" s="284">
        <f>[63]SAS_SA_2024_4T!$D$96</f>
        <v>152671</v>
      </c>
    </row>
    <row r="56" spans="1:196" x14ac:dyDescent="0.25">
      <c r="A56" s="3"/>
      <c r="B56" s="3"/>
      <c r="C56" s="3"/>
      <c r="D56" s="56">
        <f>D55/(D7+D9)</f>
        <v>4.8346549155934303E-2</v>
      </c>
      <c r="E56" s="3"/>
      <c r="F56" s="3"/>
      <c r="G56" s="56">
        <f>G55/(G7+G9)</f>
        <v>4.4452843984397514E-2</v>
      </c>
      <c r="H56" s="3"/>
      <c r="I56" s="3"/>
      <c r="J56" s="56">
        <f>J55/(J7+J9)</f>
        <v>4.461662914843522E-2</v>
      </c>
      <c r="K56" s="3"/>
      <c r="L56" s="3"/>
      <c r="M56" s="56">
        <f>M55/(M7+M9)</f>
        <v>4.4749090127495818E-2</v>
      </c>
      <c r="N56" s="3"/>
      <c r="O56" s="3"/>
      <c r="P56" s="56">
        <f>P55/(P7+P9)</f>
        <v>4.4889788257860753E-2</v>
      </c>
      <c r="Q56" s="3"/>
      <c r="R56" s="3"/>
      <c r="S56" s="56">
        <f>S55/(S7+S9)</f>
        <v>4.5032505821745727E-2</v>
      </c>
      <c r="T56" s="3"/>
      <c r="U56" s="3"/>
      <c r="V56" s="56">
        <f>V55/(V7+V9)</f>
        <v>4.5531652201881025E-2</v>
      </c>
      <c r="W56" s="3"/>
      <c r="X56" s="3"/>
      <c r="Y56" s="56">
        <f>Y55/(Y7+Y9)</f>
        <v>4.5792879083851948E-2</v>
      </c>
      <c r="Z56" s="3"/>
      <c r="AA56" s="3"/>
      <c r="AB56" s="56">
        <f>AB55/(AB7+AB9)</f>
        <v>4.5748089366013045E-2</v>
      </c>
      <c r="AC56" s="67">
        <f>AC55/AE55</f>
        <v>0.75434018055151097</v>
      </c>
      <c r="AD56" s="3"/>
      <c r="AE56" s="56">
        <f>AE55/(AE7+AE9)</f>
        <v>4.5955913577228447E-2</v>
      </c>
      <c r="AF56" s="67">
        <f>AF55/AH55</f>
        <v>0.75187081088917884</v>
      </c>
      <c r="AG56" s="3"/>
      <c r="AH56" s="56">
        <f>AH55/(AH7+AH9)</f>
        <v>4.6175736302851281E-2</v>
      </c>
      <c r="AI56" s="67">
        <f>AI55/AK55</f>
        <v>0.7518736616702355</v>
      </c>
      <c r="AJ56" s="3"/>
      <c r="AK56" s="56">
        <f>AK55/(AK7+AK9)</f>
        <v>4.6258210001666376E-2</v>
      </c>
      <c r="AL56" s="67">
        <f>AL55/AN55</f>
        <v>0.74831829185305831</v>
      </c>
      <c r="AM56" s="3"/>
      <c r="AN56" s="56">
        <f>AN55/(AN7+AN9)</f>
        <v>4.642708610098141E-2</v>
      </c>
      <c r="AO56" s="67">
        <f>AO55/AQ55</f>
        <v>0.74604248710411003</v>
      </c>
      <c r="AP56" s="3"/>
      <c r="AQ56" s="56">
        <f>AQ55/(AQ7+AQ9)</f>
        <v>4.6835237846841578E-2</v>
      </c>
      <c r="AR56" s="67">
        <f>AR55/AT55</f>
        <v>0.74399893757124358</v>
      </c>
      <c r="AS56" s="3"/>
      <c r="AT56" s="56">
        <f>AT55/(AT7+AT9)</f>
        <v>4.7087558501831987E-2</v>
      </c>
      <c r="AU56" s="67">
        <f>AU55/AW55</f>
        <v>0.74285745949420401</v>
      </c>
      <c r="AV56" s="3"/>
      <c r="AW56" s="56">
        <f>AW55/(AW7+AW9)</f>
        <v>4.71697570731896E-2</v>
      </c>
      <c r="AX56" s="67">
        <f>AX55/AZ55</f>
        <v>0.74070891987751419</v>
      </c>
      <c r="AY56" s="3"/>
      <c r="AZ56" s="56">
        <f>AZ55/(AZ7+AZ9)</f>
        <v>4.7633838672678827E-2</v>
      </c>
      <c r="BA56" s="67">
        <f>BA55/BC55</f>
        <v>0.73770795226896613</v>
      </c>
      <c r="BB56" s="3"/>
      <c r="BC56" s="56">
        <f>BC55/(BC7+BC9)</f>
        <v>4.820964329335984E-2</v>
      </c>
      <c r="BD56" s="67">
        <f>BD55/BF55</f>
        <v>0.73492959574330019</v>
      </c>
      <c r="BE56" s="3"/>
      <c r="BF56" s="56">
        <f>BF55/(BF7+BF9)</f>
        <v>4.8723065338734009E-2</v>
      </c>
      <c r="BG56" s="67">
        <f>BG55/BI55</f>
        <v>0.73208415868087162</v>
      </c>
      <c r="BH56" s="3"/>
      <c r="BI56" s="56">
        <f>BI55/(BI7+BI9)</f>
        <v>4.902351890131048E-2</v>
      </c>
      <c r="BJ56" s="67">
        <f>BJ55/BL55</f>
        <v>0.73041838061339759</v>
      </c>
      <c r="BK56" s="3"/>
      <c r="BL56" s="56">
        <f>BL55/(BL7+BL9)</f>
        <v>4.9150352267412108E-2</v>
      </c>
      <c r="BM56" s="67">
        <f>BM55/BO55</f>
        <v>0.72906325737932198</v>
      </c>
      <c r="BN56" s="3"/>
      <c r="BO56" s="56">
        <f>BO55/(BO7+BO9)</f>
        <v>4.9467691059251598E-2</v>
      </c>
      <c r="BP56" s="67">
        <f>BP55/BR55</f>
        <v>0.72599951742008584</v>
      </c>
      <c r="BQ56" s="3"/>
      <c r="BR56" s="56">
        <f>BR55/(BR7+BR9)</f>
        <v>4.9896146751340568E-2</v>
      </c>
      <c r="BS56" s="67">
        <f>BS55/BU55</f>
        <v>0.72365003843676634</v>
      </c>
      <c r="BT56" s="3"/>
      <c r="BU56" s="56">
        <f>BU55/(BU7+BU9)</f>
        <v>5.0265551789517769E-2</v>
      </c>
      <c r="BV56" s="67">
        <f>BV55/BX55</f>
        <v>0.72183962555928993</v>
      </c>
      <c r="BW56" s="3"/>
      <c r="BX56" s="56">
        <f>BX55/(BX7+BX9)</f>
        <v>5.0519291736175524E-2</v>
      </c>
      <c r="BY56" s="67">
        <f>BY55/CA55</f>
        <v>0.71943487390675009</v>
      </c>
      <c r="BZ56" s="3"/>
      <c r="CA56" s="56">
        <f>CA55/(CA7+CA9)</f>
        <v>5.0939743821410248E-2</v>
      </c>
      <c r="CB56" s="67">
        <f>CE55/CG55</f>
        <v>0.71477801737167734</v>
      </c>
      <c r="CC56" s="3"/>
      <c r="CD56" s="56">
        <f>CG55/(CG7+CG9)</f>
        <v>5.1581510033347468E-2</v>
      </c>
      <c r="CE56" s="67">
        <f>CE55/CG55</f>
        <v>0.71477801737167734</v>
      </c>
      <c r="CF56" s="3"/>
      <c r="CG56" s="56">
        <f>CG55/(CG7+CG9)</f>
        <v>5.1581510033347468E-2</v>
      </c>
      <c r="CH56" s="67">
        <f>CH55/CJ55</f>
        <v>0.71272683547601634</v>
      </c>
      <c r="CI56" s="3"/>
      <c r="CJ56" s="56">
        <f>CJ55/(CJ7+CJ9)</f>
        <v>5.1811376001993606E-2</v>
      </c>
      <c r="CK56" s="67">
        <f>CK55/CM55</f>
        <v>0.71012134501473401</v>
      </c>
      <c r="CL56" s="3"/>
      <c r="CM56" s="56">
        <f>CM55/(CM7+CM9)</f>
        <v>5.2133804598194632E-2</v>
      </c>
      <c r="CN56" s="67">
        <f>CQ55/CS55</f>
        <v>0.70607465235423272</v>
      </c>
      <c r="CO56" s="3"/>
      <c r="CP56" s="56">
        <f>CS55/(CS7+CS9)</f>
        <v>5.2803901331034471E-2</v>
      </c>
      <c r="CQ56" s="161">
        <f>CQ55/CS55</f>
        <v>0.70607465235423272</v>
      </c>
      <c r="CR56" s="128"/>
      <c r="CS56" s="162">
        <f>CS55/(CS7+CS9)</f>
        <v>5.2803901331034471E-2</v>
      </c>
      <c r="CT56" s="161">
        <f>CT55/CV55</f>
        <v>0.70432820871865187</v>
      </c>
      <c r="CU56" s="128"/>
      <c r="CV56" s="162">
        <f>CV55/(CV7+CV9)</f>
        <v>5.3032189993208342E-2</v>
      </c>
      <c r="CW56" s="161">
        <f>CW55/CY55</f>
        <v>0.70223900051171639</v>
      </c>
      <c r="CX56" s="128"/>
      <c r="CY56" s="162">
        <f>CY55/(CY7+CY9)</f>
        <v>5.3436815903970265E-2</v>
      </c>
      <c r="CZ56" s="161">
        <f>CZ55/DB55</f>
        <v>0.70029901096373537</v>
      </c>
      <c r="DA56" s="128"/>
      <c r="DB56" s="162">
        <f>DB55/(DB7+DB9)</f>
        <v>5.3758576879443E-2</v>
      </c>
      <c r="DC56" s="161">
        <f>DC55/DE55</f>
        <v>0.69914791766395401</v>
      </c>
      <c r="DD56" s="128"/>
      <c r="DE56" s="162">
        <f>DE55/(DE7+DE9)</f>
        <v>5.3874613735267009E-2</v>
      </c>
      <c r="DF56" s="161">
        <f>DF55/DH55</f>
        <v>0.6984280555209641</v>
      </c>
      <c r="DG56" s="128"/>
      <c r="DH56" s="162">
        <f>DH55/(DH7+DH9)</f>
        <v>5.3950567836793757E-2</v>
      </c>
      <c r="DI56" s="161">
        <f>DI55/DK55</f>
        <v>0.69720633946045507</v>
      </c>
      <c r="DJ56" s="128"/>
      <c r="DK56" s="162">
        <f>DK55/(DK7+DK9)</f>
        <v>5.4069363322301875E-2</v>
      </c>
      <c r="DL56" s="161">
        <f>DL55/DN55</f>
        <v>0.6959517988796704</v>
      </c>
      <c r="DM56" s="128"/>
      <c r="DN56" s="162">
        <f>DN55/(DN7+DN9)</f>
        <v>5.4195455840024873E-2</v>
      </c>
      <c r="DO56" s="162">
        <f t="shared" ref="DO56:DW56" si="108">DO55/(DO7+DO9)</f>
        <v>6.0965510007097469E-2</v>
      </c>
      <c r="DP56" s="162">
        <f t="shared" si="108"/>
        <v>4.3366241601535717E-2</v>
      </c>
      <c r="DQ56" s="162">
        <f t="shared" si="108"/>
        <v>5.4250498715346936E-2</v>
      </c>
      <c r="DR56" s="162">
        <f t="shared" si="108"/>
        <v>6.1046602942387514E-2</v>
      </c>
      <c r="DS56" s="162">
        <f t="shared" si="108"/>
        <v>4.3477843272851015E-2</v>
      </c>
      <c r="DT56" s="162">
        <f t="shared" si="108"/>
        <v>5.4331185637975662E-2</v>
      </c>
      <c r="DU56" s="228">
        <f t="shared" si="108"/>
        <v>6.1223739796541915E-2</v>
      </c>
      <c r="DV56" s="228">
        <f t="shared" si="108"/>
        <v>4.3647272922349371E-2</v>
      </c>
      <c r="DW56" s="228">
        <f t="shared" si="108"/>
        <v>5.4488112106337395E-2</v>
      </c>
      <c r="DX56" s="228">
        <f t="shared" ref="DX56:DZ56" si="109">DX55/(DX7+DX9)</f>
        <v>6.1397396086808588E-2</v>
      </c>
      <c r="DY56" s="228">
        <f t="shared" si="109"/>
        <v>4.3872842438200353E-2</v>
      </c>
      <c r="DZ56" s="228">
        <f t="shared" si="109"/>
        <v>5.4669800581744928E-2</v>
      </c>
      <c r="EA56" s="228">
        <f t="shared" ref="EA56:EC56" si="110">EA55/(EA7+EA9)</f>
        <v>6.1677336014126248E-2</v>
      </c>
      <c r="EB56" s="228">
        <f t="shared" si="110"/>
        <v>4.4060454784477558E-2</v>
      </c>
      <c r="EC56" s="228">
        <f t="shared" si="110"/>
        <v>5.4896976719969452E-2</v>
      </c>
      <c r="ED56" s="228">
        <f t="shared" ref="ED56:EF56" si="111">ED55/(ED7+ED9)</f>
        <v>6.1569774727110713E-2</v>
      </c>
      <c r="EE56" s="228">
        <f t="shared" si="111"/>
        <v>4.3966938944499906E-2</v>
      </c>
      <c r="EF56" s="228">
        <f t="shared" si="111"/>
        <v>5.477665209796282E-2</v>
      </c>
      <c r="EG56" s="228">
        <f t="shared" ref="EG56:EI56" si="112">EG55/(EG7+EG9)</f>
        <v>6.1723987673052393E-2</v>
      </c>
      <c r="EH56" s="228">
        <f t="shared" si="112"/>
        <v>4.4072564648176868E-2</v>
      </c>
      <c r="EI56" s="228">
        <f t="shared" si="112"/>
        <v>5.4896435385596028E-2</v>
      </c>
      <c r="EJ56" s="228">
        <f t="shared" ref="EJ56:EL56" si="113">EJ55/(EJ7+EJ9)</f>
        <v>6.1905619373961739E-2</v>
      </c>
      <c r="EK56" s="228">
        <f t="shared" si="113"/>
        <v>4.4257785021277779E-2</v>
      </c>
      <c r="EL56" s="228">
        <f t="shared" si="113"/>
        <v>5.5060360808672201E-2</v>
      </c>
      <c r="EM56" s="228">
        <f t="shared" ref="EM56:EO56" si="114">EM55/(EM7+EM9)</f>
        <v>6.214197935951541E-2</v>
      </c>
      <c r="EN56" s="228">
        <f t="shared" si="114"/>
        <v>4.4410430601276217E-2</v>
      </c>
      <c r="EO56" s="228">
        <f t="shared" si="114"/>
        <v>5.5247853102830952E-2</v>
      </c>
      <c r="EP56" s="228">
        <f t="shared" ref="EP56:ER56" si="115">EP55/(EP7+EP9)</f>
        <v>6.2443040759247039E-2</v>
      </c>
      <c r="EQ56" s="228">
        <f t="shared" si="115"/>
        <v>4.4606606024602306E-2</v>
      </c>
      <c r="ER56" s="228">
        <f t="shared" si="115"/>
        <v>5.5486909170974409E-2</v>
      </c>
      <c r="ES56" s="228">
        <f t="shared" ref="ES56:EU56" si="116">ES55/(ES7+ES9)</f>
        <v>6.2600921390217903E-2</v>
      </c>
      <c r="ET56" s="228">
        <f t="shared" si="116"/>
        <v>4.4787076792138308E-2</v>
      </c>
      <c r="EU56" s="228">
        <f t="shared" si="116"/>
        <v>5.5631329698379708E-2</v>
      </c>
      <c r="EV56" s="228">
        <f t="shared" ref="EV56:EX56" si="117">EV55/(EV7+EV9)</f>
        <v>6.2774005358834539E-2</v>
      </c>
      <c r="EW56" s="228">
        <f t="shared" si="117"/>
        <v>4.4920421588738768E-2</v>
      </c>
      <c r="EX56" s="228">
        <f t="shared" si="117"/>
        <v>5.5768804839990874E-2</v>
      </c>
      <c r="EY56" s="228">
        <f t="shared" ref="EY56:FA56" si="118">EY55/(EY7+EY9)</f>
        <v>6.2958241822924144E-2</v>
      </c>
      <c r="EZ56" s="228">
        <f t="shared" si="118"/>
        <v>4.5053568667613259E-2</v>
      </c>
      <c r="FA56" s="228">
        <f t="shared" si="118"/>
        <v>5.5915585136565436E-2</v>
      </c>
      <c r="FB56" s="285">
        <f>FB55/(FB7+FB9)</f>
        <v>7.091334695188492E-2</v>
      </c>
      <c r="FC56" s="285">
        <f t="shared" ref="FC56:FD56" si="119">FC55/(FC7+FC9)</f>
        <v>6.9267766376437806E-2</v>
      </c>
      <c r="FD56" s="285">
        <f t="shared" si="119"/>
        <v>7.0264922279967112E-2</v>
      </c>
      <c r="FE56" s="285">
        <f t="shared" ref="FE56:FG56" si="120">FE55/(FE7+FE9)</f>
        <v>7.1385710558682119E-2</v>
      </c>
      <c r="FF56" s="285">
        <f t="shared" si="120"/>
        <v>6.945292831494157E-2</v>
      </c>
      <c r="FG56" s="285">
        <f t="shared" si="120"/>
        <v>7.0622284256977225E-2</v>
      </c>
      <c r="FH56" s="285">
        <f t="shared" ref="FH56:FJ56" si="121">FH55/(FH7+FH9)</f>
        <v>7.3096691460310934E-2</v>
      </c>
      <c r="FI56" s="285">
        <f t="shared" si="121"/>
        <v>7.1770903246949319E-2</v>
      </c>
      <c r="FJ56" s="285">
        <f t="shared" si="121"/>
        <v>7.2571734235127597E-2</v>
      </c>
      <c r="FK56" s="285">
        <f t="shared" ref="FK56:FM56" si="122">FK55/(FK7+FK9)</f>
        <v>7.4882887847891988E-2</v>
      </c>
      <c r="FL56" s="285">
        <f t="shared" si="122"/>
        <v>7.407773981346806E-2</v>
      </c>
      <c r="FM56" s="285">
        <f t="shared" si="122"/>
        <v>7.4563385765368445E-2</v>
      </c>
      <c r="FN56" s="285">
        <f t="shared" ref="FN56:FP56" si="123">FN55/(FN7+FN9)</f>
        <v>7.626285882470224E-2</v>
      </c>
      <c r="FO56" s="285">
        <f t="shared" si="123"/>
        <v>7.6121826036476367E-2</v>
      </c>
      <c r="FP56" s="285">
        <f t="shared" si="123"/>
        <v>7.6206831827535612E-2</v>
      </c>
      <c r="FQ56" s="285">
        <f t="shared" ref="FQ56:FS56" si="124">FQ55/(FQ7+FQ9)</f>
        <v>7.8289347204594087E-2</v>
      </c>
      <c r="FR56" s="285">
        <f t="shared" si="124"/>
        <v>7.9105154722585821E-2</v>
      </c>
      <c r="FS56" s="285">
        <f t="shared" si="124"/>
        <v>7.8614298185894715E-2</v>
      </c>
      <c r="FT56" s="285">
        <f t="shared" ref="FT56:FV56" si="125">FT55/(FT7+FT9)</f>
        <v>8.0112004387800764E-2</v>
      </c>
      <c r="FU56" s="285">
        <f t="shared" si="125"/>
        <v>8.1432606648801337E-2</v>
      </c>
      <c r="FV56" s="285">
        <f t="shared" si="125"/>
        <v>8.063910915561158E-2</v>
      </c>
      <c r="FW56" s="285">
        <f t="shared" ref="FW56:FY56" si="126">FW55/(FW7+FW9)</f>
        <v>8.1845485594049638E-2</v>
      </c>
      <c r="FX56" s="285">
        <f t="shared" si="126"/>
        <v>8.384139706159735E-2</v>
      </c>
      <c r="FY56" s="285">
        <f t="shared" si="126"/>
        <v>8.2643697769607755E-2</v>
      </c>
      <c r="FZ56" s="285">
        <f t="shared" ref="FZ56:GB56" si="127">FZ55/(FZ7+FZ9)</f>
        <v>8.284502646088783E-2</v>
      </c>
      <c r="GA56" s="285">
        <f t="shared" si="127"/>
        <v>8.5077943219245694E-2</v>
      </c>
      <c r="GB56" s="285">
        <f t="shared" si="127"/>
        <v>8.3738769401485447E-2</v>
      </c>
      <c r="GC56" s="285">
        <f t="shared" ref="GC56:GE56" si="128">GC55/(GC7+GC9)</f>
        <v>8.457116110186827E-2</v>
      </c>
      <c r="GD56" s="285">
        <f t="shared" si="128"/>
        <v>8.7465184314894542E-2</v>
      </c>
      <c r="GE56" s="285">
        <f t="shared" si="128"/>
        <v>8.573234462738541E-2</v>
      </c>
      <c r="GF56" s="285">
        <f t="shared" ref="GF56:GH56" si="129">GF55/(GF7+GF9)</f>
        <v>8.6099721085410572E-2</v>
      </c>
      <c r="GG56" s="285">
        <f t="shared" si="129"/>
        <v>8.9212934805706787E-2</v>
      </c>
      <c r="GH56" s="285">
        <f t="shared" si="129"/>
        <v>8.7351780053918526E-2</v>
      </c>
      <c r="GI56" s="285">
        <f t="shared" ref="GI56:GK56" si="130">GI55/(GI7+GI9)</f>
        <v>8.7771559127202914E-2</v>
      </c>
      <c r="GJ56" s="285">
        <f t="shared" si="130"/>
        <v>9.137944711644401E-2</v>
      </c>
      <c r="GK56" s="285">
        <f t="shared" si="130"/>
        <v>8.9225519459991312E-2</v>
      </c>
      <c r="GL56" s="285">
        <f t="shared" ref="GL56:GN56" si="131">GL55/(GL7+GL9)</f>
        <v>8.9202453987730065E-2</v>
      </c>
      <c r="GM56" s="285">
        <f t="shared" si="131"/>
        <v>9.3207838005514368E-2</v>
      </c>
      <c r="GN56" s="285">
        <f t="shared" si="131"/>
        <v>9.0819319695355435E-2</v>
      </c>
    </row>
    <row r="57" spans="1:196" ht="24.75" customHeight="1" x14ac:dyDescent="0.25">
      <c r="A57" s="186" t="s">
        <v>30</v>
      </c>
      <c r="B57" s="3"/>
      <c r="C57" s="3"/>
      <c r="D57" s="3"/>
      <c r="AR57" s="4"/>
      <c r="AS57" s="4"/>
      <c r="AT57" s="4"/>
      <c r="AU57" s="76"/>
      <c r="AV57" s="76"/>
      <c r="AW57" s="76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DC57" s="126"/>
      <c r="DD57" s="126"/>
      <c r="DE57" s="126"/>
      <c r="DF57" s="126"/>
      <c r="DG57" s="126"/>
      <c r="DH57" s="126"/>
      <c r="DI57" s="126"/>
      <c r="DJ57" s="126"/>
      <c r="DZ57" s="265"/>
      <c r="FB57" s="440" t="s">
        <v>374</v>
      </c>
      <c r="FC57" s="440"/>
      <c r="FD57" s="440"/>
      <c r="FE57" s="440"/>
      <c r="FF57" s="440"/>
      <c r="FG57" s="440"/>
      <c r="FH57" s="440"/>
      <c r="FI57" s="440"/>
      <c r="FJ57" s="440"/>
      <c r="FK57" s="440"/>
      <c r="FL57" s="440"/>
      <c r="FM57" s="440"/>
      <c r="FN57" s="440"/>
      <c r="FO57" s="440"/>
      <c r="FP57" s="440"/>
      <c r="FQ57" s="440"/>
      <c r="FR57" s="440"/>
      <c r="FS57" s="440"/>
      <c r="FT57" s="440"/>
      <c r="FU57" s="440"/>
      <c r="FV57" s="440"/>
      <c r="FW57" s="440"/>
      <c r="FX57" s="440"/>
      <c r="FY57" s="440"/>
      <c r="FZ57" s="440"/>
      <c r="GA57" s="440"/>
      <c r="GB57" s="440"/>
      <c r="GC57" s="440"/>
      <c r="GD57" s="440"/>
      <c r="GE57" s="440"/>
      <c r="GF57" s="440"/>
      <c r="GG57" s="440"/>
      <c r="GH57" s="440"/>
      <c r="GI57" s="440"/>
      <c r="GJ57" s="440"/>
      <c r="GK57" s="440"/>
      <c r="GL57" s="440"/>
      <c r="GM57" s="440"/>
      <c r="GN57" s="440"/>
    </row>
    <row r="58" spans="1:196" ht="12.75" customHeight="1" thickBot="1" x14ac:dyDescent="0.3">
      <c r="A58" s="14" t="s">
        <v>28</v>
      </c>
      <c r="B58" s="3"/>
      <c r="C58" s="3"/>
      <c r="D58" s="3"/>
      <c r="AR58" s="4"/>
      <c r="AS58" s="4"/>
      <c r="AT58" s="4"/>
      <c r="AU58" s="76"/>
      <c r="AV58" s="76"/>
      <c r="AW58" s="76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X58" s="4">
        <f>BX79+BU79+BR79+BO79</f>
        <v>121804</v>
      </c>
      <c r="DC58" s="126"/>
      <c r="DD58" s="126"/>
      <c r="DE58" s="126"/>
      <c r="DF58" s="126"/>
      <c r="DG58" s="126"/>
      <c r="DH58" s="126"/>
      <c r="DI58" s="126"/>
      <c r="DJ58" s="126"/>
      <c r="FB58" s="439"/>
      <c r="FC58" s="439"/>
      <c r="FD58" s="439"/>
      <c r="FE58" s="439"/>
      <c r="FF58" s="439"/>
      <c r="FG58" s="439"/>
      <c r="FH58" s="439"/>
      <c r="FI58" s="439"/>
      <c r="FJ58" s="439"/>
      <c r="FK58" s="439"/>
      <c r="FL58" s="439"/>
      <c r="FM58" s="439"/>
      <c r="FN58" s="439"/>
      <c r="FO58" s="439"/>
      <c r="FP58" s="439"/>
      <c r="FQ58" s="439"/>
      <c r="FR58" s="439"/>
      <c r="FS58" s="439"/>
      <c r="FT58" s="439"/>
      <c r="FU58" s="439"/>
      <c r="FV58" s="439"/>
      <c r="FW58" s="439"/>
      <c r="FX58" s="439"/>
      <c r="FY58" s="439"/>
      <c r="FZ58" s="439"/>
      <c r="GA58" s="439"/>
      <c r="GB58" s="439"/>
      <c r="GC58" s="439"/>
      <c r="GD58" s="439"/>
      <c r="GE58" s="439"/>
      <c r="GF58" s="439"/>
      <c r="GG58" s="439"/>
      <c r="GH58" s="439"/>
      <c r="GI58" s="439"/>
      <c r="GJ58" s="439"/>
      <c r="GK58" s="439"/>
      <c r="GL58" s="439"/>
      <c r="GM58" s="439"/>
      <c r="GN58" s="439"/>
    </row>
    <row r="59" spans="1:196" s="185" customFormat="1" ht="24" customHeight="1" x14ac:dyDescent="0.25">
      <c r="A59" s="184"/>
      <c r="B59" s="444" t="str">
        <f>B5</f>
        <v>Situation au 31/12/2008</v>
      </c>
      <c r="C59" s="445"/>
      <c r="D59" s="446"/>
      <c r="E59" s="444" t="str">
        <f>E5</f>
        <v>Situation au 31/03/2009</v>
      </c>
      <c r="F59" s="445"/>
      <c r="G59" s="446"/>
      <c r="H59" s="444" t="str">
        <f>H5</f>
        <v>Situation au 30/06/2009</v>
      </c>
      <c r="I59" s="445"/>
      <c r="J59" s="446"/>
      <c r="K59" s="444" t="str">
        <f>K5</f>
        <v>Situation au 30/09/2009</v>
      </c>
      <c r="L59" s="445"/>
      <c r="M59" s="446"/>
      <c r="N59" s="444" t="str">
        <f>N5</f>
        <v>Situation au 31/12/2009</v>
      </c>
      <c r="O59" s="445"/>
      <c r="P59" s="445"/>
      <c r="Q59" s="444" t="str">
        <f>Q5</f>
        <v>Situation au 31/03/2010</v>
      </c>
      <c r="R59" s="445"/>
      <c r="S59" s="446"/>
      <c r="T59" s="444" t="str">
        <f>T5</f>
        <v>Situation au 30/06/2010</v>
      </c>
      <c r="U59" s="445"/>
      <c r="V59" s="446"/>
      <c r="W59" s="444" t="str">
        <f>W5</f>
        <v>Situation au 31/09/2010</v>
      </c>
      <c r="X59" s="445"/>
      <c r="Y59" s="446"/>
      <c r="Z59" s="444" t="str">
        <f>Z5</f>
        <v>Situation au 31/12/2010</v>
      </c>
      <c r="AA59" s="445"/>
      <c r="AB59" s="446"/>
      <c r="AC59" s="444" t="str">
        <f>AC5</f>
        <v>Situation au 31/03/2011</v>
      </c>
      <c r="AD59" s="445"/>
      <c r="AE59" s="446"/>
      <c r="AF59" s="444" t="str">
        <f>AF5</f>
        <v>Situation au 30/06/2011</v>
      </c>
      <c r="AG59" s="445"/>
      <c r="AH59" s="446"/>
      <c r="AI59" s="444" t="str">
        <f>AI5</f>
        <v>Situation au 30/09/2011</v>
      </c>
      <c r="AJ59" s="445"/>
      <c r="AK59" s="446"/>
      <c r="AL59" s="444" t="str">
        <f>AL5</f>
        <v>Situation au 31/12/2011</v>
      </c>
      <c r="AM59" s="445"/>
      <c r="AN59" s="446"/>
      <c r="AO59" s="444" t="str">
        <f>AO5</f>
        <v>Situation au 31/03/2012</v>
      </c>
      <c r="AP59" s="445"/>
      <c r="AQ59" s="446"/>
      <c r="AR59" s="444" t="str">
        <f>AR5</f>
        <v>Situation au 30/06/2012</v>
      </c>
      <c r="AS59" s="445"/>
      <c r="AT59" s="446"/>
      <c r="AU59" s="444" t="str">
        <f>AU5</f>
        <v>Situation au 30/09/2012</v>
      </c>
      <c r="AV59" s="445"/>
      <c r="AW59" s="446"/>
      <c r="AX59" s="444" t="str">
        <f>AX5</f>
        <v>Situation au 31/12/2012</v>
      </c>
      <c r="AY59" s="445"/>
      <c r="AZ59" s="446"/>
      <c r="BA59" s="444" t="str">
        <f>BA5</f>
        <v>Situation au 31/03/2013</v>
      </c>
      <c r="BB59" s="445"/>
      <c r="BC59" s="446"/>
      <c r="BD59" s="444" t="str">
        <f>BD5</f>
        <v>Situation au 31/06/2013</v>
      </c>
      <c r="BE59" s="445"/>
      <c r="BF59" s="446"/>
      <c r="BG59" s="444" t="str">
        <f>BG5</f>
        <v>Situation au 31/09/2013</v>
      </c>
      <c r="BH59" s="445"/>
      <c r="BI59" s="446"/>
      <c r="BJ59" s="444" t="str">
        <f>BJ5</f>
        <v>Situation au 31/12/2013</v>
      </c>
      <c r="BK59" s="445"/>
      <c r="BL59" s="446"/>
      <c r="BM59" s="444" t="str">
        <f>BM5</f>
        <v>Situation au 31/03/2014</v>
      </c>
      <c r="BN59" s="445"/>
      <c r="BO59" s="446"/>
      <c r="BP59" s="444" t="str">
        <f>BP5</f>
        <v>Situation au 30/06/2014</v>
      </c>
      <c r="BQ59" s="445"/>
      <c r="BR59" s="446"/>
      <c r="BS59" s="444" t="str">
        <f>BS5</f>
        <v>Situation au 30/09/2014</v>
      </c>
      <c r="BT59" s="445"/>
      <c r="BU59" s="446"/>
      <c r="BV59" s="444" t="str">
        <f>BV5</f>
        <v>Situation au 31/12/2014</v>
      </c>
      <c r="BW59" s="445"/>
      <c r="BX59" s="446"/>
      <c r="BY59" s="444" t="str">
        <f>BY5</f>
        <v>Situation au 31/03/2015</v>
      </c>
      <c r="BZ59" s="445"/>
      <c r="CA59" s="446"/>
      <c r="CB59" s="444" t="str">
        <f>CE5</f>
        <v>Situation au 30/09/2015</v>
      </c>
      <c r="CC59" s="445"/>
      <c r="CD59" s="446"/>
      <c r="CE59" s="444" t="str">
        <f>CE5</f>
        <v>Situation au 30/09/2015</v>
      </c>
      <c r="CF59" s="445"/>
      <c r="CG59" s="446"/>
      <c r="CH59" s="444" t="str">
        <f>CH5</f>
        <v>Situation au 31/12/2015</v>
      </c>
      <c r="CI59" s="445"/>
      <c r="CJ59" s="446"/>
      <c r="CK59" s="444" t="str">
        <f>CK5</f>
        <v>Situation au 31/03/2016</v>
      </c>
      <c r="CL59" s="445"/>
      <c r="CM59" s="446"/>
      <c r="CN59" s="444" t="str">
        <f>CN5</f>
        <v>Situation au 30/06/2016</v>
      </c>
      <c r="CO59" s="445"/>
      <c r="CP59" s="446"/>
      <c r="CQ59" s="433" t="str">
        <f>CQ5</f>
        <v>Situation au 30/09/2016</v>
      </c>
      <c r="CR59" s="434"/>
      <c r="CS59" s="435"/>
      <c r="CT59" s="433" t="str">
        <f>CT5</f>
        <v>Situation au 31/12/2016</v>
      </c>
      <c r="CU59" s="434"/>
      <c r="CV59" s="435"/>
      <c r="CW59" s="433" t="str">
        <f>CW5</f>
        <v>Situation au 31/03/2017</v>
      </c>
      <c r="CX59" s="434"/>
      <c r="CY59" s="435"/>
      <c r="CZ59" s="433" t="str">
        <f>CZ5</f>
        <v>Situation au 30/06/2017</v>
      </c>
      <c r="DA59" s="434"/>
      <c r="DB59" s="435"/>
      <c r="DC59" s="433" t="str">
        <f>DC5</f>
        <v>Situation au 30/09/2017</v>
      </c>
      <c r="DD59" s="434"/>
      <c r="DE59" s="435"/>
      <c r="DF59" s="433" t="str">
        <f>DF5</f>
        <v>Situation au 31/12/2017</v>
      </c>
      <c r="DG59" s="434"/>
      <c r="DH59" s="435"/>
      <c r="DI59" s="433" t="str">
        <f>DI5</f>
        <v>Situation au 31/03/2018</v>
      </c>
      <c r="DJ59" s="434"/>
      <c r="DK59" s="435"/>
      <c r="DL59" s="433" t="str">
        <f>DL5</f>
        <v>Situation au 30/06/2018</v>
      </c>
      <c r="DM59" s="434"/>
      <c r="DN59" s="435"/>
      <c r="DO59" s="433" t="s">
        <v>273</v>
      </c>
      <c r="DP59" s="434"/>
      <c r="DQ59" s="435"/>
      <c r="DR59" s="433" t="s">
        <v>276</v>
      </c>
      <c r="DS59" s="434"/>
      <c r="DT59" s="435"/>
      <c r="DU59" s="441" t="str">
        <f>DU5</f>
        <v>Situation au 31/03/2019</v>
      </c>
      <c r="DV59" s="442"/>
      <c r="DW59" s="443"/>
      <c r="DX59" s="441" t="str">
        <f>DX5</f>
        <v>Situation au 30/06/2019</v>
      </c>
      <c r="DY59" s="442"/>
      <c r="DZ59" s="443"/>
      <c r="EA59" s="441" t="str">
        <f>EA5</f>
        <v>Situation au 30/09/2019</v>
      </c>
      <c r="EB59" s="442"/>
      <c r="EC59" s="443"/>
      <c r="ED59" s="441" t="str">
        <f>ED5</f>
        <v>Situation au 31/12/2019</v>
      </c>
      <c r="EE59" s="442"/>
      <c r="EF59" s="443"/>
      <c r="EG59" s="441" t="str">
        <f>EG5</f>
        <v>Situation au 31/03/2020</v>
      </c>
      <c r="EH59" s="442"/>
      <c r="EI59" s="443"/>
      <c r="EJ59" s="441" t="str">
        <f>EJ5</f>
        <v>Situation au 30/06/2020</v>
      </c>
      <c r="EK59" s="442"/>
      <c r="EL59" s="443"/>
      <c r="EM59" s="441" t="str">
        <f>EM5</f>
        <v>Situation au 30/09/2020</v>
      </c>
      <c r="EN59" s="442"/>
      <c r="EO59" s="443"/>
      <c r="EP59" s="441" t="str">
        <f>EP5</f>
        <v>Situation au 31/12/2020</v>
      </c>
      <c r="EQ59" s="442"/>
      <c r="ER59" s="443"/>
      <c r="ES59" s="441" t="str">
        <f>ES5</f>
        <v>Situation au 31/03/2021</v>
      </c>
      <c r="ET59" s="442"/>
      <c r="EU59" s="443"/>
      <c r="EV59" s="441" t="str">
        <f>EV5</f>
        <v>Situation au 30/06/2021</v>
      </c>
      <c r="EW59" s="442"/>
      <c r="EX59" s="443"/>
      <c r="EY59" s="441" t="str">
        <f>EY5</f>
        <v>Situation au 30/09/2021</v>
      </c>
      <c r="EZ59" s="442"/>
      <c r="FA59" s="443"/>
      <c r="FB59" s="433" t="str">
        <f>FB5</f>
        <v>Situation au 31/12/2021</v>
      </c>
      <c r="FC59" s="434"/>
      <c r="FD59" s="435"/>
      <c r="FE59" s="433" t="str">
        <f>FE5</f>
        <v>Situation au 31/03/2022</v>
      </c>
      <c r="FF59" s="434"/>
      <c r="FG59" s="435"/>
      <c r="FH59" s="433" t="str">
        <f>FH5</f>
        <v>Situation au 30/06/2022</v>
      </c>
      <c r="FI59" s="434"/>
      <c r="FJ59" s="435"/>
      <c r="FK59" s="433" t="str">
        <f>FK5</f>
        <v>Situation au 30/09/2022</v>
      </c>
      <c r="FL59" s="434"/>
      <c r="FM59" s="435"/>
      <c r="FN59" s="433" t="str">
        <f>FN5</f>
        <v>Situation au 31/12/2022</v>
      </c>
      <c r="FO59" s="434"/>
      <c r="FP59" s="435"/>
      <c r="FQ59" s="433" t="str">
        <f>FQ5</f>
        <v>Situation au 31/03/2023</v>
      </c>
      <c r="FR59" s="434"/>
      <c r="FS59" s="435"/>
      <c r="FT59" s="433" t="str">
        <f>FT5</f>
        <v>Situation au 30/06/2023</v>
      </c>
      <c r="FU59" s="434"/>
      <c r="FV59" s="435"/>
      <c r="FW59" s="433" t="str">
        <f>FW5</f>
        <v>Situation au 30/09/2023</v>
      </c>
      <c r="FX59" s="434"/>
      <c r="FY59" s="435"/>
      <c r="FZ59" s="433" t="str">
        <f>FZ5</f>
        <v>Situation au 31/12/2023</v>
      </c>
      <c r="GA59" s="434"/>
      <c r="GB59" s="435"/>
      <c r="GC59" s="433" t="str">
        <f>GC5</f>
        <v>Situation au 31/03/2024</v>
      </c>
      <c r="GD59" s="434"/>
      <c r="GE59" s="435"/>
      <c r="GF59" s="433" t="str">
        <f>GF5</f>
        <v>Situation au 30/06/2024</v>
      </c>
      <c r="GG59" s="434"/>
      <c r="GH59" s="435"/>
      <c r="GI59" s="433" t="str">
        <f>GI5</f>
        <v>Situation au 30/09/2024</v>
      </c>
      <c r="GJ59" s="434"/>
      <c r="GK59" s="435"/>
      <c r="GL59" s="433" t="str">
        <f>GL5</f>
        <v>Situation au 31/12/2024</v>
      </c>
      <c r="GM59" s="434"/>
      <c r="GN59" s="435"/>
    </row>
    <row r="60" spans="1:196" ht="12" thickBot="1" x14ac:dyDescent="0.3">
      <c r="A60" s="3"/>
      <c r="B60" s="34" t="str">
        <f>B6</f>
        <v>Hommes</v>
      </c>
      <c r="C60" s="35" t="str">
        <f>C6</f>
        <v>Femmes</v>
      </c>
      <c r="D60" s="36" t="str">
        <f>D6</f>
        <v>Ensemble</v>
      </c>
      <c r="E60" s="34" t="str">
        <f>E6</f>
        <v>Hommes</v>
      </c>
      <c r="F60" s="35" t="str">
        <f t="shared" ref="F60:P60" si="132">F6</f>
        <v>Femmes</v>
      </c>
      <c r="G60" s="36" t="str">
        <f t="shared" si="132"/>
        <v>Ensemble</v>
      </c>
      <c r="H60" s="34" t="str">
        <f t="shared" si="132"/>
        <v>Hommes</v>
      </c>
      <c r="I60" s="35" t="str">
        <f t="shared" si="132"/>
        <v>Femmes</v>
      </c>
      <c r="J60" s="36" t="str">
        <f t="shared" si="132"/>
        <v>Ensemble</v>
      </c>
      <c r="K60" s="34" t="str">
        <f t="shared" si="132"/>
        <v>Hommes</v>
      </c>
      <c r="L60" s="35" t="str">
        <f t="shared" si="132"/>
        <v>Femmes</v>
      </c>
      <c r="M60" s="36" t="str">
        <f t="shared" si="132"/>
        <v>Ensemble</v>
      </c>
      <c r="N60" s="34" t="str">
        <f t="shared" si="132"/>
        <v>Hommes</v>
      </c>
      <c r="O60" s="35" t="str">
        <f t="shared" si="132"/>
        <v>Femmes</v>
      </c>
      <c r="P60" s="37" t="str">
        <f t="shared" si="132"/>
        <v>Ensemble</v>
      </c>
      <c r="Q60" s="34" t="str">
        <f>Q6</f>
        <v>Hommes</v>
      </c>
      <c r="R60" s="35" t="str">
        <f>R6</f>
        <v>Femmes</v>
      </c>
      <c r="S60" s="36" t="str">
        <f>S6</f>
        <v>Ensemble</v>
      </c>
      <c r="T60" s="34" t="str">
        <f>T6</f>
        <v>Hommes</v>
      </c>
      <c r="U60" s="35" t="str">
        <f>U6</f>
        <v>Femmes</v>
      </c>
      <c r="V60" s="36" t="str">
        <f>V6</f>
        <v>Ensemble</v>
      </c>
      <c r="W60" s="34" t="str">
        <f>W6</f>
        <v>Hommes</v>
      </c>
      <c r="X60" s="35" t="str">
        <f>X6</f>
        <v>Femmes</v>
      </c>
      <c r="Y60" s="36" t="str">
        <f>Y6</f>
        <v>Ensemble</v>
      </c>
      <c r="Z60" s="34" t="str">
        <f>Z6</f>
        <v>Hommes</v>
      </c>
      <c r="AA60" s="35" t="str">
        <f>AA6</f>
        <v>Femmes</v>
      </c>
      <c r="AB60" s="36" t="str">
        <f>AB6</f>
        <v>Ensemble</v>
      </c>
      <c r="AC60" s="34" t="str">
        <f>AC6</f>
        <v>Hommes</v>
      </c>
      <c r="AD60" s="35" t="str">
        <f>AD6</f>
        <v>Femmes</v>
      </c>
      <c r="AE60" s="36" t="str">
        <f>AE6</f>
        <v>Ensemble</v>
      </c>
      <c r="AF60" s="34" t="str">
        <f>AF6</f>
        <v>Hommes</v>
      </c>
      <c r="AG60" s="35" t="str">
        <f>AG6</f>
        <v>Femmes</v>
      </c>
      <c r="AH60" s="36" t="str">
        <f>AH6</f>
        <v>Ensemble</v>
      </c>
      <c r="AI60" s="34" t="str">
        <f>AI6</f>
        <v>Hommes</v>
      </c>
      <c r="AJ60" s="35" t="str">
        <f>AJ6</f>
        <v>Femmes</v>
      </c>
      <c r="AK60" s="36" t="str">
        <f>AK6</f>
        <v>Ensemble</v>
      </c>
      <c r="AL60" s="34" t="str">
        <f>AL6</f>
        <v>Hommes</v>
      </c>
      <c r="AM60" s="35" t="str">
        <f>AM6</f>
        <v>Femmes</v>
      </c>
      <c r="AN60" s="36" t="str">
        <f>AN6</f>
        <v>Ensemble</v>
      </c>
      <c r="AO60" s="34" t="str">
        <f>AO6</f>
        <v>Hommes</v>
      </c>
      <c r="AP60" s="35" t="str">
        <f>AP6</f>
        <v>Femmes</v>
      </c>
      <c r="AQ60" s="36" t="str">
        <f>AQ6</f>
        <v>Ensemble</v>
      </c>
      <c r="AR60" s="34" t="str">
        <f>AR6</f>
        <v>Hommes</v>
      </c>
      <c r="AS60" s="35" t="str">
        <f>AS6</f>
        <v>Femmes</v>
      </c>
      <c r="AT60" s="36" t="str">
        <f>AT6</f>
        <v>Ensemble</v>
      </c>
      <c r="AU60" s="34" t="str">
        <f>AU6</f>
        <v>Hommes</v>
      </c>
      <c r="AV60" s="35" t="str">
        <f>AV6</f>
        <v>Femmes</v>
      </c>
      <c r="AW60" s="36" t="str">
        <f>AW6</f>
        <v>Ensemble</v>
      </c>
      <c r="AX60" s="34" t="str">
        <f>AX6</f>
        <v>Hommes</v>
      </c>
      <c r="AY60" s="35" t="str">
        <f>AY6</f>
        <v>Femmes</v>
      </c>
      <c r="AZ60" s="36" t="str">
        <f>AZ6</f>
        <v>Ensemble</v>
      </c>
      <c r="BA60" s="34" t="str">
        <f>BA6</f>
        <v>Hommes</v>
      </c>
      <c r="BB60" s="35" t="str">
        <f>BB6</f>
        <v>Femmes</v>
      </c>
      <c r="BC60" s="36" t="str">
        <f>BC6</f>
        <v>Ensemble</v>
      </c>
      <c r="BD60" s="34" t="str">
        <f>BD6</f>
        <v>Hommes</v>
      </c>
      <c r="BE60" s="35" t="str">
        <f>BE6</f>
        <v>Femmes</v>
      </c>
      <c r="BF60" s="36" t="str">
        <f>BF6</f>
        <v>Ensemble</v>
      </c>
      <c r="BG60" s="34" t="str">
        <f>BG6</f>
        <v>Hommes</v>
      </c>
      <c r="BH60" s="35" t="str">
        <f>BH6</f>
        <v>Femmes</v>
      </c>
      <c r="BI60" s="36" t="str">
        <f>BI6</f>
        <v>Ensemble</v>
      </c>
      <c r="BJ60" s="34" t="str">
        <f>BJ6</f>
        <v>Hommes</v>
      </c>
      <c r="BK60" s="35" t="str">
        <f>BK6</f>
        <v>Femmes</v>
      </c>
      <c r="BL60" s="36" t="str">
        <f>BL6</f>
        <v>Ensemble</v>
      </c>
      <c r="BM60" s="34" t="str">
        <f>BM6</f>
        <v>Hommes</v>
      </c>
      <c r="BN60" s="35" t="str">
        <f>BN6</f>
        <v>Femmes</v>
      </c>
      <c r="BO60" s="36" t="str">
        <f>BO6</f>
        <v>Ensemble</v>
      </c>
      <c r="BP60" s="34" t="str">
        <f>BP6</f>
        <v>Hommes</v>
      </c>
      <c r="BQ60" s="35" t="str">
        <f>BQ6</f>
        <v>Femmes</v>
      </c>
      <c r="BR60" s="36" t="str">
        <f>BR6</f>
        <v>Ensemble</v>
      </c>
      <c r="BS60" s="34" t="str">
        <f>BS6</f>
        <v>Hommes</v>
      </c>
      <c r="BT60" s="35" t="str">
        <f>BT6</f>
        <v>Femmes</v>
      </c>
      <c r="BU60" s="36" t="str">
        <f>BU6</f>
        <v>Ensemble</v>
      </c>
      <c r="BV60" s="34" t="str">
        <f>BV6</f>
        <v>Hommes</v>
      </c>
      <c r="BW60" s="35" t="str">
        <f>BW6</f>
        <v>Femmes</v>
      </c>
      <c r="BX60" s="36" t="str">
        <f>BX6</f>
        <v>Ensemble</v>
      </c>
      <c r="BY60" s="34" t="str">
        <f>BY6</f>
        <v>Hommes</v>
      </c>
      <c r="BZ60" s="35" t="str">
        <f>BZ6</f>
        <v>Femmes</v>
      </c>
      <c r="CA60" s="36" t="str">
        <f>CA6</f>
        <v>Ensemble</v>
      </c>
      <c r="CB60" s="34" t="str">
        <f>CE6</f>
        <v>Hommes</v>
      </c>
      <c r="CC60" s="35" t="str">
        <f>CF6</f>
        <v>Femmes</v>
      </c>
      <c r="CD60" s="36" t="str">
        <f>CG6</f>
        <v>Ensemble</v>
      </c>
      <c r="CE60" s="34" t="str">
        <f>CE6</f>
        <v>Hommes</v>
      </c>
      <c r="CF60" s="35" t="str">
        <f>CF6</f>
        <v>Femmes</v>
      </c>
      <c r="CG60" s="36" t="str">
        <f>CG6</f>
        <v>Ensemble</v>
      </c>
      <c r="CH60" s="34" t="str">
        <f>CH6</f>
        <v>Hommes</v>
      </c>
      <c r="CI60" s="35" t="str">
        <f>CI6</f>
        <v>Femmes</v>
      </c>
      <c r="CJ60" s="36" t="str">
        <f>CJ6</f>
        <v>Ensemble</v>
      </c>
      <c r="CK60" s="34" t="str">
        <f>CK6</f>
        <v>Hommes</v>
      </c>
      <c r="CL60" s="35" t="str">
        <f>CL6</f>
        <v>Femmes</v>
      </c>
      <c r="CM60" s="36" t="str">
        <f>CM6</f>
        <v>Ensemble</v>
      </c>
      <c r="CN60" s="34" t="str">
        <f>CQ6</f>
        <v>Hommes</v>
      </c>
      <c r="CO60" s="35" t="str">
        <f>CO6</f>
        <v>Femmes</v>
      </c>
      <c r="CP60" s="36" t="str">
        <f>CS6</f>
        <v>Ensemble</v>
      </c>
      <c r="CQ60" s="129" t="str">
        <f>CQ6</f>
        <v>Hommes</v>
      </c>
      <c r="CR60" s="130" t="str">
        <f>CR6</f>
        <v>Femmes</v>
      </c>
      <c r="CS60" s="131" t="str">
        <f>CS6</f>
        <v>Ensemble</v>
      </c>
      <c r="CT60" s="129" t="str">
        <f>CT6</f>
        <v>Hommes</v>
      </c>
      <c r="CU60" s="130" t="str">
        <f>CU6</f>
        <v>Femmes</v>
      </c>
      <c r="CV60" s="131" t="str">
        <f>CV6</f>
        <v>Ensemble</v>
      </c>
      <c r="CW60" s="129" t="str">
        <f>CW6</f>
        <v>Hommes</v>
      </c>
      <c r="CX60" s="130" t="str">
        <f>CX6</f>
        <v>Femmes</v>
      </c>
      <c r="CY60" s="131" t="str">
        <f>CY6</f>
        <v>Ensemble</v>
      </c>
      <c r="CZ60" s="129" t="str">
        <f>CZ6</f>
        <v>Hommes</v>
      </c>
      <c r="DA60" s="130" t="str">
        <f>DA6</f>
        <v>Femmes</v>
      </c>
      <c r="DB60" s="131" t="str">
        <f>DB6</f>
        <v>Ensemble</v>
      </c>
      <c r="DC60" s="129" t="str">
        <f>DC6</f>
        <v>Hommes</v>
      </c>
      <c r="DD60" s="130" t="str">
        <f>DD6</f>
        <v>Femmes</v>
      </c>
      <c r="DE60" s="131" t="str">
        <f>DE6</f>
        <v>Ensemble</v>
      </c>
      <c r="DF60" s="129" t="str">
        <f>DF6</f>
        <v>Hommes</v>
      </c>
      <c r="DG60" s="130" t="str">
        <f>DG6</f>
        <v>Femmes</v>
      </c>
      <c r="DH60" s="131" t="str">
        <f>DH6</f>
        <v>Ensemble</v>
      </c>
      <c r="DI60" s="129" t="str">
        <f>DI6</f>
        <v>Hommes</v>
      </c>
      <c r="DJ60" s="130" t="str">
        <f>DJ6</f>
        <v>Femmes</v>
      </c>
      <c r="DK60" s="131" t="str">
        <f>DK6</f>
        <v>Ensemble</v>
      </c>
      <c r="DL60" s="129" t="str">
        <f>DL6</f>
        <v>Hommes</v>
      </c>
      <c r="DM60" s="130" t="str">
        <f>DM6</f>
        <v>Femmes</v>
      </c>
      <c r="DN60" s="131" t="str">
        <f>DN6</f>
        <v>Ensemble</v>
      </c>
      <c r="DO60" s="129" t="s">
        <v>0</v>
      </c>
      <c r="DP60" s="130" t="s">
        <v>1</v>
      </c>
      <c r="DQ60" s="131" t="s">
        <v>5</v>
      </c>
      <c r="DR60" s="129" t="s">
        <v>0</v>
      </c>
      <c r="DS60" s="130" t="s">
        <v>1</v>
      </c>
      <c r="DT60" s="131" t="s">
        <v>5</v>
      </c>
      <c r="DU60" s="199" t="str">
        <f>DU6</f>
        <v>Hommes</v>
      </c>
      <c r="DV60" s="200" t="str">
        <f>DV6</f>
        <v>Femmes</v>
      </c>
      <c r="DW60" s="201" t="str">
        <f>DW6</f>
        <v>Ensemble</v>
      </c>
      <c r="DX60" s="199" t="str">
        <f>DX6</f>
        <v>Hommes</v>
      </c>
      <c r="DY60" s="200" t="str">
        <f>DY6</f>
        <v>Femmes</v>
      </c>
      <c r="DZ60" s="201" t="str">
        <f>DZ6</f>
        <v>Ensemble</v>
      </c>
      <c r="EA60" s="199" t="str">
        <f>EA6</f>
        <v>Hommes</v>
      </c>
      <c r="EB60" s="200" t="str">
        <f>EB6</f>
        <v>Femmes</v>
      </c>
      <c r="EC60" s="201" t="str">
        <f>EC6</f>
        <v>Ensemble</v>
      </c>
      <c r="ED60" s="199" t="str">
        <f>ED6</f>
        <v>Hommes</v>
      </c>
      <c r="EE60" s="200" t="str">
        <f>EE6</f>
        <v>Femmes</v>
      </c>
      <c r="EF60" s="201" t="str">
        <f>EF6</f>
        <v>Ensemble</v>
      </c>
      <c r="EG60" s="199" t="str">
        <f>EG6</f>
        <v>Hommes</v>
      </c>
      <c r="EH60" s="200" t="str">
        <f>EH6</f>
        <v>Femmes</v>
      </c>
      <c r="EI60" s="201" t="str">
        <f>EI6</f>
        <v>Ensemble</v>
      </c>
      <c r="EJ60" s="199" t="str">
        <f>EJ6</f>
        <v>Hommes</v>
      </c>
      <c r="EK60" s="200" t="str">
        <f>EK6</f>
        <v>Femmes</v>
      </c>
      <c r="EL60" s="201" t="str">
        <f>EL6</f>
        <v>Ensemble</v>
      </c>
      <c r="EM60" s="199" t="str">
        <f>EM6</f>
        <v>Hommes</v>
      </c>
      <c r="EN60" s="200" t="str">
        <f>EN6</f>
        <v>Femmes</v>
      </c>
      <c r="EO60" s="201" t="str">
        <f>EO6</f>
        <v>Ensemble</v>
      </c>
      <c r="EP60" s="199" t="str">
        <f>EP6</f>
        <v>Hommes</v>
      </c>
      <c r="EQ60" s="200" t="str">
        <f>EQ6</f>
        <v>Femmes</v>
      </c>
      <c r="ER60" s="201" t="str">
        <f>ER6</f>
        <v>Ensemble</v>
      </c>
      <c r="ES60" s="199" t="str">
        <f>ES6</f>
        <v>Hommes</v>
      </c>
      <c r="ET60" s="200" t="str">
        <f>ET6</f>
        <v>Femmes</v>
      </c>
      <c r="EU60" s="201" t="str">
        <f>EU6</f>
        <v>Ensemble</v>
      </c>
      <c r="EV60" s="199" t="str">
        <f>EV6</f>
        <v>Hommes</v>
      </c>
      <c r="EW60" s="200" t="str">
        <f>EW6</f>
        <v>Femmes</v>
      </c>
      <c r="EX60" s="201" t="str">
        <f>EX6</f>
        <v>Ensemble</v>
      </c>
      <c r="EY60" s="199" t="str">
        <f>EY6</f>
        <v>Hommes</v>
      </c>
      <c r="EZ60" s="200" t="str">
        <f>EZ6</f>
        <v>Femmes</v>
      </c>
      <c r="FA60" s="201" t="str">
        <f>FA6</f>
        <v>Ensemble</v>
      </c>
      <c r="FB60" s="199" t="str">
        <f>FB6</f>
        <v>Hommes</v>
      </c>
      <c r="FC60" s="200" t="str">
        <f>FC6</f>
        <v>Femmes</v>
      </c>
      <c r="FD60" s="201" t="str">
        <f>FD6</f>
        <v>Ensemble</v>
      </c>
      <c r="FE60" s="199" t="str">
        <f>FE6</f>
        <v>Hommes</v>
      </c>
      <c r="FF60" s="200" t="str">
        <f>FF6</f>
        <v>Femmes</v>
      </c>
      <c r="FG60" s="201" t="str">
        <f>FG6</f>
        <v>Ensemble</v>
      </c>
      <c r="FH60" s="199" t="str">
        <f>FH6</f>
        <v>Hommes</v>
      </c>
      <c r="FI60" s="200" t="str">
        <f>FI6</f>
        <v>Femmes</v>
      </c>
      <c r="FJ60" s="201" t="str">
        <f>FJ6</f>
        <v>Ensemble</v>
      </c>
      <c r="FK60" s="199" t="str">
        <f>FK6</f>
        <v>Hommes</v>
      </c>
      <c r="FL60" s="200" t="str">
        <f>FL6</f>
        <v>Femmes</v>
      </c>
      <c r="FM60" s="201" t="str">
        <f>FM6</f>
        <v>Ensemble</v>
      </c>
      <c r="FN60" s="129" t="str">
        <f>FN6</f>
        <v>Hommes</v>
      </c>
      <c r="FO60" s="130" t="str">
        <f>FO6</f>
        <v>Femmes</v>
      </c>
      <c r="FP60" s="131" t="str">
        <f>FP6</f>
        <v>Ensemble</v>
      </c>
      <c r="FQ60" s="129" t="str">
        <f>FQ6</f>
        <v>Hommes</v>
      </c>
      <c r="FR60" s="366" t="str">
        <f>FR6</f>
        <v>Femmes</v>
      </c>
      <c r="FS60" s="131" t="str">
        <f>FS6</f>
        <v>Ensemble</v>
      </c>
      <c r="FT60" s="129" t="str">
        <f>FT6</f>
        <v>Hommes</v>
      </c>
      <c r="FU60" s="383" t="str">
        <f>FU6</f>
        <v>Femmes</v>
      </c>
      <c r="FV60" s="131" t="str">
        <f>FV6</f>
        <v>Ensemble</v>
      </c>
      <c r="FW60" s="129" t="str">
        <f>FW6</f>
        <v>Hommes</v>
      </c>
      <c r="FX60" s="385" t="str">
        <f>FX6</f>
        <v>Femmes</v>
      </c>
      <c r="FY60" s="131" t="str">
        <f>FY6</f>
        <v>Ensemble</v>
      </c>
      <c r="FZ60" s="129" t="str">
        <f>FZ6</f>
        <v>Hommes</v>
      </c>
      <c r="GA60" s="386" t="str">
        <f>GA6</f>
        <v>Femmes</v>
      </c>
      <c r="GB60" s="131" t="str">
        <f>GB6</f>
        <v>Ensemble</v>
      </c>
      <c r="GC60" s="129" t="str">
        <f>GC6</f>
        <v>Hommes</v>
      </c>
      <c r="GD60" s="391" t="str">
        <f>GD6</f>
        <v>Femmes</v>
      </c>
      <c r="GE60" s="131" t="str">
        <f>GE6</f>
        <v>Ensemble</v>
      </c>
      <c r="GF60" s="129" t="str">
        <f>GF6</f>
        <v>Hommes</v>
      </c>
      <c r="GG60" s="392" t="str">
        <f>GG6</f>
        <v>Femmes</v>
      </c>
      <c r="GH60" s="131" t="str">
        <f>GH6</f>
        <v>Ensemble</v>
      </c>
      <c r="GI60" s="129" t="str">
        <f>GI6</f>
        <v>Hommes</v>
      </c>
      <c r="GJ60" s="393" t="str">
        <f>GJ6</f>
        <v>Femmes</v>
      </c>
      <c r="GK60" s="131" t="str">
        <f>GK6</f>
        <v>Ensemble</v>
      </c>
      <c r="GL60" s="129" t="str">
        <f>GL6</f>
        <v>Hommes</v>
      </c>
      <c r="GM60" s="394" t="str">
        <f>GM6</f>
        <v>Femmes</v>
      </c>
      <c r="GN60" s="131" t="str">
        <f>GN6</f>
        <v>Ensemble</v>
      </c>
    </row>
    <row r="61" spans="1:196" x14ac:dyDescent="0.25">
      <c r="A61" s="38" t="s">
        <v>2</v>
      </c>
      <c r="B61" s="18">
        <f>[1]SAS_SA_4T2008!$H$153</f>
        <v>10869.96</v>
      </c>
      <c r="C61" s="19">
        <f>[1]SAS_SA_4T2008!$H$155</f>
        <v>11984.32</v>
      </c>
      <c r="D61" s="42">
        <f>[1]SAS_SA_4T2008!$H$149</f>
        <v>11111.2</v>
      </c>
      <c r="E61" s="18">
        <f>[2]SAS_SA_1T2009!$H$153</f>
        <v>10893.52</v>
      </c>
      <c r="F61" s="19">
        <f>[2]SAS_SA_1T2009!$H$155</f>
        <v>12008.16</v>
      </c>
      <c r="G61" s="42">
        <f>[2]SAS_SA_1T2009!$H$149</f>
        <v>11138.04</v>
      </c>
      <c r="H61" s="18">
        <f>[64]SAS_SA_2T2009!$H$153</f>
        <v>11042.84</v>
      </c>
      <c r="I61" s="19">
        <f>[64]SAS_SA_2T2009!$H$155</f>
        <v>12150.84</v>
      </c>
      <c r="J61" s="42">
        <f>[64]SAS_SA_2T2009!$H$149</f>
        <v>11288.88</v>
      </c>
      <c r="K61" s="18">
        <f>[3]SAS_SA_3T2009!$H$153</f>
        <v>11069.24</v>
      </c>
      <c r="L61" s="19">
        <f>[3]SAS_SA_3T2009!$H$155</f>
        <v>12177.48</v>
      </c>
      <c r="M61" s="42">
        <f>[3]SAS_SA_3T2009!$H$149</f>
        <v>11318.52</v>
      </c>
      <c r="N61" s="18">
        <f>[4]SAS_SA_4T2009!$H$153</f>
        <v>11092.52</v>
      </c>
      <c r="O61" s="19">
        <f>[4]SAS_SA_4T2009!$H$155</f>
        <v>12184.2</v>
      </c>
      <c r="P61" s="20">
        <f>[4]SAS_SA_4T2009!$H$149</f>
        <v>11339.96</v>
      </c>
      <c r="Q61" s="18">
        <f>[5]SAS_SA_1T2010!$H$153</f>
        <v>11129.72</v>
      </c>
      <c r="R61" s="19">
        <f>[5]SAS_SA_1T2010!$H$155</f>
        <v>12196.68</v>
      </c>
      <c r="S61" s="20">
        <f>[5]SAS_SA_1T2010!$H$149</f>
        <v>11374.44</v>
      </c>
      <c r="T61" s="18">
        <f>[65]SAS_SA_2T2010!$H$153</f>
        <v>11272.04</v>
      </c>
      <c r="U61" s="19">
        <f>[65]SAS_SA_2T2010!$H$155</f>
        <v>12329.8</v>
      </c>
      <c r="V61" s="20">
        <f>[65]SAS_SA_2T2010!$H$149</f>
        <v>11518.04</v>
      </c>
      <c r="W61" s="18">
        <f>[6]SAS_SA_3T2010!$H$153</f>
        <v>11300</v>
      </c>
      <c r="X61" s="19">
        <f>[6]SAS_SA_3T2010!$H$155</f>
        <v>12352.6</v>
      </c>
      <c r="Y61" s="20">
        <f>[6]SAS_SA_3T2010!$H$149</f>
        <v>11547.76</v>
      </c>
      <c r="Z61" s="18">
        <f>[7]SAS_SA_2010_4T!$H$153</f>
        <v>11332.44</v>
      </c>
      <c r="AA61" s="19">
        <f>[7]SAS_SA_2010_4T!$H$155</f>
        <v>12374.92</v>
      </c>
      <c r="AB61" s="42">
        <f>[7]SAS_SA_2010_4T!$H$149</f>
        <v>11580.16</v>
      </c>
      <c r="AC61" s="18">
        <f>[8]SAS_SA_2011_1T!$H$146</f>
        <v>11365.76</v>
      </c>
      <c r="AD61" s="19">
        <f>[8]SAS_SA_2011_1T!$H$148</f>
        <v>12402.48</v>
      </c>
      <c r="AE61" s="42">
        <f>[8]SAS_SA_2011_1T!$H$142</f>
        <v>11614.52</v>
      </c>
      <c r="AF61" s="18">
        <f>[9]SAS_SA_2011_2T!$H$146</f>
        <v>11650.36</v>
      </c>
      <c r="AG61" s="19">
        <f>[9]SAS_SA_2011_2T!$H$148</f>
        <v>12691.44</v>
      </c>
      <c r="AH61" s="42">
        <f>[9]SAS_SA_2011_2T!$H$142</f>
        <v>11902.92</v>
      </c>
      <c r="AI61" s="18">
        <f>[10]SAS_SA_2011_3T!$H$146</f>
        <v>11642.28</v>
      </c>
      <c r="AJ61" s="19">
        <f>[10]SAS_SA_2011_3T!$H$148</f>
        <v>12682.4</v>
      </c>
      <c r="AK61" s="42">
        <f>[10]SAS_SA_2011_3T!$H$142</f>
        <v>11894.64</v>
      </c>
      <c r="AL61" s="18">
        <f>[11]SAS_SA_2011_4T!$H$146</f>
        <v>11693.2</v>
      </c>
      <c r="AM61" s="19">
        <f>[11]SAS_SA_2011_4T!$H$148</f>
        <v>12707.84</v>
      </c>
      <c r="AN61" s="42">
        <f>[11]SAS_SA_2011_4T!$H$142</f>
        <v>11943.04</v>
      </c>
      <c r="AO61" s="18">
        <f>'[12]120612-17H07S59-PROGRAM-TdB_STO'!$H$146</f>
        <v>11724.64</v>
      </c>
      <c r="AP61" s="19">
        <f>'[12]120612-17H07S59-PROGRAM-TdB_STO'!$H$148</f>
        <v>12738.4</v>
      </c>
      <c r="AQ61" s="42">
        <f>'[12]120612-17H07S59-PROGRAM-TdB_STO'!$H$142</f>
        <v>11976.76</v>
      </c>
      <c r="AR61" s="18">
        <f>[13]SAS_SA_2012_2T!$H$146</f>
        <v>12008.64</v>
      </c>
      <c r="AS61" s="19">
        <f>[13]SAS_SA_2012_2T!$H$148</f>
        <v>13029.16</v>
      </c>
      <c r="AT61" s="42">
        <f>[13]SAS_SA_2012_2T!$H$142</f>
        <v>12264.68</v>
      </c>
      <c r="AU61" s="18">
        <f>'[14]121105-09H31S06-PROGRAM-TdB_STO'!$H$146</f>
        <v>12036.36</v>
      </c>
      <c r="AV61" s="19">
        <f>'[14]121105-09H31S06-PROGRAM-TdB_STO'!$H$148</f>
        <v>13040.76</v>
      </c>
      <c r="AW61" s="42">
        <f>'[14]121105-09H31S06-PROGRAM-TdB_STO'!$H$142</f>
        <v>12289.48</v>
      </c>
      <c r="AX61" s="18">
        <f>[15]SAS_SA_2012_4T!$H$146</f>
        <v>12066.4</v>
      </c>
      <c r="AY61" s="19">
        <f>[15]SAS_SA_2012_4T!$H$148</f>
        <v>13065.24</v>
      </c>
      <c r="AZ61" s="42">
        <f>[15]SAS_SA_2012_4T!$H$142</f>
        <v>12320.36</v>
      </c>
      <c r="BA61" s="18">
        <f>[16]SAS_SA_2013_1T!$H$146</f>
        <v>12108.72</v>
      </c>
      <c r="BB61" s="19">
        <f>[16]SAS_SA_2013_1T!$H$148</f>
        <v>13096.64</v>
      </c>
      <c r="BC61" s="42">
        <f>[16]SAS_SA_2013_1T!$H$142</f>
        <v>12362.96</v>
      </c>
      <c r="BD61" s="18">
        <f>[17]SAS_SA_2013_2T!$H$146</f>
        <v>12310.16</v>
      </c>
      <c r="BE61" s="19">
        <f>[17]SAS_SA_2013_2T!$H$148</f>
        <v>13290.52</v>
      </c>
      <c r="BF61" s="42">
        <f>[17]SAS_SA_2013_2T!$H$142</f>
        <v>12565.36</v>
      </c>
      <c r="BG61" s="18">
        <f>[18]SAS_SA_2013_3T!$H$146</f>
        <v>12352.4</v>
      </c>
      <c r="BH61" s="19">
        <f>[18]SAS_SA_2013_3T!$H$148</f>
        <v>13321.64</v>
      </c>
      <c r="BI61" s="42">
        <f>[18]SAS_SA_2013_3T!$H$142</f>
        <v>12607.56</v>
      </c>
      <c r="BJ61" s="18">
        <f>[19]SAS_SA_2013_4T!$H$146</f>
        <v>12386.6</v>
      </c>
      <c r="BK61" s="19">
        <f>[19]SAS_SA_2013_4T!$H$148</f>
        <v>13345.56</v>
      </c>
      <c r="BL61" s="42">
        <f>[19]SAS_SA_2013_4T!$H$142</f>
        <v>12640.8</v>
      </c>
      <c r="BM61" s="18">
        <f>[20]SAS_SA_2014_1T!$H$146</f>
        <v>12420.68</v>
      </c>
      <c r="BN61" s="19">
        <f>[20]SAS_SA_2014_1T!$H$148</f>
        <v>13375.44</v>
      </c>
      <c r="BO61" s="42">
        <f>[20]SAS_SA_2014_1T!$H$142</f>
        <v>12675.16</v>
      </c>
      <c r="BP61" s="18">
        <f>[21]SAS_SA_2014_2T!$H$146</f>
        <v>12458.28</v>
      </c>
      <c r="BQ61" s="19">
        <f>[21]SAS_SA_2014_2T!$H$148</f>
        <v>13398.08</v>
      </c>
      <c r="BR61" s="42">
        <f>[21]SAS_SA_2014_2T!$H$142</f>
        <v>12711.72</v>
      </c>
      <c r="BS61" s="18">
        <f>[22]SAS_SA_2014_3T!$H$146</f>
        <v>12495.52</v>
      </c>
      <c r="BT61" s="19">
        <f>[22]SAS_SA_2014_3T!$H$148</f>
        <v>13420.92</v>
      </c>
      <c r="BU61" s="42">
        <f>[22]SAS_SA_2014_3T!$H$142</f>
        <v>12747.4</v>
      </c>
      <c r="BV61" s="18">
        <f>[23]SAS_SA_2014_4T!$H$146</f>
        <v>12528.6</v>
      </c>
      <c r="BW61" s="19">
        <f>[23]SAS_SA_2014_4T!$H$148</f>
        <v>13431.76</v>
      </c>
      <c r="BX61" s="42">
        <f>[23]SAS_SA_2014_4T!$H$142</f>
        <v>12776.04</v>
      </c>
      <c r="BY61" s="18">
        <f>[24]SAS_SA_2015_1T!$H$146</f>
        <v>12566.64</v>
      </c>
      <c r="BZ61" s="19">
        <f>[24]SAS_SA_2015_1T!$H$148</f>
        <v>13453.16</v>
      </c>
      <c r="CA61" s="42">
        <f>[24]SAS_SA_2015_1T!$H$142</f>
        <v>12811.72</v>
      </c>
      <c r="CB61" s="18">
        <f>[25]SAS_SA_2015_2T!$H$146</f>
        <v>12601.56</v>
      </c>
      <c r="CC61" s="19">
        <f>[25]SAS_SA_2015_2T!$H$148</f>
        <v>13478.28</v>
      </c>
      <c r="CD61" s="42">
        <f>[25]SAS_SA_2015_2T!$H$142</f>
        <v>12846</v>
      </c>
      <c r="CE61" s="18">
        <f>[26]SAS_SA_2015_3T!$H$146</f>
        <v>12636.36</v>
      </c>
      <c r="CF61" s="19">
        <f>[26]SAS_SA_2015_3T!$H$148</f>
        <v>13496.84</v>
      </c>
      <c r="CG61" s="42">
        <f>[26]SAS_SA_2015_3T!$H$142</f>
        <v>12878.32</v>
      </c>
      <c r="CH61" s="18">
        <f>[27]SAS_SA_2015_4T!$H$146</f>
        <v>12675.52</v>
      </c>
      <c r="CI61" s="19">
        <f>[27]SAS_SA_2015_4T!$H$148</f>
        <v>13514.36</v>
      </c>
      <c r="CJ61" s="42">
        <f>[27]SAS_SA_2015_4T!$H$142</f>
        <v>12913.08</v>
      </c>
      <c r="CK61" s="18">
        <f>[28]SAS_SA_2016_1T!$H$146</f>
        <v>12716</v>
      </c>
      <c r="CL61" s="19">
        <f>[28]SAS_SA_2016_1T!$H$148</f>
        <v>13527.92</v>
      </c>
      <c r="CM61" s="42">
        <f>[28]SAS_SA_2016_1T!$H$142</f>
        <v>12948.04</v>
      </c>
      <c r="CN61" s="18">
        <f>'[29]160822-11H12S04-PROGRAM-TdB_STO'!$H$146</f>
        <v>12751.36</v>
      </c>
      <c r="CO61" s="19">
        <f>'[29]160822-11H12S04-PROGRAM-TdB_STO'!$H$148</f>
        <v>13546.2</v>
      </c>
      <c r="CP61" s="42">
        <f>'[29]160822-11H12S04-PROGRAM-TdB_STO'!$H$142</f>
        <v>12980.16</v>
      </c>
      <c r="CQ61" s="141">
        <f>[30]SAS_SA_2016_3T!$H$146</f>
        <v>12787.32</v>
      </c>
      <c r="CR61" s="142">
        <f>[30]SAS_SA_2016_3T!$H$148</f>
        <v>13562.48</v>
      </c>
      <c r="CS61" s="143">
        <f>[30]SAS_SA_2016_3T!$H$142</f>
        <v>13012.12</v>
      </c>
      <c r="CT61" s="141">
        <f>[31]SAS_SA_2016_4T!$H$146</f>
        <v>12812.2</v>
      </c>
      <c r="CU61" s="142">
        <f>[31]SAS_SA_2016_4T!$H$148</f>
        <v>13567.32</v>
      </c>
      <c r="CV61" s="143">
        <f>[31]SAS_SA_2016_4T!$H$142</f>
        <v>13032.52</v>
      </c>
      <c r="CW61" s="141">
        <f>[32]SAS_SA_2017_1T!$H$146</f>
        <v>12851.52</v>
      </c>
      <c r="CX61" s="142">
        <f>[32]SAS_SA_2017_1T!$H$148</f>
        <v>13577.52</v>
      </c>
      <c r="CY61" s="143">
        <f>[32]SAS_SA_2017_1T!$H$142</f>
        <v>13064.88</v>
      </c>
      <c r="CZ61" s="141">
        <f>[33]SAS_SA_2017_2T!$H$146</f>
        <v>12882.68</v>
      </c>
      <c r="DA61" s="142">
        <f>[33]SAS_SA_2017_2T!$H$148</f>
        <v>13588.72</v>
      </c>
      <c r="DB61" s="143">
        <f>[33]SAS_SA_2017_2T!$H$142</f>
        <v>13091.52</v>
      </c>
      <c r="DC61" s="141">
        <f>[34]SAS_SA_2017_3T!$H$146</f>
        <v>12908.64</v>
      </c>
      <c r="DD61" s="142">
        <f>[34]SAS_SA_2017_3T!$H$148</f>
        <v>13598.84</v>
      </c>
      <c r="DE61" s="143">
        <f>[34]SAS_SA_2017_3T!$H$142</f>
        <v>13113.6</v>
      </c>
      <c r="DF61" s="141">
        <f>[35]SAS_SA_2017_4T!$H$146</f>
        <v>13028.08</v>
      </c>
      <c r="DG61" s="142">
        <f>[35]SAS_SA_2017_4T!$H$148</f>
        <v>13716.28</v>
      </c>
      <c r="DH61" s="143">
        <f>[35]SAS_SA_2017_4T!$H$142</f>
        <v>13232.96</v>
      </c>
      <c r="DI61" s="141">
        <f>[36]SAS_SA_2018_1T!$G$146*4</f>
        <v>13053.04</v>
      </c>
      <c r="DJ61" s="142">
        <f>[36]SAS_SA_2018_1T!$G$148*4</f>
        <v>13734.88</v>
      </c>
      <c r="DK61" s="143">
        <f>[36]SAS_SA_2018_1T!$G$142*4</f>
        <v>13256.84</v>
      </c>
      <c r="DL61" s="141">
        <f>[37]SAS_SA_2018_2T!$G$146*4</f>
        <v>13083.64</v>
      </c>
      <c r="DM61" s="142">
        <f>[37]SAS_SA_2018_2T!$G$148*4</f>
        <v>13743.88</v>
      </c>
      <c r="DN61" s="143">
        <f>[37]SAS_SA_2018_2T!$G$142*4</f>
        <v>13281.72</v>
      </c>
      <c r="DO61" s="141">
        <f>[38]SAS_SA_2018_3T!$G$146*4</f>
        <v>13102.2</v>
      </c>
      <c r="DP61" s="142">
        <f>[38]SAS_SA_2018_3T!$G$148*4</f>
        <v>13748.4</v>
      </c>
      <c r="DQ61" s="143">
        <f>[38]SAS_SA_2018_3T!$G$142*4</f>
        <v>13296.68</v>
      </c>
      <c r="DR61" s="141">
        <f>4*'[39]190227-14H32S38-PROGRAM-TdB_STO'!$G$146</f>
        <v>13122.24</v>
      </c>
      <c r="DS61" s="142">
        <f>4*'[39]190227-14H32S38-PROGRAM-TdB_STO'!$G$148</f>
        <v>13758.84</v>
      </c>
      <c r="DT61" s="143">
        <f>4*'[39]190227-14H32S38-PROGRAM-TdB_STO'!$G$142</f>
        <v>13314.32</v>
      </c>
      <c r="DU61" s="208">
        <f>4*[40]SAS_SA_2019_1T!$G$146</f>
        <v>13191.68</v>
      </c>
      <c r="DV61" s="209">
        <f>4*[40]SAS_SA_2019_1T!$G$148</f>
        <v>13811.12</v>
      </c>
      <c r="DW61" s="210">
        <f>4*[40]SAS_SA_2019_1T!$G$142</f>
        <v>13379.2</v>
      </c>
      <c r="DX61" s="208">
        <f>4*[41]SAS_SA_2019_2T!$G$146</f>
        <v>13214.8</v>
      </c>
      <c r="DY61" s="209">
        <f>4*[41]SAS_SA_2019_2T!$G$148</f>
        <v>13818.72</v>
      </c>
      <c r="DZ61" s="210">
        <f>4*[41]SAS_SA_2019_2T!$G$142</f>
        <v>13398.32</v>
      </c>
      <c r="EA61" s="208">
        <f>4*[42]SAS_SA_2019_3T!$G$146</f>
        <v>13232.56</v>
      </c>
      <c r="EB61" s="209">
        <f>4*[42]SAS_SA_2019_3T!$G$148</f>
        <v>13827.96</v>
      </c>
      <c r="EC61" s="210">
        <f>4*[42]SAS_SA_2019_3T!$G$142</f>
        <v>13413.96</v>
      </c>
      <c r="ED61" s="208">
        <f>4*[43]SAS_SA_2019_4T!$G$146</f>
        <v>13249.2</v>
      </c>
      <c r="EE61" s="209">
        <f>4*[43]SAS_SA_2019_4T!$G$148</f>
        <v>13833.28</v>
      </c>
      <c r="EF61" s="210">
        <f>4*[43]SAS_SA_2019_4T!$G$142</f>
        <v>13427.64</v>
      </c>
      <c r="EG61" s="208">
        <f>4*[44]SAS_SA_2020_1T!$G$135</f>
        <v>13348.08</v>
      </c>
      <c r="EH61" s="209">
        <f>4*[44]SAS_SA_2020_1T!$G$137</f>
        <v>13906.16</v>
      </c>
      <c r="EI61" s="210">
        <f>4*[44]SAS_SA_2020_1T!$G$131</f>
        <v>13519</v>
      </c>
      <c r="EJ61" s="208">
        <f>4*[45]SAS_SA_2020_2T!$G$135</f>
        <v>13366.96</v>
      </c>
      <c r="EK61" s="209">
        <f>4*[45]SAS_SA_2020_2T!$G$137</f>
        <v>13907.8</v>
      </c>
      <c r="EL61" s="210">
        <f>4*[45]SAS_SA_2020_2T!$G$131</f>
        <v>13533.24</v>
      </c>
      <c r="EM61" s="208">
        <f>4*[46]SAS_SA_2020_3T!$G$135</f>
        <v>13395.96</v>
      </c>
      <c r="EN61" s="209">
        <f>4*[46]SAS_SA_2020_3T!$G$137</f>
        <v>13917.48</v>
      </c>
      <c r="EO61" s="210">
        <f>4*[46]SAS_SA_2020_3T!$G$131</f>
        <v>13556.68</v>
      </c>
      <c r="EP61" s="208">
        <f>4*[47]SAS_SA_2020_4T!$G135</f>
        <v>13418</v>
      </c>
      <c r="EQ61" s="209">
        <f>4*[47]SAS_SA_2020_4T!$G137</f>
        <v>13924.36</v>
      </c>
      <c r="ER61" s="210">
        <f>4*[47]SAS_SA_2020_4T!$G137</f>
        <v>13924.36</v>
      </c>
      <c r="ES61" s="208">
        <f>4*[48]SAS_SA_2021_1T!$G135</f>
        <v>13491.6</v>
      </c>
      <c r="ET61" s="209">
        <f>4*[48]SAS_SA_2021_1T!$G137</f>
        <v>13982.8</v>
      </c>
      <c r="EU61" s="210">
        <f>4*[48]SAS_SA_2021_1T!$G137</f>
        <v>13982.8</v>
      </c>
      <c r="EV61" s="208">
        <f>[49]SAS_SA_2021_2T!$H$135</f>
        <v>13516.24</v>
      </c>
      <c r="EW61" s="209">
        <f>[49]SAS_SA_2021_2T!$H$137</f>
        <v>13987.2</v>
      </c>
      <c r="EX61" s="210">
        <f>[49]SAS_SA_2021_2T!$H$131</f>
        <v>13662.96</v>
      </c>
      <c r="EY61" s="208">
        <f>[50]SAS_SA_2021_3T!$H$135</f>
        <v>13533.52</v>
      </c>
      <c r="EZ61" s="209">
        <f>[50]SAS_SA_2021_3T!$H$137</f>
        <v>13992.44</v>
      </c>
      <c r="FA61" s="210">
        <f>[50]SAS_SA_2021_3T!$H$131</f>
        <v>13676.92</v>
      </c>
      <c r="FB61" s="286">
        <f>4*[51]SAS_SA_2021_4T!$G$101</f>
        <v>13851.502226935319</v>
      </c>
      <c r="FC61" s="287">
        <f>4*[51]SAS_SA_2021_4T!$G$103</f>
        <v>13126.96446700508</v>
      </c>
      <c r="FD61" s="288">
        <f>4*[51]SAS_SA_2021_4T!$G$97</f>
        <v>13574.516879692799</v>
      </c>
      <c r="FE61" s="286">
        <f>4*[52]SAS_SA_2022_1T!$G$101</f>
        <v>13851.502226935319</v>
      </c>
      <c r="FF61" s="287">
        <f>4*[52]SAS_SA_2022_1T!$G$103</f>
        <v>13126.96446700508</v>
      </c>
      <c r="FG61" s="288">
        <f>4*[52]SAS_SA_2022_1T!$G$97</f>
        <v>13574.516879692799</v>
      </c>
      <c r="FH61" s="286">
        <f>4*[53]SAS_SA_2022_2T!$G$101</f>
        <v>13894.387285872481</v>
      </c>
      <c r="FI61" s="287">
        <f>4*[53]SAS_SA_2022_2T!$G$103</f>
        <v>13125.06462740536</v>
      </c>
      <c r="FJ61" s="288">
        <f>4*[53]SAS_SA_2022_2T!$G$97</f>
        <v>13597.94854548512</v>
      </c>
      <c r="FK61" s="286">
        <f>4*[54]SAS_SA_2022_3T!$G$101</f>
        <v>14481.97572796912</v>
      </c>
      <c r="FL61" s="287">
        <f>4*[54]SAS_SA_2022_3T!$G$103</f>
        <v>13630.85144839828</v>
      </c>
      <c r="FM61" s="288">
        <f>4*[54]SAS_SA_2022_3T!$G$97</f>
        <v>14151.755308408159</v>
      </c>
      <c r="FN61" s="286">
        <f>4*[55]SAS_SA_2022_4T!$G$101</f>
        <v>14521.657674042641</v>
      </c>
      <c r="FO61" s="287">
        <f>4*[55]SAS_SA_2022_4T!$G$103</f>
        <v>13636.263543884559</v>
      </c>
      <c r="FP61" s="288">
        <f>4*[55]SAS_SA_2022_4T!$G$97</f>
        <v>14175.9245573518</v>
      </c>
      <c r="FQ61" s="286">
        <f>4*[56]SAS_SA_2023_1T!$G$101</f>
        <v>14688.803448873919</v>
      </c>
      <c r="FR61" s="287">
        <f>4*[56]SAS_SA_2023_1T!$G$103</f>
        <v>13746.75506361612</v>
      </c>
      <c r="FS61" s="288">
        <f>4*[56]SAS_SA_2023_1T!$G$97</f>
        <v>14317.2150664276</v>
      </c>
      <c r="FT61" s="286">
        <f>4*[57]SAS_SA_2023_2T!$G$101</f>
        <v>14720.63994545368</v>
      </c>
      <c r="FU61" s="287">
        <f>4*[57]SAS_SA_2023_2T!$G$103</f>
        <v>13742.559146556039</v>
      </c>
      <c r="FV61" s="288">
        <f>4*[57]SAS_SA_2023_2T!$G$97</f>
        <v>14332.6912470156</v>
      </c>
      <c r="FW61" s="286">
        <f>4*[58]SAS_SA_2023_3T!$G$101</f>
        <v>14764.810603067441</v>
      </c>
      <c r="FX61" s="287">
        <f>4*[58]SAS_SA_2023_3T!$G$103</f>
        <v>13754.740149536079</v>
      </c>
      <c r="FY61" s="288">
        <f>4*[58]SAS_SA_2023_3T!$G$97</f>
        <v>14361.553989124481</v>
      </c>
      <c r="FZ61" s="286">
        <f>4*[59]SAS_SA_2023_4T!$G$101</f>
        <v>14794.30596234308</v>
      </c>
      <c r="GA61" s="287">
        <f>4*[59]SAS_SA_2023_4T!$G$103</f>
        <v>13777.309622238079</v>
      </c>
      <c r="GB61" s="288">
        <f>4*[59]SAS_SA_2023_4T!$G$97</f>
        <v>14387.35659688552</v>
      </c>
      <c r="GC61" s="286">
        <f>4*[60]SAS_SA_2024_1T!$G$101</f>
        <v>15624.05315754904</v>
      </c>
      <c r="GD61" s="287">
        <f>4*[60]SAS_SA_2024_1T!$G$103</f>
        <v>14519.7253284608</v>
      </c>
      <c r="GE61" s="288">
        <f>4*[60]SAS_SA_2024_1T!$G$97</f>
        <v>15179.40801984292</v>
      </c>
      <c r="GF61" s="286">
        <f>4*[61]SAS_SA_2024_2T!$G$101</f>
        <v>15657.065179068481</v>
      </c>
      <c r="GG61" s="287">
        <f>4*[61]SAS_SA_2024_2T!$G$103</f>
        <v>14537.481159519481</v>
      </c>
      <c r="GH61" s="288">
        <f>4*[61]SAS_SA_2024_2T!$G$97</f>
        <v>15204.79539892992</v>
      </c>
      <c r="GI61" s="286">
        <f>4*[62]SAS_SA_2024_3T!$G$101</f>
        <v>15683.541256693081</v>
      </c>
      <c r="GJ61" s="287">
        <f>4*[62]SAS_SA_2024_3T!$G$103</f>
        <v>14533.700973085241</v>
      </c>
      <c r="GK61" s="288">
        <f>4*[62]SAS_SA_2024_3T!$G$97</f>
        <v>15216.862940228801</v>
      </c>
      <c r="GL61" s="286">
        <f>4*[63]SAS_SA_2024_4T!$G$101</f>
        <v>15759.951402885041</v>
      </c>
      <c r="GM61" s="287">
        <f>4*[63]SAS_SA_2024_4T!$G$103</f>
        <v>14582.27703459636</v>
      </c>
      <c r="GN61" s="288">
        <f>4*[63]SAS_SA_2024_4T!$G$97</f>
        <v>15280.245366331599</v>
      </c>
    </row>
    <row r="62" spans="1:196" x14ac:dyDescent="0.25">
      <c r="A62" s="39" t="s">
        <v>4</v>
      </c>
      <c r="B62" s="18">
        <f>[1]SAS_SA_4T2008!$H$154</f>
        <v>10070.36</v>
      </c>
      <c r="C62" s="19">
        <f>[1]SAS_SA_4T2008!$H$156</f>
        <v>10900.44</v>
      </c>
      <c r="D62" s="42">
        <f>[1]SAS_SA_4T2008!$H$150</f>
        <v>10417.56</v>
      </c>
      <c r="E62" s="18">
        <f>[2]SAS_SA_1T2009!$H$154</f>
        <v>10060.76</v>
      </c>
      <c r="F62" s="19">
        <f>[2]SAS_SA_1T2009!$H$156</f>
        <v>10954.56</v>
      </c>
      <c r="G62" s="42">
        <f>[2]SAS_SA_1T2009!$H$150</f>
        <v>10434.280000000001</v>
      </c>
      <c r="H62" s="18">
        <f>[64]SAS_SA_2T2009!$H$154</f>
        <v>10168.52</v>
      </c>
      <c r="I62" s="19">
        <f>[64]SAS_SA_2T2009!$H$156</f>
        <v>11100.12</v>
      </c>
      <c r="J62" s="42">
        <f>[64]SAS_SA_2T2009!$H$150</f>
        <v>10556.84</v>
      </c>
      <c r="K62" s="18">
        <f>[3]SAS_SA_3T2009!$H$154</f>
        <v>10172.92</v>
      </c>
      <c r="L62" s="19">
        <f>[3]SAS_SA_3T2009!$H$156</f>
        <v>11121.36</v>
      </c>
      <c r="M62" s="42">
        <f>[3]SAS_SA_3T2009!$H$150</f>
        <v>10568.04</v>
      </c>
      <c r="N62" s="18">
        <f>[4]SAS_SA_4T2009!$H$154</f>
        <v>10182.799999999999</v>
      </c>
      <c r="O62" s="19">
        <f>[4]SAS_SA_4T2009!$H$156</f>
        <v>11150.36</v>
      </c>
      <c r="P62" s="20">
        <f>[4]SAS_SA_4T2009!$H$150</f>
        <v>10585.12</v>
      </c>
      <c r="Q62" s="18">
        <f>[5]SAS_SA_1T2010!$H$154</f>
        <v>10174.36</v>
      </c>
      <c r="R62" s="19">
        <f>[5]SAS_SA_1T2010!$H$156</f>
        <v>11219.4</v>
      </c>
      <c r="S62" s="20">
        <f>[5]SAS_SA_1T2010!$H$150</f>
        <v>10607.84</v>
      </c>
      <c r="T62" s="18">
        <f>[65]SAS_SA_2T2010!$H$154</f>
        <v>10295.799999999999</v>
      </c>
      <c r="U62" s="19">
        <f>[65]SAS_SA_2T2010!$H$156</f>
        <v>11266.48</v>
      </c>
      <c r="V62" s="20">
        <f>[65]SAS_SA_2T2010!$H$150</f>
        <v>10700.44</v>
      </c>
      <c r="W62" s="18">
        <f>[6]SAS_SA_3T2010!$H$154</f>
        <v>10305.68</v>
      </c>
      <c r="X62" s="19">
        <f>[6]SAS_SA_3T2010!$H$156</f>
        <v>11277.72</v>
      </c>
      <c r="Y62" s="20">
        <f>[6]SAS_SA_3T2010!$H$150</f>
        <v>10710.96</v>
      </c>
      <c r="Z62" s="18">
        <f>[7]SAS_SA_2010_4T!$H$154</f>
        <v>10304.44</v>
      </c>
      <c r="AA62" s="19">
        <f>[7]SAS_SA_2010_4T!$H$156</f>
        <v>11280.72</v>
      </c>
      <c r="AB62" s="42">
        <f>[7]SAS_SA_2010_4T!$H$150</f>
        <v>10709.44</v>
      </c>
      <c r="AC62" s="18">
        <f>[8]SAS_SA_2011_1T!$H$147</f>
        <v>10297.08</v>
      </c>
      <c r="AD62" s="19">
        <f>[8]SAS_SA_2011_1T!$H$149</f>
        <v>11299.8</v>
      </c>
      <c r="AE62" s="42">
        <f>[8]SAS_SA_2011_1T!$H$143</f>
        <v>10712.96</v>
      </c>
      <c r="AF62" s="18">
        <f>[9]SAS_SA_2011_2T!$H$147</f>
        <v>10511.2</v>
      </c>
      <c r="AG62" s="19">
        <f>[9]SAS_SA_2011_2T!$H$149</f>
        <v>11528.88</v>
      </c>
      <c r="AH62" s="42">
        <f>[9]SAS_SA_2011_2T!$H$143</f>
        <v>10930.84</v>
      </c>
      <c r="AI62" s="18">
        <f>[10]SAS_SA_2011_3T!$H$147</f>
        <v>10511.2</v>
      </c>
      <c r="AJ62" s="19">
        <f>[10]SAS_SA_2011_3T!$H$149</f>
        <v>11528.88</v>
      </c>
      <c r="AK62" s="42">
        <f>[10]SAS_SA_2011_3T!$H$143</f>
        <v>10930.84</v>
      </c>
      <c r="AL62" s="18">
        <f>[11]SAS_SA_2011_4T!$H$147</f>
        <v>10514.96</v>
      </c>
      <c r="AM62" s="19">
        <f>[11]SAS_SA_2011_4T!$H$149</f>
        <v>11549.88</v>
      </c>
      <c r="AN62" s="42">
        <f>[11]SAS_SA_2011_4T!$H$143</f>
        <v>10945.08</v>
      </c>
      <c r="AO62" s="18">
        <f>'[12]120612-17H07S59-PROGRAM-TdB_STO'!$H$147</f>
        <v>10514.88</v>
      </c>
      <c r="AP62" s="19">
        <f>'[12]120612-17H07S59-PROGRAM-TdB_STO'!$H$149</f>
        <v>11581.52</v>
      </c>
      <c r="AQ62" s="42">
        <f>'[12]120612-17H07S59-PROGRAM-TdB_STO'!$H$143</f>
        <v>10954.96</v>
      </c>
      <c r="AR62" s="18">
        <f>[13]SAS_SA_2012_2T!$H$147</f>
        <v>10745.16</v>
      </c>
      <c r="AS62" s="19">
        <f>[13]SAS_SA_2012_2T!$H$149</f>
        <v>11841.12</v>
      </c>
      <c r="AT62" s="42">
        <f>[13]SAS_SA_2012_2T!$H$143</f>
        <v>11195.76</v>
      </c>
      <c r="AU62" s="18">
        <f>'[14]121105-09H31S06-PROGRAM-TdB_STO'!$H$147</f>
        <v>10743.84</v>
      </c>
      <c r="AV62" s="19">
        <f>'[14]121105-09H31S06-PROGRAM-TdB_STO'!$H$149</f>
        <v>11884.8</v>
      </c>
      <c r="AW62" s="42">
        <f>'[14]121105-09H31S06-PROGRAM-TdB_STO'!$H$143</f>
        <v>11214.24</v>
      </c>
      <c r="AX62" s="18">
        <f>[15]SAS_SA_2012_4T!$H$147</f>
        <v>10752.12</v>
      </c>
      <c r="AY62" s="19">
        <f>[15]SAS_SA_2012_4T!$H$149</f>
        <v>11895.28</v>
      </c>
      <c r="AZ62" s="42">
        <f>[15]SAS_SA_2012_4T!$H$143</f>
        <v>11223.44</v>
      </c>
      <c r="BA62" s="18">
        <f>[16]SAS_SA_2013_1T!$H$147</f>
        <v>10766.16</v>
      </c>
      <c r="BB62" s="19">
        <f>[16]SAS_SA_2013_1T!$H$149</f>
        <v>11914</v>
      </c>
      <c r="BC62" s="42">
        <f>[16]SAS_SA_2013_1T!$H$143</f>
        <v>11243.08</v>
      </c>
      <c r="BD62" s="18">
        <f>[17]SAS_SA_2013_2T!$H$147</f>
        <v>10919.68</v>
      </c>
      <c r="BE62" s="19">
        <f>[17]SAS_SA_2013_2T!$H$149</f>
        <v>12056.68</v>
      </c>
      <c r="BF62" s="42">
        <f>[17]SAS_SA_2013_2T!$H$143</f>
        <v>11391.84</v>
      </c>
      <c r="BG62" s="18">
        <f>[18]SAS_SA_2013_3T!$H$147</f>
        <v>10928.08</v>
      </c>
      <c r="BH62" s="19">
        <f>[18]SAS_SA_2013_3T!$H$149</f>
        <v>12095.36</v>
      </c>
      <c r="BI62" s="42">
        <f>[18]SAS_SA_2013_3T!$H$143</f>
        <v>11414.2</v>
      </c>
      <c r="BJ62" s="18">
        <f>[19]SAS_SA_2013_4T!$H$147</f>
        <v>10934.44</v>
      </c>
      <c r="BK62" s="19">
        <f>[19]SAS_SA_2013_4T!$H$149</f>
        <v>12117.96</v>
      </c>
      <c r="BL62" s="42">
        <f>[19]SAS_SA_2013_4T!$H$143</f>
        <v>11423.8</v>
      </c>
      <c r="BM62" s="18">
        <f>[20]SAS_SA_2014_1T!$H$147</f>
        <v>10942.56</v>
      </c>
      <c r="BN62" s="19">
        <f>[20]SAS_SA_2014_1T!$H$149</f>
        <v>12139.92</v>
      </c>
      <c r="BO62" s="42">
        <f>[20]SAS_SA_2014_1T!$H$143</f>
        <v>11438.16</v>
      </c>
      <c r="BP62" s="18">
        <f>[21]SAS_SA_2014_2T!$H$147</f>
        <v>10949.88</v>
      </c>
      <c r="BQ62" s="19">
        <f>[21]SAS_SA_2014_2T!$H$149</f>
        <v>12164.92</v>
      </c>
      <c r="BR62" s="42">
        <f>[21]SAS_SA_2014_2T!$H$143</f>
        <v>11455.76</v>
      </c>
      <c r="BS62" s="18">
        <f>[22]SAS_SA_2014_3T!$H$147</f>
        <v>10962.24</v>
      </c>
      <c r="BT62" s="19">
        <f>[22]SAS_SA_2014_3T!$H$149</f>
        <v>12195.2</v>
      </c>
      <c r="BU62" s="42">
        <f>[22]SAS_SA_2014_3T!$H$143</f>
        <v>11474.8</v>
      </c>
      <c r="BV62" s="18">
        <f>[23]SAS_SA_2014_4T!$H$147</f>
        <v>10983.92</v>
      </c>
      <c r="BW62" s="19">
        <f>[23]SAS_SA_2014_4T!$H$149</f>
        <v>12193.6</v>
      </c>
      <c r="BX62" s="42">
        <f>[23]SAS_SA_2014_4T!$H$143</f>
        <v>11490.32</v>
      </c>
      <c r="BY62" s="18">
        <f>[24]SAS_SA_2015_1T!$H$147</f>
        <v>10962.2</v>
      </c>
      <c r="BZ62" s="19">
        <f>[24]SAS_SA_2015_1T!$H$149</f>
        <v>12248</v>
      </c>
      <c r="CA62" s="42">
        <f>[24]SAS_SA_2015_1T!$H$143</f>
        <v>11503.2</v>
      </c>
      <c r="CB62" s="18">
        <f>[25]SAS_SA_2015_2T!$H$147</f>
        <v>10968.6</v>
      </c>
      <c r="CC62" s="19">
        <f>[25]SAS_SA_2015_2T!$H$149</f>
        <v>12224.92</v>
      </c>
      <c r="CD62" s="42">
        <f>[25]SAS_SA_2015_2T!$H$143</f>
        <v>11504.44</v>
      </c>
      <c r="CE62" s="18">
        <f>[26]SAS_SA_2015_3T!$H$147</f>
        <v>10992.52</v>
      </c>
      <c r="CF62" s="19">
        <f>[26]SAS_SA_2015_3T!$H$149</f>
        <v>12191.2</v>
      </c>
      <c r="CG62" s="42">
        <f>[26]SAS_SA_2015_3T!$H$143</f>
        <v>11500.92</v>
      </c>
      <c r="CH62" s="18">
        <f>[27]SAS_SA_2015_4T!$H$147</f>
        <v>11014.32</v>
      </c>
      <c r="CI62" s="19">
        <f>[27]SAS_SA_2015_4T!$H$149</f>
        <v>12239.32</v>
      </c>
      <c r="CJ62" s="42">
        <f>[27]SAS_SA_2015_4T!$H$143</f>
        <v>11540.84</v>
      </c>
      <c r="CK62" s="18">
        <f>[28]SAS_SA_2016_1T!$H$147</f>
        <v>11011.76</v>
      </c>
      <c r="CL62" s="19">
        <f>[28]SAS_SA_2016_1T!$H$149</f>
        <v>12269.36</v>
      </c>
      <c r="CM62" s="42">
        <f>[28]SAS_SA_2016_1T!$H$143</f>
        <v>11556.92</v>
      </c>
      <c r="CN62" s="18">
        <f>'[29]160822-11H12S04-PROGRAM-TdB_STO'!$H$147</f>
        <v>11030.36</v>
      </c>
      <c r="CO62" s="19">
        <f>'[29]160822-11H12S04-PROGRAM-TdB_STO'!$H$149</f>
        <v>12247.44</v>
      </c>
      <c r="CP62" s="42">
        <f>'[29]160822-11H12S04-PROGRAM-TdB_STO'!$H$143</f>
        <v>11559.4</v>
      </c>
      <c r="CQ62" s="141">
        <f>[30]SAS_SA_2016_3T!$H$147</f>
        <v>11042.32</v>
      </c>
      <c r="CR62" s="142">
        <f>[30]SAS_SA_2016_3T!$H$149</f>
        <v>12267.88</v>
      </c>
      <c r="CS62" s="143">
        <f>[30]SAS_SA_2016_3T!$H$143</f>
        <v>11574.92</v>
      </c>
      <c r="CT62" s="141">
        <f>[31]SAS_SA_2016_4T!$H$147</f>
        <v>11058.48</v>
      </c>
      <c r="CU62" s="142">
        <f>[31]SAS_SA_2016_4T!$H$149</f>
        <v>12279.88</v>
      </c>
      <c r="CV62" s="143">
        <f>[31]SAS_SA_2016_4T!$H$143</f>
        <v>11591.28</v>
      </c>
      <c r="CW62" s="141">
        <f>[32]SAS_SA_2017_1T!$H$147</f>
        <v>11053.44</v>
      </c>
      <c r="CX62" s="142">
        <f>[32]SAS_SA_2017_1T!$H$149</f>
        <v>12277.48</v>
      </c>
      <c r="CY62" s="143">
        <f>[32]SAS_SA_2017_1T!$H$143</f>
        <v>11590.72</v>
      </c>
      <c r="CZ62" s="141">
        <f>[33]SAS_SA_2017_2T!$H$147</f>
        <v>11053.84</v>
      </c>
      <c r="DA62" s="142">
        <f>[33]SAS_SA_2017_2T!$H$149</f>
        <v>12260</v>
      </c>
      <c r="DB62" s="143">
        <f>[33]SAS_SA_2017_2T!$H$143</f>
        <v>11589.8</v>
      </c>
      <c r="DC62" s="141">
        <f>[34]SAS_SA_2017_3T!$H$147</f>
        <v>11051.8</v>
      </c>
      <c r="DD62" s="142">
        <f>[34]SAS_SA_2017_3T!$H$149</f>
        <v>12237.04</v>
      </c>
      <c r="DE62" s="143">
        <f>[34]SAS_SA_2017_3T!$H$143</f>
        <v>11581.52</v>
      </c>
      <c r="DF62" s="141">
        <f>[35]SAS_SA_2017_4T!$H$147</f>
        <v>11171.76</v>
      </c>
      <c r="DG62" s="142">
        <f>[35]SAS_SA_2017_4T!$H$149</f>
        <v>12322.08</v>
      </c>
      <c r="DH62" s="143">
        <f>[35]SAS_SA_2017_4T!$H$143</f>
        <v>11684.48</v>
      </c>
      <c r="DI62" s="141">
        <f>[36]SAS_SA_2018_1T!$G$147*4</f>
        <v>11162.2</v>
      </c>
      <c r="DJ62" s="142">
        <f>[36]SAS_SA_2018_1T!$G$149*4</f>
        <v>12356.92</v>
      </c>
      <c r="DK62" s="143">
        <f>[36]SAS_SA_2018_1T!$G$143*4</f>
        <v>11701.68</v>
      </c>
      <c r="DL62" s="141">
        <f>[37]SAS_SA_2018_2T!$G$147*4</f>
        <v>11138</v>
      </c>
      <c r="DM62" s="142">
        <f>[37]SAS_SA_2018_2T!$G$149*4</f>
        <v>12342.56</v>
      </c>
      <c r="DN62" s="143">
        <f>[37]SAS_SA_2018_2T!$G$143*4</f>
        <v>11690.28</v>
      </c>
      <c r="DO62" s="141">
        <f>[38]SAS_SA_2018_3T!$G$147*4</f>
        <v>11149.68</v>
      </c>
      <c r="DP62" s="142">
        <f>[38]SAS_SA_2018_3T!$G$149*4</f>
        <v>12331.08</v>
      </c>
      <c r="DQ62" s="143">
        <f>[38]SAS_SA_2018_3T!$G$143*4</f>
        <v>11693.28</v>
      </c>
      <c r="DR62" s="141">
        <f>4*'[39]190227-14H32S38-PROGRAM-TdB_STO'!$G$147</f>
        <v>11167.92</v>
      </c>
      <c r="DS62" s="142">
        <f>4*'[39]190227-14H32S38-PROGRAM-TdB_STO'!$G$149</f>
        <v>12339.56</v>
      </c>
      <c r="DT62" s="143">
        <f>4*'[39]190227-14H32S38-PROGRAM-TdB_STO'!$G$143</f>
        <v>11713.32</v>
      </c>
      <c r="DU62" s="208">
        <f>4*[40]SAS_SA_2019_1T!$G$147</f>
        <v>11195.68</v>
      </c>
      <c r="DV62" s="209">
        <f>4*[40]SAS_SA_2019_1T!$G$149</f>
        <v>12355</v>
      </c>
      <c r="DW62" s="210">
        <f>4*[40]SAS_SA_2019_1T!$G$143</f>
        <v>11743.16</v>
      </c>
      <c r="DX62" s="208">
        <f>4*[41]SAS_SA_2019_2T!$G$147</f>
        <v>11206.36</v>
      </c>
      <c r="DY62" s="209">
        <f>4*[41]SAS_SA_2019_2T!$G$149</f>
        <v>12328.28</v>
      </c>
      <c r="DZ62" s="210">
        <f>4*[41]SAS_SA_2019_2T!$G$143</f>
        <v>11735.88</v>
      </c>
      <c r="EA62" s="208">
        <f>4*[42]SAS_SA_2019_3T!$G$147</f>
        <v>11236.16</v>
      </c>
      <c r="EB62" s="209">
        <f>4*[42]SAS_SA_2019_3T!$G$149</f>
        <v>12335.12</v>
      </c>
      <c r="EC62" s="210">
        <f>4*[42]SAS_SA_2019_3T!$G$143</f>
        <v>11758.52</v>
      </c>
      <c r="ED62" s="208">
        <f>4*[43]SAS_SA_2019_4T!$G$147</f>
        <v>11266.16</v>
      </c>
      <c r="EE62" s="209">
        <f>4*[43]SAS_SA_2019_4T!$G$149</f>
        <v>12302.08</v>
      </c>
      <c r="EF62" s="210">
        <f>4*[43]SAS_SA_2019_4T!$G$143</f>
        <v>11758.84</v>
      </c>
      <c r="EG62" s="208">
        <f>4*[44]SAS_SA_2020_1T!$G$136</f>
        <v>11369.72</v>
      </c>
      <c r="EH62" s="209">
        <f>4*[44]SAS_SA_2020_1T!$G$138</f>
        <v>12350.16</v>
      </c>
      <c r="EI62" s="210">
        <f>4*[44]SAS_SA_2020_1T!$G$132</f>
        <v>11838.68</v>
      </c>
      <c r="EJ62" s="208">
        <f>4*[45]SAS_SA_2020_2T!$G$136</f>
        <v>11419.32</v>
      </c>
      <c r="EK62" s="209">
        <f>4*[45]SAS_SA_2020_2T!$G$138</f>
        <v>12364.24</v>
      </c>
      <c r="EL62" s="210">
        <f>4*[45]SAS_SA_2020_2T!$G$132</f>
        <v>11876</v>
      </c>
      <c r="EM62" s="208">
        <f>4*[46]SAS_SA_2020_3T!$G$136</f>
        <v>11451.56</v>
      </c>
      <c r="EN62" s="209">
        <f>4*[46]SAS_SA_2020_3T!$G$138</f>
        <v>12362.32</v>
      </c>
      <c r="EO62" s="210">
        <f>4*[46]SAS_SA_2020_3T!$G$132</f>
        <v>11892.16</v>
      </c>
      <c r="EP62" s="208">
        <f>4*[47]SAS_SA_2020_4T!$G136</f>
        <v>11452.96</v>
      </c>
      <c r="EQ62" s="209">
        <f>4*[47]SAS_SA_2020_4T!$G138</f>
        <v>12364.84</v>
      </c>
      <c r="ER62" s="210">
        <f>4*[47]SAS_SA_2020_4T!$G138</f>
        <v>12364.84</v>
      </c>
      <c r="ES62" s="208">
        <f>4*[48]SAS_SA_2021_1T!$G136</f>
        <v>11513.6</v>
      </c>
      <c r="ET62" s="209">
        <f>4*[48]SAS_SA_2021_1T!$G138</f>
        <v>12415.6</v>
      </c>
      <c r="EU62" s="210">
        <f>4*[48]SAS_SA_2021_1T!$G138</f>
        <v>12415.6</v>
      </c>
      <c r="EV62" s="208">
        <f>[49]SAS_SA_2021_2T!$H$136</f>
        <v>11538.48</v>
      </c>
      <c r="EW62" s="209">
        <f>[49]SAS_SA_2021_2T!$H$138</f>
        <v>12449.92</v>
      </c>
      <c r="EX62" s="210">
        <f>[49]SAS_SA_2021_2T!$H$132</f>
        <v>11991.4</v>
      </c>
      <c r="EY62" s="208">
        <f>[50]SAS_SA_2021_3T!$H$136</f>
        <v>11557.28</v>
      </c>
      <c r="EZ62" s="209">
        <f>[50]SAS_SA_2021_3T!$H$138</f>
        <v>12456.64</v>
      </c>
      <c r="FA62" s="210">
        <f>[50]SAS_SA_2021_3T!$H$132</f>
        <v>12004.92</v>
      </c>
      <c r="FB62" s="286">
        <f>4*[51]SAS_SA_2021_4T!$G$102</f>
        <v>11801.863713798961</v>
      </c>
      <c r="FC62" s="287">
        <f>4*[51]SAS_SA_2021_4T!$G$104</f>
        <v>12019.914936708879</v>
      </c>
      <c r="FD62" s="288">
        <f>4*[51]SAS_SA_2021_4T!$G$98</f>
        <v>11938.62178469356</v>
      </c>
      <c r="FE62" s="286">
        <f>4*[52]SAS_SA_2022_1T!$G$102</f>
        <v>11801.863713798961</v>
      </c>
      <c r="FF62" s="287">
        <f>4*[52]SAS_SA_2022_1T!$G$104</f>
        <v>12019.914936708879</v>
      </c>
      <c r="FG62" s="288">
        <f>4*[52]SAS_SA_2022_1T!$G$98</f>
        <v>11938.62178469356</v>
      </c>
      <c r="FH62" s="286">
        <f>4*[53]SAS_SA_2022_2T!$G$102</f>
        <v>11802.26989619376</v>
      </c>
      <c r="FI62" s="287">
        <f>4*[53]SAS_SA_2022_2T!$G$104</f>
        <v>12034.602955665039</v>
      </c>
      <c r="FJ62" s="288">
        <f>4*[53]SAS_SA_2022_2T!$G$98</f>
        <v>11950.303829253</v>
      </c>
      <c r="FK62" s="286">
        <f>4*[54]SAS_SA_2022_3T!$G$102</f>
        <v>12272.932409012121</v>
      </c>
      <c r="FL62" s="287">
        <f>4*[54]SAS_SA_2022_3T!$G$104</f>
        <v>12500.29357798164</v>
      </c>
      <c r="FM62" s="288">
        <f>4*[54]SAS_SA_2022_3T!$G$98</f>
        <v>12418.937054263561</v>
      </c>
      <c r="FN62" s="286">
        <f>4*[55]SAS_SA_2022_4T!$G$102</f>
        <v>12312.4177545692</v>
      </c>
      <c r="FO62" s="287">
        <f>4*[55]SAS_SA_2022_4T!$G$104</f>
        <v>12506.839622641521</v>
      </c>
      <c r="FP62" s="288">
        <f>4*[55]SAS_SA_2022_4T!$G$98</f>
        <v>12438.5035178954</v>
      </c>
      <c r="FQ62" s="286">
        <f>4*[56]SAS_SA_2023_1T!$G$102</f>
        <v>12448.06012378428</v>
      </c>
      <c r="FR62" s="287">
        <f>4*[56]SAS_SA_2023_1T!$G$104</f>
        <v>12566.55181943804</v>
      </c>
      <c r="FS62" s="288">
        <f>4*[56]SAS_SA_2023_1T!$G$98</f>
        <v>12525.96608116292</v>
      </c>
      <c r="FT62" s="286">
        <f>4*[57]SAS_SA_2023_2T!$G$102</f>
        <v>12468.51601423488</v>
      </c>
      <c r="FU62" s="287">
        <f>4*[57]SAS_SA_2023_2T!$G$104</f>
        <v>12604.29676258992</v>
      </c>
      <c r="FV62" s="288">
        <f>4*[57]SAS_SA_2023_2T!$G$98</f>
        <v>12558.7120669056</v>
      </c>
      <c r="FW62" s="286">
        <f>4*[58]SAS_SA_2023_3T!$G$102</f>
        <v>12473.173524150279</v>
      </c>
      <c r="FX62" s="287">
        <f>4*[58]SAS_SA_2023_3T!$G$104</f>
        <v>12609.217543859641</v>
      </c>
      <c r="FY62" s="288">
        <f>4*[58]SAS_SA_2023_3T!$G$98</f>
        <v>12564.456739258399</v>
      </c>
      <c r="FZ62" s="286">
        <f>4*[59]SAS_SA_2023_4T!$G$102</f>
        <v>12491.175111111121</v>
      </c>
      <c r="GA62" s="287">
        <f>4*[59]SAS_SA_2023_4T!$G$104</f>
        <v>12623.014718614721</v>
      </c>
      <c r="GB62" s="288">
        <f>4*[59]SAS_SA_2023_4T!$G$98</f>
        <v>12579.83580786028</v>
      </c>
      <c r="GC62" s="286">
        <f>4*[60]SAS_SA_2024_1T!$G$102</f>
        <v>13202.8133453562</v>
      </c>
      <c r="GD62" s="287">
        <f>4*[60]SAS_SA_2024_1T!$G$104</f>
        <v>13313.485140226039</v>
      </c>
      <c r="GE62" s="288">
        <f>4*[60]SAS_SA_2024_1T!$G$98</f>
        <v>13278.39794168096</v>
      </c>
      <c r="GF62" s="286">
        <f>4*[61]SAS_SA_2024_2T!$G$102</f>
        <v>13263.00904159132</v>
      </c>
      <c r="GG62" s="287">
        <f>4*[61]SAS_SA_2024_2T!$G$104</f>
        <v>13303.246305418719</v>
      </c>
      <c r="GH62" s="288">
        <f>4*[61]SAS_SA_2024_2T!$G$98</f>
        <v>13290.6821005082</v>
      </c>
      <c r="GI62" s="286">
        <f>4*[62]SAS_SA_2024_3T!$G$102</f>
        <v>13310.180505415159</v>
      </c>
      <c r="GJ62" s="287">
        <f>4*[62]SAS_SA_2024_3T!$G$104</f>
        <v>13280.65198237884</v>
      </c>
      <c r="GK62" s="288">
        <f>4*[62]SAS_SA_2024_3T!$G$98</f>
        <v>13289.727600554799</v>
      </c>
      <c r="GL62" s="286">
        <f>4*[63]SAS_SA_2024_4T!$G$102</f>
        <v>13542.6364460562</v>
      </c>
      <c r="GM62" s="287">
        <f>4*[63]SAS_SA_2024_4T!$G$104</f>
        <v>13450.36235294116</v>
      </c>
      <c r="GN62" s="288">
        <f>4*[63]SAS_SA_2024_4T!$G$98</f>
        <v>13478.22392554064</v>
      </c>
    </row>
    <row r="63" spans="1:196" ht="12" thickBot="1" x14ac:dyDescent="0.3">
      <c r="A63" s="40" t="s">
        <v>5</v>
      </c>
      <c r="B63" s="21">
        <f>[1]SAS_SA_4T2008!$H$151</f>
        <v>10849.64</v>
      </c>
      <c r="C63" s="22">
        <f>[1]SAS_SA_4T2008!$H$152</f>
        <v>11915.44</v>
      </c>
      <c r="D63" s="43">
        <f>[1]SAS_SA_4T2008!$H$148</f>
        <v>11087.64</v>
      </c>
      <c r="E63" s="21">
        <f>[2]SAS_SA_1T2009!$H$151</f>
        <v>10872.44</v>
      </c>
      <c r="F63" s="22">
        <f>[2]SAS_SA_1T2009!$H$152</f>
        <v>11942.6</v>
      </c>
      <c r="G63" s="43">
        <f>[2]SAS_SA_1T2009!$H$148</f>
        <v>11114.36</v>
      </c>
      <c r="H63" s="21">
        <f>[64]SAS_SA_2T2009!$H$151</f>
        <v>11020.68</v>
      </c>
      <c r="I63" s="22">
        <f>[64]SAS_SA_2T2009!$H$152</f>
        <v>12086.52</v>
      </c>
      <c r="J63" s="43">
        <f>[64]SAS_SA_2T2009!$H$148</f>
        <v>11264.28</v>
      </c>
      <c r="K63" s="21">
        <f>[3]SAS_SA_3T2009!$H$151</f>
        <v>11046.36</v>
      </c>
      <c r="L63" s="22">
        <f>[3]SAS_SA_3T2009!$H$152</f>
        <v>12113.6</v>
      </c>
      <c r="M63" s="43">
        <f>[3]SAS_SA_3T2009!$H$148</f>
        <v>11293.32</v>
      </c>
      <c r="N63" s="21">
        <f>[4]SAS_SA_4T2009!$H$151</f>
        <v>11069.28</v>
      </c>
      <c r="O63" s="22">
        <f>[4]SAS_SA_4T2009!$H$152</f>
        <v>12122.4</v>
      </c>
      <c r="P63" s="23">
        <f>[4]SAS_SA_4T2009!$H$148</f>
        <v>11314.68</v>
      </c>
      <c r="Q63" s="21">
        <f>[5]SAS_SA_1T2010!$H$151</f>
        <v>11105.28</v>
      </c>
      <c r="R63" s="22">
        <f>[5]SAS_SA_1T2010!$H$152</f>
        <v>12139.2</v>
      </c>
      <c r="S63" s="23">
        <f>[5]SAS_SA_1T2010!$H$148</f>
        <v>11348.84</v>
      </c>
      <c r="T63" s="21">
        <f>[65]SAS_SA_2T2010!$H$151</f>
        <v>11247.2</v>
      </c>
      <c r="U63" s="22">
        <f>[65]SAS_SA_2T2010!$H$152</f>
        <v>12268.08</v>
      </c>
      <c r="V63" s="23">
        <f>[65]SAS_SA_2T2010!$H$148</f>
        <v>11490.88</v>
      </c>
      <c r="W63" s="21">
        <f>[6]SAS_SA_3T2010!$H$151</f>
        <v>11274.76</v>
      </c>
      <c r="X63" s="22">
        <f>[6]SAS_SA_3T2010!$H$152</f>
        <v>12291.32</v>
      </c>
      <c r="Y63" s="23">
        <f>[6]SAS_SA_3T2010!$H$148</f>
        <v>11520.12</v>
      </c>
      <c r="Z63" s="21">
        <f>[7]SAS_SA_2010_4T!$H$151</f>
        <v>11306.4</v>
      </c>
      <c r="AA63" s="22">
        <f>[7]SAS_SA_2010_4T!$H$152</f>
        <v>12313.8</v>
      </c>
      <c r="AB63" s="43">
        <f>[7]SAS_SA_2010_4T!$H$148</f>
        <v>11551.6</v>
      </c>
      <c r="AC63" s="21">
        <f>[8]SAS_SA_2011_1T!$H$144</f>
        <v>11338.68</v>
      </c>
      <c r="AD63" s="22">
        <f>[8]SAS_SA_2011_1T!$H$145</f>
        <v>12341.68</v>
      </c>
      <c r="AE63" s="43">
        <f>[8]SAS_SA_2011_1T!$H$141</f>
        <v>11585.08</v>
      </c>
      <c r="AF63" s="21">
        <f>[9]SAS_SA_2011_2T!$H$144</f>
        <v>11621.36</v>
      </c>
      <c r="AG63" s="22">
        <f>[9]SAS_SA_2011_2T!$H$145</f>
        <v>12628.52</v>
      </c>
      <c r="AH63" s="43">
        <f>[9]SAS_SA_2011_2T!$H$141</f>
        <v>11871.28</v>
      </c>
      <c r="AI63" s="21">
        <f>[10]SAS_SA_2011_3T!$H$144</f>
        <v>11613.48</v>
      </c>
      <c r="AJ63" s="22">
        <f>[10]SAS_SA_2011_3T!$H$145</f>
        <v>12620</v>
      </c>
      <c r="AK63" s="43">
        <f>[10]SAS_SA_2011_3T!$H$141</f>
        <v>11863.24</v>
      </c>
      <c r="AL63" s="21">
        <f>[11]SAS_SA_2011_4T!$H$144</f>
        <v>11663.48</v>
      </c>
      <c r="AM63" s="22">
        <f>[11]SAS_SA_2011_4T!$H$145</f>
        <v>12646.04</v>
      </c>
      <c r="AN63" s="43">
        <f>[11]SAS_SA_2011_4T!$H$141</f>
        <v>11910.76</v>
      </c>
      <c r="AO63" s="21">
        <f>'[12]120612-17H07S59-PROGRAM-TdB_STO'!$H$144</f>
        <v>11694.04</v>
      </c>
      <c r="AP63" s="22">
        <f>'[12]120612-17H07S59-PROGRAM-TdB_STO'!$H$145</f>
        <v>12678.04</v>
      </c>
      <c r="AQ63" s="43">
        <f>'[12]120612-17H07S59-PROGRAM-TdB_STO'!$H$141</f>
        <v>11943.96</v>
      </c>
      <c r="AR63" s="21">
        <f>[13]SAS_SA_2012_2T!$H$144</f>
        <v>11976.68</v>
      </c>
      <c r="AS63" s="22">
        <f>[13]SAS_SA_2012_2T!$H$145</f>
        <v>12968.2</v>
      </c>
      <c r="AT63" s="43">
        <f>[13]SAS_SA_2012_2T!$H$141</f>
        <v>12230.52</v>
      </c>
      <c r="AU63" s="21">
        <f>'[14]121105-09H31S06-PROGRAM-TdB_STO'!$H$144</f>
        <v>12003.68</v>
      </c>
      <c r="AV63" s="22">
        <f>'[14]121105-09H31S06-PROGRAM-TdB_STO'!$H$145</f>
        <v>12981.52</v>
      </c>
      <c r="AW63" s="43">
        <f>'[14]121105-09H31S06-PROGRAM-TdB_STO'!$H$141</f>
        <v>12255.12</v>
      </c>
      <c r="AX63" s="21">
        <f>[15]SAS_SA_2012_4T!$H$144</f>
        <v>12033.12</v>
      </c>
      <c r="AY63" s="22">
        <f>[15]SAS_SA_2012_4T!$H$145</f>
        <v>13005.92</v>
      </c>
      <c r="AZ63" s="43">
        <f>[15]SAS_SA_2012_4T!$H$141</f>
        <v>12285.36</v>
      </c>
      <c r="BA63" s="21">
        <f>[16]SAS_SA_2013_1T!$H$144</f>
        <v>12075.52</v>
      </c>
      <c r="BB63" s="22">
        <f>[16]SAS_SA_2013_1T!$H$145</f>
        <v>13038.2</v>
      </c>
      <c r="BC63" s="43">
        <f>[16]SAS_SA_2013_1T!$H$141</f>
        <v>12328.04</v>
      </c>
      <c r="BD63" s="21">
        <f>[17]SAS_SA_2013_2T!$H$144</f>
        <v>12276.12</v>
      </c>
      <c r="BE63" s="22">
        <f>[17]SAS_SA_2013_2T!$H$145</f>
        <v>13231.08</v>
      </c>
      <c r="BF63" s="43">
        <f>[17]SAS_SA_2013_2T!$H$141</f>
        <v>12529.24</v>
      </c>
      <c r="BG63" s="21">
        <f>[18]SAS_SA_2013_3T!$H$144</f>
        <v>12317.84</v>
      </c>
      <c r="BH63" s="22">
        <f>[18]SAS_SA_2013_3T!$H$145</f>
        <v>13263.6</v>
      </c>
      <c r="BI63" s="43">
        <f>[18]SAS_SA_2013_3T!$H$141</f>
        <v>12571.24</v>
      </c>
      <c r="BJ63" s="21">
        <f>[19]SAS_SA_2013_4T!$H$144</f>
        <v>12351.2</v>
      </c>
      <c r="BK63" s="22">
        <f>[19]SAS_SA_2013_4T!$H$145</f>
        <v>13288.4</v>
      </c>
      <c r="BL63" s="43">
        <f>[19]SAS_SA_2013_4T!$H$141</f>
        <v>12603.84</v>
      </c>
      <c r="BM63" s="21">
        <f>[20]SAS_SA_2014_1T!$H$144</f>
        <v>12385.08</v>
      </c>
      <c r="BN63" s="22">
        <f>[20]SAS_SA_2014_1T!$H$145</f>
        <v>13318.92</v>
      </c>
      <c r="BO63" s="43">
        <f>[20]SAS_SA_2014_1T!$H$141</f>
        <v>12638.12</v>
      </c>
      <c r="BP63" s="21">
        <f>[21]SAS_SA_2014_2T!$H$144</f>
        <v>12422.48</v>
      </c>
      <c r="BQ63" s="22">
        <f>[21]SAS_SA_2014_2T!$H$145</f>
        <v>13342.76</v>
      </c>
      <c r="BR63" s="43">
        <f>[21]SAS_SA_2014_2T!$H$141</f>
        <v>12674.64</v>
      </c>
      <c r="BS63" s="21">
        <f>[22]SAS_SA_2014_3T!$H$144</f>
        <v>12459.52</v>
      </c>
      <c r="BT63" s="22">
        <f>[22]SAS_SA_2014_3T!$H$145</f>
        <v>13367.28</v>
      </c>
      <c r="BU63" s="43">
        <f>[22]SAS_SA_2014_3T!$H$141</f>
        <v>12710.36</v>
      </c>
      <c r="BV63" s="21">
        <f>[23]SAS_SA_2014_4T!$H$144</f>
        <v>12492.64</v>
      </c>
      <c r="BW63" s="22">
        <f>[23]SAS_SA_2014_4T!$H$145</f>
        <v>13377.92</v>
      </c>
      <c r="BX63" s="43">
        <f>[23]SAS_SA_2014_4T!$H$141</f>
        <v>12738.92</v>
      </c>
      <c r="BY63" s="21">
        <f>[24]SAS_SA_2015_1T!$H$144</f>
        <v>12530.08</v>
      </c>
      <c r="BZ63" s="22">
        <f>[24]SAS_SA_2015_1T!$H$145</f>
        <v>13402.04</v>
      </c>
      <c r="CA63" s="43">
        <f>[24]SAS_SA_2015_1T!$H$141</f>
        <v>12774.72</v>
      </c>
      <c r="CB63" s="21">
        <f>[25]SAS_SA_2015_2T!$H$144</f>
        <v>12564.72</v>
      </c>
      <c r="CC63" s="22">
        <f>[25]SAS_SA_2015_2T!$H$145</f>
        <v>13425</v>
      </c>
      <c r="CD63" s="43">
        <f>[25]SAS_SA_2015_2T!$H$141</f>
        <v>12808.16</v>
      </c>
      <c r="CE63" s="21">
        <f>[26]SAS_SA_2015_3T!$H$144</f>
        <v>12599.08</v>
      </c>
      <c r="CF63" s="22">
        <f>[26]SAS_SA_2015_3T!$H$145</f>
        <v>13442.16</v>
      </c>
      <c r="CG63" s="43">
        <f>[26]SAS_SA_2015_3T!$H$141</f>
        <v>12839.56</v>
      </c>
      <c r="CH63" s="21">
        <f>[27]SAS_SA_2015_4T!$H$144</f>
        <v>12638.52</v>
      </c>
      <c r="CI63" s="22">
        <f>[27]SAS_SA_2015_4T!$H$145</f>
        <v>13461.24</v>
      </c>
      <c r="CJ63" s="43">
        <f>[27]SAS_SA_2015_4T!$H$141</f>
        <v>12874.88</v>
      </c>
      <c r="CK63" s="21">
        <f>[28]SAS_SA_2016_1T!$H$144</f>
        <v>12678.48</v>
      </c>
      <c r="CL63" s="22">
        <f>[28]SAS_SA_2016_1T!$H$145</f>
        <v>13476</v>
      </c>
      <c r="CM63" s="43">
        <f>[28]SAS_SA_2016_1T!$H$141</f>
        <v>12909.64</v>
      </c>
      <c r="CN63" s="21">
        <f>'[29]160822-11H12S04-PROGRAM-TdB_STO'!$H$144</f>
        <v>12713.76</v>
      </c>
      <c r="CO63" s="22">
        <f>'[29]160822-11H12S04-PROGRAM-TdB_STO'!$H$145</f>
        <v>13493.24</v>
      </c>
      <c r="CP63" s="43">
        <f>'[29]160822-11H12S04-PROGRAM-TdB_STO'!$H$141</f>
        <v>12941.24</v>
      </c>
      <c r="CQ63" s="144">
        <f>[30]SAS_SA_2016_3T!$H$144</f>
        <v>12749.48</v>
      </c>
      <c r="CR63" s="145">
        <f>[30]SAS_SA_2016_3T!$H$145</f>
        <v>13510.64</v>
      </c>
      <c r="CS63" s="146">
        <f>[30]SAS_SA_2016_3T!$H$141</f>
        <v>12973.2</v>
      </c>
      <c r="CT63" s="144">
        <f>[31]SAS_SA_2016_4T!$H$144</f>
        <v>12774.2</v>
      </c>
      <c r="CU63" s="145">
        <f>[31]SAS_SA_2016_4T!$H$145</f>
        <v>13515.92</v>
      </c>
      <c r="CV63" s="146">
        <f>[31]SAS_SA_2016_4T!$H$141</f>
        <v>12993.52</v>
      </c>
      <c r="CW63" s="144">
        <f>[32]SAS_SA_2017_1T!$H$144</f>
        <v>12813.24</v>
      </c>
      <c r="CX63" s="145">
        <f>[32]SAS_SA_2017_1T!$H$145</f>
        <v>13526.48</v>
      </c>
      <c r="CY63" s="146">
        <f>[32]SAS_SA_2017_1T!$H$141</f>
        <v>13025.64</v>
      </c>
      <c r="CZ63" s="144">
        <f>[33]SAS_SA_2017_2T!$H$144</f>
        <v>12844.44</v>
      </c>
      <c r="DA63" s="145">
        <f>[33]SAS_SA_2017_2T!$H$145</f>
        <v>13536.8</v>
      </c>
      <c r="DB63" s="146">
        <f>[33]SAS_SA_2017_2T!$H$141</f>
        <v>13051.92</v>
      </c>
      <c r="DC63" s="144">
        <f>[34]SAS_SA_2017_3T!$H$144</f>
        <v>12870.36</v>
      </c>
      <c r="DD63" s="145">
        <f>[34]SAS_SA_2017_3T!$H$145</f>
        <v>13546.08</v>
      </c>
      <c r="DE63" s="146">
        <f>[34]SAS_SA_2017_3T!$H$141</f>
        <v>13073.64</v>
      </c>
      <c r="DF63" s="144">
        <f>[35]SAS_SA_2017_4T!$H$144</f>
        <v>12989.96</v>
      </c>
      <c r="DG63" s="145">
        <f>[35]SAS_SA_2017_4T!$H$145</f>
        <v>13663</v>
      </c>
      <c r="DH63" s="146">
        <f>[35]SAS_SA_2017_4T!$H$141</f>
        <v>13192.96</v>
      </c>
      <c r="DI63" s="144">
        <f>[36]SAS_SA_2018_1T!$G$144*4</f>
        <v>13014.92</v>
      </c>
      <c r="DJ63" s="145">
        <f>[36]SAS_SA_2018_1T!$G$145*4</f>
        <v>13682.16</v>
      </c>
      <c r="DK63" s="146">
        <f>[36]SAS_SA_2018_1T!$G$141*4</f>
        <v>13216.96</v>
      </c>
      <c r="DL63" s="144">
        <f>[37]SAS_SA_2018_2T!$G$144*4</f>
        <v>13045.2</v>
      </c>
      <c r="DM63" s="145">
        <f>[37]SAS_SA_2018_2T!$G$145*4</f>
        <v>13690.24</v>
      </c>
      <c r="DN63" s="146">
        <f>[37]SAS_SA_2018_2T!$G$141*4</f>
        <v>13241.32</v>
      </c>
      <c r="DO63" s="144">
        <f>[38]SAS_SA_2018_3T!$G$144*4</f>
        <v>13063.84</v>
      </c>
      <c r="DP63" s="145">
        <f>[38]SAS_SA_2018_3T!$G$145*4</f>
        <v>13694.36</v>
      </c>
      <c r="DQ63" s="146">
        <f>[38]SAS_SA_2018_3T!$G$141*4</f>
        <v>13256.16</v>
      </c>
      <c r="DR63" s="144">
        <f>4*'[39]190227-14H32S38-PROGRAM-TdB_STO'!$G$144</f>
        <v>13084.32</v>
      </c>
      <c r="DS63" s="145">
        <f>4*'[39]190227-14H32S38-PROGRAM-TdB_STO'!$G$145</f>
        <v>13704.44</v>
      </c>
      <c r="DT63" s="146">
        <f>4*'[39]190227-14H32S38-PROGRAM-TdB_STO'!$G$141</f>
        <v>13274</v>
      </c>
      <c r="DU63" s="211">
        <f>4*[40]SAS_SA_2019_1T!$G$144</f>
        <v>13153.52</v>
      </c>
      <c r="DV63" s="212">
        <f>4*[40]SAS_SA_2019_1T!$G$145</f>
        <v>13754.88</v>
      </c>
      <c r="DW63" s="213">
        <f>4*[40]SAS_SA_2019_1T!$G$141</f>
        <v>13338.12</v>
      </c>
      <c r="DX63" s="211">
        <f>4*[41]SAS_SA_2019_2T!$G$144</f>
        <v>13176.6</v>
      </c>
      <c r="DY63" s="212">
        <f>4*[41]SAS_SA_2019_2T!$G$145</f>
        <v>13761.8</v>
      </c>
      <c r="DZ63" s="213">
        <f>4*[41]SAS_SA_2019_2T!$G$141</f>
        <v>13356.88</v>
      </c>
      <c r="EA63" s="211">
        <f>4*[42]SAS_SA_2019_3T!$G$144</f>
        <v>13194.92</v>
      </c>
      <c r="EB63" s="212">
        <f>4*[42]SAS_SA_2019_3T!$G$145</f>
        <v>13770.88</v>
      </c>
      <c r="EC63" s="213">
        <f>4*[42]SAS_SA_2019_3T!$G$141</f>
        <v>13372.84</v>
      </c>
      <c r="ED63" s="211">
        <f>4*[43]SAS_SA_2019_4T!$G$144</f>
        <v>13211.56</v>
      </c>
      <c r="EE63" s="212">
        <f>4*[43]SAS_SA_2019_4T!$G$145</f>
        <v>13774.52</v>
      </c>
      <c r="EF63" s="213">
        <f>4*[43]SAS_SA_2019_4T!$G$141</f>
        <v>13385.96</v>
      </c>
      <c r="EG63" s="211">
        <f>4*[44]SAS_SA_2020_1T!$G$133</f>
        <v>13310.92</v>
      </c>
      <c r="EH63" s="212">
        <f>4*[44]SAS_SA_2020_1T!$G$134</f>
        <v>13846.68</v>
      </c>
      <c r="EI63" s="213">
        <f>4*[44]SAS_SA_2020_1T!$G$130</f>
        <v>13477.28</v>
      </c>
      <c r="EJ63" s="211">
        <f>4*[45]SAS_SA_2020_2T!$G$133</f>
        <v>13330.88</v>
      </c>
      <c r="EK63" s="212">
        <f>4*[45]SAS_SA_2020_2T!$G$134</f>
        <v>13848.76</v>
      </c>
      <c r="EL63" s="213">
        <f>4*[45]SAS_SA_2020_2T!$G$130</f>
        <v>13492.36</v>
      </c>
      <c r="EM63" s="211">
        <f>4*[46]SAS_SA_2020_3T!$G$133</f>
        <v>13360.04</v>
      </c>
      <c r="EN63" s="212">
        <f>4*[46]SAS_SA_2020_3T!$G$134</f>
        <v>13858.28</v>
      </c>
      <c r="EO63" s="213">
        <f>4*[46]SAS_SA_2020_3T!$G$130</f>
        <v>13515.76</v>
      </c>
      <c r="EP63" s="211">
        <f>4*[47]SAS_SA_2020_4T!$G$133</f>
        <v>13381.72</v>
      </c>
      <c r="EQ63" s="212">
        <f>4*[47]SAS_SA_2020_4T!$G$134</f>
        <v>13864.72</v>
      </c>
      <c r="ER63" s="213">
        <f>4*[47]SAS_SA_2020_4T!$G$130</f>
        <v>13533.16</v>
      </c>
      <c r="ES63" s="211">
        <f>4*[48]SAS_SA_2021_1T!$G$133</f>
        <v>13456</v>
      </c>
      <c r="ET63" s="212">
        <f>4*[48]SAS_SA_2021_1T!$G$134</f>
        <v>13922.8</v>
      </c>
      <c r="EU63" s="213">
        <f>4*[48]SAS_SA_2021_1T!$G$130</f>
        <v>13602.8</v>
      </c>
      <c r="EV63" s="211">
        <f>[49]SAS_SA_2021_2T!$H$133</f>
        <v>13481.04</v>
      </c>
      <c r="EW63" s="212">
        <f>[49]SAS_SA_2021_2T!$H$134</f>
        <v>13928.68</v>
      </c>
      <c r="EX63" s="213">
        <f>[49]SAS_SA_2021_2T!$H$130</f>
        <v>13622.48</v>
      </c>
      <c r="EY63" s="211">
        <f>[50]SAS_SA_2021_3T!$H$133</f>
        <v>13498.32</v>
      </c>
      <c r="EZ63" s="212">
        <f>[50]SAS_SA_2021_3T!$H$134</f>
        <v>13933.96</v>
      </c>
      <c r="FA63" s="213">
        <f>[50]SAS_SA_2021_3T!$H$130</f>
        <v>13636.4</v>
      </c>
      <c r="FB63" s="289">
        <f>4*[51]SAS_SA_2021_4T!$G$99</f>
        <v>13820.094447490001</v>
      </c>
      <c r="FC63" s="290">
        <f>4*[51]SAS_SA_2021_4T!$G$100</f>
        <v>13082.035508794999</v>
      </c>
      <c r="FD63" s="291">
        <f>4*[51]SAS_SA_2021_4T!$G$96</f>
        <v>13533.396861380281</v>
      </c>
      <c r="FE63" s="289">
        <f>4*[52]SAS_SA_2022_1T!$G$99</f>
        <v>13820.094447490001</v>
      </c>
      <c r="FF63" s="290">
        <f>4*[52]SAS_SA_2022_1T!$G$100</f>
        <v>13082.035508794999</v>
      </c>
      <c r="FG63" s="291">
        <f>4*[52]SAS_SA_2022_1T!$G$96</f>
        <v>13533.396861380281</v>
      </c>
      <c r="FH63" s="289">
        <f>4*[53]SAS_SA_2022_2T!$G$99</f>
        <v>13863.349597669439</v>
      </c>
      <c r="FI63" s="290">
        <f>4*[53]SAS_SA_2022_2T!$G$100</f>
        <v>13080.92606476312</v>
      </c>
      <c r="FJ63" s="291">
        <f>4*[53]SAS_SA_2022_2T!$G$96</f>
        <v>13556.96101442148</v>
      </c>
      <c r="FK63" s="289">
        <f>4*[54]SAS_SA_2022_3T!$G$99</f>
        <v>14449.849655328841</v>
      </c>
      <c r="FL63" s="290">
        <f>4*[54]SAS_SA_2022_3T!$G$100</f>
        <v>13585.51354491412</v>
      </c>
      <c r="FM63" s="291">
        <f>4*[54]SAS_SA_2022_3T!$G$96</f>
        <v>14109.094279127279</v>
      </c>
      <c r="FN63" s="289">
        <f>4*[55]SAS_SA_2022_4T!$G$99</f>
        <v>14490.055848117039</v>
      </c>
      <c r="FO63" s="290">
        <f>4*[55]SAS_SA_2022_4T!$G$100</f>
        <v>13590.95322080084</v>
      </c>
      <c r="FP63" s="291">
        <f>4*[55]SAS_SA_2022_4T!$G$96</f>
        <v>14133.27477115544</v>
      </c>
      <c r="FQ63" s="289">
        <f>4*[56]SAS_SA_2023_1T!$G$99</f>
        <v>14657.842082758119</v>
      </c>
      <c r="FR63" s="290">
        <f>4*[56]SAS_SA_2023_1T!$G$100</f>
        <v>13699.958211572201</v>
      </c>
      <c r="FS63" s="291">
        <f>4*[56]SAS_SA_2023_1T!$G$96</f>
        <v>14273.9172065444</v>
      </c>
      <c r="FT63" s="289">
        <f>4*[57]SAS_SA_2023_2T!$G$99</f>
        <v>14690.23508215624</v>
      </c>
      <c r="FU63" s="290">
        <f>4*[57]SAS_SA_2023_2T!$G$100</f>
        <v>13697.528363306479</v>
      </c>
      <c r="FV63" s="291">
        <f>4*[57]SAS_SA_2023_2T!$G$96</f>
        <v>14290.107504678321</v>
      </c>
      <c r="FW63" s="289">
        <f>4*[58]SAS_SA_2023_3T!$G$99</f>
        <v>14734.540990772801</v>
      </c>
      <c r="FX63" s="290">
        <f>4*[58]SAS_SA_2023_3T!$G$100</f>
        <v>13709.54171497792</v>
      </c>
      <c r="FY63" s="291">
        <f>4*[58]SAS_SA_2023_3T!$G$96</f>
        <v>14318.678836729239</v>
      </c>
      <c r="FZ63" s="289">
        <f>4*[59]SAS_SA_2023_4T!$G$99</f>
        <v>14763.91380948472</v>
      </c>
      <c r="GA63" s="290">
        <f>4*[59]SAS_SA_2023_4T!$G$100</f>
        <v>13731.67516686636</v>
      </c>
      <c r="GB63" s="291">
        <f>4*[59]SAS_SA_2023_4T!$G$96</f>
        <v>14344.14456825096</v>
      </c>
      <c r="GC63" s="289">
        <f>4*[60]SAS_SA_2024_1T!$G$99</f>
        <v>15592.962380593999</v>
      </c>
      <c r="GD63" s="290">
        <f>4*[60]SAS_SA_2024_1T!$G$100</f>
        <v>14471.579710629199</v>
      </c>
      <c r="GE63" s="291">
        <f>4*[60]SAS_SA_2024_1T!$G$96</f>
        <v>15133.930118520841</v>
      </c>
      <c r="GF63" s="289">
        <f>4*[61]SAS_SA_2024_2T!$G$99</f>
        <v>15626.745402496281</v>
      </c>
      <c r="GG63" s="290">
        <f>4*[61]SAS_SA_2024_2T!$G$100</f>
        <v>14488.09067910768</v>
      </c>
      <c r="GH63" s="291">
        <f>4*[61]SAS_SA_2024_2T!$G$96</f>
        <v>15159.049067501561</v>
      </c>
      <c r="GI63" s="289">
        <f>4*[62]SAS_SA_2024_3T!$G$99</f>
        <v>15653.831344902401</v>
      </c>
      <c r="GJ63" s="290">
        <f>4*[62]SAS_SA_2024_3T!$G$100</f>
        <v>14483.4009388464</v>
      </c>
      <c r="GK63" s="291">
        <f>4*[62]SAS_SA_2024_3T!$G$96</f>
        <v>15170.76748321348</v>
      </c>
      <c r="GL63" s="289">
        <f>4*[63]SAS_SA_2024_4T!$G$99</f>
        <v>15732.601022131281</v>
      </c>
      <c r="GM63" s="290">
        <f>4*[63]SAS_SA_2024_4T!$G$100</f>
        <v>14536.642529644279</v>
      </c>
      <c r="GN63" s="291">
        <f>4*[63]SAS_SA_2024_4T!$G$96</f>
        <v>15237.1279155832</v>
      </c>
    </row>
    <row r="64" spans="1:196" x14ac:dyDescent="0.25">
      <c r="A64" s="3"/>
      <c r="B64" s="3"/>
      <c r="C64" s="3"/>
      <c r="D64" s="3"/>
      <c r="AD64" s="68"/>
      <c r="AX64" s="76"/>
      <c r="AY64" s="76"/>
      <c r="AZ64" s="76"/>
      <c r="BJ64" s="4"/>
      <c r="BK64" s="4"/>
      <c r="BL64" s="4"/>
      <c r="DB64" s="178">
        <f>DB63/12</f>
        <v>1087.6600000000001</v>
      </c>
      <c r="DC64" s="126"/>
      <c r="DD64" s="126"/>
      <c r="DE64" s="178">
        <f>DE63/12</f>
        <v>1089.47</v>
      </c>
      <c r="DF64" s="178"/>
      <c r="DG64" s="178"/>
      <c r="DH64" s="178">
        <f>DH63/12</f>
        <v>1099.4133333333332</v>
      </c>
      <c r="DI64" s="178"/>
      <c r="DJ64" s="178"/>
      <c r="DK64" s="178">
        <f>DK63/12</f>
        <v>1101.4133333333332</v>
      </c>
      <c r="DL64" s="178"/>
      <c r="DM64" s="178"/>
      <c r="DN64" s="178">
        <f>DN63/12</f>
        <v>1103.4433333333334</v>
      </c>
      <c r="DO64" s="178">
        <f t="shared" ref="DO64:DW64" si="133">DO63/12</f>
        <v>1088.6533333333334</v>
      </c>
      <c r="DP64" s="178">
        <f t="shared" si="133"/>
        <v>1141.1966666666667</v>
      </c>
      <c r="DQ64" s="178">
        <f t="shared" si="133"/>
        <v>1104.68</v>
      </c>
      <c r="DR64" s="178">
        <f t="shared" si="133"/>
        <v>1090.3599999999999</v>
      </c>
      <c r="DS64" s="178">
        <f t="shared" si="133"/>
        <v>1142.0366666666666</v>
      </c>
      <c r="DT64" s="178">
        <f t="shared" si="133"/>
        <v>1106.1666666666667</v>
      </c>
      <c r="DU64" s="229">
        <f t="shared" si="133"/>
        <v>1096.1266666666668</v>
      </c>
      <c r="DV64" s="229">
        <f t="shared" si="133"/>
        <v>1146.24</v>
      </c>
      <c r="DW64" s="229">
        <f t="shared" si="133"/>
        <v>1111.51</v>
      </c>
      <c r="DX64" s="229">
        <f t="shared" ref="DX64:DZ64" si="134">DX63/12</f>
        <v>1098.05</v>
      </c>
      <c r="DY64" s="229">
        <f t="shared" si="134"/>
        <v>1146.8166666666666</v>
      </c>
      <c r="DZ64" s="229">
        <f t="shared" si="134"/>
        <v>1113.0733333333333</v>
      </c>
      <c r="EA64" s="229">
        <f>EA63/12</f>
        <v>1099.5766666666666</v>
      </c>
      <c r="EB64" s="229">
        <f t="shared" ref="EB64:EC64" si="135">EB63/12</f>
        <v>1147.5733333333333</v>
      </c>
      <c r="EC64" s="229">
        <f t="shared" si="135"/>
        <v>1114.4033333333334</v>
      </c>
      <c r="ED64" s="229">
        <f>ED63/12</f>
        <v>1100.9633333333334</v>
      </c>
      <c r="EE64" s="229">
        <f t="shared" ref="EE64:EF64" si="136">EE63/12</f>
        <v>1147.8766666666668</v>
      </c>
      <c r="EF64" s="229">
        <f t="shared" si="136"/>
        <v>1115.4966666666667</v>
      </c>
      <c r="EG64" s="229">
        <f>EG63/12</f>
        <v>1109.2433333333333</v>
      </c>
      <c r="EH64" s="229">
        <f t="shared" ref="EH64:EI64" si="137">EH63/12</f>
        <v>1153.8900000000001</v>
      </c>
      <c r="EI64" s="229">
        <f t="shared" si="137"/>
        <v>1123.1066666666668</v>
      </c>
      <c r="EJ64" s="229">
        <f>EJ63/12</f>
        <v>1110.9066666666665</v>
      </c>
      <c r="EK64" s="229">
        <f t="shared" ref="EK64:EL64" si="138">EK63/12</f>
        <v>1154.0633333333333</v>
      </c>
      <c r="EL64" s="229">
        <f t="shared" si="138"/>
        <v>1124.3633333333335</v>
      </c>
      <c r="EM64" s="229">
        <f>EM63/12</f>
        <v>1113.3366666666668</v>
      </c>
      <c r="EN64" s="229">
        <f t="shared" ref="EN64:EO64" si="139">EN63/12</f>
        <v>1154.8566666666668</v>
      </c>
      <c r="EO64" s="229">
        <f t="shared" si="139"/>
        <v>1126.3133333333333</v>
      </c>
      <c r="EP64" s="229">
        <f>EP63/12</f>
        <v>1115.1433333333332</v>
      </c>
      <c r="EQ64" s="229">
        <f t="shared" ref="EQ64:ER64" si="140">EQ63/12</f>
        <v>1155.3933333333332</v>
      </c>
      <c r="ER64" s="229">
        <f t="shared" si="140"/>
        <v>1127.7633333333333</v>
      </c>
      <c r="ES64" s="229">
        <f>ES63/12</f>
        <v>1121.3333333333333</v>
      </c>
      <c r="ET64" s="229">
        <f t="shared" ref="ET64:EU64" si="141">ET63/12</f>
        <v>1160.2333333333333</v>
      </c>
      <c r="EU64" s="229">
        <f t="shared" si="141"/>
        <v>1133.5666666666666</v>
      </c>
      <c r="EV64" s="229">
        <f>EV63/12</f>
        <v>1123.42</v>
      </c>
      <c r="EW64" s="229">
        <f t="shared" ref="EW64:EX64" si="142">EW63/12</f>
        <v>1160.7233333333334</v>
      </c>
      <c r="EX64" s="229">
        <f t="shared" si="142"/>
        <v>1135.2066666666667</v>
      </c>
      <c r="EY64" s="229">
        <f>EY63/12</f>
        <v>1124.8599999999999</v>
      </c>
      <c r="EZ64" s="229">
        <f t="shared" ref="EZ64:FA64" si="143">EZ63/12</f>
        <v>1161.1633333333332</v>
      </c>
      <c r="FA64" s="229">
        <f t="shared" si="143"/>
        <v>1136.3666666666666</v>
      </c>
      <c r="FB64" s="292">
        <f>FB63/12</f>
        <v>1151.6745372908333</v>
      </c>
      <c r="FC64" s="292">
        <f t="shared" ref="FC64:FD64" si="144">FC63/12</f>
        <v>1090.1696257329165</v>
      </c>
      <c r="FD64" s="292">
        <f t="shared" si="144"/>
        <v>1127.7830717816901</v>
      </c>
      <c r="FE64" s="292">
        <f>FE63/12</f>
        <v>1151.6745372908333</v>
      </c>
      <c r="FF64" s="292">
        <f t="shared" ref="FF64:FG64" si="145">FF63/12</f>
        <v>1090.1696257329165</v>
      </c>
      <c r="FG64" s="292">
        <f t="shared" si="145"/>
        <v>1127.7830717816901</v>
      </c>
      <c r="FH64" s="292">
        <f>FH63/12</f>
        <v>1155.2791331391199</v>
      </c>
      <c r="FI64" s="292">
        <f t="shared" ref="FI64:FJ64" si="146">FI63/12</f>
        <v>1090.0771720635933</v>
      </c>
      <c r="FJ64" s="292">
        <f t="shared" si="146"/>
        <v>1129.7467512017899</v>
      </c>
      <c r="FK64" s="292">
        <f>FK63/12</f>
        <v>1204.15413794407</v>
      </c>
      <c r="FL64" s="292">
        <f t="shared" ref="FL64:FM64" si="147">FL63/12</f>
        <v>1132.1261287428433</v>
      </c>
      <c r="FM64" s="292">
        <f t="shared" si="147"/>
        <v>1175.75785659394</v>
      </c>
      <c r="FN64" s="292">
        <f>FN63/12</f>
        <v>1207.5046540097533</v>
      </c>
      <c r="FO64" s="292">
        <f t="shared" ref="FO64:FP64" si="148">FO63/12</f>
        <v>1132.5794350667368</v>
      </c>
      <c r="FP64" s="292">
        <f t="shared" si="148"/>
        <v>1177.7728975962866</v>
      </c>
      <c r="FQ64" s="292">
        <f>FQ63/12</f>
        <v>1221.4868402298432</v>
      </c>
      <c r="FR64" s="292">
        <f t="shared" ref="FR64:FS64" si="149">FR63/12</f>
        <v>1141.6631842976833</v>
      </c>
      <c r="FS64" s="292">
        <f t="shared" si="149"/>
        <v>1189.4931005453666</v>
      </c>
      <c r="FT64" s="292">
        <f>FT63/12</f>
        <v>1224.1862568463532</v>
      </c>
      <c r="FU64" s="292">
        <f t="shared" ref="FU64:FV64" si="150">FU63/12</f>
        <v>1141.4606969422066</v>
      </c>
      <c r="FV64" s="292">
        <f t="shared" si="150"/>
        <v>1190.8422920565267</v>
      </c>
      <c r="FW64" s="292">
        <f>FW63/12</f>
        <v>1227.8784158977335</v>
      </c>
      <c r="FX64" s="292">
        <f t="shared" ref="FX64:FY64" si="151">FX63/12</f>
        <v>1142.4618095814933</v>
      </c>
      <c r="FY64" s="292">
        <f t="shared" si="151"/>
        <v>1193.2232363941032</v>
      </c>
      <c r="FZ64" s="292">
        <f>FZ63/12</f>
        <v>1230.3261507903933</v>
      </c>
      <c r="GA64" s="292">
        <f t="shared" ref="GA64:GB64" si="152">GA63/12</f>
        <v>1144.3062639055299</v>
      </c>
      <c r="GB64" s="292">
        <f t="shared" si="152"/>
        <v>1195.34538068758</v>
      </c>
      <c r="GC64" s="292">
        <f>GC63/12</f>
        <v>1299.4135317161665</v>
      </c>
      <c r="GD64" s="292">
        <f t="shared" ref="GD64:GE64" si="153">GD63/12</f>
        <v>1205.9649758857665</v>
      </c>
      <c r="GE64" s="292">
        <f t="shared" si="153"/>
        <v>1261.16084321007</v>
      </c>
      <c r="GF64" s="292">
        <f>GF63/12</f>
        <v>1302.2287835413567</v>
      </c>
      <c r="GG64" s="292">
        <f t="shared" ref="GG64:GH64" si="154">GG63/12</f>
        <v>1207.3408899256399</v>
      </c>
      <c r="GH64" s="292">
        <f t="shared" si="154"/>
        <v>1263.2540889584634</v>
      </c>
      <c r="GI64" s="292">
        <f>GI63/12</f>
        <v>1304.4859454085333</v>
      </c>
      <c r="GJ64" s="292">
        <f t="shared" ref="GJ64:GK64" si="155">GJ63/12</f>
        <v>1206.9500782371999</v>
      </c>
      <c r="GK64" s="292">
        <f t="shared" si="155"/>
        <v>1264.2306236011234</v>
      </c>
      <c r="GL64" s="292">
        <f>GL63/12</f>
        <v>1311.0500851776067</v>
      </c>
      <c r="GM64" s="292">
        <f t="shared" ref="GM64:GN64" si="156">GM63/12</f>
        <v>1211.3868774703567</v>
      </c>
      <c r="GN64" s="292">
        <f t="shared" si="156"/>
        <v>1269.7606596319333</v>
      </c>
    </row>
    <row r="65" spans="1:196" ht="12" thickBot="1" x14ac:dyDescent="0.3">
      <c r="AT65" s="4"/>
      <c r="AX65" s="76"/>
      <c r="AY65" s="76"/>
      <c r="BC65" s="4"/>
      <c r="BF65" s="4"/>
      <c r="BI65" s="4"/>
      <c r="BJ65" s="4"/>
      <c r="BK65" s="4"/>
      <c r="BL65" s="4"/>
      <c r="DC65" s="126"/>
      <c r="DD65" s="126"/>
      <c r="DE65" s="126"/>
      <c r="DF65" s="126"/>
      <c r="DG65" s="126"/>
      <c r="DH65" s="126"/>
      <c r="DI65" s="126"/>
      <c r="DJ65" s="126"/>
      <c r="FN65" s="198"/>
      <c r="FO65" s="198"/>
      <c r="FP65" s="198"/>
      <c r="FQ65" s="198"/>
      <c r="FR65" s="198"/>
      <c r="FS65" s="198"/>
      <c r="FT65" s="198"/>
      <c r="FU65" s="198"/>
      <c r="FV65" s="198"/>
      <c r="FW65" s="198"/>
      <c r="FX65" s="198"/>
      <c r="FY65" s="198"/>
      <c r="FZ65" s="198"/>
      <c r="GA65" s="198"/>
      <c r="GB65" s="198"/>
      <c r="GC65" s="198"/>
      <c r="GD65" s="198"/>
      <c r="GE65" s="198"/>
      <c r="GF65" s="198"/>
      <c r="GG65" s="198"/>
      <c r="GH65" s="198"/>
      <c r="GI65" s="198"/>
      <c r="GJ65" s="198"/>
      <c r="GK65" s="198"/>
      <c r="GL65" s="198"/>
      <c r="GM65" s="198"/>
      <c r="GN65" s="198"/>
    </row>
    <row r="66" spans="1:196" s="185" customFormat="1" ht="24" customHeight="1" thickBot="1" x14ac:dyDescent="0.3">
      <c r="A66" s="184"/>
      <c r="B66" s="444"/>
      <c r="C66" s="445"/>
      <c r="D66" s="446"/>
      <c r="E66" s="444"/>
      <c r="F66" s="445"/>
      <c r="G66" s="446"/>
      <c r="H66" s="444"/>
      <c r="I66" s="445"/>
      <c r="J66" s="446"/>
      <c r="K66" s="444"/>
      <c r="L66" s="445"/>
      <c r="M66" s="446"/>
      <c r="N66" s="444"/>
      <c r="O66" s="445"/>
      <c r="P66" s="445"/>
      <c r="Q66" s="444"/>
      <c r="R66" s="445"/>
      <c r="S66" s="446"/>
      <c r="T66" s="444"/>
      <c r="U66" s="445"/>
      <c r="V66" s="446"/>
      <c r="W66" s="444"/>
      <c r="X66" s="445"/>
      <c r="Y66" s="446"/>
      <c r="Z66" s="444"/>
      <c r="AA66" s="445"/>
      <c r="AB66" s="446"/>
      <c r="AC66" s="444"/>
      <c r="AD66" s="445"/>
      <c r="AE66" s="446"/>
      <c r="AF66" s="444"/>
      <c r="AG66" s="445"/>
      <c r="AH66" s="446"/>
      <c r="AI66" s="444"/>
      <c r="AJ66" s="445"/>
      <c r="AK66" s="446"/>
      <c r="AL66" s="444"/>
      <c r="AM66" s="445"/>
      <c r="AN66" s="446"/>
      <c r="AO66" s="444"/>
      <c r="AP66" s="445"/>
      <c r="AQ66" s="446"/>
      <c r="AR66" s="444"/>
      <c r="AS66" s="445"/>
      <c r="AT66" s="446"/>
      <c r="AU66" s="444"/>
      <c r="AV66" s="445"/>
      <c r="AW66" s="446"/>
      <c r="AX66" s="444"/>
      <c r="AY66" s="445"/>
      <c r="AZ66" s="446"/>
      <c r="BA66" s="444"/>
      <c r="BB66" s="445"/>
      <c r="BC66" s="446"/>
      <c r="BD66" s="444"/>
      <c r="BE66" s="445"/>
      <c r="BF66" s="446"/>
      <c r="BG66" s="444"/>
      <c r="BH66" s="445"/>
      <c r="BI66" s="446"/>
      <c r="BJ66" s="444"/>
      <c r="BK66" s="445"/>
      <c r="BL66" s="446"/>
      <c r="BM66" s="444"/>
      <c r="BN66" s="445"/>
      <c r="BO66" s="446"/>
      <c r="BP66" s="444"/>
      <c r="BQ66" s="445"/>
      <c r="BR66" s="446"/>
      <c r="BS66" s="444"/>
      <c r="BT66" s="445"/>
      <c r="BU66" s="446"/>
      <c r="BV66" s="444"/>
      <c r="BW66" s="445"/>
      <c r="BX66" s="446"/>
      <c r="BY66" s="444"/>
      <c r="BZ66" s="445"/>
      <c r="CA66" s="446"/>
      <c r="CB66" s="444"/>
      <c r="CC66" s="445"/>
      <c r="CD66" s="446"/>
      <c r="CE66" s="444"/>
      <c r="CF66" s="445"/>
      <c r="CG66" s="446"/>
      <c r="CH66" s="444"/>
      <c r="CI66" s="445"/>
      <c r="CJ66" s="446"/>
      <c r="CK66" s="444" t="str">
        <f>CK25</f>
        <v>Situation au 31/03/2016</v>
      </c>
      <c r="CL66" s="445"/>
      <c r="CM66" s="446"/>
      <c r="CN66" s="444" t="str">
        <f>CN25</f>
        <v>Situation au 30/06/2016</v>
      </c>
      <c r="CO66" s="445"/>
      <c r="CP66" s="446"/>
      <c r="CQ66" s="433" t="str">
        <f>CQ25</f>
        <v>Situation au 30/09/2016</v>
      </c>
      <c r="CR66" s="434"/>
      <c r="CS66" s="435"/>
      <c r="CT66" s="433" t="str">
        <f>CT25</f>
        <v>Situation au 31/12/2016</v>
      </c>
      <c r="CU66" s="434"/>
      <c r="CV66" s="435"/>
      <c r="CW66" s="433" t="str">
        <f>CW25</f>
        <v>Situation au 31/03/2017</v>
      </c>
      <c r="CX66" s="434"/>
      <c r="CY66" s="435"/>
      <c r="CZ66" s="433" t="str">
        <f>CZ25</f>
        <v>Situation au 30/06/2017</v>
      </c>
      <c r="DA66" s="434"/>
      <c r="DB66" s="435"/>
      <c r="DC66" s="433" t="str">
        <f>DC25</f>
        <v>Situation au 30/09/2017</v>
      </c>
      <c r="DD66" s="434"/>
      <c r="DE66" s="435"/>
      <c r="DF66" s="433" t="str">
        <f>DF25</f>
        <v>Situation au 31/12/2017</v>
      </c>
      <c r="DG66" s="434"/>
      <c r="DH66" s="435"/>
      <c r="DI66" s="433" t="str">
        <f>DI25</f>
        <v>Situation au 31/03/2018</v>
      </c>
      <c r="DJ66" s="434"/>
      <c r="DK66" s="435"/>
      <c r="DL66" s="433" t="str">
        <f>DL25</f>
        <v>Situation au 30/06/2018</v>
      </c>
      <c r="DM66" s="434"/>
      <c r="DN66" s="435"/>
      <c r="DO66" s="433" t="str">
        <f>DO25</f>
        <v>Situation au 30/09/2018</v>
      </c>
      <c r="DP66" s="434"/>
      <c r="DQ66" s="435"/>
      <c r="DR66" s="433" t="str">
        <f>DR25</f>
        <v>Situation au 31/12/2018</v>
      </c>
      <c r="DS66" s="434"/>
      <c r="DT66" s="435"/>
      <c r="DU66" s="441" t="str">
        <f>DU25</f>
        <v>Situation au 31/03/2019</v>
      </c>
      <c r="DV66" s="442"/>
      <c r="DW66" s="443"/>
      <c r="DX66" s="441" t="str">
        <f>DX25</f>
        <v>Situation au 30/06/2019</v>
      </c>
      <c r="DY66" s="442"/>
      <c r="DZ66" s="443"/>
      <c r="EA66" s="441" t="str">
        <f>EA25</f>
        <v>Situation au 30/09/2019</v>
      </c>
      <c r="EB66" s="442"/>
      <c r="EC66" s="443"/>
      <c r="ED66" s="441" t="str">
        <f>ED25</f>
        <v>Situation au 31/12/2019</v>
      </c>
      <c r="EE66" s="442"/>
      <c r="EF66" s="443"/>
      <c r="EG66" s="441" t="str">
        <f>EG25</f>
        <v>Situation au 31/03/2020</v>
      </c>
      <c r="EH66" s="442"/>
      <c r="EI66" s="443"/>
      <c r="EJ66" s="441" t="str">
        <f>EJ25</f>
        <v>Situation au 30/06/2020</v>
      </c>
      <c r="EK66" s="442"/>
      <c r="EL66" s="443"/>
      <c r="EM66" s="441" t="str">
        <f>EM25</f>
        <v>Situation au 30/09/2020</v>
      </c>
      <c r="EN66" s="442"/>
      <c r="EO66" s="443"/>
      <c r="EP66" s="441" t="str">
        <f>EP25</f>
        <v>Situation au 31/12/2020</v>
      </c>
      <c r="EQ66" s="442"/>
      <c r="ER66" s="443"/>
      <c r="ES66" s="441" t="str">
        <f>ES25</f>
        <v>Situation au 31/03/2021</v>
      </c>
      <c r="ET66" s="442"/>
      <c r="EU66" s="443"/>
      <c r="EV66" s="441" t="str">
        <f>EV25</f>
        <v>Situation au 30/06/2021</v>
      </c>
      <c r="EW66" s="442"/>
      <c r="EX66" s="443"/>
      <c r="EY66" s="441" t="str">
        <f>EY25</f>
        <v>Situation au 30/09/2021</v>
      </c>
      <c r="EZ66" s="442"/>
      <c r="FA66" s="443"/>
      <c r="FB66" s="441" t="str">
        <f>FB25</f>
        <v>Situation au 31/12/2021</v>
      </c>
      <c r="FC66" s="442"/>
      <c r="FD66" s="443"/>
      <c r="FE66" s="441" t="str">
        <f>FE25</f>
        <v>Situation au 31/03/2022</v>
      </c>
      <c r="FF66" s="442"/>
      <c r="FG66" s="443"/>
      <c r="FH66" s="441" t="str">
        <f>FH25</f>
        <v>Situation au 30/06/2022</v>
      </c>
      <c r="FI66" s="442"/>
      <c r="FJ66" s="443"/>
      <c r="FK66" s="441" t="str">
        <f>FK25</f>
        <v>Situation au 30/09/2022</v>
      </c>
      <c r="FL66" s="442"/>
      <c r="FM66" s="443"/>
      <c r="FN66" s="433" t="str">
        <f>FN25</f>
        <v>Situation au 31/12/2022</v>
      </c>
      <c r="FO66" s="434"/>
      <c r="FP66" s="435"/>
      <c r="FQ66" s="433" t="str">
        <f>FQ25</f>
        <v>Situation au 31/03/2023</v>
      </c>
      <c r="FR66" s="434"/>
      <c r="FS66" s="435"/>
      <c r="FT66" s="433" t="str">
        <f>FT25</f>
        <v>Situation au 30/06/2023</v>
      </c>
      <c r="FU66" s="434"/>
      <c r="FV66" s="435"/>
      <c r="FW66" s="433" t="str">
        <f>FW25</f>
        <v>Situation au 30/09/2023</v>
      </c>
      <c r="FX66" s="434"/>
      <c r="FY66" s="435"/>
      <c r="FZ66" s="433" t="str">
        <f>FZ25</f>
        <v>Situation au 31/12/2023</v>
      </c>
      <c r="GA66" s="434"/>
      <c r="GB66" s="435"/>
      <c r="GC66" s="433" t="str">
        <f>GC25</f>
        <v>Situation au 31/03/2024</v>
      </c>
      <c r="GD66" s="434"/>
      <c r="GE66" s="435"/>
      <c r="GF66" s="433" t="str">
        <f>GF25</f>
        <v>Situation au 30/06/2024</v>
      </c>
      <c r="GG66" s="434"/>
      <c r="GH66" s="435"/>
      <c r="GI66" s="433" t="str">
        <f>GI25</f>
        <v>Situation au 30/09/2024</v>
      </c>
      <c r="GJ66" s="434"/>
      <c r="GK66" s="435"/>
      <c r="GL66" s="433" t="str">
        <f>GL25</f>
        <v>Situation au 31/12/2024</v>
      </c>
      <c r="GM66" s="434"/>
      <c r="GN66" s="435"/>
    </row>
    <row r="67" spans="1:196" ht="13.5" customHeight="1" thickBot="1" x14ac:dyDescent="0.3">
      <c r="A67" s="453" t="s">
        <v>244</v>
      </c>
      <c r="B67" s="454"/>
      <c r="C67" s="455"/>
      <c r="AT67" s="4"/>
      <c r="AX67" s="76"/>
      <c r="AY67" s="76"/>
      <c r="BC67" s="4"/>
      <c r="BF67" s="4"/>
      <c r="BI67" s="4"/>
      <c r="BJ67" s="4"/>
      <c r="BK67" s="4"/>
      <c r="BL67" s="4"/>
      <c r="CH67" s="462" t="s">
        <v>244</v>
      </c>
      <c r="CI67" s="463"/>
      <c r="CJ67" s="464"/>
      <c r="CK67" s="169"/>
      <c r="CL67" s="170"/>
      <c r="CM67" s="171">
        <v>38953</v>
      </c>
      <c r="CN67" s="169"/>
      <c r="CO67" s="170"/>
      <c r="CP67" s="171">
        <v>37813</v>
      </c>
      <c r="CQ67" s="169"/>
      <c r="CR67" s="170"/>
      <c r="CS67" s="171">
        <v>37598</v>
      </c>
      <c r="CT67" s="169"/>
      <c r="CU67" s="170"/>
      <c r="CV67" s="171">
        <v>41787</v>
      </c>
      <c r="CW67" s="169"/>
      <c r="CX67" s="170"/>
      <c r="CY67" s="171">
        <v>49130</v>
      </c>
      <c r="CZ67" s="169"/>
      <c r="DA67" s="170"/>
      <c r="DB67" s="171">
        <v>48599</v>
      </c>
      <c r="DC67" s="169"/>
      <c r="DD67" s="170"/>
      <c r="DE67" s="171">
        <f>[34]SAS_SA_2017_3T!$C$189</f>
        <v>46147</v>
      </c>
      <c r="DF67" s="169"/>
      <c r="DG67" s="170"/>
      <c r="DH67" s="171">
        <f>[35]SAS_SA_2017_4T!$C$189</f>
        <v>42991</v>
      </c>
      <c r="DI67" s="169"/>
      <c r="DJ67" s="170"/>
      <c r="DK67" s="188">
        <f>[36]SAS_SA_2018_1T!$C$189</f>
        <v>40358</v>
      </c>
      <c r="DL67" s="192"/>
      <c r="DM67" s="193"/>
      <c r="DN67" s="188">
        <f>[37]SAS_SA_2018_2T!$C$189</f>
        <v>35909</v>
      </c>
      <c r="DO67" s="192"/>
      <c r="DP67" s="193"/>
      <c r="DQ67" s="188">
        <f>[38]SAS_SA_2018_3T!$C$189</f>
        <v>31726</v>
      </c>
      <c r="DR67" s="192"/>
      <c r="DS67" s="193"/>
      <c r="DT67" s="188">
        <f>'[39]190227-14H32S38-PROGRAM-TdB_STO'!$C$189</f>
        <v>28634</v>
      </c>
      <c r="DU67" s="230"/>
      <c r="DV67" s="231"/>
      <c r="DW67" s="232">
        <f>[40]SAS_SA_2019_1T!$C$189</f>
        <v>26204</v>
      </c>
      <c r="DX67" s="230"/>
      <c r="DY67" s="231"/>
      <c r="DZ67" s="232">
        <f>[41]SAS_SA_2019_2T!$C$189</f>
        <v>22291</v>
      </c>
      <c r="EA67" s="230"/>
      <c r="EB67" s="231"/>
      <c r="EC67" s="232">
        <f>[42]SAS_SA_2019_3T!$C$189</f>
        <v>19782</v>
      </c>
      <c r="ED67" s="230"/>
      <c r="EE67" s="231"/>
      <c r="EF67" s="232">
        <f>[43]SAS_SA_2019_4T!$C$189</f>
        <v>19451</v>
      </c>
      <c r="EG67" s="230"/>
      <c r="EH67" s="231"/>
      <c r="EI67" s="232">
        <f>[44]SAS_SA_2020_1T!$C$170</f>
        <v>19671</v>
      </c>
      <c r="EJ67" s="230"/>
      <c r="EK67" s="231"/>
      <c r="EL67" s="232">
        <f>[45]SAS_SA_2020_2T!$C$170</f>
        <v>18921</v>
      </c>
      <c r="EM67" s="230"/>
      <c r="EN67" s="231"/>
      <c r="EO67" s="232">
        <f>[46]SAS_SA_2020_3T!$C$170</f>
        <v>18239</v>
      </c>
      <c r="EP67" s="230"/>
      <c r="EQ67" s="231"/>
      <c r="ER67" s="232">
        <f>[47]SAS_SA_2020_4T!$C$170</f>
        <v>18199</v>
      </c>
      <c r="ES67" s="230"/>
      <c r="ET67" s="231"/>
      <c r="EU67" s="232">
        <f>[48]SAS_SA_2021_1T!$C$170</f>
        <v>18339</v>
      </c>
      <c r="EV67" s="230"/>
      <c r="EW67" s="231"/>
      <c r="EX67" s="232">
        <f>[49]SAS_SA_2021_2T!$C$170</f>
        <v>17535</v>
      </c>
      <c r="EY67" s="230"/>
      <c r="EZ67" s="231"/>
      <c r="FA67" s="232">
        <f>[50]SAS_SA_2021_3T!$C$170</f>
        <v>16754</v>
      </c>
      <c r="FB67" s="230"/>
      <c r="FC67" s="231"/>
      <c r="FD67" s="232">
        <f>[51]SAS_SA_2021_4T!$C$124</f>
        <v>16280</v>
      </c>
      <c r="FE67" s="230"/>
      <c r="FF67" s="231"/>
      <c r="FG67" s="232">
        <f>[52]SAS_SA_2022_1T!$C$124</f>
        <v>17005</v>
      </c>
      <c r="FH67" s="230"/>
      <c r="FI67" s="231"/>
      <c r="FJ67" s="232">
        <f>[53]SAS_SA_2022_2T!$C$124</f>
        <v>16374</v>
      </c>
      <c r="FK67" s="230"/>
      <c r="FL67" s="231"/>
      <c r="FM67" s="232">
        <f>[54]SAS_SA_2022_3T!$C$124</f>
        <v>15838</v>
      </c>
      <c r="FN67" s="192"/>
      <c r="FO67" s="193"/>
      <c r="FP67" s="188">
        <f>[55]SAS_SA_2022_4T!$C$124</f>
        <v>15282</v>
      </c>
      <c r="FQ67" s="192"/>
      <c r="FR67" s="193"/>
      <c r="FS67" s="188">
        <f>[56]SAS_SA_2023_1T!$C$124</f>
        <v>16063</v>
      </c>
      <c r="FT67" s="192"/>
      <c r="FU67" s="193"/>
      <c r="FV67" s="188">
        <f>[57]SAS_SA_2023_2T!$C$124</f>
        <v>15566</v>
      </c>
      <c r="FW67" s="192"/>
      <c r="FX67" s="193"/>
      <c r="FY67" s="188">
        <f>[58]SAS_SA_2023_3T!$C$124</f>
        <v>15065</v>
      </c>
      <c r="FZ67" s="192"/>
      <c r="GA67" s="193"/>
      <c r="GB67" s="188">
        <f>[59]SAS_SA_2023_4T!$C$124</f>
        <v>13736</v>
      </c>
      <c r="GC67" s="192"/>
      <c r="GD67" s="193"/>
      <c r="GE67" s="188">
        <f>[60]SAS_SA_2024_1T!$C$124</f>
        <v>13246</v>
      </c>
      <c r="GF67" s="192"/>
      <c r="GG67" s="193"/>
      <c r="GH67" s="188">
        <f>[61]SAS_SA_2024_2T!$C$124</f>
        <v>12403</v>
      </c>
      <c r="GI67" s="192"/>
      <c r="GJ67" s="193"/>
      <c r="GK67" s="188">
        <f>[62]SAS_SA_2024_3T!$C$124</f>
        <v>11970</v>
      </c>
      <c r="GL67" s="192"/>
      <c r="GM67" s="193"/>
      <c r="GN67" s="188">
        <f>[63]SAS_SA_2024_4T!$C$124</f>
        <v>11260</v>
      </c>
    </row>
    <row r="68" spans="1:196" x14ac:dyDescent="0.25">
      <c r="AT68" s="4"/>
      <c r="AX68" s="76"/>
      <c r="AY68" s="76"/>
      <c r="BC68" s="4"/>
      <c r="BF68" s="4"/>
      <c r="BI68" s="4"/>
      <c r="BJ68" s="4"/>
      <c r="BK68" s="4"/>
      <c r="BL68" s="4"/>
      <c r="DB68" s="127"/>
      <c r="DC68" s="126"/>
      <c r="DD68" s="126"/>
      <c r="DE68" s="127"/>
      <c r="DF68" s="126"/>
      <c r="DG68" s="126"/>
      <c r="DH68" s="127"/>
      <c r="DI68" s="126"/>
      <c r="DJ68" s="126"/>
      <c r="DK68" s="127"/>
      <c r="DN68" s="127"/>
      <c r="FN68" s="198"/>
      <c r="FO68" s="198"/>
      <c r="FP68" s="198"/>
      <c r="FQ68" s="198"/>
      <c r="FR68" s="198"/>
      <c r="FS68" s="198"/>
      <c r="FT68" s="198"/>
      <c r="FU68" s="198"/>
      <c r="FV68" s="198"/>
      <c r="FW68" s="198"/>
      <c r="FX68" s="198"/>
      <c r="FY68" s="198"/>
      <c r="FZ68" s="198"/>
      <c r="GA68" s="198"/>
      <c r="GB68" s="198"/>
      <c r="GC68" s="198"/>
      <c r="GD68" s="198"/>
      <c r="GE68" s="198"/>
      <c r="GF68" s="198"/>
      <c r="GG68" s="198"/>
      <c r="GH68" s="198"/>
      <c r="GI68" s="198"/>
      <c r="GJ68" s="198"/>
      <c r="GK68" s="198"/>
      <c r="GL68" s="198"/>
      <c r="GM68" s="198"/>
      <c r="GN68" s="198"/>
    </row>
    <row r="69" spans="1:196" ht="12" thickBot="1" x14ac:dyDescent="0.3">
      <c r="AT69" s="4"/>
      <c r="AX69" s="76"/>
      <c r="AY69" s="76"/>
      <c r="BC69" s="4"/>
      <c r="BF69" s="4"/>
      <c r="BI69" s="4"/>
      <c r="BJ69" s="4"/>
      <c r="BK69" s="4"/>
      <c r="BL69" s="4"/>
      <c r="DC69" s="126"/>
      <c r="DD69" s="126"/>
      <c r="DE69" s="126"/>
      <c r="DF69" s="126"/>
      <c r="DG69" s="126"/>
      <c r="DH69" s="126"/>
      <c r="DI69" s="126"/>
      <c r="DJ69" s="126"/>
      <c r="FB69" s="277" t="s">
        <v>373</v>
      </c>
      <c r="FC69" s="277"/>
      <c r="FD69" s="277"/>
      <c r="FE69" s="277"/>
      <c r="FF69" s="277"/>
      <c r="FG69" s="277"/>
      <c r="FH69" s="277"/>
      <c r="FI69" s="277"/>
      <c r="FJ69" s="277"/>
      <c r="FK69" s="277"/>
      <c r="FL69" s="277"/>
      <c r="FM69" s="277"/>
      <c r="FN69" s="277"/>
      <c r="FO69" s="277"/>
      <c r="FP69" s="277"/>
      <c r="FQ69" s="277"/>
      <c r="FR69" s="277"/>
      <c r="FS69" s="277"/>
      <c r="FT69" s="277"/>
      <c r="FU69" s="277"/>
      <c r="FV69" s="277"/>
      <c r="FW69" s="277"/>
      <c r="FX69" s="277"/>
      <c r="FY69" s="277"/>
      <c r="FZ69" s="277"/>
      <c r="GA69" s="277"/>
      <c r="GB69" s="277"/>
      <c r="GC69" s="277"/>
      <c r="GD69" s="277"/>
      <c r="GE69" s="277"/>
      <c r="GF69" s="277"/>
      <c r="GG69" s="277"/>
      <c r="GH69" s="277"/>
      <c r="GI69" s="277"/>
      <c r="GJ69" s="277"/>
      <c r="GK69" s="277"/>
      <c r="GL69" s="277"/>
      <c r="GM69" s="277"/>
      <c r="GN69" s="277"/>
    </row>
    <row r="70" spans="1:196" s="185" customFormat="1" ht="24" customHeight="1" thickBot="1" x14ac:dyDescent="0.3">
      <c r="A70" s="184"/>
      <c r="B70" s="444"/>
      <c r="C70" s="445"/>
      <c r="D70" s="446"/>
      <c r="E70" s="444"/>
      <c r="F70" s="445"/>
      <c r="G70" s="446"/>
      <c r="H70" s="444"/>
      <c r="I70" s="445"/>
      <c r="J70" s="446"/>
      <c r="K70" s="444"/>
      <c r="L70" s="445"/>
      <c r="M70" s="446"/>
      <c r="N70" s="444"/>
      <c r="O70" s="445"/>
      <c r="P70" s="445"/>
      <c r="Q70" s="444"/>
      <c r="R70" s="445"/>
      <c r="S70" s="446"/>
      <c r="T70" s="444"/>
      <c r="U70" s="445"/>
      <c r="V70" s="446"/>
      <c r="W70" s="444"/>
      <c r="X70" s="445"/>
      <c r="Y70" s="446"/>
      <c r="Z70" s="444"/>
      <c r="AA70" s="445"/>
      <c r="AB70" s="446"/>
      <c r="AC70" s="444"/>
      <c r="AD70" s="445"/>
      <c r="AE70" s="446"/>
      <c r="AF70" s="444"/>
      <c r="AG70" s="445"/>
      <c r="AH70" s="446"/>
      <c r="AI70" s="444"/>
      <c r="AJ70" s="445"/>
      <c r="AK70" s="446"/>
      <c r="AL70" s="444"/>
      <c r="AM70" s="445"/>
      <c r="AN70" s="446"/>
      <c r="AO70" s="444"/>
      <c r="AP70" s="445"/>
      <c r="AQ70" s="446"/>
      <c r="AR70" s="444"/>
      <c r="AS70" s="445"/>
      <c r="AT70" s="446"/>
      <c r="AU70" s="444"/>
      <c r="AV70" s="445"/>
      <c r="AW70" s="446"/>
      <c r="AX70" s="444"/>
      <c r="AY70" s="445"/>
      <c r="AZ70" s="446"/>
      <c r="BA70" s="444"/>
      <c r="BB70" s="445"/>
      <c r="BC70" s="446"/>
      <c r="BD70" s="444"/>
      <c r="BE70" s="445"/>
      <c r="BF70" s="446"/>
      <c r="BG70" s="444"/>
      <c r="BH70" s="445"/>
      <c r="BI70" s="446"/>
      <c r="BJ70" s="444"/>
      <c r="BK70" s="445"/>
      <c r="BL70" s="446"/>
      <c r="BM70" s="444"/>
      <c r="BN70" s="445"/>
      <c r="BO70" s="446"/>
      <c r="BP70" s="444"/>
      <c r="BQ70" s="445"/>
      <c r="BR70" s="446"/>
      <c r="BS70" s="444"/>
      <c r="BT70" s="445"/>
      <c r="BU70" s="446"/>
      <c r="BV70" s="444"/>
      <c r="BW70" s="445"/>
      <c r="BX70" s="446"/>
      <c r="BY70" s="444"/>
      <c r="BZ70" s="445"/>
      <c r="CA70" s="446"/>
      <c r="CB70" s="444"/>
      <c r="CC70" s="445"/>
      <c r="CD70" s="446"/>
      <c r="CE70" s="444"/>
      <c r="CF70" s="445"/>
      <c r="CG70" s="446"/>
      <c r="CH70" s="444"/>
      <c r="CI70" s="445"/>
      <c r="CJ70" s="446"/>
      <c r="CK70" s="444" t="str">
        <f>CK66</f>
        <v>Situation au 31/03/2016</v>
      </c>
      <c r="CL70" s="445"/>
      <c r="CM70" s="446"/>
      <c r="CN70" s="444" t="str">
        <f t="shared" ref="CN70" si="157">CN66</f>
        <v>Situation au 30/06/2016</v>
      </c>
      <c r="CO70" s="445"/>
      <c r="CP70" s="446"/>
      <c r="CQ70" s="433" t="str">
        <f t="shared" ref="CQ70" si="158">CQ66</f>
        <v>Situation au 30/09/2016</v>
      </c>
      <c r="CR70" s="434"/>
      <c r="CS70" s="435"/>
      <c r="CT70" s="433" t="str">
        <f t="shared" ref="CT70" si="159">CT66</f>
        <v>Situation au 31/12/2016</v>
      </c>
      <c r="CU70" s="434"/>
      <c r="CV70" s="435"/>
      <c r="CW70" s="433" t="str">
        <f t="shared" ref="CW70" si="160">CW66</f>
        <v>Situation au 31/03/2017</v>
      </c>
      <c r="CX70" s="434"/>
      <c r="CY70" s="435"/>
      <c r="CZ70" s="433" t="str">
        <f t="shared" ref="CZ70" si="161">CZ66</f>
        <v>Situation au 30/06/2017</v>
      </c>
      <c r="DA70" s="434"/>
      <c r="DB70" s="435"/>
      <c r="DC70" s="433" t="str">
        <f t="shared" ref="DC70" si="162">DC66</f>
        <v>Situation au 30/09/2017</v>
      </c>
      <c r="DD70" s="434"/>
      <c r="DE70" s="435"/>
      <c r="DF70" s="433" t="str">
        <f t="shared" ref="DF70" si="163">DF66</f>
        <v>Situation au 31/12/2017</v>
      </c>
      <c r="DG70" s="434"/>
      <c r="DH70" s="435"/>
      <c r="DI70" s="433" t="str">
        <f t="shared" ref="DI70" si="164">DI66</f>
        <v>Situation au 31/03/2018</v>
      </c>
      <c r="DJ70" s="434"/>
      <c r="DK70" s="435"/>
      <c r="DL70" s="433" t="str">
        <f t="shared" ref="DL70" si="165">DL66</f>
        <v>Situation au 30/06/2018</v>
      </c>
      <c r="DM70" s="434"/>
      <c r="DN70" s="435"/>
      <c r="DO70" s="433" t="str">
        <f t="shared" ref="DO70" si="166">DO66</f>
        <v>Situation au 30/09/2018</v>
      </c>
      <c r="DP70" s="434"/>
      <c r="DQ70" s="435"/>
      <c r="DR70" s="433" t="str">
        <f t="shared" ref="DR70" si="167">DR66</f>
        <v>Situation au 31/12/2018</v>
      </c>
      <c r="DS70" s="434"/>
      <c r="DT70" s="435"/>
      <c r="DU70" s="441" t="str">
        <f t="shared" ref="DU70" si="168">DU66</f>
        <v>Situation au 31/03/2019</v>
      </c>
      <c r="DV70" s="442"/>
      <c r="DW70" s="443"/>
      <c r="DX70" s="441" t="str">
        <f t="shared" ref="DX70" si="169">DX66</f>
        <v>Situation au 30/06/2019</v>
      </c>
      <c r="DY70" s="442"/>
      <c r="DZ70" s="443"/>
      <c r="EA70" s="441" t="str">
        <f t="shared" ref="EA70" si="170">EA66</f>
        <v>Situation au 30/09/2019</v>
      </c>
      <c r="EB70" s="442"/>
      <c r="EC70" s="443"/>
      <c r="ED70" s="441" t="str">
        <f t="shared" ref="ED70" si="171">ED66</f>
        <v>Situation au 31/12/2019</v>
      </c>
      <c r="EE70" s="442"/>
      <c r="EF70" s="443"/>
      <c r="EG70" s="441" t="str">
        <f t="shared" ref="EG70" si="172">EG66</f>
        <v>Situation au 31/03/2020</v>
      </c>
      <c r="EH70" s="442"/>
      <c r="EI70" s="443"/>
      <c r="EJ70" s="441" t="str">
        <f t="shared" ref="EJ70" si="173">EJ66</f>
        <v>Situation au 30/06/2020</v>
      </c>
      <c r="EK70" s="442"/>
      <c r="EL70" s="443"/>
      <c r="EM70" s="441" t="str">
        <f t="shared" ref="EM70" si="174">EM66</f>
        <v>Situation au 30/09/2020</v>
      </c>
      <c r="EN70" s="442"/>
      <c r="EO70" s="443"/>
      <c r="EP70" s="441" t="str">
        <f t="shared" ref="EP70" si="175">EP66</f>
        <v>Situation au 31/12/2020</v>
      </c>
      <c r="EQ70" s="442"/>
      <c r="ER70" s="443"/>
      <c r="ES70" s="441" t="str">
        <f t="shared" ref="ES70" si="176">ES66</f>
        <v>Situation au 31/03/2021</v>
      </c>
      <c r="ET70" s="442"/>
      <c r="EU70" s="443"/>
      <c r="EV70" s="441" t="str">
        <f t="shared" ref="EV70" si="177">EV66</f>
        <v>Situation au 30/06/2021</v>
      </c>
      <c r="EW70" s="442"/>
      <c r="EX70" s="443"/>
      <c r="EY70" s="441" t="str">
        <f t="shared" ref="EY70" si="178">EY66</f>
        <v>Situation au 30/09/2021</v>
      </c>
      <c r="EZ70" s="442"/>
      <c r="FA70" s="443"/>
      <c r="FB70" s="433" t="str">
        <f t="shared" ref="FB70" si="179">FB66</f>
        <v>Situation au 31/12/2021</v>
      </c>
      <c r="FC70" s="434"/>
      <c r="FD70" s="435"/>
      <c r="FE70" s="433" t="str">
        <f t="shared" ref="FE70" si="180">FE66</f>
        <v>Situation au 31/03/2022</v>
      </c>
      <c r="FF70" s="434"/>
      <c r="FG70" s="435"/>
      <c r="FH70" s="433" t="str">
        <f t="shared" ref="FH70" si="181">FH66</f>
        <v>Situation au 30/06/2022</v>
      </c>
      <c r="FI70" s="434"/>
      <c r="FJ70" s="435"/>
      <c r="FK70" s="433" t="str">
        <f t="shared" ref="FK70" si="182">FK66</f>
        <v>Situation au 30/09/2022</v>
      </c>
      <c r="FL70" s="434"/>
      <c r="FM70" s="435"/>
      <c r="FN70" s="433" t="str">
        <f t="shared" ref="FN70" si="183">FN66</f>
        <v>Situation au 31/12/2022</v>
      </c>
      <c r="FO70" s="434"/>
      <c r="FP70" s="435"/>
      <c r="FQ70" s="433" t="str">
        <f t="shared" ref="FQ70" si="184">FQ66</f>
        <v>Situation au 31/03/2023</v>
      </c>
      <c r="FR70" s="434"/>
      <c r="FS70" s="435"/>
      <c r="FT70" s="433" t="str">
        <f t="shared" ref="FT70" si="185">FT66</f>
        <v>Situation au 30/06/2023</v>
      </c>
      <c r="FU70" s="434"/>
      <c r="FV70" s="435"/>
      <c r="FW70" s="433" t="str">
        <f t="shared" ref="FW70" si="186">FW66</f>
        <v>Situation au 30/09/2023</v>
      </c>
      <c r="FX70" s="434"/>
      <c r="FY70" s="435"/>
      <c r="FZ70" s="433" t="str">
        <f t="shared" ref="FZ70" si="187">FZ66</f>
        <v>Situation au 31/12/2023</v>
      </c>
      <c r="GA70" s="434"/>
      <c r="GB70" s="435"/>
      <c r="GC70" s="433" t="str">
        <f t="shared" ref="GC70" si="188">GC66</f>
        <v>Situation au 31/03/2024</v>
      </c>
      <c r="GD70" s="434"/>
      <c r="GE70" s="435"/>
      <c r="GF70" s="433" t="str">
        <f t="shared" ref="GF70" si="189">GF66</f>
        <v>Situation au 30/06/2024</v>
      </c>
      <c r="GG70" s="434"/>
      <c r="GH70" s="435"/>
      <c r="GI70" s="433" t="str">
        <f t="shared" ref="GI70" si="190">GI66</f>
        <v>Situation au 30/09/2024</v>
      </c>
      <c r="GJ70" s="434"/>
      <c r="GK70" s="435"/>
      <c r="GL70" s="433" t="str">
        <f t="shared" ref="GL70" si="191">GL66</f>
        <v>Situation au 31/12/2024</v>
      </c>
      <c r="GM70" s="434"/>
      <c r="GN70" s="435"/>
    </row>
    <row r="71" spans="1:196" ht="30" customHeight="1" thickBot="1" x14ac:dyDescent="0.3">
      <c r="A71" s="456" t="s">
        <v>379</v>
      </c>
      <c r="B71" s="457"/>
      <c r="C71" s="458"/>
      <c r="AU71" s="76"/>
      <c r="AV71" s="76"/>
      <c r="AW71" s="76"/>
      <c r="AX71" s="76"/>
      <c r="AY71" s="76"/>
      <c r="AZ71" s="76"/>
      <c r="CD71" s="111"/>
      <c r="CG71" s="111"/>
      <c r="CH71" s="450" t="s">
        <v>245</v>
      </c>
      <c r="CI71" s="451"/>
      <c r="CJ71" s="452"/>
      <c r="CK71" s="172"/>
      <c r="CL71" s="173"/>
      <c r="CM71" s="174">
        <v>34.848599999999998</v>
      </c>
      <c r="CN71" s="169"/>
      <c r="CO71" s="170"/>
      <c r="CP71" s="174">
        <v>34.8125</v>
      </c>
      <c r="CQ71" s="169"/>
      <c r="CR71" s="170"/>
      <c r="CS71" s="174">
        <v>34.794400000000003</v>
      </c>
      <c r="CT71" s="169"/>
      <c r="CU71" s="170"/>
      <c r="CV71" s="174">
        <v>34.7697</v>
      </c>
      <c r="CW71" s="172"/>
      <c r="CX71" s="173"/>
      <c r="CY71" s="174">
        <v>34.754300000000001</v>
      </c>
      <c r="CZ71" s="172"/>
      <c r="DA71" s="173"/>
      <c r="DB71" s="174">
        <v>34.735100000000003</v>
      </c>
      <c r="DC71" s="172"/>
      <c r="DD71" s="173"/>
      <c r="DE71" s="174">
        <f>[34]SAS_SA_2017_3T!$C$199</f>
        <v>34.910400000000003</v>
      </c>
      <c r="DF71" s="172"/>
      <c r="DG71" s="173"/>
      <c r="DH71" s="174">
        <f>[35]SAS_SA_2017_4T!$C$199</f>
        <v>35.139800000000001</v>
      </c>
      <c r="DI71" s="172"/>
      <c r="DJ71" s="173"/>
      <c r="DK71" s="189">
        <f>[36]SAS_SA_2018_1T!$C$199</f>
        <v>35.459699999999998</v>
      </c>
      <c r="DL71" s="194"/>
      <c r="DM71" s="195"/>
      <c r="DN71" s="189">
        <f>[37]SAS_SA_2018_2T!$C$199</f>
        <v>35.7089</v>
      </c>
      <c r="DO71" s="194"/>
      <c r="DP71" s="195"/>
      <c r="DQ71" s="189">
        <f>[38]SAS_SA_2018_3T!$C$199</f>
        <v>35.990600000000001</v>
      </c>
      <c r="DR71" s="194"/>
      <c r="DS71" s="195"/>
      <c r="DT71" s="189">
        <f>'[39]190227-14H32S38-PROGRAM-TdB_STO'!$C$199</f>
        <v>36.275599999999997</v>
      </c>
      <c r="DU71" s="233"/>
      <c r="DV71" s="234"/>
      <c r="DW71" s="235">
        <f>[40]SAS_SA_2019_1T!$C$199</f>
        <v>36.633400000000002</v>
      </c>
      <c r="DX71" s="233"/>
      <c r="DY71" s="234"/>
      <c r="DZ71" s="235">
        <f>[41]SAS_SA_2019_2T!$C$199</f>
        <v>36.940800000000003</v>
      </c>
      <c r="EA71" s="233"/>
      <c r="EB71" s="234"/>
      <c r="EC71" s="235">
        <f>[42]SAS_SA_2019_3T!$C$199</f>
        <v>37.335700000000003</v>
      </c>
      <c r="ED71" s="233"/>
      <c r="EE71" s="234"/>
      <c r="EF71" s="235">
        <f>[43]SAS_SA_2019_4T!$C$199</f>
        <v>37.550600000000003</v>
      </c>
      <c r="EG71" s="233"/>
      <c r="EH71" s="234"/>
      <c r="EI71" s="235">
        <f>[44]SAS_SA_2020_1T!$C$178</f>
        <v>37.937899999999999</v>
      </c>
      <c r="EJ71" s="233"/>
      <c r="EK71" s="234"/>
      <c r="EL71" s="235">
        <f>[45]SAS_SA_2020_2T!$C$178</f>
        <v>38.2652</v>
      </c>
      <c r="EM71" s="233"/>
      <c r="EN71" s="234"/>
      <c r="EO71" s="235">
        <f>[46]SAS_SA_2020_3T!$C$178</f>
        <v>38.602600000000002</v>
      </c>
      <c r="EP71" s="233"/>
      <c r="EQ71" s="234"/>
      <c r="ER71" s="235">
        <f>[47]SAS_SA_2020_4T!$C$178</f>
        <v>38.949399999999997</v>
      </c>
      <c r="ES71" s="233"/>
      <c r="ET71" s="234"/>
      <c r="EU71" s="235">
        <f>[48]SAS_SA_2021_1T!$C$178</f>
        <v>39.380899999999997</v>
      </c>
      <c r="EV71" s="233"/>
      <c r="EW71" s="234"/>
      <c r="EX71" s="235">
        <f>[49]SAS_SA_2021_2T!$C$178</f>
        <v>39.713799999999999</v>
      </c>
      <c r="EY71" s="233"/>
      <c r="EZ71" s="234"/>
      <c r="FA71" s="235">
        <f>[50]SAS_SA_2021_3T!$C$178</f>
        <v>40.080100000000002</v>
      </c>
      <c r="FB71" s="233"/>
      <c r="FC71" s="234"/>
      <c r="FD71" s="293">
        <f>[51]SAS_SA_2021_4T!$C$129</f>
        <v>35.658893419052099</v>
      </c>
      <c r="FE71" s="233"/>
      <c r="FF71" s="234"/>
      <c r="FG71" s="293">
        <f>[52]SAS_SA_2022_1T!$C$129</f>
        <v>35.830332217824399</v>
      </c>
      <c r="FH71" s="233"/>
      <c r="FI71" s="234"/>
      <c r="FJ71" s="293">
        <f>[53]SAS_SA_2022_2T!$C$129</f>
        <v>35.983820663460001</v>
      </c>
      <c r="FK71" s="233"/>
      <c r="FL71" s="234"/>
      <c r="FM71" s="293">
        <f>[54]SAS_SA_2022_3T!$C$129</f>
        <v>36.157089986856199</v>
      </c>
      <c r="FN71" s="233"/>
      <c r="FO71" s="234"/>
      <c r="FP71" s="293">
        <f>[55]SAS_SA_2022_4T!$C$129</f>
        <v>36.320551162295097</v>
      </c>
      <c r="FQ71" s="233"/>
      <c r="FR71" s="234"/>
      <c r="FS71" s="293">
        <f>[56]SAS_SA_2023_1T!$C$129</f>
        <v>36.575166891129498</v>
      </c>
      <c r="FT71" s="233"/>
      <c r="FU71" s="234"/>
      <c r="FV71" s="293">
        <f>[57]SAS_SA_2023_2T!$C$129</f>
        <v>36.723969729729703</v>
      </c>
      <c r="FW71" s="233"/>
      <c r="FX71" s="234"/>
      <c r="FY71" s="293">
        <f>[58]SAS_SA_2023_3T!$C$129</f>
        <v>36.907700204967703</v>
      </c>
      <c r="FZ71" s="233"/>
      <c r="GA71" s="234"/>
      <c r="GB71" s="293">
        <f>[59]SAS_SA_2023_4T!$C$129</f>
        <v>37.033307177066803</v>
      </c>
      <c r="GC71" s="233"/>
      <c r="GD71" s="234"/>
      <c r="GE71" s="293">
        <f>[60]SAS_SA_2024_1T!$C$129</f>
        <v>37.279906278346203</v>
      </c>
      <c r="GF71" s="233"/>
      <c r="GG71" s="234"/>
      <c r="GH71" s="293">
        <f>[61]SAS_SA_2024_2T!$C$129</f>
        <v>37.362368351557002</v>
      </c>
      <c r="GI71" s="233"/>
      <c r="GJ71" s="234"/>
      <c r="GK71" s="293">
        <f>[62]SAS_SA_2024_3T!$C$129</f>
        <v>37.528959590381099</v>
      </c>
      <c r="GL71" s="233"/>
      <c r="GM71" s="234"/>
      <c r="GN71" s="293">
        <f>[63]SAS_SA_2024_4T!$C$129</f>
        <v>37.266656716816897</v>
      </c>
    </row>
    <row r="72" spans="1:196" ht="12" thickBot="1" x14ac:dyDescent="0.3">
      <c r="A72" s="167"/>
      <c r="B72" s="167"/>
      <c r="C72" s="167"/>
      <c r="AU72" s="76"/>
      <c r="AV72" s="76"/>
      <c r="AW72" s="76"/>
      <c r="AX72" s="76"/>
      <c r="AY72" s="76"/>
      <c r="AZ72" s="76"/>
      <c r="CD72" s="111"/>
      <c r="CG72" s="111"/>
      <c r="CH72" s="167"/>
      <c r="CI72" s="167"/>
      <c r="CJ72" s="167"/>
      <c r="CK72" s="168"/>
      <c r="CL72" s="168"/>
      <c r="CM72" s="168"/>
      <c r="CN72" s="168"/>
      <c r="CO72" s="168"/>
      <c r="CP72" s="168"/>
      <c r="CQ72" s="168"/>
      <c r="CR72" s="168"/>
      <c r="CS72" s="168"/>
      <c r="CT72" s="168"/>
      <c r="CU72" s="168"/>
      <c r="CV72" s="168"/>
      <c r="CW72" s="168"/>
      <c r="CX72" s="168"/>
      <c r="CY72" s="168"/>
      <c r="CZ72" s="168"/>
      <c r="DA72" s="168"/>
      <c r="DB72" s="179">
        <f t="shared" ref="DB72" si="192">DB71-CP71</f>
        <v>-7.7399999999997249E-2</v>
      </c>
      <c r="DC72" s="179"/>
      <c r="DD72" s="179"/>
      <c r="DE72" s="179">
        <f>DE71-CS71</f>
        <v>0.11599999999999966</v>
      </c>
      <c r="DF72" s="168"/>
      <c r="DG72" s="168"/>
      <c r="DH72" s="179">
        <f>DH71-CV71</f>
        <v>0.37010000000000076</v>
      </c>
      <c r="DI72" s="168"/>
      <c r="DJ72" s="168"/>
      <c r="DK72" s="190"/>
      <c r="DL72" s="190"/>
      <c r="DM72" s="190"/>
      <c r="DN72" s="190"/>
      <c r="FB72" s="277" t="s">
        <v>373</v>
      </c>
      <c r="FC72" s="277"/>
      <c r="FD72" s="277"/>
      <c r="FE72" s="277"/>
      <c r="FF72" s="277"/>
      <c r="FG72" s="277"/>
      <c r="FH72" s="277"/>
      <c r="FI72" s="277"/>
      <c r="FJ72" s="277"/>
      <c r="FK72" s="277"/>
      <c r="FL72" s="277"/>
      <c r="FM72" s="277"/>
      <c r="FN72" s="277"/>
      <c r="FO72" s="277"/>
      <c r="FP72" s="277"/>
      <c r="FQ72" s="277"/>
      <c r="FR72" s="277"/>
      <c r="FS72" s="277"/>
      <c r="FT72" s="277"/>
      <c r="FU72" s="277"/>
      <c r="FV72" s="277"/>
      <c r="FW72" s="277"/>
      <c r="FX72" s="277"/>
      <c r="FY72" s="277"/>
      <c r="FZ72" s="277"/>
      <c r="GA72" s="277"/>
      <c r="GB72" s="277"/>
      <c r="GC72" s="277"/>
      <c r="GD72" s="277"/>
      <c r="GE72" s="277"/>
      <c r="GF72" s="277"/>
      <c r="GG72" s="277"/>
      <c r="GH72" s="277"/>
      <c r="GI72" s="277"/>
      <c r="GJ72" s="277"/>
      <c r="GK72" s="277"/>
      <c r="GL72" s="277"/>
      <c r="GM72" s="277"/>
      <c r="GN72" s="277"/>
    </row>
    <row r="73" spans="1:196" s="185" customFormat="1" ht="24" customHeight="1" thickBot="1" x14ac:dyDescent="0.3">
      <c r="A73" s="184"/>
      <c r="B73" s="444"/>
      <c r="C73" s="445"/>
      <c r="D73" s="446"/>
      <c r="E73" s="444"/>
      <c r="F73" s="445"/>
      <c r="G73" s="446"/>
      <c r="H73" s="444"/>
      <c r="I73" s="445"/>
      <c r="J73" s="446"/>
      <c r="K73" s="444"/>
      <c r="L73" s="445"/>
      <c r="M73" s="446"/>
      <c r="N73" s="444"/>
      <c r="O73" s="445"/>
      <c r="P73" s="445"/>
      <c r="Q73" s="444"/>
      <c r="R73" s="445"/>
      <c r="S73" s="446"/>
      <c r="T73" s="444"/>
      <c r="U73" s="445"/>
      <c r="V73" s="446"/>
      <c r="W73" s="444"/>
      <c r="X73" s="445"/>
      <c r="Y73" s="446"/>
      <c r="Z73" s="444"/>
      <c r="AA73" s="445"/>
      <c r="AB73" s="446"/>
      <c r="AC73" s="444"/>
      <c r="AD73" s="445"/>
      <c r="AE73" s="446"/>
      <c r="AF73" s="444"/>
      <c r="AG73" s="445"/>
      <c r="AH73" s="446"/>
      <c r="AI73" s="444"/>
      <c r="AJ73" s="445"/>
      <c r="AK73" s="446"/>
      <c r="AL73" s="444"/>
      <c r="AM73" s="445"/>
      <c r="AN73" s="446"/>
      <c r="AO73" s="444"/>
      <c r="AP73" s="445"/>
      <c r="AQ73" s="446"/>
      <c r="AR73" s="444"/>
      <c r="AS73" s="445"/>
      <c r="AT73" s="446"/>
      <c r="AU73" s="444"/>
      <c r="AV73" s="445"/>
      <c r="AW73" s="446"/>
      <c r="AX73" s="444"/>
      <c r="AY73" s="445"/>
      <c r="AZ73" s="446"/>
      <c r="BA73" s="444"/>
      <c r="BB73" s="445"/>
      <c r="BC73" s="446"/>
      <c r="BD73" s="444"/>
      <c r="BE73" s="445"/>
      <c r="BF73" s="446"/>
      <c r="BG73" s="444"/>
      <c r="BH73" s="445"/>
      <c r="BI73" s="446"/>
      <c r="BJ73" s="444"/>
      <c r="BK73" s="445"/>
      <c r="BL73" s="446"/>
      <c r="BM73" s="444"/>
      <c r="BN73" s="445"/>
      <c r="BO73" s="446"/>
      <c r="BP73" s="444"/>
      <c r="BQ73" s="445"/>
      <c r="BR73" s="446"/>
      <c r="BS73" s="444"/>
      <c r="BT73" s="445"/>
      <c r="BU73" s="446"/>
      <c r="BV73" s="444"/>
      <c r="BW73" s="445"/>
      <c r="BX73" s="446"/>
      <c r="BY73" s="444"/>
      <c r="BZ73" s="445"/>
      <c r="CA73" s="446"/>
      <c r="CB73" s="444"/>
      <c r="CC73" s="445"/>
      <c r="CD73" s="446"/>
      <c r="CE73" s="444"/>
      <c r="CF73" s="445"/>
      <c r="CG73" s="446"/>
      <c r="CH73" s="444"/>
      <c r="CI73" s="445"/>
      <c r="CJ73" s="446"/>
      <c r="CK73" s="444" t="str">
        <f>CK70</f>
        <v>Situation au 31/03/2016</v>
      </c>
      <c r="CL73" s="445"/>
      <c r="CM73" s="446"/>
      <c r="CN73" s="444" t="str">
        <f t="shared" ref="CN73" si="193">CN70</f>
        <v>Situation au 30/06/2016</v>
      </c>
      <c r="CO73" s="445"/>
      <c r="CP73" s="446"/>
      <c r="CQ73" s="433" t="str">
        <f t="shared" ref="CQ73" si="194">CQ70</f>
        <v>Situation au 30/09/2016</v>
      </c>
      <c r="CR73" s="434"/>
      <c r="CS73" s="435"/>
      <c r="CT73" s="433" t="str">
        <f t="shared" ref="CT73" si="195">CT70</f>
        <v>Situation au 31/12/2016</v>
      </c>
      <c r="CU73" s="434"/>
      <c r="CV73" s="435"/>
      <c r="CW73" s="433" t="str">
        <f t="shared" ref="CW73" si="196">CW70</f>
        <v>Situation au 31/03/2017</v>
      </c>
      <c r="CX73" s="434"/>
      <c r="CY73" s="435"/>
      <c r="CZ73" s="433" t="str">
        <f t="shared" ref="CZ73" si="197">CZ70</f>
        <v>Situation au 30/06/2017</v>
      </c>
      <c r="DA73" s="434"/>
      <c r="DB73" s="435"/>
      <c r="DC73" s="433" t="str">
        <f t="shared" ref="DC73" si="198">DC70</f>
        <v>Situation au 30/09/2017</v>
      </c>
      <c r="DD73" s="434"/>
      <c r="DE73" s="435"/>
      <c r="DF73" s="433" t="str">
        <f t="shared" ref="DF73" si="199">DF70</f>
        <v>Situation au 31/12/2017</v>
      </c>
      <c r="DG73" s="434"/>
      <c r="DH73" s="435"/>
      <c r="DI73" s="433" t="str">
        <f t="shared" ref="DI73" si="200">DI70</f>
        <v>Situation au 31/03/2018</v>
      </c>
      <c r="DJ73" s="434"/>
      <c r="DK73" s="435"/>
      <c r="DL73" s="433" t="str">
        <f t="shared" ref="DL73" si="201">DL70</f>
        <v>Situation au 30/06/2018</v>
      </c>
      <c r="DM73" s="434"/>
      <c r="DN73" s="435"/>
      <c r="DO73" s="433" t="str">
        <f t="shared" ref="DO73" si="202">DO70</f>
        <v>Situation au 30/09/2018</v>
      </c>
      <c r="DP73" s="434"/>
      <c r="DQ73" s="435"/>
      <c r="DR73" s="433" t="str">
        <f t="shared" ref="DR73" si="203">DR70</f>
        <v>Situation au 31/12/2018</v>
      </c>
      <c r="DS73" s="434"/>
      <c r="DT73" s="435"/>
      <c r="DU73" s="441" t="str">
        <f t="shared" ref="DU73" si="204">DU70</f>
        <v>Situation au 31/03/2019</v>
      </c>
      <c r="DV73" s="442"/>
      <c r="DW73" s="443"/>
      <c r="DX73" s="441" t="str">
        <f t="shared" ref="DX73" si="205">DX70</f>
        <v>Situation au 30/06/2019</v>
      </c>
      <c r="DY73" s="442"/>
      <c r="DZ73" s="443"/>
      <c r="EA73" s="441" t="str">
        <f t="shared" ref="EA73" si="206">EA70</f>
        <v>Situation au 30/09/2019</v>
      </c>
      <c r="EB73" s="442"/>
      <c r="EC73" s="443"/>
      <c r="ED73" s="441" t="str">
        <f t="shared" ref="ED73" si="207">ED70</f>
        <v>Situation au 31/12/2019</v>
      </c>
      <c r="EE73" s="442"/>
      <c r="EF73" s="443"/>
      <c r="EG73" s="441" t="str">
        <f t="shared" ref="EG73" si="208">EG70</f>
        <v>Situation au 31/03/2020</v>
      </c>
      <c r="EH73" s="442"/>
      <c r="EI73" s="443"/>
      <c r="EJ73" s="441" t="str">
        <f t="shared" ref="EJ73" si="209">EJ70</f>
        <v>Situation au 30/06/2020</v>
      </c>
      <c r="EK73" s="442"/>
      <c r="EL73" s="443"/>
      <c r="EM73" s="441" t="str">
        <f t="shared" ref="EM73" si="210">EM70</f>
        <v>Situation au 30/09/2020</v>
      </c>
      <c r="EN73" s="442"/>
      <c r="EO73" s="443"/>
      <c r="EP73" s="441" t="str">
        <f t="shared" ref="EP73" si="211">EP70</f>
        <v>Situation au 31/12/2020</v>
      </c>
      <c r="EQ73" s="442"/>
      <c r="ER73" s="443"/>
      <c r="ES73" s="441" t="str">
        <f t="shared" ref="ES73" si="212">ES70</f>
        <v>Situation au 31/03/2021</v>
      </c>
      <c r="ET73" s="442"/>
      <c r="EU73" s="443"/>
      <c r="EV73" s="441" t="str">
        <f t="shared" ref="EV73" si="213">EV70</f>
        <v>Situation au 30/06/2021</v>
      </c>
      <c r="EW73" s="442"/>
      <c r="EX73" s="443"/>
      <c r="EY73" s="441" t="str">
        <f t="shared" ref="EY73" si="214">EY70</f>
        <v>Situation au 30/09/2021</v>
      </c>
      <c r="EZ73" s="442"/>
      <c r="FA73" s="443"/>
      <c r="FB73" s="433" t="str">
        <f t="shared" ref="FB73" si="215">FB70</f>
        <v>Situation au 31/12/2021</v>
      </c>
      <c r="FC73" s="434"/>
      <c r="FD73" s="435"/>
      <c r="FE73" s="433" t="str">
        <f t="shared" ref="FE73" si="216">FE70</f>
        <v>Situation au 31/03/2022</v>
      </c>
      <c r="FF73" s="434"/>
      <c r="FG73" s="435"/>
      <c r="FH73" s="433" t="str">
        <f t="shared" ref="FH73" si="217">FH70</f>
        <v>Situation au 30/06/2022</v>
      </c>
      <c r="FI73" s="434"/>
      <c r="FJ73" s="435"/>
      <c r="FK73" s="433" t="str">
        <f t="shared" ref="FK73" si="218">FK70</f>
        <v>Situation au 30/09/2022</v>
      </c>
      <c r="FL73" s="434"/>
      <c r="FM73" s="435"/>
      <c r="FN73" s="433" t="str">
        <f t="shared" ref="FN73" si="219">FN70</f>
        <v>Situation au 31/12/2022</v>
      </c>
      <c r="FO73" s="434"/>
      <c r="FP73" s="435"/>
      <c r="FQ73" s="433" t="str">
        <f t="shared" ref="FQ73" si="220">FQ70</f>
        <v>Situation au 31/03/2023</v>
      </c>
      <c r="FR73" s="434"/>
      <c r="FS73" s="435"/>
      <c r="FT73" s="433" t="str">
        <f t="shared" ref="FT73" si="221">FT70</f>
        <v>Situation au 30/06/2023</v>
      </c>
      <c r="FU73" s="434"/>
      <c r="FV73" s="435"/>
      <c r="FW73" s="433" t="str">
        <f t="shared" ref="FW73" si="222">FW70</f>
        <v>Situation au 30/09/2023</v>
      </c>
      <c r="FX73" s="434"/>
      <c r="FY73" s="435"/>
      <c r="FZ73" s="433" t="str">
        <f t="shared" ref="FZ73" si="223">FZ70</f>
        <v>Situation au 31/12/2023</v>
      </c>
      <c r="GA73" s="434"/>
      <c r="GB73" s="435"/>
      <c r="GC73" s="433" t="str">
        <f t="shared" ref="GC73" si="224">GC70</f>
        <v>Situation au 31/03/2024</v>
      </c>
      <c r="GD73" s="434"/>
      <c r="GE73" s="435"/>
      <c r="GF73" s="433" t="str">
        <f t="shared" ref="GF73" si="225">GF70</f>
        <v>Situation au 30/06/2024</v>
      </c>
      <c r="GG73" s="434"/>
      <c r="GH73" s="435"/>
      <c r="GI73" s="433" t="str">
        <f t="shared" ref="GI73" si="226">GI70</f>
        <v>Situation au 30/09/2024</v>
      </c>
      <c r="GJ73" s="434"/>
      <c r="GK73" s="435"/>
      <c r="GL73" s="433" t="str">
        <f t="shared" ref="GL73" si="227">GL70</f>
        <v>Situation au 31/12/2024</v>
      </c>
      <c r="GM73" s="434"/>
      <c r="GN73" s="435"/>
    </row>
    <row r="74" spans="1:196" ht="33" customHeight="1" thickBot="1" x14ac:dyDescent="0.3">
      <c r="A74" s="459" t="s">
        <v>378</v>
      </c>
      <c r="B74" s="460"/>
      <c r="C74" s="461"/>
      <c r="AU74" s="76"/>
      <c r="AV74" s="76"/>
      <c r="AW74" s="76"/>
      <c r="AX74" s="76"/>
      <c r="AY74" s="76"/>
      <c r="AZ74" s="76"/>
      <c r="CD74" s="111"/>
      <c r="CG74" s="111"/>
      <c r="CH74" s="450" t="s">
        <v>246</v>
      </c>
      <c r="CI74" s="451"/>
      <c r="CJ74" s="452"/>
      <c r="CK74" s="169"/>
      <c r="CL74" s="170"/>
      <c r="CM74" s="171">
        <v>2409.4520000000002</v>
      </c>
      <c r="CN74" s="169"/>
      <c r="CO74" s="170"/>
      <c r="CP74" s="171">
        <v>2406.8879999999999</v>
      </c>
      <c r="CQ74" s="169"/>
      <c r="CR74" s="170"/>
      <c r="CS74" s="171">
        <v>2407.172</v>
      </c>
      <c r="CT74" s="169"/>
      <c r="CU74" s="170"/>
      <c r="CV74" s="171">
        <v>2406.6239999999998</v>
      </c>
      <c r="CW74" s="169"/>
      <c r="CX74" s="170"/>
      <c r="CY74" s="171">
        <v>2407.116</v>
      </c>
      <c r="CZ74" s="169"/>
      <c r="DA74" s="170"/>
      <c r="DB74" s="177">
        <v>2406.828</v>
      </c>
      <c r="DC74" s="169"/>
      <c r="DD74" s="170"/>
      <c r="DE74" s="177">
        <f>[34]SAS_SA_2017_3T!$E$199</f>
        <v>2421.2080000000001</v>
      </c>
      <c r="DF74" s="169"/>
      <c r="DG74" s="170"/>
      <c r="DH74" s="177">
        <f>[35]SAS_SA_2017_4T!$E$199</f>
        <v>2456.98</v>
      </c>
      <c r="DI74" s="169"/>
      <c r="DJ74" s="170"/>
      <c r="DK74" s="191">
        <f>[36]SAS_SA_2018_1T!$D$199*4</f>
        <v>2480.66</v>
      </c>
      <c r="DL74" s="192"/>
      <c r="DM74" s="193"/>
      <c r="DN74" s="191">
        <f>[37]SAS_SA_2018_2T!$D$199*4</f>
        <v>2500.2800000000002</v>
      </c>
      <c r="DO74" s="192"/>
      <c r="DP74" s="193"/>
      <c r="DQ74" s="191">
        <f>[38]SAS_SA_2018_3T!$D$199*4</f>
        <v>2520.8719999999998</v>
      </c>
      <c r="DR74" s="192"/>
      <c r="DS74" s="193"/>
      <c r="DT74" s="191">
        <f>4*'[39]190227-14H32S38-PROGRAM-TdB_STO'!$D$199</f>
        <v>2542.48</v>
      </c>
      <c r="DU74" s="230"/>
      <c r="DV74" s="231"/>
      <c r="DW74" s="236">
        <f>4*[40]SAS_SA_2019_1T!$D$199</f>
        <v>2577.5120000000002</v>
      </c>
      <c r="DX74" s="230"/>
      <c r="DY74" s="231"/>
      <c r="DZ74" s="236">
        <f>4*[41]SAS_SA_2019_2T!$D$199</f>
        <v>2601.58</v>
      </c>
      <c r="EA74" s="230"/>
      <c r="EB74" s="231"/>
      <c r="EC74" s="236">
        <f>4*[42]SAS_SA_2019_3T!$D$199</f>
        <v>2630.748</v>
      </c>
      <c r="ED74" s="230"/>
      <c r="EE74" s="231"/>
      <c r="EF74" s="236">
        <f>4*[43]SAS_SA_2019_4T!$D$199</f>
        <v>2646.04</v>
      </c>
      <c r="EG74" s="230"/>
      <c r="EH74" s="231"/>
      <c r="EI74" s="236">
        <f>4*[44]SAS_SA_2020_1T!$D$178</f>
        <v>2693.8240000000001</v>
      </c>
      <c r="EJ74" s="230"/>
      <c r="EK74" s="231"/>
      <c r="EL74" s="236">
        <f>4*[45]SAS_SA_2020_2T!$D$178</f>
        <v>2718.596</v>
      </c>
      <c r="EM74" s="230"/>
      <c r="EN74" s="231"/>
      <c r="EO74" s="236">
        <f>4*[46]SAS_SA_2020_3T!$D$178</f>
        <v>2747.556</v>
      </c>
      <c r="EP74" s="230"/>
      <c r="EQ74" s="231"/>
      <c r="ER74" s="236">
        <f>4*[47]SAS_SA_2020_4T!$D$178</f>
        <v>2775.1</v>
      </c>
      <c r="ES74" s="230"/>
      <c r="ET74" s="231"/>
      <c r="EU74" s="236">
        <f>4*[48]SAS_SA_2021_1T!$D$178</f>
        <v>2819.3760000000002</v>
      </c>
      <c r="EV74" s="230"/>
      <c r="EW74" s="231"/>
      <c r="EX74" s="236">
        <f>[49]SAS_SA_2021_2T!$E$178</f>
        <v>2846.9960000000001</v>
      </c>
      <c r="EY74" s="230"/>
      <c r="EZ74" s="231"/>
      <c r="FA74" s="236">
        <f>[50]SAS_SA_2021_3T!$E$178</f>
        <v>2876.9119999999998</v>
      </c>
      <c r="FB74" s="230"/>
      <c r="FC74" s="231"/>
      <c r="FD74" s="294">
        <f>4*[51]SAS_SA_2021_4T!$D$129</f>
        <v>2522.341008353596</v>
      </c>
      <c r="FE74" s="230"/>
      <c r="FF74" s="231"/>
      <c r="FG74" s="294">
        <f>4*[52]SAS_SA_2022_1T!$D$129</f>
        <v>2531.4421379267401</v>
      </c>
      <c r="FH74" s="230"/>
      <c r="FI74" s="231"/>
      <c r="FJ74" s="294">
        <f>4*[53]SAS_SA_2022_2T!$D$129</f>
        <v>2542.41848458494</v>
      </c>
      <c r="FK74" s="230"/>
      <c r="FL74" s="231"/>
      <c r="FM74" s="294">
        <f>4*[54]SAS_SA_2022_3T!$D$129</f>
        <v>2655.0372763507999</v>
      </c>
      <c r="FN74" s="230"/>
      <c r="FO74" s="231"/>
      <c r="FP74" s="294">
        <f>4*[55]SAS_SA_2022_4T!$D$129</f>
        <v>2668.0329673315919</v>
      </c>
      <c r="FQ74" s="230"/>
      <c r="FR74" s="231"/>
      <c r="FS74" s="294">
        <f>4*[56]SAS_SA_2023_1T!$D$129</f>
        <v>2712.2981836712402</v>
      </c>
      <c r="FT74" s="230"/>
      <c r="FU74" s="231"/>
      <c r="FV74" s="294">
        <f>4*[57]SAS_SA_2023_2T!$D$129</f>
        <v>2722.0491185585602</v>
      </c>
      <c r="FW74" s="230"/>
      <c r="FX74" s="231"/>
      <c r="FY74" s="294">
        <f>4*[58]SAS_SA_2023_3T!$D$129</f>
        <v>2738.7725712054762</v>
      </c>
      <c r="FZ74" s="230"/>
      <c r="GA74" s="231"/>
      <c r="GB74" s="294">
        <f>4*[59]SAS_SA_2023_4T!$D$129</f>
        <v>2753.6155696022602</v>
      </c>
      <c r="GC74" s="230"/>
      <c r="GD74" s="231"/>
      <c r="GE74" s="294">
        <f>4*[60]SAS_SA_2024_1T!$D$129</f>
        <v>2921.7789061276599</v>
      </c>
      <c r="GF74" s="230"/>
      <c r="GG74" s="231"/>
      <c r="GH74" s="294">
        <f>4*[61]SAS_SA_2024_2T!$D$129</f>
        <v>2926.6688183480078</v>
      </c>
      <c r="GI74" s="230"/>
      <c r="GJ74" s="231"/>
      <c r="GK74" s="294">
        <f>4*[62]SAS_SA_2024_3T!$D$129</f>
        <v>2939.1427820242402</v>
      </c>
      <c r="GL74" s="230"/>
      <c r="GM74" s="231"/>
      <c r="GN74" s="294">
        <f>4*[63]SAS_SA_2024_4T!$D$129</f>
        <v>2962.015545526504</v>
      </c>
    </row>
    <row r="75" spans="1:196" ht="33" customHeight="1" thickBot="1" x14ac:dyDescent="0.3">
      <c r="A75" s="447" t="s">
        <v>267</v>
      </c>
      <c r="B75" s="448"/>
      <c r="C75" s="449"/>
      <c r="AU75" s="76"/>
      <c r="AV75" s="76"/>
      <c r="AW75" s="76"/>
      <c r="AX75" s="76"/>
      <c r="AY75" s="76"/>
      <c r="AZ75" s="76"/>
      <c r="CD75" s="111"/>
      <c r="CG75" s="111"/>
      <c r="CH75" s="180"/>
      <c r="CI75" s="180"/>
      <c r="CJ75" s="180"/>
      <c r="CK75" s="181"/>
      <c r="CL75" s="181"/>
      <c r="CM75" s="181"/>
      <c r="CN75" s="181"/>
      <c r="CO75" s="181"/>
      <c r="CP75" s="181"/>
      <c r="CQ75" s="181"/>
      <c r="CR75" s="181"/>
      <c r="CS75" s="181"/>
      <c r="CT75" s="181"/>
      <c r="CU75" s="181"/>
      <c r="CV75" s="181"/>
      <c r="CW75" s="181"/>
      <c r="CX75" s="181"/>
      <c r="CY75" s="181">
        <v>2549.38</v>
      </c>
      <c r="CZ75" s="181"/>
      <c r="DA75" s="181"/>
      <c r="DB75" s="182">
        <v>2547.0239999999999</v>
      </c>
      <c r="DC75" s="181"/>
      <c r="DD75" s="181"/>
      <c r="DE75" s="182">
        <v>2561.7640000000001</v>
      </c>
      <c r="DF75" s="181"/>
      <c r="DG75" s="181"/>
      <c r="DH75" s="182">
        <v>2598.1320000000001</v>
      </c>
      <c r="DI75" s="169"/>
      <c r="DJ75" s="170"/>
      <c r="DK75" s="191">
        <f>[36]SAS_SA_2018_1T!$D$209*4</f>
        <v>2622.4119999999998</v>
      </c>
      <c r="DL75" s="192"/>
      <c r="DM75" s="193"/>
      <c r="DN75" s="191">
        <f>[37]SAS_SA_2018_2T!$D$209*4</f>
        <v>2645.1320000000001</v>
      </c>
      <c r="DO75" s="192"/>
      <c r="DP75" s="193"/>
      <c r="DQ75" s="191">
        <f>[38]SAS_SA_2018_3T!$D$209*4</f>
        <v>2667.152</v>
      </c>
      <c r="DR75" s="192"/>
      <c r="DS75" s="193"/>
      <c r="DT75" s="191">
        <f>4*'[39]190227-14H32S38-PROGRAM-TdB_STO'!$D$209</f>
        <v>2690.828</v>
      </c>
      <c r="DU75" s="230"/>
      <c r="DV75" s="231"/>
      <c r="DW75" s="236">
        <f>4*[40]SAS_SA_2019_1T!$D$209</f>
        <v>2730.4479999999999</v>
      </c>
      <c r="DX75" s="230"/>
      <c r="DY75" s="231"/>
      <c r="DZ75" s="236">
        <f>4*[41]SAS_SA_2019_2T!$D$209</f>
        <v>2757.0920000000001</v>
      </c>
      <c r="EA75" s="230"/>
      <c r="EB75" s="231"/>
      <c r="EC75" s="236">
        <f>4*[42]SAS_SA_2019_3T!$D$209</f>
        <v>2789.4079999999999</v>
      </c>
      <c r="ED75" s="230"/>
      <c r="EE75" s="231"/>
      <c r="EF75" s="236">
        <f>4*[43]SAS_SA_2019_4T!$D$209</f>
        <v>2808.3040000000001</v>
      </c>
      <c r="EG75" s="230"/>
      <c r="EH75" s="231"/>
      <c r="EI75" s="236">
        <f>4*[44]SAS_SA_2020_1T!$D$186</f>
        <v>2862.7719999999999</v>
      </c>
      <c r="EJ75" s="230"/>
      <c r="EK75" s="231"/>
      <c r="EL75" s="236">
        <f>4*[45]SAS_SA_2020_2T!$D$186</f>
        <v>2890.768</v>
      </c>
      <c r="EM75" s="230"/>
      <c r="EN75" s="231"/>
      <c r="EO75" s="236">
        <f>4*[46]SAS_SA_2020_3T!$D$186</f>
        <v>2923.8960000000002</v>
      </c>
      <c r="EP75" s="230"/>
      <c r="EQ75" s="231"/>
      <c r="ER75" s="236">
        <f>4*[47]SAS_SA_2020_4T!$D$186</f>
        <v>2956.692</v>
      </c>
      <c r="ES75" s="230"/>
      <c r="ET75" s="231"/>
      <c r="EU75" s="236">
        <f>4*[48]SAS_SA_2021_1T!$D$186</f>
        <v>3004.0279999999998</v>
      </c>
      <c r="EV75" s="230"/>
      <c r="EW75" s="231"/>
      <c r="EX75" s="236">
        <f>[49]SAS_SA_2021_2T!$E$186</f>
        <v>3035.6439999999998</v>
      </c>
      <c r="EY75" s="230"/>
      <c r="EZ75" s="231"/>
      <c r="FA75" s="236">
        <f>[50]SAS_SA_2021_3T!$E$186</f>
        <v>3069.9560000000001</v>
      </c>
      <c r="FB75" s="380"/>
      <c r="FC75" s="381"/>
      <c r="FD75" s="382">
        <f>4*[66]SAS_SA_2021_4T!$D$134</f>
        <v>3098.646416782924</v>
      </c>
      <c r="FE75" s="230"/>
      <c r="FF75" s="231"/>
      <c r="FG75" s="236">
        <f>4*[52]SAS_SA_2022_1T!$D$134</f>
        <v>3172.7790216290241</v>
      </c>
      <c r="FH75" s="230"/>
      <c r="FI75" s="231"/>
      <c r="FJ75" s="236">
        <f>4*[53]SAS_SA_2022_2T!$D$134</f>
        <v>3205.1346333520801</v>
      </c>
      <c r="FK75" s="230"/>
      <c r="FL75" s="231"/>
      <c r="FM75" s="236">
        <f>4*[54]SAS_SA_2022_3T!$D$134</f>
        <v>3368.0817051307481</v>
      </c>
      <c r="FN75" s="230"/>
      <c r="FO75" s="231"/>
      <c r="FP75" s="236">
        <f>4*[55]SAS_SA_2022_4T!$D$134</f>
        <v>3401.071058500208</v>
      </c>
      <c r="FQ75" s="230"/>
      <c r="FR75" s="231"/>
      <c r="FS75" s="236">
        <f>4*[56]SAS_SA_2023_1T!$D$134</f>
        <v>3475.4406499870761</v>
      </c>
      <c r="FT75" s="230"/>
      <c r="FU75" s="231"/>
      <c r="FV75" s="236">
        <f>4*[57]SAS_SA_2023_2T!$D$134</f>
        <v>3513.3847635608281</v>
      </c>
      <c r="FW75" s="230"/>
      <c r="FX75" s="231"/>
      <c r="FY75" s="236">
        <f>4*[58]SAS_SA_2023_3T!$D$134</f>
        <v>3554.8052737300441</v>
      </c>
      <c r="FZ75" s="230"/>
      <c r="GA75" s="231"/>
      <c r="GB75" s="236">
        <f>4*[59]SAS_SA_2023_4T!$D$134</f>
        <v>3585.1385968533641</v>
      </c>
      <c r="GC75" s="230"/>
      <c r="GD75" s="231"/>
      <c r="GE75" s="236">
        <f>4*[60]SAS_SA_2024_1T!$D$134</f>
        <v>3818.9161725720442</v>
      </c>
      <c r="GF75" s="230"/>
      <c r="GG75" s="231"/>
      <c r="GH75" s="236">
        <f>4*[61]SAS_SA_2024_2T!$D$134</f>
        <v>3851.6515759001441</v>
      </c>
      <c r="GI75" s="230"/>
      <c r="GJ75" s="231"/>
      <c r="GK75" s="236">
        <f>4*[62]SAS_SA_2024_3T!$D$134</f>
        <v>3888.3200472905119</v>
      </c>
      <c r="GL75" s="230"/>
      <c r="GM75" s="231"/>
      <c r="GN75" s="236">
        <f>4*[63]SAS_SA_2024_4T!$D$134</f>
        <v>3954.2682171391561</v>
      </c>
    </row>
    <row r="76" spans="1:196" x14ac:dyDescent="0.25">
      <c r="AU76" s="76"/>
      <c r="AV76" s="76"/>
      <c r="AW76" s="76"/>
      <c r="AX76" s="76"/>
      <c r="AY76" s="76"/>
      <c r="AZ76" s="76"/>
      <c r="CD76" s="111"/>
      <c r="CG76" s="111"/>
      <c r="CH76" s="167"/>
      <c r="CI76" s="167"/>
      <c r="CJ76" s="167"/>
      <c r="CK76" s="168"/>
      <c r="CL76" s="168"/>
      <c r="CM76" s="168"/>
      <c r="CN76" s="168"/>
      <c r="CO76" s="168"/>
      <c r="CP76" s="168"/>
      <c r="CQ76" s="168"/>
      <c r="CR76" s="168"/>
      <c r="CS76" s="168"/>
      <c r="CT76" s="168"/>
      <c r="CU76" s="168"/>
      <c r="CV76" s="168"/>
      <c r="CW76" s="168"/>
      <c r="CX76" s="168"/>
      <c r="CY76" s="168"/>
      <c r="CZ76" s="168"/>
      <c r="DA76" s="168"/>
      <c r="DB76" s="168">
        <f>DB74/12</f>
        <v>200.56899999999999</v>
      </c>
      <c r="DC76" s="168"/>
      <c r="DD76" s="168"/>
      <c r="DE76" s="168">
        <f>DE74/12</f>
        <v>201.76733333333334</v>
      </c>
      <c r="DF76" s="168"/>
      <c r="DG76" s="168"/>
      <c r="DH76" s="168">
        <f>DH74/12</f>
        <v>204.74833333333333</v>
      </c>
      <c r="DI76" s="168"/>
      <c r="DJ76" s="168"/>
      <c r="DK76" s="190">
        <f>DK74/12</f>
        <v>206.72166666666666</v>
      </c>
      <c r="DL76" s="190"/>
      <c r="DM76" s="190"/>
      <c r="DN76" s="190">
        <f>DN74/12</f>
        <v>208.35666666666668</v>
      </c>
      <c r="DO76" s="190">
        <f t="shared" ref="DO76:DW76" si="228">DO74/12</f>
        <v>0</v>
      </c>
      <c r="DP76" s="190">
        <f t="shared" si="228"/>
        <v>0</v>
      </c>
      <c r="DQ76" s="190">
        <f t="shared" si="228"/>
        <v>210.07266666666666</v>
      </c>
      <c r="DR76" s="190">
        <f t="shared" si="228"/>
        <v>0</v>
      </c>
      <c r="DS76" s="190">
        <f t="shared" si="228"/>
        <v>0</v>
      </c>
      <c r="DT76" s="190">
        <f t="shared" si="228"/>
        <v>211.87333333333333</v>
      </c>
      <c r="DU76" s="237">
        <f t="shared" si="228"/>
        <v>0</v>
      </c>
      <c r="DV76" s="237">
        <f t="shared" si="228"/>
        <v>0</v>
      </c>
      <c r="DW76" s="237">
        <f t="shared" si="228"/>
        <v>214.79266666666669</v>
      </c>
      <c r="DX76" s="237">
        <f t="shared" ref="DX76:DZ76" si="229">DX74/12</f>
        <v>0</v>
      </c>
      <c r="DY76" s="237">
        <f t="shared" si="229"/>
        <v>0</v>
      </c>
      <c r="DZ76" s="237">
        <f t="shared" si="229"/>
        <v>216.79833333333332</v>
      </c>
      <c r="EA76" s="237">
        <f t="shared" ref="EA76:EC76" si="230">EA74/12</f>
        <v>0</v>
      </c>
      <c r="EB76" s="237">
        <f t="shared" si="230"/>
        <v>0</v>
      </c>
      <c r="EC76" s="237">
        <f t="shared" si="230"/>
        <v>219.22900000000001</v>
      </c>
      <c r="ED76" s="237">
        <f t="shared" ref="ED76:EF76" si="231">ED74/12</f>
        <v>0</v>
      </c>
      <c r="EE76" s="237">
        <f t="shared" si="231"/>
        <v>0</v>
      </c>
      <c r="EF76" s="237">
        <f t="shared" si="231"/>
        <v>220.50333333333333</v>
      </c>
      <c r="EG76" s="237">
        <f t="shared" ref="EG76:EI76" si="232">EG74/12</f>
        <v>0</v>
      </c>
      <c r="EH76" s="237">
        <f t="shared" si="232"/>
        <v>0</v>
      </c>
      <c r="EI76" s="237">
        <f t="shared" si="232"/>
        <v>224.48533333333333</v>
      </c>
      <c r="EJ76" s="237">
        <f t="shared" ref="EJ76:EL76" si="233">EJ74/12</f>
        <v>0</v>
      </c>
      <c r="EK76" s="237">
        <f t="shared" si="233"/>
        <v>0</v>
      </c>
      <c r="EL76" s="237">
        <f t="shared" si="233"/>
        <v>226.54966666666667</v>
      </c>
      <c r="EM76" s="237">
        <f t="shared" ref="EM76:EO76" si="234">EM74/12</f>
        <v>0</v>
      </c>
      <c r="EN76" s="237">
        <f t="shared" si="234"/>
        <v>0</v>
      </c>
      <c r="EO76" s="237">
        <f t="shared" si="234"/>
        <v>228.96299999999999</v>
      </c>
      <c r="EP76" s="237">
        <f t="shared" ref="EP76:ER76" si="235">EP74/12</f>
        <v>0</v>
      </c>
      <c r="EQ76" s="237">
        <f t="shared" si="235"/>
        <v>0</v>
      </c>
      <c r="ER76" s="237">
        <f t="shared" si="235"/>
        <v>231.25833333333333</v>
      </c>
      <c r="ES76" s="237">
        <f t="shared" ref="ES76:EU76" si="236">ES74/12</f>
        <v>0</v>
      </c>
      <c r="ET76" s="237">
        <f t="shared" si="236"/>
        <v>0</v>
      </c>
      <c r="EU76" s="237">
        <f t="shared" si="236"/>
        <v>234.94800000000001</v>
      </c>
      <c r="EV76" s="237">
        <f t="shared" ref="EV76:EX76" si="237">EV74/12</f>
        <v>0</v>
      </c>
      <c r="EW76" s="237">
        <f t="shared" si="237"/>
        <v>0</v>
      </c>
      <c r="EX76" s="237">
        <f t="shared" si="237"/>
        <v>237.24966666666668</v>
      </c>
      <c r="EY76" s="237">
        <f t="shared" ref="EY76:FA76" si="238">EY74/12</f>
        <v>0</v>
      </c>
      <c r="EZ76" s="237">
        <f t="shared" si="238"/>
        <v>0</v>
      </c>
      <c r="FA76" s="237">
        <f t="shared" si="238"/>
        <v>239.74266666666665</v>
      </c>
      <c r="FB76" s="237">
        <f t="shared" ref="FB76:FD76" si="239">FB74/12</f>
        <v>0</v>
      </c>
      <c r="FC76" s="237">
        <f t="shared" si="239"/>
        <v>0</v>
      </c>
      <c r="FD76" s="237">
        <f t="shared" si="239"/>
        <v>210.19508402946633</v>
      </c>
      <c r="FE76" s="237">
        <f t="shared" ref="FE76:FG76" si="240">FE74/12</f>
        <v>0</v>
      </c>
      <c r="FF76" s="237">
        <f t="shared" si="240"/>
        <v>0</v>
      </c>
      <c r="FG76" s="237">
        <f t="shared" si="240"/>
        <v>210.95351149389501</v>
      </c>
      <c r="FH76" s="237">
        <f t="shared" ref="FH76:FJ76" si="241">FH74/12</f>
        <v>0</v>
      </c>
      <c r="FI76" s="237">
        <f t="shared" si="241"/>
        <v>0</v>
      </c>
      <c r="FJ76" s="237">
        <f t="shared" si="241"/>
        <v>211.86820704874501</v>
      </c>
      <c r="FK76" s="237">
        <f t="shared" ref="FK76:FM76" si="242">FK74/12</f>
        <v>0</v>
      </c>
      <c r="FL76" s="237">
        <f t="shared" si="242"/>
        <v>0</v>
      </c>
      <c r="FM76" s="237">
        <f t="shared" si="242"/>
        <v>221.25310636256665</v>
      </c>
      <c r="FN76" s="237">
        <f t="shared" ref="FN76:FP76" si="243">FN74/12</f>
        <v>0</v>
      </c>
      <c r="FO76" s="237">
        <f t="shared" si="243"/>
        <v>0</v>
      </c>
      <c r="FP76" s="237">
        <f t="shared" si="243"/>
        <v>222.33608061096598</v>
      </c>
      <c r="FQ76" s="237">
        <f t="shared" ref="FQ76:FS76" si="244">FQ74/12</f>
        <v>0</v>
      </c>
      <c r="FR76" s="237">
        <f t="shared" si="244"/>
        <v>0</v>
      </c>
      <c r="FS76" s="237">
        <f t="shared" si="244"/>
        <v>226.02484863927</v>
      </c>
      <c r="FT76" s="237">
        <f t="shared" ref="FT76:FV76" si="245">FT74/12</f>
        <v>0</v>
      </c>
      <c r="FU76" s="237">
        <f t="shared" si="245"/>
        <v>0</v>
      </c>
      <c r="FV76" s="237">
        <f t="shared" si="245"/>
        <v>226.83742654654668</v>
      </c>
      <c r="FW76" s="237">
        <f t="shared" ref="FW76:FY76" si="246">FW74/12</f>
        <v>0</v>
      </c>
      <c r="FX76" s="237">
        <f t="shared" si="246"/>
        <v>0</v>
      </c>
      <c r="FY76" s="237">
        <f t="shared" si="246"/>
        <v>228.23104760045635</v>
      </c>
      <c r="FZ76" s="237">
        <f t="shared" ref="FZ76:GB76" si="247">FZ74/12</f>
        <v>0</v>
      </c>
      <c r="GA76" s="237">
        <f t="shared" si="247"/>
        <v>0</v>
      </c>
      <c r="GB76" s="237">
        <f t="shared" si="247"/>
        <v>229.46796413352169</v>
      </c>
      <c r="GC76" s="237">
        <f t="shared" ref="GC76:GE76" si="248">GC74/12</f>
        <v>0</v>
      </c>
      <c r="GD76" s="237">
        <f t="shared" si="248"/>
        <v>0</v>
      </c>
      <c r="GE76" s="237">
        <f t="shared" si="248"/>
        <v>243.48157551063832</v>
      </c>
      <c r="GF76" s="237">
        <f t="shared" ref="GF76:GH76" si="249">GF74/12</f>
        <v>0</v>
      </c>
      <c r="GG76" s="237">
        <f t="shared" si="249"/>
        <v>0</v>
      </c>
      <c r="GH76" s="237">
        <f t="shared" si="249"/>
        <v>243.88906819566731</v>
      </c>
      <c r="GI76" s="237">
        <f t="shared" ref="GI76:GK76" si="250">GI74/12</f>
        <v>0</v>
      </c>
      <c r="GJ76" s="237">
        <f t="shared" si="250"/>
        <v>0</v>
      </c>
      <c r="GK76" s="237">
        <f t="shared" si="250"/>
        <v>244.92856516868667</v>
      </c>
      <c r="GL76" s="237">
        <f t="shared" ref="GL76:GN76" si="251">GL74/12</f>
        <v>0</v>
      </c>
      <c r="GM76" s="237">
        <f t="shared" si="251"/>
        <v>0</v>
      </c>
      <c r="GN76" s="237">
        <f t="shared" si="251"/>
        <v>246.83462879387534</v>
      </c>
    </row>
    <row r="77" spans="1:196" x14ac:dyDescent="0.25">
      <c r="AU77" s="76"/>
      <c r="AV77" s="76"/>
      <c r="AW77" s="76"/>
      <c r="AX77" s="76"/>
      <c r="AY77" s="76"/>
      <c r="AZ77" s="76"/>
      <c r="CD77" s="111"/>
      <c r="CG77" s="111"/>
      <c r="CH77" s="167"/>
      <c r="CI77" s="167"/>
      <c r="CJ77" s="167"/>
      <c r="CK77" s="168"/>
      <c r="CL77" s="168"/>
      <c r="CM77" s="168"/>
      <c r="CN77" s="168"/>
      <c r="CO77" s="168"/>
      <c r="CP77" s="168"/>
      <c r="CQ77" s="168"/>
      <c r="CR77" s="168"/>
      <c r="CS77" s="168"/>
      <c r="CT77" s="168"/>
      <c r="CU77" s="168"/>
      <c r="CV77" s="168"/>
      <c r="CW77" s="168"/>
      <c r="CX77" s="168"/>
      <c r="CY77" s="168"/>
      <c r="CZ77" s="168"/>
      <c r="DA77" s="168"/>
      <c r="DB77" s="168"/>
      <c r="DC77" s="168"/>
      <c r="DD77" s="168"/>
      <c r="DE77" s="168"/>
      <c r="DF77" s="168"/>
      <c r="DG77" s="168"/>
      <c r="DH77" s="168"/>
      <c r="DI77" s="168"/>
      <c r="DJ77" s="168"/>
      <c r="DK77" s="190"/>
      <c r="DL77" s="190"/>
      <c r="DM77" s="190"/>
      <c r="DN77" s="190"/>
      <c r="FN77" s="198"/>
      <c r="FO77" s="198"/>
      <c r="FP77" s="198"/>
      <c r="FQ77" s="198"/>
      <c r="FR77" s="198"/>
      <c r="FS77" s="198"/>
      <c r="FT77" s="198"/>
      <c r="FU77" s="198"/>
      <c r="FV77" s="198"/>
      <c r="FW77" s="198"/>
      <c r="FX77" s="198"/>
      <c r="FY77" s="198"/>
      <c r="FZ77" s="198"/>
      <c r="GA77" s="198"/>
      <c r="GB77" s="198"/>
      <c r="GC77" s="198"/>
      <c r="GD77" s="198"/>
      <c r="GE77" s="198"/>
      <c r="GF77" s="198"/>
      <c r="GG77" s="198"/>
      <c r="GH77" s="198"/>
      <c r="GI77" s="198"/>
      <c r="GJ77" s="198"/>
      <c r="GK77" s="198"/>
      <c r="GL77" s="198"/>
      <c r="GM77" s="198"/>
      <c r="GN77" s="198"/>
    </row>
    <row r="78" spans="1:196" ht="17.5" x14ac:dyDescent="0.35">
      <c r="A78" s="244" t="s">
        <v>306</v>
      </c>
      <c r="B78" s="240"/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/>
      <c r="U78" s="240"/>
      <c r="V78" s="240"/>
      <c r="W78" s="240"/>
      <c r="X78" s="240"/>
      <c r="Y78" s="240"/>
      <c r="Z78" s="240"/>
      <c r="AA78" s="240"/>
      <c r="AB78" s="240"/>
      <c r="AC78" s="240"/>
      <c r="AD78" s="240"/>
      <c r="AE78" s="240"/>
      <c r="AF78" s="240"/>
      <c r="AG78" s="240"/>
      <c r="AH78" s="240"/>
      <c r="AI78" s="240"/>
      <c r="AJ78" s="240"/>
      <c r="AK78" s="240"/>
      <c r="AL78" s="240"/>
      <c r="AM78" s="240"/>
      <c r="AN78" s="240"/>
      <c r="AO78" s="240"/>
      <c r="AP78" s="240"/>
      <c r="AQ78" s="240"/>
      <c r="AR78" s="241"/>
      <c r="AS78" s="241"/>
      <c r="AT78" s="241"/>
      <c r="AU78" s="241"/>
      <c r="AV78" s="241"/>
      <c r="AW78" s="241"/>
      <c r="AX78" s="241"/>
      <c r="AY78" s="241"/>
      <c r="AZ78" s="241"/>
      <c r="BA78" s="241"/>
      <c r="BB78" s="241"/>
      <c r="BC78" s="241"/>
      <c r="BD78" s="241"/>
      <c r="BE78" s="241"/>
      <c r="BF78" s="241"/>
      <c r="BG78" s="241" t="s">
        <v>158</v>
      </c>
      <c r="BH78" s="241"/>
      <c r="BI78" s="241"/>
      <c r="BJ78" s="242"/>
      <c r="BK78" s="242"/>
      <c r="BL78" s="242"/>
      <c r="BM78" s="240"/>
      <c r="BN78" s="240"/>
      <c r="BO78" s="240"/>
      <c r="BP78" s="240"/>
      <c r="BQ78" s="240"/>
      <c r="BR78" s="240"/>
      <c r="BS78" s="240"/>
      <c r="BT78" s="240"/>
      <c r="BU78" s="240"/>
      <c r="BV78" s="240"/>
      <c r="BW78" s="240"/>
      <c r="BX78" s="243"/>
      <c r="BY78" s="240"/>
      <c r="BZ78" s="240"/>
      <c r="CA78" s="240"/>
      <c r="CB78" s="240"/>
      <c r="CC78" s="240"/>
      <c r="CD78" s="242"/>
      <c r="CE78" s="240"/>
      <c r="CF78" s="240"/>
      <c r="CG78" s="242"/>
      <c r="CH78" s="240"/>
      <c r="CI78" s="240"/>
      <c r="CJ78" s="242"/>
      <c r="CK78" s="240"/>
      <c r="CL78" s="240"/>
      <c r="CM78" s="242"/>
      <c r="CN78" s="240"/>
      <c r="CO78" s="240"/>
      <c r="CP78" s="242"/>
      <c r="CQ78" s="240"/>
      <c r="CR78" s="240"/>
      <c r="CS78" s="242"/>
      <c r="CT78" s="240"/>
      <c r="CU78" s="240"/>
      <c r="CV78" s="242"/>
      <c r="CW78" s="240"/>
      <c r="CX78" s="240"/>
      <c r="CY78" s="242"/>
      <c r="CZ78" s="240"/>
      <c r="DA78" s="240"/>
      <c r="DB78" s="242"/>
      <c r="DC78" s="240"/>
      <c r="DD78" s="240"/>
      <c r="DE78" s="242"/>
      <c r="DF78" s="240"/>
      <c r="DG78" s="240"/>
      <c r="DH78" s="242"/>
      <c r="DI78" s="240"/>
      <c r="DJ78" s="240"/>
      <c r="DK78" s="242"/>
      <c r="DL78" s="240"/>
      <c r="DM78" s="240"/>
      <c r="DN78" s="242"/>
      <c r="DO78" s="240"/>
      <c r="DP78" s="240"/>
      <c r="DQ78" s="240"/>
      <c r="DR78" s="240"/>
      <c r="DS78" s="240"/>
      <c r="DT78" s="240"/>
      <c r="DU78" s="240"/>
      <c r="DV78" s="240"/>
      <c r="DW78" s="240"/>
      <c r="DX78" s="240"/>
      <c r="DY78" s="240"/>
      <c r="DZ78" s="240"/>
      <c r="EA78" s="240"/>
      <c r="EB78" s="240"/>
      <c r="EC78" s="240"/>
      <c r="ED78" s="240"/>
      <c r="EE78" s="240"/>
      <c r="EF78" s="240"/>
      <c r="EG78" s="240"/>
      <c r="EH78" s="240"/>
      <c r="EI78" s="240"/>
      <c r="EJ78" s="240"/>
      <c r="EK78" s="240"/>
      <c r="EL78" s="240"/>
      <c r="EM78" s="240"/>
      <c r="EN78" s="240"/>
      <c r="EO78" s="240"/>
      <c r="EP78" s="240"/>
      <c r="EQ78" s="240"/>
      <c r="ER78" s="240"/>
      <c r="ES78" s="240"/>
      <c r="ET78" s="240"/>
      <c r="EU78" s="240"/>
      <c r="EV78" s="240"/>
      <c r="EW78" s="240"/>
      <c r="EX78" s="240"/>
      <c r="EY78" s="240"/>
      <c r="EZ78" s="240"/>
      <c r="FA78" s="240"/>
      <c r="FB78" s="240"/>
      <c r="FC78" s="240"/>
      <c r="FD78" s="240"/>
      <c r="FE78" s="240"/>
      <c r="FF78" s="240"/>
      <c r="FG78" s="240"/>
      <c r="FH78" s="240"/>
      <c r="FI78" s="240"/>
      <c r="FJ78" s="240"/>
      <c r="FK78" s="240"/>
      <c r="FL78" s="240"/>
      <c r="FM78" s="240"/>
      <c r="FN78" s="240"/>
      <c r="FO78" s="240"/>
      <c r="FP78" s="240"/>
      <c r="FQ78" s="240"/>
      <c r="FR78" s="240"/>
      <c r="FS78" s="240"/>
      <c r="FT78" s="240"/>
      <c r="FU78" s="240"/>
      <c r="FV78" s="240"/>
      <c r="FW78" s="240"/>
      <c r="FX78" s="240"/>
      <c r="FY78" s="240"/>
      <c r="FZ78" s="240"/>
      <c r="GA78" s="240"/>
      <c r="GB78" s="240"/>
      <c r="GC78" s="240"/>
      <c r="GD78" s="240"/>
      <c r="GE78" s="240"/>
      <c r="GF78" s="240"/>
      <c r="GG78" s="240"/>
      <c r="GH78" s="240"/>
      <c r="GI78" s="240"/>
      <c r="GJ78" s="240"/>
      <c r="GK78" s="240"/>
      <c r="GL78" s="395"/>
      <c r="GM78" s="395"/>
      <c r="GN78" s="396"/>
    </row>
    <row r="79" spans="1:196" ht="12" x14ac:dyDescent="0.3">
      <c r="A79" s="245" t="s">
        <v>215</v>
      </c>
      <c r="S79" s="4">
        <v>37264</v>
      </c>
      <c r="V79" s="4">
        <v>36192</v>
      </c>
      <c r="Y79" s="4">
        <v>34822</v>
      </c>
      <c r="AB79" s="4">
        <v>33358</v>
      </c>
      <c r="AE79" s="4">
        <v>37409</v>
      </c>
      <c r="AH79" s="4">
        <v>33241</v>
      </c>
      <c r="AK79" s="4">
        <v>29674</v>
      </c>
      <c r="AN79" s="4">
        <v>24596</v>
      </c>
      <c r="AQ79" s="4">
        <v>27750</v>
      </c>
      <c r="AT79" s="80">
        <v>25701</v>
      </c>
      <c r="AU79" s="76"/>
      <c r="AV79" s="76"/>
      <c r="AW79" s="80">
        <v>27089</v>
      </c>
      <c r="AX79" s="76"/>
      <c r="AY79" s="76"/>
      <c r="AZ79" s="80">
        <v>27093</v>
      </c>
      <c r="BC79" s="80">
        <v>33517</v>
      </c>
      <c r="BF79" s="80">
        <v>29883</v>
      </c>
      <c r="BI79" s="80">
        <v>42035</v>
      </c>
      <c r="BL79" s="80">
        <v>32553</v>
      </c>
      <c r="BO79" s="80">
        <v>29404</v>
      </c>
      <c r="BR79" s="80">
        <v>28871</v>
      </c>
      <c r="BU79" s="80">
        <v>31471</v>
      </c>
      <c r="BV79" s="80"/>
      <c r="BW79" s="80"/>
      <c r="BX79" s="80">
        <v>32058</v>
      </c>
      <c r="BY79" s="80"/>
      <c r="BZ79" s="80"/>
      <c r="CA79" s="80">
        <v>36199</v>
      </c>
      <c r="CB79" s="80"/>
      <c r="CC79" s="80"/>
      <c r="CD79" s="80">
        <v>28533</v>
      </c>
      <c r="CE79" s="80"/>
      <c r="CF79" s="80"/>
      <c r="CG79" s="80">
        <v>29818</v>
      </c>
      <c r="CH79" s="80"/>
      <c r="CI79" s="80"/>
      <c r="CJ79" s="80">
        <v>32026</v>
      </c>
      <c r="CK79" s="80"/>
      <c r="CL79" s="80"/>
      <c r="CM79" s="80">
        <v>37146</v>
      </c>
      <c r="CN79" s="80"/>
      <c r="CO79" s="80"/>
      <c r="CP79" s="80">
        <v>32823</v>
      </c>
      <c r="CQ79" s="110"/>
      <c r="CR79" s="110"/>
      <c r="CS79" s="110">
        <v>32340</v>
      </c>
      <c r="CT79" s="110"/>
      <c r="CU79" s="110"/>
      <c r="CV79" s="110">
        <v>26438</v>
      </c>
      <c r="CW79" s="110"/>
      <c r="CX79" s="110"/>
      <c r="CY79" s="110">
        <v>32766</v>
      </c>
      <c r="CZ79" s="110"/>
      <c r="DA79" s="110"/>
      <c r="DB79" s="110">
        <v>31017</v>
      </c>
      <c r="DC79" s="110"/>
      <c r="DD79" s="110"/>
      <c r="DE79" s="110">
        <f>25217</f>
        <v>25217</v>
      </c>
      <c r="DF79" s="110"/>
      <c r="DG79" s="110"/>
      <c r="DH79" s="110">
        <v>23139</v>
      </c>
      <c r="DI79" s="110"/>
      <c r="DJ79" s="110"/>
      <c r="DK79" s="110">
        <v>22437</v>
      </c>
      <c r="DL79" s="110"/>
      <c r="DM79" s="110"/>
      <c r="DN79" s="110">
        <v>18544</v>
      </c>
      <c r="DQ79" s="126">
        <f>20112</f>
        <v>20112</v>
      </c>
      <c r="DT79" s="126">
        <f>21707</f>
        <v>21707</v>
      </c>
      <c r="DW79" s="198">
        <f>22080</f>
        <v>22080</v>
      </c>
      <c r="DZ79" s="198">
        <v>17912</v>
      </c>
      <c r="EC79" s="198">
        <v>19692</v>
      </c>
      <c r="EF79" s="198">
        <v>20868</v>
      </c>
      <c r="EI79" s="198">
        <v>21535</v>
      </c>
      <c r="EL79" s="239">
        <f>18171</f>
        <v>18171</v>
      </c>
      <c r="EO79" s="239">
        <f>16223</f>
        <v>16223</v>
      </c>
      <c r="EP79" s="239"/>
      <c r="EQ79" s="239"/>
      <c r="ER79" s="239">
        <f>18882</f>
        <v>18882</v>
      </c>
      <c r="ES79" s="239"/>
      <c r="ET79" s="239"/>
      <c r="EU79" s="239">
        <v>20587</v>
      </c>
      <c r="EV79" s="239"/>
      <c r="EW79" s="239"/>
      <c r="EX79" s="239">
        <f>17380</f>
        <v>17380</v>
      </c>
      <c r="EY79" s="239"/>
      <c r="EZ79" s="239"/>
      <c r="FA79" s="239">
        <v>17856</v>
      </c>
      <c r="FB79" s="239"/>
      <c r="FC79" s="239"/>
      <c r="FD79" s="239">
        <v>17891</v>
      </c>
      <c r="FE79" s="239"/>
      <c r="FF79" s="239"/>
      <c r="FG79" s="239">
        <v>20592</v>
      </c>
      <c r="FH79" s="239"/>
      <c r="FI79" s="239"/>
      <c r="FJ79" s="239">
        <v>17391</v>
      </c>
      <c r="FK79" s="239"/>
      <c r="FL79" s="239"/>
      <c r="FM79" s="239">
        <v>16975</v>
      </c>
      <c r="FN79" s="239"/>
      <c r="FO79" s="239"/>
      <c r="FP79" s="239">
        <v>17860</v>
      </c>
      <c r="FQ79" s="239"/>
      <c r="FR79" s="239"/>
      <c r="FS79" s="239">
        <v>21360</v>
      </c>
      <c r="FT79" s="239"/>
      <c r="FU79" s="239"/>
      <c r="FV79" s="140">
        <v>18030</v>
      </c>
      <c r="FW79" s="239"/>
      <c r="FX79" s="239"/>
      <c r="FY79" s="239">
        <v>18400</v>
      </c>
      <c r="FZ79" s="239"/>
      <c r="GA79" s="239"/>
      <c r="GB79" s="239">
        <v>17262</v>
      </c>
      <c r="GC79" s="239"/>
      <c r="GD79" s="239"/>
      <c r="GE79" s="239">
        <v>19708</v>
      </c>
      <c r="GF79" s="239"/>
      <c r="GG79" s="239"/>
      <c r="GH79" s="239">
        <v>16264</v>
      </c>
      <c r="GI79" s="239"/>
      <c r="GJ79" s="239"/>
      <c r="GK79" s="239">
        <v>16643</v>
      </c>
      <c r="GL79" s="397"/>
      <c r="GM79" s="397"/>
      <c r="GN79" s="398">
        <v>17501</v>
      </c>
    </row>
    <row r="80" spans="1:196" ht="13" x14ac:dyDescent="0.3">
      <c r="A80" s="246" t="s">
        <v>217</v>
      </c>
      <c r="J80" s="85"/>
      <c r="M80" s="85"/>
      <c r="S80" s="71">
        <f>37264-9278</f>
        <v>27986</v>
      </c>
      <c r="V80" s="71">
        <f>36192-8565</f>
        <v>27627</v>
      </c>
      <c r="Y80" s="71">
        <f>34822-9135</f>
        <v>25687</v>
      </c>
      <c r="AB80" s="71">
        <f>33358-8680</f>
        <v>24678</v>
      </c>
      <c r="AE80" s="15">
        <f>37409-9147</f>
        <v>28262</v>
      </c>
      <c r="AH80" s="15">
        <f>33241-8836</f>
        <v>24405</v>
      </c>
      <c r="AK80" s="15">
        <f>29674-9051</f>
        <v>20623</v>
      </c>
      <c r="AN80" s="15">
        <f>AN79-8929</f>
        <v>15667</v>
      </c>
      <c r="AQ80" s="15">
        <f>AQ79-9218</f>
        <v>18532</v>
      </c>
      <c r="AT80" s="102">
        <f>AT79-8464</f>
        <v>17237</v>
      </c>
      <c r="AU80" s="76"/>
      <c r="AV80" s="76"/>
      <c r="AW80" s="102">
        <f>AW79-8979</f>
        <v>18110</v>
      </c>
      <c r="AX80" s="76"/>
      <c r="AY80" s="76"/>
      <c r="AZ80" s="102">
        <f>AZ79-8219</f>
        <v>18874</v>
      </c>
      <c r="BC80" s="102">
        <f>BC79-8898</f>
        <v>24619</v>
      </c>
      <c r="BF80" s="102">
        <f>BF79-7918</f>
        <v>21965</v>
      </c>
      <c r="BI80" s="102">
        <f>BI79-8566</f>
        <v>33469</v>
      </c>
      <c r="BL80" s="102">
        <f>BL79-9026</f>
        <v>23527</v>
      </c>
      <c r="BO80" s="102">
        <f>BO79-8532</f>
        <v>20872</v>
      </c>
      <c r="BR80" s="102">
        <f>BR79-7407</f>
        <v>21464</v>
      </c>
      <c r="BU80" s="102">
        <f>BU79-7175</f>
        <v>24296</v>
      </c>
      <c r="BX80" s="102">
        <f>BX79-8195</f>
        <v>23863</v>
      </c>
      <c r="CA80" s="102">
        <f>CA79-8146</f>
        <v>28053</v>
      </c>
      <c r="CD80" s="102">
        <f>CG79-8601</f>
        <v>21217</v>
      </c>
      <c r="CG80" s="102">
        <f>CG79-8990</f>
        <v>20828</v>
      </c>
      <c r="CJ80" s="102">
        <f>CJ79-9152</f>
        <v>22874</v>
      </c>
      <c r="CM80" s="102">
        <f>CM79-8504</f>
        <v>28642</v>
      </c>
      <c r="CP80" s="102">
        <f>CS79-8397</f>
        <v>23943</v>
      </c>
      <c r="CS80" s="102">
        <f>CS79-8454</f>
        <v>23886</v>
      </c>
      <c r="CV80" s="102">
        <f>CV79-9213</f>
        <v>17225</v>
      </c>
      <c r="CY80" s="102">
        <f>CY79-9041</f>
        <v>23725</v>
      </c>
      <c r="DB80" s="102">
        <f>11010+1582+1+859+9927</f>
        <v>23379</v>
      </c>
      <c r="DC80" s="126"/>
      <c r="DD80" s="126"/>
      <c r="DE80" s="102">
        <f>11823+1587+1365+2747</f>
        <v>17522</v>
      </c>
      <c r="DF80" s="126"/>
      <c r="DG80" s="126"/>
      <c r="DH80" s="102">
        <f>9867+1528+1226+2105</f>
        <v>14726</v>
      </c>
      <c r="DI80" s="126"/>
      <c r="DJ80" s="126"/>
      <c r="DK80" s="163">
        <f>10373+1728+1250+2048</f>
        <v>15399</v>
      </c>
      <c r="DN80" s="163">
        <f>7829+1305+1+989+1768</f>
        <v>11892</v>
      </c>
      <c r="DQ80" s="126">
        <f>20112-7295</f>
        <v>12817</v>
      </c>
      <c r="DT80" s="126">
        <f>8959+1437+1109+1772</f>
        <v>13277</v>
      </c>
      <c r="DW80" s="198">
        <f>9111+1492+1+1040+2030</f>
        <v>13674</v>
      </c>
      <c r="DZ80" s="198">
        <f>1886+879+7725+46</f>
        <v>10536</v>
      </c>
      <c r="EC80" s="198">
        <f>7140+1412+1282+1841</f>
        <v>11675</v>
      </c>
      <c r="EF80" s="198">
        <f>7837+1486+1355+1833</f>
        <v>12511</v>
      </c>
      <c r="EI80" s="198">
        <f>9061+1532+1284+1994</f>
        <v>13871</v>
      </c>
      <c r="EL80" s="239">
        <f>6659+1367+714+1753</f>
        <v>10493</v>
      </c>
      <c r="EO80" s="239">
        <f>6106+1256+0+745+1597+0</f>
        <v>9704</v>
      </c>
      <c r="EP80" s="239"/>
      <c r="EQ80" s="239"/>
      <c r="ER80" s="239">
        <f>7038+1307+0+841+1669+0</f>
        <v>10855</v>
      </c>
      <c r="ES80" s="239"/>
      <c r="ET80" s="239"/>
      <c r="EU80" s="239">
        <f>8600+1458+0+890+1877+0</f>
        <v>12825</v>
      </c>
      <c r="EV80" s="239"/>
      <c r="EW80" s="239"/>
      <c r="EX80" s="239">
        <f>6055+1242+850+1693</f>
        <v>9840</v>
      </c>
      <c r="EY80" s="239"/>
      <c r="EZ80" s="239"/>
      <c r="FA80" s="239">
        <f>6433+1317+870+1652</f>
        <v>10272</v>
      </c>
      <c r="FB80" s="239"/>
      <c r="FC80" s="239"/>
      <c r="FD80" s="239">
        <f>6843+1377+632+1639</f>
        <v>10491</v>
      </c>
      <c r="FE80" s="239"/>
      <c r="FF80" s="239"/>
      <c r="FG80" s="239">
        <f>8684+1504+1219+1904</f>
        <v>13311</v>
      </c>
      <c r="FH80" s="239"/>
      <c r="FI80" s="239"/>
      <c r="FJ80" s="239">
        <f>6675+1350+846+1827</f>
        <v>10698</v>
      </c>
      <c r="FK80" s="239"/>
      <c r="FL80" s="239"/>
      <c r="FM80" s="239">
        <f>6802+1315+746+1800</f>
        <v>10663</v>
      </c>
      <c r="FN80" s="239"/>
      <c r="FO80" s="239"/>
      <c r="FP80" s="239">
        <f>6865+1262+822+1696</f>
        <v>10645</v>
      </c>
      <c r="FQ80" s="239"/>
      <c r="FR80" s="239"/>
      <c r="FS80" s="239">
        <f>8870+1466+1+1397+1860</f>
        <v>13594</v>
      </c>
      <c r="FT80" s="239"/>
      <c r="FU80" s="239"/>
      <c r="FV80" s="140">
        <f>6737+1388+1088+1823</f>
        <v>11036</v>
      </c>
      <c r="FW80" s="239"/>
      <c r="FX80" s="239"/>
      <c r="FY80" s="140">
        <f>7330+1463+792+1733</f>
        <v>11318</v>
      </c>
      <c r="FZ80" s="239"/>
      <c r="GA80" s="239"/>
      <c r="GB80" s="239">
        <f>4912+1237+1344+1613</f>
        <v>9106</v>
      </c>
      <c r="GC80" s="239"/>
      <c r="GD80" s="239"/>
      <c r="GE80" s="239">
        <f>7214+1586+1958+1859</f>
        <v>12617</v>
      </c>
      <c r="GF80" s="239"/>
      <c r="GG80" s="239"/>
      <c r="GH80" s="239">
        <f>5551+1372+1716+1751</f>
        <v>10390</v>
      </c>
      <c r="GI80" s="239"/>
      <c r="GJ80" s="239"/>
      <c r="GK80" s="239">
        <f>5644+1557+1432+1754</f>
        <v>10387</v>
      </c>
      <c r="GL80" s="397"/>
      <c r="GM80" s="397"/>
      <c r="GN80" s="398">
        <f>5737+1588+1394+1769</f>
        <v>10488</v>
      </c>
    </row>
    <row r="81" spans="1:196" ht="13" x14ac:dyDescent="0.3">
      <c r="A81" s="246" t="s">
        <v>216</v>
      </c>
      <c r="G81" s="84"/>
      <c r="J81" s="84"/>
      <c r="M81" s="84"/>
      <c r="S81" s="71">
        <f>S80-6196</f>
        <v>21790</v>
      </c>
      <c r="T81" s="83"/>
      <c r="U81" s="83"/>
      <c r="V81" s="71">
        <f>V80-5660</f>
        <v>21967</v>
      </c>
      <c r="W81" s="83"/>
      <c r="X81" s="83"/>
      <c r="Y81" s="71">
        <f>Y80-6049</f>
        <v>19638</v>
      </c>
      <c r="AB81" s="71">
        <f>AB80-5814</f>
        <v>18864</v>
      </c>
      <c r="AE81" s="15">
        <f>AE80-6251</f>
        <v>22011</v>
      </c>
      <c r="AH81" s="15">
        <f>AH80-5575</f>
        <v>18830</v>
      </c>
      <c r="AK81" s="15">
        <f>AK80-5407</f>
        <v>15216</v>
      </c>
      <c r="AN81" s="15">
        <f>AN80-3352</f>
        <v>12315</v>
      </c>
      <c r="AQ81" s="15">
        <f>AQ80-2420</f>
        <v>16112</v>
      </c>
      <c r="AT81" s="102">
        <f>AT80-4975</f>
        <v>12262</v>
      </c>
      <c r="AU81" s="76"/>
      <c r="AV81" s="76"/>
      <c r="AW81" s="102">
        <f>AW80-8195</f>
        <v>9915</v>
      </c>
      <c r="AX81" s="76"/>
      <c r="AY81" s="76"/>
      <c r="AZ81" s="102">
        <f>AZ80-6368</f>
        <v>12506</v>
      </c>
      <c r="BC81" s="102">
        <f>BC80-7764</f>
        <v>16855</v>
      </c>
      <c r="BF81" s="102">
        <f>BF80-6770</f>
        <v>15195</v>
      </c>
      <c r="BI81" s="102">
        <f>BI80-1080</f>
        <v>32389</v>
      </c>
      <c r="BL81" s="102">
        <f>BL80-98</f>
        <v>23429</v>
      </c>
      <c r="BO81" s="102">
        <f>BO80-23</f>
        <v>20849</v>
      </c>
      <c r="BR81" s="119">
        <f>BR80-13</f>
        <v>21451</v>
      </c>
      <c r="BU81" s="119">
        <f>BU80-13</f>
        <v>24283</v>
      </c>
      <c r="BX81" s="119">
        <f>BX80-13</f>
        <v>23850</v>
      </c>
      <c r="CA81" s="119">
        <f>CA80-1</f>
        <v>28052</v>
      </c>
      <c r="CD81" s="119">
        <f>CG80</f>
        <v>20828</v>
      </c>
      <c r="CG81" s="119">
        <f>CG80</f>
        <v>20828</v>
      </c>
      <c r="CJ81" s="119">
        <f>CJ80</f>
        <v>22874</v>
      </c>
      <c r="CM81" s="119">
        <f>CM80</f>
        <v>28642</v>
      </c>
      <c r="CP81" s="119">
        <f>CS80</f>
        <v>23886</v>
      </c>
      <c r="CS81" s="163">
        <f>CS80</f>
        <v>23886</v>
      </c>
      <c r="CV81" s="163">
        <f>CV80</f>
        <v>17225</v>
      </c>
      <c r="CY81" s="163">
        <f>CY80</f>
        <v>23725</v>
      </c>
      <c r="DB81" s="163">
        <f>DB80</f>
        <v>23379</v>
      </c>
      <c r="DC81" s="126"/>
      <c r="DD81" s="126"/>
      <c r="DE81" s="163">
        <f>DE80</f>
        <v>17522</v>
      </c>
      <c r="DF81" s="126"/>
      <c r="DG81" s="126"/>
      <c r="DH81" s="163">
        <f>23139-8413</f>
        <v>14726</v>
      </c>
      <c r="DI81" s="126"/>
      <c r="DJ81" s="126"/>
      <c r="DK81" s="163">
        <f>22437-7038</f>
        <v>15399</v>
      </c>
      <c r="DN81" s="163">
        <f>18544-6652</f>
        <v>11892</v>
      </c>
      <c r="DQ81" s="126">
        <f>20112-7295</f>
        <v>12817</v>
      </c>
      <c r="DT81" s="126">
        <f>21707-8430</f>
        <v>13277</v>
      </c>
      <c r="DW81" s="198">
        <f>9111+1492+1+1040+2030</f>
        <v>13674</v>
      </c>
      <c r="DZ81" s="198">
        <f>DZ80</f>
        <v>10536</v>
      </c>
      <c r="EC81" s="198">
        <f>EC80</f>
        <v>11675</v>
      </c>
      <c r="EF81" s="198">
        <f>EF80</f>
        <v>12511</v>
      </c>
      <c r="EI81" s="198">
        <f>EI80</f>
        <v>13871</v>
      </c>
      <c r="EL81" s="239">
        <f>EL80</f>
        <v>10493</v>
      </c>
      <c r="EO81" s="239">
        <f>EO80</f>
        <v>9704</v>
      </c>
      <c r="EP81" s="239"/>
      <c r="EQ81" s="239"/>
      <c r="ER81" s="239">
        <f>ER80</f>
        <v>10855</v>
      </c>
      <c r="ES81" s="239"/>
      <c r="ET81" s="239"/>
      <c r="EU81" s="239">
        <f>EU80</f>
        <v>12825</v>
      </c>
      <c r="EV81" s="239"/>
      <c r="EW81" s="239"/>
      <c r="EX81" s="239">
        <f>EX80</f>
        <v>9840</v>
      </c>
      <c r="EY81" s="239"/>
      <c r="EZ81" s="239"/>
      <c r="FA81" s="239">
        <f>FA80</f>
        <v>10272</v>
      </c>
      <c r="FB81" s="239"/>
      <c r="FC81" s="239"/>
      <c r="FD81" s="239">
        <f>FD80</f>
        <v>10491</v>
      </c>
      <c r="FE81" s="239"/>
      <c r="FF81" s="239"/>
      <c r="FG81" s="239">
        <f>FG80</f>
        <v>13311</v>
      </c>
      <c r="FH81" s="239"/>
      <c r="FI81" s="239"/>
      <c r="FJ81" s="239">
        <f>FJ80</f>
        <v>10698</v>
      </c>
      <c r="FK81" s="239"/>
      <c r="FL81" s="239"/>
      <c r="FM81" s="239">
        <f t="shared" ref="FM81" si="252">FM80</f>
        <v>10663</v>
      </c>
      <c r="FN81" s="239"/>
      <c r="FO81" s="239"/>
      <c r="FP81" s="239">
        <f t="shared" ref="FP81" si="253">FP80</f>
        <v>10645</v>
      </c>
      <c r="FQ81" s="239"/>
      <c r="FR81" s="239"/>
      <c r="FS81" s="239">
        <f>FS80</f>
        <v>13594</v>
      </c>
      <c r="FT81" s="239"/>
      <c r="FU81" s="239"/>
      <c r="FV81" s="140">
        <f>FV80</f>
        <v>11036</v>
      </c>
      <c r="FW81" s="239"/>
      <c r="FX81" s="239"/>
      <c r="FY81" s="239">
        <f>FY80</f>
        <v>11318</v>
      </c>
      <c r="FZ81" s="239"/>
      <c r="GA81" s="239"/>
      <c r="GB81" s="239">
        <f>GB80</f>
        <v>9106</v>
      </c>
      <c r="GC81" s="239"/>
      <c r="GD81" s="239"/>
      <c r="GE81" s="239">
        <f>GE80</f>
        <v>12617</v>
      </c>
      <c r="GF81" s="239"/>
      <c r="GG81" s="239"/>
      <c r="GH81" s="239">
        <f>GH80</f>
        <v>10390</v>
      </c>
      <c r="GI81" s="239"/>
      <c r="GJ81" s="239"/>
      <c r="GK81" s="239">
        <f>GK80</f>
        <v>10387</v>
      </c>
      <c r="GL81" s="397"/>
      <c r="GM81" s="397"/>
      <c r="GN81" s="398">
        <f>GN80</f>
        <v>10488</v>
      </c>
    </row>
    <row r="82" spans="1:196" ht="12" x14ac:dyDescent="0.3">
      <c r="A82" s="247" t="s">
        <v>226</v>
      </c>
      <c r="S82" s="71">
        <f>16027-234</f>
        <v>15793</v>
      </c>
      <c r="T82" s="83"/>
      <c r="U82" s="58"/>
      <c r="V82" s="71">
        <f>17960-237</f>
        <v>17723</v>
      </c>
      <c r="W82" s="71"/>
      <c r="X82" s="71"/>
      <c r="Y82" s="71">
        <f>16539-245</f>
        <v>16294</v>
      </c>
      <c r="Z82" s="71"/>
      <c r="AA82" s="71"/>
      <c r="AB82" s="71">
        <f>15353-224</f>
        <v>15129</v>
      </c>
      <c r="AC82" s="71"/>
      <c r="AD82" s="71"/>
      <c r="AE82" s="71">
        <f>17079-220</f>
        <v>16859</v>
      </c>
      <c r="AF82" s="71"/>
      <c r="AG82" s="71"/>
      <c r="AH82" s="71">
        <f>17370-204</f>
        <v>17166</v>
      </c>
      <c r="AI82" s="71"/>
      <c r="AJ82" s="71"/>
      <c r="AK82" s="71">
        <f>11249-235</f>
        <v>11014</v>
      </c>
      <c r="AL82" s="71"/>
      <c r="AM82" s="71"/>
      <c r="AN82" s="71">
        <f>6912-265</f>
        <v>6647</v>
      </c>
      <c r="AO82" s="71"/>
      <c r="AP82" s="71"/>
      <c r="AQ82" s="71">
        <f>10116-271</f>
        <v>9845</v>
      </c>
      <c r="AR82" s="97"/>
      <c r="AS82" s="97"/>
      <c r="AT82" s="103">
        <f>9660-228</f>
        <v>9432</v>
      </c>
      <c r="AU82" s="97"/>
      <c r="AV82" s="97"/>
      <c r="AW82" s="103">
        <f>8523-236</f>
        <v>8287</v>
      </c>
      <c r="AX82" s="97"/>
      <c r="AY82" s="97"/>
      <c r="AZ82" s="103">
        <f>9502-231</f>
        <v>9271</v>
      </c>
      <c r="BA82" s="97"/>
      <c r="BB82" s="97"/>
      <c r="BC82" s="103">
        <f>14284-225</f>
        <v>14059</v>
      </c>
      <c r="BD82" s="97"/>
      <c r="BE82" s="97"/>
      <c r="BF82" s="103">
        <f>12740-223</f>
        <v>12517</v>
      </c>
      <c r="BG82" s="97"/>
      <c r="BH82" s="97"/>
      <c r="BI82" s="103">
        <v>19140</v>
      </c>
      <c r="BJ82" s="115"/>
      <c r="BK82" s="115"/>
      <c r="BL82" s="103">
        <v>12236</v>
      </c>
      <c r="BM82" s="71"/>
      <c r="BN82" s="71"/>
      <c r="BO82" s="103">
        <v>8160</v>
      </c>
      <c r="BP82" s="71"/>
      <c r="BQ82" s="71"/>
      <c r="BR82" s="103">
        <v>6321</v>
      </c>
      <c r="BS82" s="71"/>
      <c r="BT82" s="71"/>
      <c r="BU82" s="103">
        <v>6412</v>
      </c>
      <c r="BV82" s="71"/>
      <c r="BW82" s="71"/>
      <c r="BX82" s="103">
        <v>5915</v>
      </c>
      <c r="BY82" s="71"/>
      <c r="BZ82" s="71"/>
      <c r="CA82" s="103">
        <v>6835</v>
      </c>
      <c r="CB82" s="71"/>
      <c r="CC82" s="71"/>
      <c r="CD82" s="103">
        <v>5947</v>
      </c>
      <c r="CE82" s="71"/>
      <c r="CF82" s="71"/>
      <c r="CG82" s="103">
        <v>7110</v>
      </c>
      <c r="CH82" s="71"/>
      <c r="CI82" s="71"/>
      <c r="CJ82" s="103">
        <v>5902</v>
      </c>
      <c r="CK82" s="71"/>
      <c r="CL82" s="71"/>
      <c r="CM82" s="103">
        <v>7221</v>
      </c>
      <c r="CN82" s="71"/>
      <c r="CO82" s="71"/>
      <c r="CP82" s="103">
        <f>5938</f>
        <v>5938</v>
      </c>
      <c r="CQ82" s="140"/>
      <c r="CR82" s="140"/>
      <c r="CS82" s="103">
        <v>6757</v>
      </c>
      <c r="CT82" s="140"/>
      <c r="CU82" s="140"/>
      <c r="CV82" s="103">
        <v>6218</v>
      </c>
      <c r="CW82" s="140"/>
      <c r="CX82" s="140"/>
      <c r="CY82" s="103">
        <v>7915</v>
      </c>
      <c r="CZ82" s="140"/>
      <c r="DA82" s="140"/>
      <c r="DB82" s="103">
        <v>5980</v>
      </c>
      <c r="DC82" s="140"/>
      <c r="DD82" s="140"/>
      <c r="DE82" s="103">
        <v>5809</v>
      </c>
      <c r="DF82" s="140"/>
      <c r="DG82" s="140"/>
      <c r="DH82" s="103">
        <f>3270+98+128+20</f>
        <v>3516</v>
      </c>
      <c r="DI82" s="140"/>
      <c r="DJ82" s="140"/>
      <c r="DK82" s="164">
        <f>3125+240+115+14</f>
        <v>3494</v>
      </c>
      <c r="DL82" s="140"/>
      <c r="DM82" s="140"/>
      <c r="DN82" s="164">
        <f>2164+108+53+15</f>
        <v>2340</v>
      </c>
      <c r="DQ82" s="126">
        <f>2596</f>
        <v>2596</v>
      </c>
      <c r="DT82" s="126">
        <f>3213</f>
        <v>3213</v>
      </c>
      <c r="DW82" s="198">
        <f>2992+147+53+15</f>
        <v>3207</v>
      </c>
      <c r="DZ82" s="198">
        <f>14+2108+55+7+100</f>
        <v>2284</v>
      </c>
      <c r="EC82" s="198">
        <f>2506</f>
        <v>2506</v>
      </c>
      <c r="EF82" s="198">
        <v>2937</v>
      </c>
      <c r="EI82" s="198">
        <v>3114</v>
      </c>
      <c r="EL82" s="239">
        <f>2293</f>
        <v>2293</v>
      </c>
      <c r="EO82" s="239">
        <f>2179</f>
        <v>2179</v>
      </c>
      <c r="EP82" s="239"/>
      <c r="EQ82" s="239"/>
      <c r="ER82" s="239">
        <f>2471</f>
        <v>2471</v>
      </c>
      <c r="ES82" s="239"/>
      <c r="ET82" s="239"/>
      <c r="EU82" s="239">
        <v>2710</v>
      </c>
      <c r="EV82" s="239"/>
      <c r="EW82" s="239"/>
      <c r="EX82" s="239">
        <f>1984</f>
        <v>1984</v>
      </c>
      <c r="EY82" s="239"/>
      <c r="EZ82" s="239"/>
      <c r="FA82" s="239">
        <v>2015</v>
      </c>
      <c r="FB82" s="239"/>
      <c r="FC82" s="239"/>
      <c r="FD82" s="239">
        <v>2137</v>
      </c>
      <c r="FE82" s="239"/>
      <c r="FF82" s="239"/>
      <c r="FG82" s="239">
        <v>2137</v>
      </c>
      <c r="FH82" s="239"/>
      <c r="FI82" s="239"/>
      <c r="FJ82" s="239">
        <v>1964</v>
      </c>
      <c r="FK82" s="239"/>
      <c r="FL82" s="239"/>
      <c r="FM82" s="239">
        <v>1987</v>
      </c>
      <c r="FN82" s="239"/>
      <c r="FO82" s="239"/>
      <c r="FP82" s="239">
        <v>1821</v>
      </c>
      <c r="FQ82" s="239"/>
      <c r="FR82" s="239"/>
      <c r="FS82" s="239">
        <v>2792</v>
      </c>
      <c r="FT82" s="239"/>
      <c r="FU82" s="239"/>
      <c r="FV82" s="140">
        <v>2039</v>
      </c>
      <c r="FW82" s="239"/>
      <c r="FX82" s="239"/>
      <c r="FY82" s="239">
        <v>1983</v>
      </c>
      <c r="FZ82" s="239"/>
      <c r="GA82" s="239"/>
      <c r="GB82" s="239">
        <v>1203</v>
      </c>
      <c r="GC82" s="239"/>
      <c r="GD82" s="239"/>
      <c r="GE82" s="239">
        <v>1510</v>
      </c>
      <c r="GF82" s="239"/>
      <c r="GG82" s="239"/>
      <c r="GH82" s="239">
        <v>1334</v>
      </c>
      <c r="GI82" s="239"/>
      <c r="GJ82" s="239"/>
      <c r="GK82" s="239">
        <v>1564</v>
      </c>
      <c r="GL82" s="397"/>
      <c r="GM82" s="397"/>
      <c r="GN82" s="398">
        <v>1269</v>
      </c>
    </row>
    <row r="83" spans="1:196" ht="12" x14ac:dyDescent="0.3">
      <c r="A83" s="247" t="s">
        <v>78</v>
      </c>
      <c r="S83" s="33">
        <f>S82/S80</f>
        <v>0.56431787322232541</v>
      </c>
      <c r="T83" s="83"/>
      <c r="U83" s="58"/>
      <c r="V83" s="33">
        <f>V82/V80</f>
        <v>0.64151011691461257</v>
      </c>
      <c r="W83" s="83"/>
      <c r="X83" s="83"/>
      <c r="Y83" s="33">
        <f>Y82/Y80</f>
        <v>0.63432864873282202</v>
      </c>
      <c r="AB83" s="33">
        <f>AB82/AB80</f>
        <v>0.61305616338439095</v>
      </c>
      <c r="AE83" s="33">
        <f>AE82/AE80</f>
        <v>0.59652536975444059</v>
      </c>
      <c r="AH83" s="33">
        <f>AH82/AH80</f>
        <v>0.70338045482483103</v>
      </c>
      <c r="AK83" s="33">
        <f>AK82/AK80</f>
        <v>0.53406390922756142</v>
      </c>
      <c r="AN83" s="33">
        <f>AN82/AN80</f>
        <v>0.42426756877513244</v>
      </c>
      <c r="AQ83" s="33">
        <f>AQ82/AQ80</f>
        <v>0.53124325491042523</v>
      </c>
      <c r="AT83" s="104">
        <f>AT82/AT80</f>
        <v>0.54719498752683182</v>
      </c>
      <c r="AU83" s="76"/>
      <c r="AV83" s="76"/>
      <c r="AW83" s="104">
        <f>AW82/AW80</f>
        <v>0.45759249033683047</v>
      </c>
      <c r="AX83" s="76"/>
      <c r="AY83" s="76"/>
      <c r="AZ83" s="104">
        <f>AZ82/AZ80</f>
        <v>0.49120483204408183</v>
      </c>
      <c r="BC83" s="104">
        <f>BC82/BC80</f>
        <v>0.57106300012185707</v>
      </c>
      <c r="BF83" s="104">
        <f>BF82/BF80</f>
        <v>0.56986114272706578</v>
      </c>
      <c r="BI83" s="104">
        <f>BI82/BI80</f>
        <v>0.57187247901042759</v>
      </c>
      <c r="BL83" s="104">
        <f>BL82/BL80</f>
        <v>0.52008330853912521</v>
      </c>
      <c r="BO83" s="104">
        <f>BO82/BO80</f>
        <v>0.39095438865465698</v>
      </c>
      <c r="BR83" s="104">
        <f>BR82/BR80</f>
        <v>0.29449310473350726</v>
      </c>
      <c r="BU83" s="104">
        <f>BU82/BU80</f>
        <v>0.26391175502140268</v>
      </c>
      <c r="BX83" s="104">
        <f>BX82/BX80</f>
        <v>0.24787327662070988</v>
      </c>
      <c r="CA83" s="104">
        <f>CA82/CA80</f>
        <v>0.2436459558692475</v>
      </c>
      <c r="CD83" s="104">
        <f>CG82/CG80</f>
        <v>0.34136739005185329</v>
      </c>
      <c r="CG83" s="104">
        <f>CG82/CG80</f>
        <v>0.34136739005185329</v>
      </c>
      <c r="CJ83" s="104">
        <f>CJ82/CJ80</f>
        <v>0.25802220862114189</v>
      </c>
      <c r="CM83" s="104">
        <f>CM82/CM80</f>
        <v>0.25211228266182528</v>
      </c>
      <c r="CP83" s="104">
        <f>CS82/CS80</f>
        <v>0.28288537218454324</v>
      </c>
      <c r="CS83" s="165">
        <f>CS82/CS80</f>
        <v>0.28288537218454324</v>
      </c>
      <c r="CV83" s="165">
        <f>CV82/CV80</f>
        <v>0.36098693759071115</v>
      </c>
      <c r="CY83" s="165">
        <f>CY82/CY80</f>
        <v>0.33361433087460485</v>
      </c>
      <c r="DB83" s="165">
        <f>DB82/DB80</f>
        <v>0.25578510629197143</v>
      </c>
      <c r="DC83" s="126"/>
      <c r="DD83" s="126"/>
      <c r="DE83" s="165">
        <f>DE82/DE80</f>
        <v>0.33152608149754592</v>
      </c>
      <c r="DF83" s="126"/>
      <c r="DG83" s="126"/>
      <c r="DH83" s="165">
        <f>DH82/DH79</f>
        <v>0.15195125113444832</v>
      </c>
      <c r="DI83" s="126"/>
      <c r="DJ83" s="126"/>
      <c r="DK83" s="165">
        <f>DK82/DK79</f>
        <v>0.15572491866114008</v>
      </c>
      <c r="DN83" s="165">
        <f>DN82/DN79</f>
        <v>0.12618636755823986</v>
      </c>
      <c r="DQ83" s="127">
        <f>DQ82/DQ79</f>
        <v>0.12907716785998408</v>
      </c>
      <c r="DR83" s="127"/>
      <c r="DS83" s="127"/>
      <c r="DT83" s="127">
        <f>DT82/DT79</f>
        <v>0.14801676878426315</v>
      </c>
      <c r="DW83" s="238">
        <f>DW82/DW79</f>
        <v>0.14524456521739129</v>
      </c>
      <c r="DZ83" s="238">
        <f>DZ82/DZ79</f>
        <v>0.12751228226887004</v>
      </c>
      <c r="EC83" s="238">
        <f>EC82/EC79</f>
        <v>0.1272598009343896</v>
      </c>
      <c r="EF83" s="238">
        <f>EF82/EF79</f>
        <v>0.14074180563542266</v>
      </c>
      <c r="EI83" s="238">
        <f>EI82/EI79</f>
        <v>0.14460181100534014</v>
      </c>
      <c r="EL83" s="238">
        <f>EL82/EL79</f>
        <v>0.12619008309944416</v>
      </c>
      <c r="EO83" s="238">
        <f>EO82/EO79</f>
        <v>0.13431547802502619</v>
      </c>
      <c r="ER83" s="238">
        <f>ER82/ER79</f>
        <v>0.13086537443067472</v>
      </c>
      <c r="EU83" s="238">
        <f>EU82/EU79</f>
        <v>0.13163646961674844</v>
      </c>
      <c r="EX83" s="238">
        <f>EX82/EX79</f>
        <v>0.11415420023014959</v>
      </c>
      <c r="FA83" s="238">
        <f>FA82/FA79</f>
        <v>0.11284722222222222</v>
      </c>
      <c r="FD83" s="238">
        <f>FD82/FD79</f>
        <v>0.11944553127270695</v>
      </c>
      <c r="FG83" s="238">
        <f>FG82/FG79</f>
        <v>0.10377816627816627</v>
      </c>
      <c r="FJ83" s="238">
        <f>FJ82/FJ79</f>
        <v>0.11293197630958542</v>
      </c>
      <c r="FM83" s="238">
        <f>FM82/FM79</f>
        <v>0.11705449189985273</v>
      </c>
      <c r="FN83" s="198"/>
      <c r="FO83" s="198"/>
      <c r="FP83" s="238">
        <f>FP82/FP79</f>
        <v>0.10195968645016798</v>
      </c>
      <c r="FQ83" s="198"/>
      <c r="FR83" s="198"/>
      <c r="FS83" s="238">
        <f>FS82/FS79</f>
        <v>0.13071161048689139</v>
      </c>
      <c r="FT83" s="198"/>
      <c r="FU83" s="198"/>
      <c r="FV83" s="127">
        <f>FV82/FV79</f>
        <v>0.11308929561841376</v>
      </c>
      <c r="FW83" s="198"/>
      <c r="FX83" s="198"/>
      <c r="FY83" s="238">
        <f>FY82/FY79</f>
        <v>0.10777173913043478</v>
      </c>
      <c r="FZ83" s="198"/>
      <c r="GA83" s="198"/>
      <c r="GB83" s="238">
        <f>GB82/GB79</f>
        <v>6.9690649982620784E-2</v>
      </c>
      <c r="GC83" s="198"/>
      <c r="GD83" s="198"/>
      <c r="GE83" s="238">
        <f>GE82/GE79</f>
        <v>7.6618632027603009E-2</v>
      </c>
      <c r="GF83" s="198"/>
      <c r="GG83" s="198"/>
      <c r="GH83" s="238">
        <f>GH82/GH79</f>
        <v>8.2021642892277424E-2</v>
      </c>
      <c r="GI83" s="198"/>
      <c r="GJ83" s="198"/>
      <c r="GK83" s="238">
        <f>GK82/GK79</f>
        <v>9.3973442288049033E-2</v>
      </c>
      <c r="GL83" s="399"/>
      <c r="GM83" s="399"/>
      <c r="GN83" s="400">
        <f>GN82/GN79</f>
        <v>7.2510142277584136E-2</v>
      </c>
    </row>
    <row r="84" spans="1:196" ht="22.5" customHeight="1" x14ac:dyDescent="0.3">
      <c r="AT84" s="101"/>
      <c r="AU84" s="76"/>
      <c r="AV84" s="76"/>
      <c r="AW84" s="101"/>
      <c r="AX84" s="76"/>
      <c r="AY84" s="76"/>
      <c r="AZ84" s="101"/>
      <c r="BC84" s="101"/>
      <c r="BF84" s="101"/>
      <c r="BI84" s="80"/>
      <c r="BL84" s="114"/>
      <c r="BO84" s="114"/>
      <c r="BR84" s="114"/>
      <c r="BU84" s="114"/>
      <c r="BX84" s="114"/>
      <c r="CA84" s="114"/>
      <c r="CD84" s="114"/>
      <c r="CG84" s="114"/>
      <c r="CJ84" s="114"/>
      <c r="CM84" s="114"/>
      <c r="CP84" s="114"/>
      <c r="CS84" s="166"/>
      <c r="CV84" s="166"/>
      <c r="CY84" s="166"/>
      <c r="DB84" s="166"/>
      <c r="DC84" s="126"/>
      <c r="DD84" s="126"/>
      <c r="DE84" s="166"/>
      <c r="DF84" s="126"/>
      <c r="DG84" s="126"/>
      <c r="DH84" s="166"/>
      <c r="DI84" s="126"/>
      <c r="DJ84" s="126"/>
      <c r="DK84" s="166"/>
      <c r="DN84" s="166"/>
      <c r="FN84" s="198"/>
      <c r="FO84" s="198"/>
      <c r="FP84" s="198"/>
      <c r="FQ84" s="198"/>
      <c r="FR84" s="198"/>
      <c r="FS84" s="198"/>
      <c r="FT84" s="198"/>
      <c r="FU84" s="198"/>
      <c r="FV84" s="198"/>
      <c r="FW84" s="198"/>
      <c r="FX84" s="198"/>
      <c r="FY84" s="198"/>
      <c r="FZ84" s="198"/>
      <c r="GA84" s="198"/>
      <c r="GB84" s="198"/>
      <c r="GC84" s="198"/>
      <c r="GD84" s="198"/>
      <c r="GE84" s="198"/>
      <c r="GF84" s="198"/>
      <c r="GG84" s="198"/>
      <c r="GH84" s="198"/>
      <c r="GI84" s="198"/>
      <c r="GJ84" s="198"/>
      <c r="GK84" s="198"/>
      <c r="GL84" s="399"/>
      <c r="GM84" s="399"/>
      <c r="GN84" s="401"/>
    </row>
    <row r="85" spans="1:196" ht="17.5" x14ac:dyDescent="0.35">
      <c r="A85" s="248" t="s">
        <v>307</v>
      </c>
      <c r="B85" s="240"/>
      <c r="C85" s="240"/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  <c r="AA85" s="240"/>
      <c r="AB85" s="240"/>
      <c r="AC85" s="240"/>
      <c r="AD85" s="240"/>
      <c r="AE85" s="240"/>
      <c r="AF85" s="240"/>
      <c r="AG85" s="240"/>
      <c r="AH85" s="240"/>
      <c r="AI85" s="240"/>
      <c r="AJ85" s="240"/>
      <c r="AK85" s="240"/>
      <c r="AL85" s="240"/>
      <c r="AM85" s="240"/>
      <c r="AN85" s="240"/>
      <c r="AO85" s="240"/>
      <c r="AP85" s="240"/>
      <c r="AQ85" s="240"/>
      <c r="AR85" s="241"/>
      <c r="AS85" s="241"/>
      <c r="AT85" s="241"/>
      <c r="AU85" s="241"/>
      <c r="AV85" s="241"/>
      <c r="AW85" s="241"/>
      <c r="AX85" s="241"/>
      <c r="AY85" s="241"/>
      <c r="AZ85" s="241"/>
      <c r="BA85" s="241"/>
      <c r="BB85" s="241"/>
      <c r="BC85" s="241"/>
      <c r="BD85" s="241"/>
      <c r="BE85" s="241"/>
      <c r="BF85" s="241"/>
      <c r="BG85" s="241"/>
      <c r="BH85" s="241"/>
      <c r="BI85" s="241"/>
      <c r="BJ85" s="242"/>
      <c r="BK85" s="242"/>
      <c r="BL85" s="242"/>
      <c r="BM85" s="240"/>
      <c r="BN85" s="240"/>
      <c r="BO85" s="240"/>
      <c r="BP85" s="240"/>
      <c r="BQ85" s="240"/>
      <c r="BR85" s="240"/>
      <c r="BS85" s="240"/>
      <c r="BT85" s="240"/>
      <c r="BU85" s="240"/>
      <c r="BV85" s="240"/>
      <c r="BW85" s="240"/>
      <c r="BX85" s="243"/>
      <c r="BY85" s="240"/>
      <c r="BZ85" s="240"/>
      <c r="CA85" s="240"/>
      <c r="CB85" s="240"/>
      <c r="CC85" s="240"/>
      <c r="CD85" s="242"/>
      <c r="CE85" s="240"/>
      <c r="CF85" s="240"/>
      <c r="CG85" s="242"/>
      <c r="CH85" s="240"/>
      <c r="CI85" s="240"/>
      <c r="CJ85" s="242"/>
      <c r="CK85" s="240"/>
      <c r="CL85" s="240"/>
      <c r="CM85" s="242"/>
      <c r="CN85" s="240"/>
      <c r="CO85" s="240"/>
      <c r="CP85" s="242"/>
      <c r="CQ85" s="240"/>
      <c r="CR85" s="240"/>
      <c r="CS85" s="242"/>
      <c r="CT85" s="240"/>
      <c r="CU85" s="240"/>
      <c r="CV85" s="242"/>
      <c r="CW85" s="240"/>
      <c r="CX85" s="240"/>
      <c r="CY85" s="242"/>
      <c r="CZ85" s="240"/>
      <c r="DA85" s="240"/>
      <c r="DB85" s="242"/>
      <c r="DC85" s="240"/>
      <c r="DD85" s="240"/>
      <c r="DE85" s="242"/>
      <c r="DF85" s="240"/>
      <c r="DG85" s="240"/>
      <c r="DH85" s="242"/>
      <c r="DI85" s="240"/>
      <c r="DJ85" s="240"/>
      <c r="DK85" s="242"/>
      <c r="DL85" s="240"/>
      <c r="DM85" s="240"/>
      <c r="DN85" s="242"/>
      <c r="DO85" s="240"/>
      <c r="DP85" s="240"/>
      <c r="DQ85" s="240"/>
      <c r="DR85" s="240"/>
      <c r="DS85" s="240"/>
      <c r="DT85" s="240"/>
      <c r="DU85" s="240"/>
      <c r="DV85" s="240"/>
      <c r="DW85" s="240"/>
      <c r="DX85" s="240"/>
      <c r="DY85" s="240"/>
      <c r="DZ85" s="240"/>
      <c r="EA85" s="240"/>
      <c r="EB85" s="240"/>
      <c r="EC85" s="240"/>
      <c r="ED85" s="240"/>
      <c r="EE85" s="240"/>
      <c r="EF85" s="240"/>
      <c r="EG85" s="240"/>
      <c r="EH85" s="240"/>
      <c r="EI85" s="240"/>
      <c r="EJ85" s="240"/>
      <c r="EK85" s="240"/>
      <c r="EL85" s="240"/>
      <c r="EM85" s="240"/>
      <c r="EN85" s="240"/>
      <c r="EO85" s="240"/>
      <c r="EP85" s="240"/>
      <c r="EQ85" s="240"/>
      <c r="ER85" s="240"/>
      <c r="ES85" s="240"/>
      <c r="ET85" s="240"/>
      <c r="EU85" s="240"/>
      <c r="EV85" s="240"/>
      <c r="EW85" s="240"/>
      <c r="EX85" s="240"/>
      <c r="EY85" s="240"/>
      <c r="EZ85" s="240"/>
      <c r="FA85" s="240"/>
      <c r="FB85" s="240"/>
      <c r="FC85" s="240"/>
      <c r="FD85" s="240"/>
      <c r="FE85" s="240"/>
      <c r="FF85" s="240"/>
      <c r="FG85" s="240"/>
      <c r="FH85" s="240"/>
      <c r="FI85" s="240"/>
      <c r="FJ85" s="240"/>
      <c r="FK85" s="240"/>
      <c r="FL85" s="240"/>
      <c r="FM85" s="240"/>
      <c r="FN85" s="240"/>
      <c r="FO85" s="240"/>
      <c r="FP85" s="240"/>
      <c r="FQ85" s="240"/>
      <c r="FR85" s="240"/>
      <c r="FS85" s="240"/>
      <c r="FT85" s="240"/>
      <c r="FU85" s="240"/>
      <c r="FV85" s="240"/>
      <c r="FW85" s="240"/>
      <c r="FX85" s="240"/>
      <c r="FY85" s="240"/>
      <c r="FZ85" s="240"/>
      <c r="GA85" s="240"/>
      <c r="GB85" s="240"/>
      <c r="GC85" s="240"/>
      <c r="GD85" s="240"/>
      <c r="GE85" s="240"/>
      <c r="GF85" s="240"/>
      <c r="GG85" s="240"/>
      <c r="GH85" s="240"/>
      <c r="GI85" s="240"/>
      <c r="GJ85" s="240"/>
      <c r="GK85" s="240"/>
      <c r="GL85" s="395"/>
      <c r="GM85" s="395"/>
      <c r="GN85" s="396"/>
    </row>
    <row r="86" spans="1:196" ht="12" x14ac:dyDescent="0.3">
      <c r="A86" s="249" t="s">
        <v>139</v>
      </c>
      <c r="S86" s="4">
        <v>40182</v>
      </c>
      <c r="V86" s="4">
        <v>38921</v>
      </c>
      <c r="Y86" s="4">
        <v>37951</v>
      </c>
      <c r="AB86" s="4">
        <v>36430</v>
      </c>
      <c r="AE86" s="4">
        <v>40249</v>
      </c>
      <c r="AF86" s="76"/>
      <c r="AG86" s="76"/>
      <c r="AH86" s="4">
        <v>35910</v>
      </c>
      <c r="AI86" s="76"/>
      <c r="AJ86" s="76"/>
      <c r="AK86" s="4">
        <v>32307</v>
      </c>
      <c r="AL86" s="76"/>
      <c r="AM86" s="76"/>
      <c r="AN86" s="4">
        <v>27006</v>
      </c>
      <c r="AO86" s="76"/>
      <c r="AP86" s="76"/>
      <c r="AQ86" s="110">
        <v>30291</v>
      </c>
      <c r="AT86" s="80">
        <v>28137</v>
      </c>
      <c r="AU86" s="76"/>
      <c r="AV86" s="76"/>
      <c r="AW86" s="80">
        <v>29580</v>
      </c>
      <c r="AX86" s="76"/>
      <c r="AY86" s="76"/>
      <c r="AZ86" s="80">
        <v>29440</v>
      </c>
      <c r="BC86" s="80">
        <v>35703</v>
      </c>
      <c r="BF86" s="80">
        <v>32155</v>
      </c>
      <c r="BI86" s="80">
        <v>44801</v>
      </c>
      <c r="BL86" s="80">
        <v>35179</v>
      </c>
      <c r="BO86" s="80">
        <v>31824</v>
      </c>
      <c r="BR86" s="118">
        <v>30932</v>
      </c>
      <c r="BU86" s="118">
        <v>33631</v>
      </c>
      <c r="BX86" s="118">
        <v>34299</v>
      </c>
      <c r="CA86" s="118">
        <v>38599</v>
      </c>
      <c r="CD86" s="118">
        <v>31032</v>
      </c>
      <c r="CG86" s="118">
        <v>32284</v>
      </c>
      <c r="CJ86" s="118">
        <v>34534</v>
      </c>
      <c r="CM86" s="118">
        <v>39539</v>
      </c>
      <c r="CP86" s="118">
        <v>35186</v>
      </c>
      <c r="CS86" s="118">
        <v>34664</v>
      </c>
      <c r="CV86" s="118">
        <v>29061</v>
      </c>
      <c r="CY86" s="118">
        <v>35282</v>
      </c>
      <c r="DB86" s="118">
        <v>33155</v>
      </c>
      <c r="DC86" s="126"/>
      <c r="DD86" s="126"/>
      <c r="DE86" s="120">
        <f>'[67]10262'!$J$22</f>
        <v>27503</v>
      </c>
      <c r="DF86" s="126"/>
      <c r="DG86" s="126"/>
      <c r="DH86" s="120">
        <f>'[68]10262'!$J$22</f>
        <v>25702</v>
      </c>
      <c r="DI86" s="126"/>
      <c r="DJ86" s="126"/>
      <c r="DK86" s="164">
        <f>'[69]10262'!$J$22</f>
        <v>24630</v>
      </c>
      <c r="DN86" s="164">
        <f>'[70]10262'!$J$22</f>
        <v>20557</v>
      </c>
      <c r="DQ86" s="140">
        <f>'[71]10262'!$J$22</f>
        <v>22390</v>
      </c>
      <c r="DT86" s="140">
        <f>'[72]10262'!$J$22</f>
        <v>24122</v>
      </c>
      <c r="DW86" s="239">
        <f>'[73]10262'!$J$22</f>
        <v>24395</v>
      </c>
      <c r="DZ86" s="239">
        <f>19871</f>
        <v>19871</v>
      </c>
      <c r="EC86" s="239">
        <f>21852</f>
        <v>21852</v>
      </c>
      <c r="EF86" s="239">
        <v>23406</v>
      </c>
      <c r="EI86" s="239">
        <v>23833</v>
      </c>
      <c r="EL86" s="239">
        <f>20417</f>
        <v>20417</v>
      </c>
      <c r="EO86" s="239">
        <f>18109</f>
        <v>18109</v>
      </c>
      <c r="ER86" s="239">
        <v>21223</v>
      </c>
      <c r="EU86" s="239">
        <v>22789</v>
      </c>
      <c r="EX86" s="239">
        <f>'[74]10262'!$J$22</f>
        <v>19603</v>
      </c>
      <c r="FA86" s="239">
        <f>'[75]10262'!$J$22</f>
        <v>20068</v>
      </c>
      <c r="FD86" s="239">
        <v>20107</v>
      </c>
      <c r="FG86" s="239">
        <v>22661</v>
      </c>
      <c r="FJ86" s="239">
        <v>19314</v>
      </c>
      <c r="FM86" s="239">
        <f>'[76]10262'!$J$22</f>
        <v>18814</v>
      </c>
      <c r="FN86" s="198"/>
      <c r="FO86" s="198"/>
      <c r="FP86" s="239" t="e">
        <f>#REF!</f>
        <v>#REF!</v>
      </c>
      <c r="FQ86" s="198"/>
      <c r="FR86" s="198"/>
      <c r="FS86" s="239">
        <f>'[77]10262'!$J$22</f>
        <v>23522</v>
      </c>
      <c r="FT86" s="198"/>
      <c r="FU86" s="198"/>
      <c r="FV86" s="140">
        <f>'[78]10262'!$J$22</f>
        <v>20120</v>
      </c>
      <c r="FW86" s="198"/>
      <c r="FX86" s="198"/>
      <c r="FY86" s="239">
        <f>'[79]10262'!$J$22</f>
        <v>20327</v>
      </c>
      <c r="FZ86" s="198"/>
      <c r="GA86" s="198"/>
      <c r="GB86" s="239">
        <f>'[80]10262'!$J$22</f>
        <v>19430</v>
      </c>
      <c r="GC86" s="198"/>
      <c r="GD86" s="198"/>
      <c r="GE86" s="239">
        <f>'[81]10262'!$J$22</f>
        <v>21905</v>
      </c>
      <c r="GF86" s="198"/>
      <c r="GG86" s="198"/>
      <c r="GH86" s="239">
        <f>'[82]10262'!$J$22</f>
        <v>18367</v>
      </c>
      <c r="GI86" s="198"/>
      <c r="GJ86" s="198"/>
      <c r="GK86" s="239">
        <f>'[83]10262'!$J$22</f>
        <v>18462</v>
      </c>
      <c r="GL86" s="399"/>
      <c r="GM86" s="399"/>
      <c r="GN86" s="398">
        <f>'[84]10262'!$J$22</f>
        <v>19831</v>
      </c>
    </row>
    <row r="87" spans="1:196" ht="13" x14ac:dyDescent="0.3">
      <c r="A87" s="250" t="s">
        <v>79</v>
      </c>
      <c r="J87" s="85"/>
      <c r="M87" s="85"/>
      <c r="S87" s="71">
        <v>28607</v>
      </c>
      <c r="V87" s="71">
        <v>28241</v>
      </c>
      <c r="Y87" s="71">
        <v>26616</v>
      </c>
      <c r="AB87" s="71">
        <v>25706</v>
      </c>
      <c r="AE87" s="15">
        <v>28771</v>
      </c>
      <c r="AF87" s="76"/>
      <c r="AG87" s="76"/>
      <c r="AH87" s="15">
        <v>24838</v>
      </c>
      <c r="AI87" s="76"/>
      <c r="AJ87" s="76"/>
      <c r="AK87" s="15">
        <v>20989</v>
      </c>
      <c r="AL87" s="76"/>
      <c r="AM87" s="76"/>
      <c r="AN87" s="15">
        <v>15960</v>
      </c>
      <c r="AO87" s="76"/>
      <c r="AP87" s="76"/>
      <c r="AQ87" s="15">
        <v>18820</v>
      </c>
      <c r="AT87" s="80">
        <v>17544</v>
      </c>
      <c r="AU87" s="76"/>
      <c r="AV87" s="76"/>
      <c r="AW87" s="4">
        <v>18433</v>
      </c>
      <c r="AX87" s="76"/>
      <c r="AY87" s="76"/>
      <c r="AZ87" s="102">
        <v>19158</v>
      </c>
      <c r="BC87" s="102">
        <v>25993</v>
      </c>
      <c r="BF87" s="102">
        <v>22306</v>
      </c>
      <c r="BI87" s="102">
        <f>BI86-10743</f>
        <v>34058</v>
      </c>
      <c r="BL87" s="102">
        <f>BL86-11305</f>
        <v>23874</v>
      </c>
      <c r="BO87" s="102">
        <v>21054</v>
      </c>
      <c r="BR87" s="119">
        <v>21689</v>
      </c>
      <c r="BU87" s="119">
        <v>24632</v>
      </c>
      <c r="BX87" s="119">
        <v>24176</v>
      </c>
      <c r="CA87" s="119">
        <f>CA86-10220</f>
        <v>28379</v>
      </c>
      <c r="CD87" s="119">
        <f>CG86-10800</f>
        <v>21484</v>
      </c>
      <c r="CG87" s="119">
        <v>21029</v>
      </c>
      <c r="CJ87" s="119">
        <v>23112</v>
      </c>
      <c r="CM87" s="119">
        <v>28953</v>
      </c>
      <c r="CP87" s="119">
        <v>24738</v>
      </c>
      <c r="CS87" s="163">
        <v>24156</v>
      </c>
      <c r="CV87" s="118">
        <v>17468</v>
      </c>
      <c r="CY87" s="118">
        <v>23926</v>
      </c>
      <c r="DB87" s="118">
        <v>23613</v>
      </c>
      <c r="DC87" s="126"/>
      <c r="DD87" s="126"/>
      <c r="DE87" s="120">
        <f>'[67]10262'!$D$22</f>
        <v>17716</v>
      </c>
      <c r="DF87" s="126"/>
      <c r="DG87" s="126"/>
      <c r="DH87" s="120">
        <f>'[68]10262'!$D$22</f>
        <v>15062</v>
      </c>
      <c r="DI87" s="126"/>
      <c r="DJ87" s="126"/>
      <c r="DK87" s="164">
        <f>'[69]10262'!$D$22</f>
        <v>15783</v>
      </c>
      <c r="DN87" s="164">
        <f>'[70]10262'!$D$22</f>
        <v>12141</v>
      </c>
      <c r="DQ87" s="140">
        <f>'[71]10262'!$D$22</f>
        <v>13066</v>
      </c>
      <c r="DT87" s="140">
        <f>'[72]10262'!$D$22</f>
        <v>13502</v>
      </c>
      <c r="DW87" s="239">
        <f>'[73]10262'!$D$22</f>
        <v>13872</v>
      </c>
      <c r="DZ87" s="239">
        <f>10703</f>
        <v>10703</v>
      </c>
      <c r="EC87" s="239">
        <v>11869</v>
      </c>
      <c r="EF87" s="239">
        <v>12636</v>
      </c>
      <c r="EI87" s="239">
        <v>14071</v>
      </c>
      <c r="EL87" s="239">
        <f>10628</f>
        <v>10628</v>
      </c>
      <c r="EO87" s="239">
        <f>9848</f>
        <v>9848</v>
      </c>
      <c r="ER87" s="239">
        <f>11018</f>
        <v>11018</v>
      </c>
      <c r="EU87" s="239">
        <v>12956</v>
      </c>
      <c r="EX87" s="239">
        <f>'[74]10262'!$D$22</f>
        <v>10021</v>
      </c>
      <c r="FA87" s="239">
        <f>'[75]10262'!$D$22</f>
        <v>10685</v>
      </c>
      <c r="FD87" s="239">
        <f>'[85]10262'!$D$22</f>
        <v>10685</v>
      </c>
      <c r="FG87" s="239">
        <f>'[86]10262'!$D$22</f>
        <v>13519</v>
      </c>
      <c r="FJ87" s="239">
        <f>'[87]10262'!$D$22</f>
        <v>10855</v>
      </c>
      <c r="FM87" s="239">
        <f>'[76]10262'!$D$22</f>
        <v>10822</v>
      </c>
      <c r="FN87" s="198"/>
      <c r="FO87" s="198"/>
      <c r="FP87" s="239" t="e">
        <f>#REF!</f>
        <v>#REF!</v>
      </c>
      <c r="FQ87" s="198"/>
      <c r="FR87" s="198"/>
      <c r="FS87" s="239">
        <f>'[77]10262'!$D$22</f>
        <v>13757</v>
      </c>
      <c r="FT87" s="198"/>
      <c r="FU87" s="198"/>
      <c r="FV87" s="140">
        <f>'[78]10262'!$D$22</f>
        <v>11193</v>
      </c>
      <c r="FW87" s="198"/>
      <c r="FX87" s="198"/>
      <c r="FY87" s="239">
        <f>'[79]10262'!$D$22</f>
        <v>11477</v>
      </c>
      <c r="FZ87" s="198"/>
      <c r="GA87" s="198"/>
      <c r="GB87" s="239">
        <f>'[80]10262'!$D$22</f>
        <v>9253</v>
      </c>
      <c r="GC87" s="198"/>
      <c r="GD87" s="198"/>
      <c r="GE87" s="239">
        <f>'[81]10262'!$D$22</f>
        <v>12745</v>
      </c>
      <c r="GF87" s="198"/>
      <c r="GG87" s="198"/>
      <c r="GH87" s="239">
        <f>'[82]10262'!$D$22</f>
        <v>10727</v>
      </c>
      <c r="GI87" s="198"/>
      <c r="GJ87" s="198"/>
      <c r="GK87" s="239">
        <f>'[83]10262'!$D$22</f>
        <v>10547</v>
      </c>
      <c r="GL87" s="399"/>
      <c r="GM87" s="399"/>
      <c r="GN87" s="398">
        <f>'[84]10262'!$D$22</f>
        <v>10704</v>
      </c>
    </row>
    <row r="88" spans="1:196" ht="13" x14ac:dyDescent="0.3">
      <c r="A88" s="250" t="s">
        <v>77</v>
      </c>
      <c r="G88" s="84"/>
      <c r="J88" s="84"/>
      <c r="M88" s="84"/>
      <c r="S88" s="71">
        <f>S87-6196</f>
        <v>22411</v>
      </c>
      <c r="T88" s="83"/>
      <c r="U88" s="83"/>
      <c r="V88" s="71">
        <f>V87-5660</f>
        <v>22581</v>
      </c>
      <c r="W88" s="83"/>
      <c r="X88" s="83"/>
      <c r="Y88" s="71">
        <f>Y87-6049</f>
        <v>20567</v>
      </c>
      <c r="AB88" s="71">
        <f>AB87-5814</f>
        <v>19892</v>
      </c>
      <c r="AE88" s="15">
        <f>AE87-6251</f>
        <v>22520</v>
      </c>
      <c r="AF88" s="76"/>
      <c r="AG88" s="76"/>
      <c r="AH88" s="15">
        <f>AH87-5575</f>
        <v>19263</v>
      </c>
      <c r="AI88" s="76"/>
      <c r="AJ88" s="76"/>
      <c r="AK88" s="15">
        <f>AK87-5407</f>
        <v>15582</v>
      </c>
      <c r="AL88" s="76"/>
      <c r="AM88" s="76"/>
      <c r="AN88" s="15">
        <f>AN87-3352</f>
        <v>12608</v>
      </c>
      <c r="AO88" s="76"/>
      <c r="AP88" s="76"/>
      <c r="AQ88" s="15">
        <f>AQ87-2420</f>
        <v>16400</v>
      </c>
      <c r="AT88" s="80">
        <f>AT87-4975</f>
        <v>12569</v>
      </c>
      <c r="AU88" s="76"/>
      <c r="AV88" s="76"/>
      <c r="AW88" s="4">
        <f>AW87-8195</f>
        <v>10238</v>
      </c>
      <c r="AX88" s="76"/>
      <c r="AY88" s="76"/>
      <c r="AZ88" s="102">
        <f>AZ87-6368</f>
        <v>12790</v>
      </c>
      <c r="BC88" s="102">
        <f>BC87-7764</f>
        <v>18229</v>
      </c>
      <c r="BF88" s="102">
        <f>BF87-6770</f>
        <v>15536</v>
      </c>
      <c r="BI88" s="102">
        <f>BI87-1080</f>
        <v>32978</v>
      </c>
      <c r="BL88" s="102">
        <f>BL87-98</f>
        <v>23776</v>
      </c>
      <c r="BO88" s="102">
        <f>BO87-23</f>
        <v>21031</v>
      </c>
      <c r="BR88" s="119">
        <f>BR87-13</f>
        <v>21676</v>
      </c>
      <c r="BU88" s="119">
        <f>BU87-13</f>
        <v>24619</v>
      </c>
      <c r="BX88" s="119">
        <v>24176</v>
      </c>
      <c r="CA88" s="119">
        <f>CA87-1</f>
        <v>28378</v>
      </c>
      <c r="CD88" s="119">
        <f>CG87-1</f>
        <v>21028</v>
      </c>
      <c r="CG88" s="119">
        <f>CG87-1</f>
        <v>21028</v>
      </c>
      <c r="CJ88" s="119">
        <f>CJ87-1</f>
        <v>23111</v>
      </c>
      <c r="CM88" s="119">
        <f>CM87</f>
        <v>28953</v>
      </c>
      <c r="CP88" s="119">
        <f>CS87</f>
        <v>24156</v>
      </c>
      <c r="CS88" s="163">
        <f>CS87</f>
        <v>24156</v>
      </c>
      <c r="CV88" s="163">
        <f>CV87</f>
        <v>17468</v>
      </c>
      <c r="CY88" s="163">
        <f>CY87</f>
        <v>23926</v>
      </c>
      <c r="DB88" s="163">
        <f>DB87</f>
        <v>23613</v>
      </c>
      <c r="DC88" s="126"/>
      <c r="DD88" s="126"/>
      <c r="DE88" s="163">
        <f>DE87</f>
        <v>17716</v>
      </c>
      <c r="DF88" s="126"/>
      <c r="DG88" s="126"/>
      <c r="DH88" s="163">
        <f>DH87</f>
        <v>15062</v>
      </c>
      <c r="DI88" s="126"/>
      <c r="DJ88" s="126"/>
      <c r="DK88" s="163">
        <f>'[69]10262'!$D$22</f>
        <v>15783</v>
      </c>
      <c r="DN88" s="163">
        <f>DN87</f>
        <v>12141</v>
      </c>
      <c r="DQ88" s="140">
        <f>'[71]10262'!$D$22</f>
        <v>13066</v>
      </c>
      <c r="DT88" s="140">
        <f>'[72]10262'!$D$22</f>
        <v>13502</v>
      </c>
      <c r="DW88" s="239">
        <f>'[73]10262'!$D$22</f>
        <v>13872</v>
      </c>
      <c r="DZ88" s="239">
        <f>10703</f>
        <v>10703</v>
      </c>
      <c r="EC88" s="239">
        <v>11869</v>
      </c>
      <c r="EF88" s="239">
        <v>12636</v>
      </c>
      <c r="EI88" s="239">
        <v>14071</v>
      </c>
      <c r="EL88" s="239">
        <f>EL87</f>
        <v>10628</v>
      </c>
      <c r="EO88" s="239">
        <f>EO87</f>
        <v>9848</v>
      </c>
      <c r="ER88" s="239">
        <f>ER87</f>
        <v>11018</v>
      </c>
      <c r="EU88" s="239">
        <f>EU87</f>
        <v>12956</v>
      </c>
      <c r="EX88" s="239">
        <f>EX87</f>
        <v>10021</v>
      </c>
      <c r="FA88" s="239">
        <f>FA87</f>
        <v>10685</v>
      </c>
      <c r="FD88" s="239">
        <f>FD87</f>
        <v>10685</v>
      </c>
      <c r="FG88" s="239">
        <f>FG87</f>
        <v>13519</v>
      </c>
      <c r="FJ88" s="239">
        <f>FJ87</f>
        <v>10855</v>
      </c>
      <c r="FM88" s="239">
        <f>FM87</f>
        <v>10822</v>
      </c>
      <c r="FN88" s="198"/>
      <c r="FO88" s="198"/>
      <c r="FP88" s="239" t="e">
        <f>FP87</f>
        <v>#REF!</v>
      </c>
      <c r="FQ88" s="198"/>
      <c r="FR88" s="198"/>
      <c r="FS88" s="239">
        <f>FS87</f>
        <v>13757</v>
      </c>
      <c r="FT88" s="198"/>
      <c r="FU88" s="198"/>
      <c r="FV88" s="140">
        <f>FV87</f>
        <v>11193</v>
      </c>
      <c r="FW88" s="198"/>
      <c r="FX88" s="198"/>
      <c r="FY88" s="239">
        <f>FY87</f>
        <v>11477</v>
      </c>
      <c r="FZ88" s="198"/>
      <c r="GA88" s="198"/>
      <c r="GB88" s="239">
        <f>GB87</f>
        <v>9253</v>
      </c>
      <c r="GC88" s="198"/>
      <c r="GD88" s="198"/>
      <c r="GE88" s="239">
        <f>GE87</f>
        <v>12745</v>
      </c>
      <c r="GF88" s="198"/>
      <c r="GG88" s="198"/>
      <c r="GH88" s="239">
        <f>GH87</f>
        <v>10727</v>
      </c>
      <c r="GI88" s="198"/>
      <c r="GJ88" s="198"/>
      <c r="GK88" s="239">
        <f>GK87</f>
        <v>10547</v>
      </c>
      <c r="GL88" s="399"/>
      <c r="GM88" s="399"/>
      <c r="GN88" s="398">
        <f>GN87</f>
        <v>10704</v>
      </c>
    </row>
    <row r="89" spans="1:196" ht="12" x14ac:dyDescent="0.3">
      <c r="A89" s="251" t="s">
        <v>80</v>
      </c>
      <c r="S89" s="71">
        <v>16130</v>
      </c>
      <c r="T89" s="83"/>
      <c r="U89" s="58"/>
      <c r="V89" s="71">
        <v>18056</v>
      </c>
      <c r="W89" s="71"/>
      <c r="X89" s="71"/>
      <c r="Y89" s="71">
        <v>16744</v>
      </c>
      <c r="Z89" s="71"/>
      <c r="AA89" s="71"/>
      <c r="AB89" s="71">
        <v>15576</v>
      </c>
      <c r="AC89" s="71"/>
      <c r="AD89" s="71"/>
      <c r="AE89" s="71">
        <v>17176</v>
      </c>
      <c r="AF89" s="97"/>
      <c r="AG89" s="97"/>
      <c r="AH89" s="71">
        <v>15432</v>
      </c>
      <c r="AI89" s="97"/>
      <c r="AJ89" s="97"/>
      <c r="AK89" s="71">
        <v>11214</v>
      </c>
      <c r="AL89" s="97"/>
      <c r="AM89" s="97"/>
      <c r="AN89" s="71">
        <v>6787</v>
      </c>
      <c r="AO89" s="97"/>
      <c r="AP89" s="97"/>
      <c r="AQ89" s="71">
        <v>10025</v>
      </c>
      <c r="AR89" s="97"/>
      <c r="AS89" s="97"/>
      <c r="AT89" s="80">
        <v>9627</v>
      </c>
      <c r="AU89" s="97"/>
      <c r="AV89" s="97"/>
      <c r="AW89" s="4">
        <v>8452</v>
      </c>
      <c r="AX89" s="97"/>
      <c r="AY89" s="97"/>
      <c r="AZ89" s="103">
        <v>9423</v>
      </c>
      <c r="BA89" s="97"/>
      <c r="BB89" s="97"/>
      <c r="BC89" s="103">
        <v>14274</v>
      </c>
      <c r="BD89" s="97"/>
      <c r="BE89" s="97"/>
      <c r="BF89" s="103">
        <v>12699</v>
      </c>
      <c r="BG89" s="97"/>
      <c r="BH89" s="97"/>
      <c r="BI89" s="103">
        <v>19505</v>
      </c>
      <c r="BJ89" s="115"/>
      <c r="BK89" s="115"/>
      <c r="BL89" s="103">
        <v>12449</v>
      </c>
      <c r="BM89" s="71"/>
      <c r="BN89" s="71"/>
      <c r="BO89" s="103">
        <v>8294</v>
      </c>
      <c r="BP89" s="71"/>
      <c r="BQ89" s="71"/>
      <c r="BR89" s="120">
        <v>6412</v>
      </c>
      <c r="BS89" s="71"/>
      <c r="BT89" s="71"/>
      <c r="BU89" s="120">
        <v>6288</v>
      </c>
      <c r="BV89" s="71"/>
      <c r="BW89" s="71"/>
      <c r="BX89" s="120">
        <v>5804</v>
      </c>
      <c r="BY89" s="71"/>
      <c r="BZ89" s="71"/>
      <c r="CA89" s="120">
        <v>6906</v>
      </c>
      <c r="CB89" s="71"/>
      <c r="CC89" s="71"/>
      <c r="CD89" s="120">
        <v>6005</v>
      </c>
      <c r="CE89" s="71"/>
      <c r="CF89" s="71"/>
      <c r="CG89" s="120">
        <v>6956</v>
      </c>
      <c r="CH89" s="71"/>
      <c r="CI89" s="71"/>
      <c r="CJ89" s="120">
        <v>5747</v>
      </c>
      <c r="CK89" s="71"/>
      <c r="CL89" s="71"/>
      <c r="CM89" s="120">
        <v>7075</v>
      </c>
      <c r="CN89" s="71"/>
      <c r="CO89" s="71"/>
      <c r="CP89" s="120">
        <v>5790</v>
      </c>
      <c r="CQ89" s="140"/>
      <c r="CR89" s="140"/>
      <c r="CS89" s="164">
        <v>6580</v>
      </c>
      <c r="CT89" s="140"/>
      <c r="CU89" s="140"/>
      <c r="CV89" s="164">
        <v>6062</v>
      </c>
      <c r="CW89" s="140"/>
      <c r="CX89" s="140"/>
      <c r="CY89" s="164">
        <v>7736</v>
      </c>
      <c r="CZ89" s="140"/>
      <c r="DA89" s="140"/>
      <c r="DB89" s="164">
        <v>5854</v>
      </c>
      <c r="DC89" s="140"/>
      <c r="DD89" s="140"/>
      <c r="DE89" s="164">
        <f>'[67]10262'!$D$14</f>
        <v>4577</v>
      </c>
      <c r="DF89" s="140"/>
      <c r="DG89" s="140"/>
      <c r="DH89" s="164">
        <f>'[68]10262'!$D$14</f>
        <v>3608</v>
      </c>
      <c r="DI89" s="140"/>
      <c r="DJ89" s="140"/>
      <c r="DK89" s="164">
        <f>'[69]10262'!$D$14</f>
        <v>3573</v>
      </c>
      <c r="DL89" s="140"/>
      <c r="DM89" s="140"/>
      <c r="DN89" s="164">
        <f>'[70]10262'!$D$14</f>
        <v>2396</v>
      </c>
      <c r="DQ89" s="140">
        <f>'[71]10262'!$D$14</f>
        <v>2512</v>
      </c>
      <c r="DT89" s="140">
        <f>'[72]10262'!$D$14</f>
        <v>3097</v>
      </c>
      <c r="DW89" s="239">
        <f>'[73]10262'!$J$14</f>
        <v>3411</v>
      </c>
      <c r="DZ89" s="239">
        <f>2212</f>
        <v>2212</v>
      </c>
      <c r="EC89" s="239">
        <v>2403</v>
      </c>
      <c r="EF89" s="239">
        <v>2786</v>
      </c>
      <c r="EI89" s="239">
        <v>3041</v>
      </c>
      <c r="EL89" s="239">
        <f>2200</f>
        <v>2200</v>
      </c>
      <c r="EO89" s="239">
        <f>2127</f>
        <v>2127</v>
      </c>
      <c r="ER89" s="239">
        <f>2380</f>
        <v>2380</v>
      </c>
      <c r="EU89" s="239">
        <v>2648</v>
      </c>
      <c r="EX89" s="239">
        <f>'[74]10262'!$D$14</f>
        <v>1894</v>
      </c>
      <c r="FA89" s="239">
        <f>'[75]10262'!$D$14</f>
        <v>1942</v>
      </c>
      <c r="FD89" s="239">
        <f>'[85]10262'!$D$14</f>
        <v>2061</v>
      </c>
      <c r="FG89" s="239">
        <f>'[86]10262'!$D$14</f>
        <v>2891</v>
      </c>
      <c r="FJ89" s="239">
        <f>'[87]10262'!$D$14</f>
        <v>1905</v>
      </c>
      <c r="FM89" s="239">
        <f>'[76]10262'!$D$14</f>
        <v>1917</v>
      </c>
      <c r="FN89" s="198"/>
      <c r="FO89" s="198"/>
      <c r="FP89" s="239" t="e">
        <f>#REF!</f>
        <v>#REF!</v>
      </c>
      <c r="FQ89" s="198"/>
      <c r="FR89" s="198"/>
      <c r="FS89" s="239">
        <f>'[77]10262'!$D$14</f>
        <v>2716</v>
      </c>
      <c r="FT89" s="198"/>
      <c r="FU89" s="198"/>
      <c r="FV89" s="140">
        <f>'[78]10262'!$D$14</f>
        <v>1970</v>
      </c>
      <c r="FW89" s="198"/>
      <c r="FX89" s="198"/>
      <c r="FY89" s="239">
        <f>'[79]10262'!$D$14</f>
        <v>1913</v>
      </c>
      <c r="FZ89" s="198"/>
      <c r="GA89" s="198"/>
      <c r="GB89" s="239">
        <f>'[80]10262'!$D$14</f>
        <v>1142</v>
      </c>
      <c r="GC89" s="198"/>
      <c r="GD89" s="198"/>
      <c r="GE89" s="239">
        <f>'[81]10262'!$D$14</f>
        <v>1446</v>
      </c>
      <c r="GF89" s="198"/>
      <c r="GG89" s="198"/>
      <c r="GH89" s="239">
        <f>'[82]10262'!$D$14</f>
        <v>1298</v>
      </c>
      <c r="GI89" s="198"/>
      <c r="GJ89" s="198"/>
      <c r="GK89" s="239">
        <f>'[83]10262'!$D$14</f>
        <v>1511</v>
      </c>
      <c r="GL89" s="399"/>
      <c r="GM89" s="399"/>
      <c r="GN89" s="398">
        <f>'[84]10262'!$D$14</f>
        <v>1245</v>
      </c>
    </row>
    <row r="90" spans="1:196" ht="12" x14ac:dyDescent="0.3">
      <c r="A90" s="251" t="s">
        <v>78</v>
      </c>
      <c r="S90" s="33">
        <f>S89/S87</f>
        <v>0.56384800922851053</v>
      </c>
      <c r="T90" s="83"/>
      <c r="U90" s="58"/>
      <c r="V90" s="33">
        <f>V89/V87</f>
        <v>0.63935413051945755</v>
      </c>
      <c r="W90" s="83"/>
      <c r="X90" s="83"/>
      <c r="Y90" s="33">
        <f>Y89/Y87</f>
        <v>0.6290952810339645</v>
      </c>
      <c r="AB90" s="33">
        <f>AB89/AB87</f>
        <v>0.60592857698591773</v>
      </c>
      <c r="AE90" s="33">
        <f>AE89/AE87</f>
        <v>0.59699002467762674</v>
      </c>
      <c r="AF90" s="76"/>
      <c r="AG90" s="76"/>
      <c r="AH90" s="33">
        <f>AH89/AH87</f>
        <v>0.62130606329011995</v>
      </c>
      <c r="AI90" s="76"/>
      <c r="AJ90" s="76"/>
      <c r="AK90" s="33">
        <f>AK89/AK87</f>
        <v>0.53427986087950829</v>
      </c>
      <c r="AL90" s="76"/>
      <c r="AM90" s="76"/>
      <c r="AN90" s="33">
        <f>AN89/AN87</f>
        <v>0.42525062656641605</v>
      </c>
      <c r="AO90" s="76"/>
      <c r="AP90" s="76"/>
      <c r="AQ90" s="33">
        <f>AQ89/AQ87</f>
        <v>0.53267800212539851</v>
      </c>
      <c r="AT90" s="104">
        <f>AT89/AT87</f>
        <v>0.54873461012311897</v>
      </c>
      <c r="AU90" s="76"/>
      <c r="AV90" s="76"/>
      <c r="AW90" s="104">
        <f>AW89/AW87</f>
        <v>0.45852547062333859</v>
      </c>
      <c r="AX90" s="76"/>
      <c r="AY90" s="76"/>
      <c r="AZ90" s="104">
        <f>AZ89/AZ87</f>
        <v>0.49185718759787034</v>
      </c>
      <c r="BC90" s="104">
        <f>BC89/BC87</f>
        <v>0.5491478474974032</v>
      </c>
      <c r="BF90" s="104">
        <f>BF89/BF87</f>
        <v>0.56930870617771001</v>
      </c>
      <c r="BI90" s="104">
        <f>BI89/BI87</f>
        <v>0.57269951259615948</v>
      </c>
      <c r="BL90" s="104">
        <f>BL89/BL87</f>
        <v>0.52144592443662563</v>
      </c>
      <c r="BO90" s="104">
        <f>BO89/BO87</f>
        <v>0.39393939393939392</v>
      </c>
      <c r="BR90" s="121">
        <f>BR89/BR87</f>
        <v>0.29563373138457283</v>
      </c>
      <c r="BU90" s="121">
        <f>BU89/BU87</f>
        <v>0.25527768756089642</v>
      </c>
      <c r="BX90" s="121">
        <f>BX89/BX87</f>
        <v>0.2400727994705493</v>
      </c>
      <c r="CA90" s="121">
        <f>CA89/CA87</f>
        <v>0.243348955213362</v>
      </c>
      <c r="CD90" s="121">
        <f>CG89/CG87</f>
        <v>0.33078130201150791</v>
      </c>
      <c r="CG90" s="121">
        <f>CG89/CG87</f>
        <v>0.33078130201150791</v>
      </c>
      <c r="CJ90" s="121">
        <f>CJ89/CJ87</f>
        <v>0.24865870543440638</v>
      </c>
      <c r="CM90" s="121">
        <f>CM89/CM87</f>
        <v>0.24436155147998481</v>
      </c>
      <c r="CP90" s="121">
        <f>CS89/CS87</f>
        <v>0.27239609206822324</v>
      </c>
      <c r="CS90" s="165">
        <f>CS89/CS87</f>
        <v>0.27239609206822324</v>
      </c>
      <c r="CV90" s="165">
        <f>CV89/CV87</f>
        <v>0.34703457751316691</v>
      </c>
      <c r="CY90" s="165">
        <f>CY89/CY87</f>
        <v>0.32333026832734263</v>
      </c>
      <c r="DB90" s="165">
        <f>DB89/DB87</f>
        <v>0.24791428450429848</v>
      </c>
      <c r="DC90" s="126"/>
      <c r="DD90" s="126"/>
      <c r="DE90" s="165">
        <f>DE89/DE87</f>
        <v>0.25835403025513659</v>
      </c>
      <c r="DF90" s="126"/>
      <c r="DG90" s="126"/>
      <c r="DH90" s="165">
        <f>DH89/DH86</f>
        <v>0.1403781806863279</v>
      </c>
      <c r="DI90" s="126"/>
      <c r="DJ90" s="126"/>
      <c r="DK90" s="165">
        <f>DK89/DK86</f>
        <v>0.14506699147381241</v>
      </c>
      <c r="DN90" s="165">
        <f>DN89/DN86</f>
        <v>0.11655397188305687</v>
      </c>
      <c r="DQ90" s="127">
        <f>DQ89/DQ86</f>
        <v>0.11219294327824922</v>
      </c>
      <c r="DT90" s="127">
        <f>DT89/DT86</f>
        <v>0.12838902246911532</v>
      </c>
      <c r="DW90" s="238">
        <f>DW89/DW86</f>
        <v>0.13982373437179749</v>
      </c>
      <c r="DZ90" s="238">
        <f>DZ89/DZ86</f>
        <v>0.11131800110714106</v>
      </c>
      <c r="EC90" s="238">
        <f>EC89/EC86</f>
        <v>0.10996705107084019</v>
      </c>
      <c r="EF90" s="238">
        <f>EF89/EF86</f>
        <v>0.11902930872425874</v>
      </c>
      <c r="EI90" s="238">
        <f>EI89/EI86</f>
        <v>0.1275961901565057</v>
      </c>
      <c r="EL90" s="238">
        <f>EL89/EL86</f>
        <v>0.10775334280256649</v>
      </c>
      <c r="EO90" s="238">
        <f>EO89/EO86</f>
        <v>0.11745540891269535</v>
      </c>
      <c r="ER90" s="238">
        <f>ER89/ER86</f>
        <v>0.11214248692456297</v>
      </c>
      <c r="EU90" s="238">
        <f>EU89/EU86</f>
        <v>0.11619641054894905</v>
      </c>
      <c r="EX90" s="238">
        <f>EX89/EX86</f>
        <v>9.6617864612559307E-2</v>
      </c>
      <c r="FA90" s="238">
        <f>FA89/FA86</f>
        <v>9.6770978672513455E-2</v>
      </c>
      <c r="FD90" s="238">
        <f>FD89/FD86</f>
        <v>0.10250161635251405</v>
      </c>
      <c r="FG90" s="238">
        <f>FG89/FG86</f>
        <v>0.12757601164997132</v>
      </c>
      <c r="FJ90" s="238">
        <f>FJ89/FJ86</f>
        <v>9.8633115874495178E-2</v>
      </c>
      <c r="FM90" s="238">
        <f>FM89/FM86</f>
        <v>0.1018922079302647</v>
      </c>
      <c r="FN90" s="198"/>
      <c r="FO90" s="198"/>
      <c r="FP90" s="238" t="e">
        <f>FP89/FP86</f>
        <v>#REF!</v>
      </c>
      <c r="FQ90" s="198"/>
      <c r="FR90" s="198"/>
      <c r="FS90" s="238">
        <f>FS89/FS86</f>
        <v>0.11546637190715076</v>
      </c>
      <c r="FT90" s="198"/>
      <c r="FU90" s="198"/>
      <c r="FV90" s="127">
        <f>FV89/FV86</f>
        <v>9.7912524850894633E-2</v>
      </c>
      <c r="FW90" s="198"/>
      <c r="FX90" s="198"/>
      <c r="FY90" s="238">
        <f>FY89/FY86</f>
        <v>9.4111280562798244E-2</v>
      </c>
      <c r="FZ90" s="198"/>
      <c r="GA90" s="198"/>
      <c r="GB90" s="238">
        <f>GB89/GB86</f>
        <v>5.8775090066906843E-2</v>
      </c>
      <c r="GC90" s="198"/>
      <c r="GD90" s="198"/>
      <c r="GE90" s="238">
        <f>GE89/GE86</f>
        <v>6.6012325952978776E-2</v>
      </c>
      <c r="GF90" s="198"/>
      <c r="GG90" s="198"/>
      <c r="GH90" s="238">
        <f>GH89/GH86</f>
        <v>7.0670223770893451E-2</v>
      </c>
      <c r="GI90" s="198"/>
      <c r="GJ90" s="198"/>
      <c r="GK90" s="238">
        <f>GK89/GK86</f>
        <v>8.1843787238652363E-2</v>
      </c>
      <c r="GL90" s="399"/>
      <c r="GM90" s="399"/>
      <c r="GN90" s="400">
        <f>GN89/GN86</f>
        <v>6.2780495184307394E-2</v>
      </c>
    </row>
    <row r="91" spans="1:196" ht="12" x14ac:dyDescent="0.3">
      <c r="AT91" s="101"/>
      <c r="DC91" s="126"/>
      <c r="DD91" s="126"/>
      <c r="DE91" s="126"/>
      <c r="DF91" s="126"/>
      <c r="DG91" s="126"/>
      <c r="DH91" s="126"/>
      <c r="DI91" s="126"/>
      <c r="DJ91" s="126"/>
      <c r="FN91" s="126"/>
      <c r="FO91" s="126"/>
      <c r="FP91" s="126"/>
      <c r="FQ91" s="126"/>
      <c r="FR91" s="126"/>
      <c r="FS91" s="126"/>
      <c r="FT91" s="126"/>
      <c r="FU91" s="126"/>
      <c r="FV91" s="126"/>
      <c r="FW91" s="126"/>
      <c r="FX91" s="126"/>
      <c r="FY91" s="126"/>
      <c r="FZ91" s="126"/>
      <c r="GA91" s="126"/>
      <c r="GB91" s="126"/>
      <c r="GC91" s="126"/>
      <c r="GD91" s="126"/>
      <c r="GE91" s="126"/>
      <c r="GF91" s="126"/>
      <c r="GG91" s="126"/>
      <c r="GH91" s="126"/>
      <c r="GI91" s="126"/>
      <c r="GJ91" s="126"/>
      <c r="GK91" s="126"/>
      <c r="GL91" s="296"/>
      <c r="GM91" s="296"/>
      <c r="GN91" s="402"/>
    </row>
    <row r="92" spans="1:196" x14ac:dyDescent="0.25">
      <c r="AQ92" s="76"/>
      <c r="DC92" s="126"/>
      <c r="DD92" s="126"/>
      <c r="DE92" s="126"/>
      <c r="DF92" s="126"/>
      <c r="DG92" s="126"/>
      <c r="DH92" s="126"/>
      <c r="DI92" s="126"/>
      <c r="DJ92" s="126"/>
      <c r="FN92" s="198"/>
      <c r="FO92" s="198"/>
      <c r="FP92" s="198"/>
      <c r="FQ92" s="198"/>
      <c r="FR92" s="198"/>
      <c r="FS92" s="198"/>
      <c r="FT92" s="198"/>
      <c r="FU92" s="198"/>
      <c r="FV92" s="198"/>
      <c r="FW92" s="198"/>
      <c r="FX92" s="198"/>
      <c r="FY92" s="198"/>
      <c r="FZ92" s="198"/>
      <c r="GA92" s="198"/>
      <c r="GB92" s="198"/>
      <c r="GC92" s="198"/>
      <c r="GD92" s="198"/>
      <c r="GE92" s="198"/>
      <c r="GF92" s="198"/>
      <c r="GG92" s="198"/>
      <c r="GH92" s="198"/>
      <c r="GI92" s="198"/>
      <c r="GJ92" s="198"/>
      <c r="GK92" s="198"/>
      <c r="GL92" s="399"/>
      <c r="GM92" s="399"/>
      <c r="GN92" s="401"/>
    </row>
    <row r="93" spans="1:196" s="388" customFormat="1" x14ac:dyDescent="0.25">
      <c r="AQ93" s="389"/>
      <c r="AR93" s="389"/>
      <c r="AS93" s="389"/>
      <c r="AT93" s="389"/>
      <c r="BA93" s="389"/>
      <c r="BB93" s="389"/>
      <c r="BC93" s="389"/>
      <c r="BD93" s="389"/>
      <c r="BE93" s="389"/>
      <c r="BF93" s="389"/>
      <c r="BG93" s="389"/>
      <c r="BH93" s="389"/>
      <c r="BI93" s="389"/>
      <c r="BJ93" s="390"/>
      <c r="BK93" s="390"/>
      <c r="BL93" s="390"/>
    </row>
    <row r="94" spans="1:196" ht="22.5" customHeight="1" thickBot="1" x14ac:dyDescent="0.3">
      <c r="A94" s="3" t="s">
        <v>402</v>
      </c>
      <c r="AB94" s="4">
        <f>S79+V79+Y79+AB79</f>
        <v>141636</v>
      </c>
      <c r="AN94" s="4">
        <f>AE79+AH79+AK79+AN79</f>
        <v>124920</v>
      </c>
      <c r="AQ94" s="76"/>
      <c r="BF94" s="76">
        <v>2013</v>
      </c>
      <c r="BG94" s="76">
        <v>2014</v>
      </c>
      <c r="BH94" s="76">
        <v>2015</v>
      </c>
      <c r="DC94" s="126"/>
      <c r="DD94" s="126"/>
      <c r="DE94" s="126"/>
      <c r="DF94" s="126"/>
      <c r="DG94" s="126"/>
      <c r="DH94" s="126"/>
      <c r="DI94" s="126"/>
      <c r="DJ94" s="126"/>
      <c r="FN94" s="198"/>
      <c r="FO94" s="198"/>
      <c r="FP94" s="198"/>
      <c r="FQ94" s="198"/>
      <c r="FR94" s="198"/>
      <c r="FS94" s="198"/>
      <c r="FT94" s="198"/>
      <c r="FU94" s="198"/>
      <c r="FV94" s="198"/>
      <c r="FW94" s="198"/>
      <c r="FX94" s="198"/>
      <c r="FY94" s="198"/>
      <c r="FZ94" s="198"/>
      <c r="GA94" s="198"/>
      <c r="GB94" s="198"/>
      <c r="GC94" s="198"/>
      <c r="GD94" s="198"/>
      <c r="GE94" s="198"/>
      <c r="GF94" s="198"/>
      <c r="GG94" s="198"/>
      <c r="GH94" s="198"/>
      <c r="GI94" s="198"/>
      <c r="GJ94" s="198"/>
      <c r="GK94" s="198"/>
      <c r="GL94" s="198"/>
      <c r="GM94" s="198"/>
      <c r="GN94" s="198"/>
    </row>
    <row r="95" spans="1:196" ht="12" customHeight="1" x14ac:dyDescent="0.25">
      <c r="A95" s="184"/>
      <c r="AB95" s="4">
        <f>S80+V80+Y80+AB80</f>
        <v>105978</v>
      </c>
      <c r="AN95" s="4">
        <f>AE80+AH80+AK80+AN80</f>
        <v>88957</v>
      </c>
      <c r="AQ95" s="76"/>
      <c r="AZ95" s="71">
        <f>AZ80+AW80+AT80+AQ80</f>
        <v>72753</v>
      </c>
      <c r="BF95" s="97">
        <f>SUM(BC80:BL80)</f>
        <v>103580</v>
      </c>
      <c r="BG95" s="97">
        <f>SUM(BO80:BX80)</f>
        <v>90495</v>
      </c>
      <c r="BH95" s="97">
        <f>SUM(CA80:CJ80)</f>
        <v>92972</v>
      </c>
      <c r="DC95" s="126"/>
      <c r="DD95" s="126"/>
      <c r="DE95" s="126"/>
      <c r="DF95" s="126"/>
      <c r="DG95" s="126"/>
      <c r="DH95" s="126"/>
      <c r="DI95" s="126"/>
      <c r="DJ95" s="126"/>
      <c r="FB95" s="433" t="str">
        <f>FB5</f>
        <v>Situation au 31/12/2021</v>
      </c>
      <c r="FC95" s="434"/>
      <c r="FD95" s="435"/>
      <c r="FE95" s="433" t="str">
        <f>FE5</f>
        <v>Situation au 31/03/2022</v>
      </c>
      <c r="FF95" s="434"/>
      <c r="FG95" s="435"/>
      <c r="FH95" s="433" t="str">
        <f>FH5</f>
        <v>Situation au 30/06/2022</v>
      </c>
      <c r="FI95" s="434"/>
      <c r="FJ95" s="435"/>
      <c r="FK95" s="433" t="str">
        <f t="shared" ref="FK95" si="254">FK5</f>
        <v>Situation au 30/09/2022</v>
      </c>
      <c r="FL95" s="434"/>
      <c r="FM95" s="435"/>
      <c r="FN95" s="433" t="str">
        <f t="shared" ref="FN95" si="255">FN5</f>
        <v>Situation au 31/12/2022</v>
      </c>
      <c r="FO95" s="434"/>
      <c r="FP95" s="435"/>
      <c r="FQ95" s="433" t="str">
        <f t="shared" ref="FQ95" si="256">FQ5</f>
        <v>Situation au 31/03/2023</v>
      </c>
      <c r="FR95" s="434"/>
      <c r="FS95" s="435"/>
      <c r="FT95" s="433" t="str">
        <f t="shared" ref="FT95" si="257">FT5</f>
        <v>Situation au 30/06/2023</v>
      </c>
      <c r="FU95" s="434"/>
      <c r="FV95" s="435"/>
      <c r="FW95" s="433" t="str">
        <f t="shared" ref="FW95" si="258">FW5</f>
        <v>Situation au 30/09/2023</v>
      </c>
      <c r="FX95" s="434"/>
      <c r="FY95" s="435"/>
      <c r="FZ95" s="433" t="str">
        <f t="shared" ref="FZ95" si="259">FZ5</f>
        <v>Situation au 31/12/2023</v>
      </c>
      <c r="GA95" s="434"/>
      <c r="GB95" s="435"/>
      <c r="GC95" s="433" t="str">
        <f t="shared" ref="GC95" si="260">GC5</f>
        <v>Situation au 31/03/2024</v>
      </c>
      <c r="GD95" s="434"/>
      <c r="GE95" s="435"/>
      <c r="GF95" s="433" t="str">
        <f t="shared" ref="GF95" si="261">GF5</f>
        <v>Situation au 30/06/2024</v>
      </c>
      <c r="GG95" s="434"/>
      <c r="GH95" s="435"/>
      <c r="GI95" s="433" t="str">
        <f t="shared" ref="GI95" si="262">GI5</f>
        <v>Situation au 30/09/2024</v>
      </c>
      <c r="GJ95" s="434"/>
      <c r="GK95" s="435"/>
      <c r="GL95" s="433" t="str">
        <f t="shared" ref="GL95" si="263">GL5</f>
        <v>Situation au 31/12/2024</v>
      </c>
      <c r="GM95" s="434"/>
      <c r="GN95" s="435"/>
    </row>
    <row r="96" spans="1:196" ht="12.5" thickBot="1" x14ac:dyDescent="0.35">
      <c r="A96" s="3"/>
      <c r="B96" s="3"/>
      <c r="C96" s="3"/>
      <c r="D96" s="3"/>
      <c r="AB96" s="4">
        <f>S81+V81+Y81+AB81</f>
        <v>82259</v>
      </c>
      <c r="AN96" s="4">
        <f>AE81+AH81+AK81+AN81</f>
        <v>68372</v>
      </c>
      <c r="AT96" s="101"/>
      <c r="CL96" s="4" t="s">
        <v>218</v>
      </c>
      <c r="CO96" s="4" t="s">
        <v>218</v>
      </c>
      <c r="CR96" s="126" t="s">
        <v>218</v>
      </c>
      <c r="CU96" s="126" t="s">
        <v>218</v>
      </c>
      <c r="CX96" s="126" t="s">
        <v>218</v>
      </c>
      <c r="DA96" s="126" t="s">
        <v>218</v>
      </c>
      <c r="DC96" s="126"/>
      <c r="DD96" s="126" t="s">
        <v>218</v>
      </c>
      <c r="DE96" s="126"/>
      <c r="DF96" s="126"/>
      <c r="DG96" s="126" t="s">
        <v>218</v>
      </c>
      <c r="DH96" s="126"/>
      <c r="DI96" s="126"/>
      <c r="DJ96" s="126" t="s">
        <v>218</v>
      </c>
      <c r="DM96" s="126" t="s">
        <v>218</v>
      </c>
      <c r="FB96" s="199" t="s">
        <v>0</v>
      </c>
      <c r="FC96" s="200" t="s">
        <v>1</v>
      </c>
      <c r="FD96" s="201" t="s">
        <v>5</v>
      </c>
      <c r="FE96" s="199" t="s">
        <v>0</v>
      </c>
      <c r="FF96" s="200" t="s">
        <v>1</v>
      </c>
      <c r="FG96" s="201" t="s">
        <v>5</v>
      </c>
      <c r="FH96" s="199" t="s">
        <v>0</v>
      </c>
      <c r="FI96" s="200" t="s">
        <v>1</v>
      </c>
      <c r="FJ96" s="201" t="s">
        <v>5</v>
      </c>
      <c r="FK96" s="199" t="s">
        <v>0</v>
      </c>
      <c r="FL96" s="200" t="s">
        <v>1</v>
      </c>
      <c r="FM96" s="201" t="s">
        <v>5</v>
      </c>
      <c r="FN96" s="199" t="s">
        <v>0</v>
      </c>
      <c r="FO96" s="200" t="s">
        <v>1</v>
      </c>
      <c r="FP96" s="201" t="s">
        <v>5</v>
      </c>
      <c r="FQ96" s="199" t="s">
        <v>0</v>
      </c>
      <c r="FR96" s="200" t="s">
        <v>1</v>
      </c>
      <c r="FS96" s="201" t="s">
        <v>5</v>
      </c>
      <c r="FT96" s="199" t="s">
        <v>0</v>
      </c>
      <c r="FU96" s="200" t="s">
        <v>1</v>
      </c>
      <c r="FV96" s="201" t="s">
        <v>5</v>
      </c>
      <c r="FW96" s="199" t="s">
        <v>0</v>
      </c>
      <c r="FX96" s="200" t="s">
        <v>1</v>
      </c>
      <c r="FY96" s="201" t="s">
        <v>5</v>
      </c>
      <c r="FZ96" s="199" t="s">
        <v>0</v>
      </c>
      <c r="GA96" s="200" t="s">
        <v>1</v>
      </c>
      <c r="GB96" s="201" t="s">
        <v>5</v>
      </c>
      <c r="GC96" s="199" t="s">
        <v>0</v>
      </c>
      <c r="GD96" s="200" t="s">
        <v>1</v>
      </c>
      <c r="GE96" s="201" t="s">
        <v>5</v>
      </c>
      <c r="GF96" s="199" t="s">
        <v>0</v>
      </c>
      <c r="GG96" s="200" t="s">
        <v>1</v>
      </c>
      <c r="GH96" s="201" t="s">
        <v>5</v>
      </c>
      <c r="GI96" s="199" t="s">
        <v>0</v>
      </c>
      <c r="GJ96" s="200" t="s">
        <v>1</v>
      </c>
      <c r="GK96" s="201" t="s">
        <v>5</v>
      </c>
      <c r="GL96" s="199" t="s">
        <v>0</v>
      </c>
      <c r="GM96" s="200" t="s">
        <v>1</v>
      </c>
      <c r="GN96" s="201" t="s">
        <v>5</v>
      </c>
    </row>
    <row r="97" spans="1:196" x14ac:dyDescent="0.25">
      <c r="A97" s="38" t="s">
        <v>403</v>
      </c>
      <c r="B97" s="3"/>
      <c r="C97" s="3"/>
      <c r="D97" s="3"/>
      <c r="FB97" s="202">
        <f>FB7+FB9</f>
        <v>1080389</v>
      </c>
      <c r="FC97" s="203">
        <f t="shared" ref="FC97:FD97" si="264">FC7+FC9</f>
        <v>702549</v>
      </c>
      <c r="FD97" s="204">
        <f t="shared" si="264"/>
        <v>1782938</v>
      </c>
      <c r="FE97" s="202">
        <f>FE7+FE9</f>
        <v>1073240</v>
      </c>
      <c r="FF97" s="203">
        <f t="shared" ref="FF97:FG97" si="265">FF7+FF9</f>
        <v>700676</v>
      </c>
      <c r="FG97" s="204">
        <f t="shared" si="265"/>
        <v>1773916</v>
      </c>
      <c r="FH97" s="202">
        <f>FH7+FH9</f>
        <v>1065999</v>
      </c>
      <c r="FI97" s="203">
        <f t="shared" ref="FI97:FN97" si="266">FI7+FI9</f>
        <v>698779</v>
      </c>
      <c r="FJ97" s="204">
        <f t="shared" si="266"/>
        <v>1764778</v>
      </c>
      <c r="FK97" s="202">
        <f t="shared" si="266"/>
        <v>1059668</v>
      </c>
      <c r="FL97" s="203">
        <f t="shared" si="266"/>
        <v>697146</v>
      </c>
      <c r="FM97" s="204">
        <f t="shared" si="266"/>
        <v>1756814</v>
      </c>
      <c r="FN97" s="202">
        <f t="shared" si="266"/>
        <v>1053265</v>
      </c>
      <c r="FO97" s="203">
        <f t="shared" ref="FO97:FV97" si="267">FO7+FO9</f>
        <v>694203</v>
      </c>
      <c r="FP97" s="204">
        <f t="shared" si="267"/>
        <v>1747468</v>
      </c>
      <c r="FQ97" s="202">
        <f t="shared" si="267"/>
        <v>1045519</v>
      </c>
      <c r="FR97" s="203">
        <f t="shared" si="267"/>
        <v>692142</v>
      </c>
      <c r="FS97" s="204">
        <f t="shared" si="267"/>
        <v>1737661</v>
      </c>
      <c r="FT97" s="202">
        <f t="shared" si="267"/>
        <v>1039245</v>
      </c>
      <c r="FU97" s="203">
        <f t="shared" si="267"/>
        <v>690350</v>
      </c>
      <c r="FV97" s="204">
        <f t="shared" si="267"/>
        <v>1729595</v>
      </c>
      <c r="FW97" s="202">
        <f t="shared" ref="FW97:FY97" si="268">FW7+FW9</f>
        <v>1034156</v>
      </c>
      <c r="FX97" s="203">
        <f t="shared" si="268"/>
        <v>689218</v>
      </c>
      <c r="FY97" s="204">
        <f t="shared" si="268"/>
        <v>1723374</v>
      </c>
      <c r="FZ97" s="202">
        <f t="shared" ref="FZ97:GB97" si="269">FZ7+FZ9</f>
        <v>1029066</v>
      </c>
      <c r="GA97" s="203">
        <f t="shared" si="269"/>
        <v>686782</v>
      </c>
      <c r="GB97" s="204">
        <f t="shared" si="269"/>
        <v>1715848</v>
      </c>
      <c r="GC97" s="202">
        <f t="shared" ref="GC97:GE97" si="270">GC7+GC9</f>
        <v>1021211</v>
      </c>
      <c r="GD97" s="203">
        <f t="shared" si="270"/>
        <v>684318</v>
      </c>
      <c r="GE97" s="204">
        <f t="shared" si="270"/>
        <v>1705529</v>
      </c>
      <c r="GF97" s="202">
        <f t="shared" ref="GF97:GH97" si="271">GF7+GF9</f>
        <v>1014289</v>
      </c>
      <c r="GG97" s="203">
        <f t="shared" si="271"/>
        <v>682345</v>
      </c>
      <c r="GH97" s="204">
        <f t="shared" si="271"/>
        <v>1696634</v>
      </c>
      <c r="GI97" s="202">
        <f t="shared" ref="GI97:GK97" si="272">GI7+GI9</f>
        <v>1008436</v>
      </c>
      <c r="GJ97" s="203">
        <f t="shared" si="272"/>
        <v>680722</v>
      </c>
      <c r="GK97" s="204">
        <f t="shared" si="272"/>
        <v>1689158</v>
      </c>
      <c r="GL97" s="202">
        <f t="shared" ref="GL97:GN97" si="273">GL7+GL9</f>
        <v>1002450</v>
      </c>
      <c r="GM97" s="203">
        <f t="shared" si="273"/>
        <v>678591</v>
      </c>
      <c r="GN97" s="204">
        <f t="shared" si="273"/>
        <v>1681041</v>
      </c>
    </row>
    <row r="98" spans="1:196" x14ac:dyDescent="0.25">
      <c r="A98" s="39" t="s">
        <v>404</v>
      </c>
      <c r="B98" s="3"/>
      <c r="C98" s="3"/>
      <c r="D98" s="3"/>
      <c r="FB98" s="202">
        <f>FB8+FB9</f>
        <v>32820</v>
      </c>
      <c r="FC98" s="203">
        <f t="shared" ref="FC98:FD98" si="274">FC8+FC9</f>
        <v>643028</v>
      </c>
      <c r="FD98" s="204">
        <f t="shared" si="274"/>
        <v>675848</v>
      </c>
      <c r="FE98" s="202">
        <f>FE8+FE9</f>
        <v>32740</v>
      </c>
      <c r="FF98" s="203">
        <f t="shared" ref="FF98:FG98" si="275">FF8+FF9</f>
        <v>638382</v>
      </c>
      <c r="FG98" s="204">
        <f t="shared" si="275"/>
        <v>671122</v>
      </c>
      <c r="FH98" s="202">
        <f>FH8+FH9</f>
        <v>32680</v>
      </c>
      <c r="FI98" s="203">
        <f t="shared" ref="FI98:FN98" si="276">FI8+FI9</f>
        <v>633791</v>
      </c>
      <c r="FJ98" s="204">
        <f t="shared" si="276"/>
        <v>666471</v>
      </c>
      <c r="FK98" s="202">
        <f t="shared" si="276"/>
        <v>32590</v>
      </c>
      <c r="FL98" s="203">
        <f t="shared" si="276"/>
        <v>630188</v>
      </c>
      <c r="FM98" s="204">
        <f t="shared" si="276"/>
        <v>662778</v>
      </c>
      <c r="FN98" s="202">
        <f t="shared" si="276"/>
        <v>32519</v>
      </c>
      <c r="FO98" s="203">
        <f t="shared" ref="FO98:FV98" si="277">FO8+FO9</f>
        <v>626092</v>
      </c>
      <c r="FP98" s="204">
        <f t="shared" si="277"/>
        <v>658611</v>
      </c>
      <c r="FQ98" s="202">
        <f t="shared" si="277"/>
        <v>32474</v>
      </c>
      <c r="FR98" s="203">
        <f t="shared" si="277"/>
        <v>621411</v>
      </c>
      <c r="FS98" s="204">
        <f t="shared" si="277"/>
        <v>653885</v>
      </c>
      <c r="FT98" s="202">
        <f t="shared" si="277"/>
        <v>32415</v>
      </c>
      <c r="FU98" s="203">
        <f t="shared" si="277"/>
        <v>617754</v>
      </c>
      <c r="FV98" s="204">
        <f t="shared" si="277"/>
        <v>650169</v>
      </c>
      <c r="FW98" s="202">
        <f t="shared" ref="FW98:FY98" si="278">FW8+FW9</f>
        <v>32499</v>
      </c>
      <c r="FX98" s="203">
        <f t="shared" si="278"/>
        <v>615485</v>
      </c>
      <c r="FY98" s="204">
        <f t="shared" si="278"/>
        <v>647984</v>
      </c>
      <c r="FZ98" s="202">
        <f t="shared" ref="FZ98:GB98" si="279">FZ8+FZ9</f>
        <v>32691</v>
      </c>
      <c r="GA98" s="203">
        <f t="shared" si="279"/>
        <v>614503</v>
      </c>
      <c r="GB98" s="204">
        <f t="shared" si="279"/>
        <v>647194</v>
      </c>
      <c r="GC98" s="202">
        <f t="shared" ref="GC98:GE98" si="280">GC8+GC9</f>
        <v>32582</v>
      </c>
      <c r="GD98" s="203">
        <f t="shared" si="280"/>
        <v>609311</v>
      </c>
      <c r="GE98" s="204">
        <f t="shared" si="280"/>
        <v>641893</v>
      </c>
      <c r="GF98" s="202">
        <f t="shared" ref="GF98:GH98" si="281">GF8+GF9</f>
        <v>32422</v>
      </c>
      <c r="GG98" s="203">
        <f t="shared" si="281"/>
        <v>604636</v>
      </c>
      <c r="GH98" s="204">
        <f t="shared" si="281"/>
        <v>637058</v>
      </c>
      <c r="GI98" s="202">
        <f t="shared" ref="GI98:GK98" si="282">GI8+GI9</f>
        <v>32364</v>
      </c>
      <c r="GJ98" s="203">
        <f t="shared" si="282"/>
        <v>600824</v>
      </c>
      <c r="GK98" s="204">
        <f t="shared" si="282"/>
        <v>633188</v>
      </c>
      <c r="GL98" s="202">
        <f t="shared" ref="GL98:GN98" si="283">GL8+GL9</f>
        <v>32385</v>
      </c>
      <c r="GM98" s="203">
        <f t="shared" si="283"/>
        <v>598326</v>
      </c>
      <c r="GN98" s="204">
        <f t="shared" si="283"/>
        <v>630711</v>
      </c>
    </row>
    <row r="99" spans="1:196" x14ac:dyDescent="0.25">
      <c r="A99" s="39" t="s">
        <v>4</v>
      </c>
      <c r="B99" s="3"/>
      <c r="C99" s="3"/>
      <c r="D99" s="3"/>
      <c r="FB99" s="202">
        <f>FB9</f>
        <v>16242</v>
      </c>
      <c r="FC99" s="203">
        <f t="shared" ref="FC99:FD99" si="284">FC9</f>
        <v>124911</v>
      </c>
      <c r="FD99" s="204">
        <f t="shared" si="284"/>
        <v>141153</v>
      </c>
      <c r="FE99" s="202">
        <f>FE9</f>
        <v>16118</v>
      </c>
      <c r="FF99" s="203">
        <f t="shared" ref="FF99:FG99" si="285">FF9</f>
        <v>123799</v>
      </c>
      <c r="FG99" s="204">
        <f t="shared" si="285"/>
        <v>139917</v>
      </c>
      <c r="FH99" s="202">
        <f>FH9</f>
        <v>16054</v>
      </c>
      <c r="FI99" s="203">
        <f t="shared" ref="FI99:FN99" si="286">FI9</f>
        <v>122653</v>
      </c>
      <c r="FJ99" s="204">
        <f t="shared" si="286"/>
        <v>138707</v>
      </c>
      <c r="FK99" s="202">
        <f t="shared" si="286"/>
        <v>15951</v>
      </c>
      <c r="FL99" s="203">
        <f t="shared" si="286"/>
        <v>121852</v>
      </c>
      <c r="FM99" s="204">
        <f t="shared" si="286"/>
        <v>137803</v>
      </c>
      <c r="FN99" s="202">
        <f t="shared" si="286"/>
        <v>15833</v>
      </c>
      <c r="FO99" s="203">
        <f t="shared" ref="FO99:FV99" si="287">FO9</f>
        <v>120598</v>
      </c>
      <c r="FP99" s="204">
        <f t="shared" si="287"/>
        <v>136431</v>
      </c>
      <c r="FQ99" s="202">
        <f t="shared" si="287"/>
        <v>15756</v>
      </c>
      <c r="FR99" s="203">
        <f t="shared" si="287"/>
        <v>119564</v>
      </c>
      <c r="FS99" s="204">
        <f t="shared" si="287"/>
        <v>135320</v>
      </c>
      <c r="FT99" s="202">
        <f t="shared" si="287"/>
        <v>15644</v>
      </c>
      <c r="FU99" s="203">
        <f t="shared" si="287"/>
        <v>118676</v>
      </c>
      <c r="FV99" s="204">
        <f t="shared" si="287"/>
        <v>134320</v>
      </c>
      <c r="FW99" s="202">
        <f t="shared" ref="FW99:FY99" si="288">FW9</f>
        <v>15601</v>
      </c>
      <c r="FX99" s="203">
        <f t="shared" si="288"/>
        <v>118093</v>
      </c>
      <c r="FY99" s="204">
        <f t="shared" si="288"/>
        <v>133694</v>
      </c>
      <c r="FZ99" s="202">
        <f t="shared" ref="FZ99:GB99" si="289">FZ9</f>
        <v>15597</v>
      </c>
      <c r="GA99" s="203">
        <f t="shared" si="289"/>
        <v>117368</v>
      </c>
      <c r="GB99" s="204">
        <f t="shared" si="289"/>
        <v>132965</v>
      </c>
      <c r="GC99" s="202">
        <f t="shared" ref="GC99:GE99" si="290">GC9</f>
        <v>15567</v>
      </c>
      <c r="GD99" s="203">
        <f t="shared" si="290"/>
        <v>116467</v>
      </c>
      <c r="GE99" s="204">
        <f t="shared" si="290"/>
        <v>132034</v>
      </c>
      <c r="GF99" s="202">
        <f t="shared" ref="GF99:GH99" si="291">GF9</f>
        <v>15455</v>
      </c>
      <c r="GG99" s="203">
        <f t="shared" si="291"/>
        <v>115485</v>
      </c>
      <c r="GH99" s="204">
        <f t="shared" si="291"/>
        <v>130940</v>
      </c>
      <c r="GI99" s="202">
        <f t="shared" ref="GI99:GK99" si="292">GI9</f>
        <v>15358</v>
      </c>
      <c r="GJ99" s="203">
        <f t="shared" si="292"/>
        <v>114663</v>
      </c>
      <c r="GK99" s="204">
        <f t="shared" si="292"/>
        <v>130021</v>
      </c>
      <c r="GL99" s="202">
        <f t="shared" ref="GL99:GN99" si="293">GL9</f>
        <v>15293</v>
      </c>
      <c r="GM99" s="203">
        <f t="shared" si="293"/>
        <v>114071</v>
      </c>
      <c r="GN99" s="204">
        <f t="shared" si="293"/>
        <v>129364</v>
      </c>
    </row>
    <row r="100" spans="1:196" ht="12" thickBot="1" x14ac:dyDescent="0.3">
      <c r="A100" s="40" t="s">
        <v>5</v>
      </c>
      <c r="B100" s="3"/>
      <c r="C100" s="3"/>
      <c r="D100" s="3"/>
      <c r="FB100" s="205">
        <f>FB10</f>
        <v>1096967</v>
      </c>
      <c r="FC100" s="205">
        <f t="shared" ref="FC100:FD100" si="294">FC10</f>
        <v>1220666</v>
      </c>
      <c r="FD100" s="387">
        <f t="shared" si="294"/>
        <v>2317633</v>
      </c>
      <c r="FE100" s="205">
        <f>FE10</f>
        <v>1089862</v>
      </c>
      <c r="FF100" s="205">
        <f t="shared" ref="FF100:FG100" si="295">FF10</f>
        <v>1215259</v>
      </c>
      <c r="FG100" s="387">
        <f t="shared" si="295"/>
        <v>2305121</v>
      </c>
      <c r="FH100" s="205">
        <f>FH10</f>
        <v>1082625</v>
      </c>
      <c r="FI100" s="205">
        <f t="shared" ref="FI100:FN100" si="296">FI10</f>
        <v>1209917</v>
      </c>
      <c r="FJ100" s="387">
        <f t="shared" si="296"/>
        <v>2292542</v>
      </c>
      <c r="FK100" s="205">
        <f t="shared" si="296"/>
        <v>1076307</v>
      </c>
      <c r="FL100" s="205">
        <f t="shared" si="296"/>
        <v>1205482</v>
      </c>
      <c r="FM100" s="387">
        <f t="shared" si="296"/>
        <v>2281789</v>
      </c>
      <c r="FN100" s="205">
        <f t="shared" si="296"/>
        <v>1069951</v>
      </c>
      <c r="FO100" s="205">
        <f t="shared" ref="FO100:FV100" si="297">FO10</f>
        <v>1199697</v>
      </c>
      <c r="FP100" s="387">
        <f t="shared" si="297"/>
        <v>2269648</v>
      </c>
      <c r="FQ100" s="205">
        <f t="shared" si="297"/>
        <v>1062237</v>
      </c>
      <c r="FR100" s="205">
        <f t="shared" si="297"/>
        <v>1193989</v>
      </c>
      <c r="FS100" s="387">
        <f t="shared" si="297"/>
        <v>2256226</v>
      </c>
      <c r="FT100" s="205">
        <f t="shared" si="297"/>
        <v>1056016</v>
      </c>
      <c r="FU100" s="205">
        <f t="shared" si="297"/>
        <v>1189428</v>
      </c>
      <c r="FV100" s="387">
        <f t="shared" si="297"/>
        <v>2245444</v>
      </c>
      <c r="FW100" s="205">
        <f t="shared" ref="FW100:FY100" si="298">FW10</f>
        <v>1051054</v>
      </c>
      <c r="FX100" s="205">
        <f t="shared" si="298"/>
        <v>1186610</v>
      </c>
      <c r="FY100" s="387">
        <f t="shared" si="298"/>
        <v>2237664</v>
      </c>
      <c r="FZ100" s="205">
        <f t="shared" ref="FZ100:GB100" si="299">FZ10</f>
        <v>1046160</v>
      </c>
      <c r="GA100" s="205">
        <f t="shared" si="299"/>
        <v>1183917</v>
      </c>
      <c r="GB100" s="387">
        <f t="shared" si="299"/>
        <v>2230077</v>
      </c>
      <c r="GC100" s="205">
        <f t="shared" ref="GC100:GE100" si="300">GC10</f>
        <v>1038226</v>
      </c>
      <c r="GD100" s="205">
        <f t="shared" si="300"/>
        <v>1177162</v>
      </c>
      <c r="GE100" s="387">
        <f t="shared" si="300"/>
        <v>2215388</v>
      </c>
      <c r="GF100" s="205">
        <f t="shared" ref="GF100:GH100" si="301">GF10</f>
        <v>1031256</v>
      </c>
      <c r="GG100" s="205">
        <f t="shared" si="301"/>
        <v>1171496</v>
      </c>
      <c r="GH100" s="387">
        <f t="shared" si="301"/>
        <v>2202752</v>
      </c>
      <c r="GI100" s="205">
        <f t="shared" ref="GI100:GK100" si="302">GI10</f>
        <v>1025442</v>
      </c>
      <c r="GJ100" s="205">
        <f t="shared" si="302"/>
        <v>1166883</v>
      </c>
      <c r="GK100" s="387">
        <f t="shared" si="302"/>
        <v>2192325</v>
      </c>
      <c r="GL100" s="205">
        <f t="shared" ref="GL100:GN100" si="303">GL10</f>
        <v>1019542</v>
      </c>
      <c r="GM100" s="205">
        <f t="shared" si="303"/>
        <v>1162846</v>
      </c>
      <c r="GN100" s="387">
        <f t="shared" si="303"/>
        <v>2182388</v>
      </c>
    </row>
    <row r="101" spans="1:196" x14ac:dyDescent="0.25">
      <c r="A101" s="3"/>
      <c r="B101" s="3"/>
      <c r="C101" s="3"/>
      <c r="D101" s="3"/>
      <c r="FN101" s="198"/>
      <c r="FO101" s="198"/>
      <c r="FP101" s="198"/>
      <c r="FQ101" s="198"/>
      <c r="FR101" s="198"/>
      <c r="FS101" s="198"/>
      <c r="FT101" s="198"/>
      <c r="FU101" s="198"/>
      <c r="FV101" s="198"/>
      <c r="FW101" s="198"/>
      <c r="FX101" s="198"/>
      <c r="FY101" s="198"/>
      <c r="FZ101" s="198"/>
      <c r="GA101" s="198"/>
      <c r="GB101" s="198"/>
      <c r="GC101" s="198"/>
      <c r="GD101" s="198"/>
      <c r="GE101" s="198"/>
      <c r="GF101" s="198"/>
      <c r="GG101" s="198"/>
      <c r="GH101" s="198"/>
      <c r="GI101" s="198"/>
      <c r="GJ101" s="198"/>
      <c r="GK101" s="198"/>
      <c r="GL101" s="198"/>
      <c r="GM101" s="198"/>
      <c r="GN101" s="198"/>
    </row>
    <row r="102" spans="1:196" ht="20.25" customHeight="1" thickBot="1" x14ac:dyDescent="0.3">
      <c r="A102" s="3" t="s">
        <v>405</v>
      </c>
      <c r="FN102" s="126"/>
      <c r="FO102" s="126"/>
      <c r="FP102" s="126"/>
      <c r="FQ102" s="126"/>
      <c r="FR102" s="126"/>
      <c r="FS102" s="126"/>
      <c r="FT102" s="126"/>
      <c r="FU102" s="126"/>
      <c r="FV102" s="126"/>
      <c r="FW102" s="126"/>
      <c r="FX102" s="126"/>
      <c r="FY102" s="126"/>
      <c r="FZ102" s="126"/>
      <c r="GA102" s="126"/>
      <c r="GB102" s="126"/>
      <c r="GC102" s="126"/>
      <c r="GD102" s="126"/>
      <c r="GE102" s="126"/>
      <c r="GF102" s="126"/>
      <c r="GG102" s="126"/>
      <c r="GH102" s="126"/>
      <c r="GI102" s="126"/>
      <c r="GJ102" s="126"/>
      <c r="GK102" s="126"/>
      <c r="GL102" s="126"/>
      <c r="GM102" s="126"/>
      <c r="GN102" s="126"/>
    </row>
    <row r="103" spans="1:196" x14ac:dyDescent="0.25">
      <c r="A103" s="187" t="s">
        <v>29</v>
      </c>
      <c r="FB103" s="433" t="str">
        <f>FB5</f>
        <v>Situation au 31/12/2021</v>
      </c>
      <c r="FC103" s="434"/>
      <c r="FD103" s="435"/>
      <c r="FE103" s="433" t="str">
        <f>FE5</f>
        <v>Situation au 31/03/2022</v>
      </c>
      <c r="FF103" s="434"/>
      <c r="FG103" s="435"/>
      <c r="FH103" s="433" t="str">
        <f t="shared" ref="FH103" si="304">FH5</f>
        <v>Situation au 30/06/2022</v>
      </c>
      <c r="FI103" s="434"/>
      <c r="FJ103" s="435"/>
      <c r="FK103" s="433" t="str">
        <f t="shared" ref="FK103" si="305">FK5</f>
        <v>Situation au 30/09/2022</v>
      </c>
      <c r="FL103" s="434"/>
      <c r="FM103" s="435"/>
      <c r="FN103" s="433" t="str">
        <f t="shared" ref="FN103" si="306">FN5</f>
        <v>Situation au 31/12/2022</v>
      </c>
      <c r="FO103" s="434"/>
      <c r="FP103" s="435"/>
      <c r="FQ103" s="433" t="str">
        <f t="shared" ref="FQ103" si="307">FQ5</f>
        <v>Situation au 31/03/2023</v>
      </c>
      <c r="FR103" s="434"/>
      <c r="FS103" s="435"/>
      <c r="FT103" s="433" t="str">
        <f t="shared" ref="FT103" si="308">FT5</f>
        <v>Situation au 30/06/2023</v>
      </c>
      <c r="FU103" s="434"/>
      <c r="FV103" s="435"/>
      <c r="FW103" s="433" t="str">
        <f t="shared" ref="FW103" si="309">FW5</f>
        <v>Situation au 30/09/2023</v>
      </c>
      <c r="FX103" s="434"/>
      <c r="FY103" s="435"/>
      <c r="FZ103" s="433" t="str">
        <f t="shared" ref="FZ103" si="310">FZ5</f>
        <v>Situation au 31/12/2023</v>
      </c>
      <c r="GA103" s="434"/>
      <c r="GB103" s="435"/>
      <c r="GC103" s="433" t="str">
        <f t="shared" ref="GC103" si="311">GC5</f>
        <v>Situation au 31/03/2024</v>
      </c>
      <c r="GD103" s="434"/>
      <c r="GE103" s="435"/>
      <c r="GF103" s="433" t="str">
        <f t="shared" ref="GF103" si="312">GF5</f>
        <v>Situation au 30/06/2024</v>
      </c>
      <c r="GG103" s="434"/>
      <c r="GH103" s="435"/>
      <c r="GI103" s="433" t="str">
        <f t="shared" ref="GI103" si="313">GI5</f>
        <v>Situation au 30/09/2024</v>
      </c>
      <c r="GJ103" s="434"/>
      <c r="GK103" s="435"/>
      <c r="GL103" s="433" t="str">
        <f t="shared" ref="GL103" si="314">GL5</f>
        <v>Situation au 31/12/2024</v>
      </c>
      <c r="GM103" s="434"/>
      <c r="GN103" s="435"/>
    </row>
    <row r="104" spans="1:196" ht="12" thickBot="1" x14ac:dyDescent="0.3">
      <c r="A104" s="3"/>
      <c r="FB104" s="199" t="s">
        <v>0</v>
      </c>
      <c r="FC104" s="200" t="s">
        <v>1</v>
      </c>
      <c r="FD104" s="201" t="s">
        <v>5</v>
      </c>
      <c r="FE104" s="199" t="s">
        <v>0</v>
      </c>
      <c r="FF104" s="200" t="s">
        <v>1</v>
      </c>
      <c r="FG104" s="201" t="s">
        <v>5</v>
      </c>
      <c r="FH104" s="199" t="s">
        <v>0</v>
      </c>
      <c r="FI104" s="200" t="s">
        <v>1</v>
      </c>
      <c r="FJ104" s="201" t="s">
        <v>5</v>
      </c>
      <c r="FK104" s="199" t="s">
        <v>0</v>
      </c>
      <c r="FL104" s="200" t="s">
        <v>1</v>
      </c>
      <c r="FM104" s="201" t="s">
        <v>5</v>
      </c>
      <c r="FN104" s="199" t="s">
        <v>0</v>
      </c>
      <c r="FO104" s="200" t="s">
        <v>1</v>
      </c>
      <c r="FP104" s="201" t="s">
        <v>5</v>
      </c>
      <c r="FQ104" s="199" t="s">
        <v>0</v>
      </c>
      <c r="FR104" s="200" t="s">
        <v>1</v>
      </c>
      <c r="FS104" s="201" t="s">
        <v>5</v>
      </c>
      <c r="FT104" s="199" t="s">
        <v>0</v>
      </c>
      <c r="FU104" s="200" t="s">
        <v>1</v>
      </c>
      <c r="FV104" s="201" t="s">
        <v>5</v>
      </c>
      <c r="FW104" s="199" t="s">
        <v>0</v>
      </c>
      <c r="FX104" s="200" t="s">
        <v>1</v>
      </c>
      <c r="FY104" s="201" t="s">
        <v>5</v>
      </c>
      <c r="FZ104" s="199" t="s">
        <v>0</v>
      </c>
      <c r="GA104" s="200" t="s">
        <v>1</v>
      </c>
      <c r="GB104" s="201" t="s">
        <v>5</v>
      </c>
      <c r="GC104" s="199" t="s">
        <v>0</v>
      </c>
      <c r="GD104" s="200" t="s">
        <v>1</v>
      </c>
      <c r="GE104" s="201" t="s">
        <v>5</v>
      </c>
      <c r="GF104" s="199" t="s">
        <v>0</v>
      </c>
      <c r="GG104" s="200" t="s">
        <v>1</v>
      </c>
      <c r="GH104" s="201" t="s">
        <v>5</v>
      </c>
      <c r="GI104" s="199" t="s">
        <v>0</v>
      </c>
      <c r="GJ104" s="200" t="s">
        <v>1</v>
      </c>
      <c r="GK104" s="201" t="s">
        <v>5</v>
      </c>
      <c r="GL104" s="199" t="s">
        <v>0</v>
      </c>
      <c r="GM104" s="200" t="s">
        <v>1</v>
      </c>
      <c r="GN104" s="201" t="s">
        <v>5</v>
      </c>
    </row>
    <row r="105" spans="1:196" x14ac:dyDescent="0.25">
      <c r="A105" s="38" t="s">
        <v>403</v>
      </c>
      <c r="FB105" s="208">
        <f>( FB27*FB7 + FB29*FB9 ) / (FB7+FB9)</f>
        <v>3202.1497817476493</v>
      </c>
      <c r="FC105" s="209">
        <f t="shared" ref="FC105:FD105" si="315">( FC27*FC7 + FC29*FC9 ) / (FC7+FC9)</f>
        <v>2941.7300089908822</v>
      </c>
      <c r="FD105" s="210">
        <f t="shared" si="315"/>
        <v>3099.5356638974858</v>
      </c>
      <c r="FE105" s="208">
        <f>( FE27*FE7 + FE29*FE9 ) / (FE7+FE9)</f>
        <v>3278.218181442543</v>
      </c>
      <c r="FF105" s="209">
        <f t="shared" ref="FF105:FK105" si="316">( FF27*FF7 + FF29*FF9 ) / (FF7+FF9)</f>
        <v>3013.5441794479775</v>
      </c>
      <c r="FG105" s="210">
        <f t="shared" si="316"/>
        <v>3173.6772129487786</v>
      </c>
      <c r="FH105" s="208">
        <f t="shared" si="316"/>
        <v>3311.751561470272</v>
      </c>
      <c r="FI105" s="209">
        <f t="shared" si="316"/>
        <v>3044.8734671660995</v>
      </c>
      <c r="FJ105" s="210">
        <f t="shared" si="316"/>
        <v>3206.0807759781269</v>
      </c>
      <c r="FK105" s="208">
        <f t="shared" si="316"/>
        <v>3480.1176813513889</v>
      </c>
      <c r="FL105" s="209">
        <f t="shared" ref="FL105:FS105" si="317">( FL27*FL7 + FL29*FL9 ) / (FL7+FL9)</f>
        <v>3200.3173533084905</v>
      </c>
      <c r="FM105" s="210">
        <f t="shared" si="317"/>
        <v>3369.0885320548196</v>
      </c>
      <c r="FN105" s="208">
        <f t="shared" si="317"/>
        <v>3512.4562607500429</v>
      </c>
      <c r="FO105" s="209">
        <f t="shared" si="317"/>
        <v>3234.4402341463679</v>
      </c>
      <c r="FP105" s="210">
        <f t="shared" si="317"/>
        <v>3402.0132722335352</v>
      </c>
      <c r="FQ105" s="208">
        <f t="shared" si="317"/>
        <v>3587.2796673127455</v>
      </c>
      <c r="FR105" s="209">
        <f t="shared" si="317"/>
        <v>3309.0452778151716</v>
      </c>
      <c r="FS105" s="210">
        <f t="shared" si="317"/>
        <v>3476.4559470422764</v>
      </c>
      <c r="FT105" s="208">
        <f t="shared" ref="FT105:FY105" si="318">( FT27*FT7 + FT29*FT9 ) / (FT7+FT9)</f>
        <v>3625.7918751785705</v>
      </c>
      <c r="FU105" s="209">
        <f t="shared" si="318"/>
        <v>3346.7487068764763</v>
      </c>
      <c r="FV105" s="210">
        <f t="shared" si="318"/>
        <v>3514.4167957224054</v>
      </c>
      <c r="FW105" s="208">
        <f t="shared" si="318"/>
        <v>3666.3758444404971</v>
      </c>
      <c r="FX105" s="209">
        <f t="shared" si="318"/>
        <v>3389.9343284887832</v>
      </c>
      <c r="FY105" s="210">
        <f t="shared" si="318"/>
        <v>3555.8223793474326</v>
      </c>
      <c r="FZ105" s="208">
        <f t="shared" ref="FZ105:GB105" si="319">( FZ27*FZ7 + FZ29*FZ9 ) / (FZ7+FZ9)</f>
        <v>3696.79328202232</v>
      </c>
      <c r="GA105" s="209">
        <f t="shared" si="319"/>
        <v>3420.3447310547981</v>
      </c>
      <c r="GB105" s="210">
        <f t="shared" si="319"/>
        <v>3586.1444901223676</v>
      </c>
      <c r="GC105" s="208">
        <f t="shared" ref="GC105:GE105" si="320">( GC27*GC7 + GC29*GC9 ) / (GC7+GC9)</f>
        <v>3937.1651442271668</v>
      </c>
      <c r="GD105" s="209">
        <f t="shared" si="320"/>
        <v>3645.2840839106216</v>
      </c>
      <c r="GE105" s="210">
        <f t="shared" si="320"/>
        <v>3820.0540326508417</v>
      </c>
      <c r="GF105" s="208">
        <f t="shared" ref="GF105:GH105" si="321">( GF27*GF7 + GF29*GF9 ) / (GF7+GF9)</f>
        <v>3972.4827174473658</v>
      </c>
      <c r="GG105" s="209">
        <f t="shared" si="321"/>
        <v>3675.1114818254596</v>
      </c>
      <c r="GH105" s="210">
        <f t="shared" si="321"/>
        <v>3852.889255099738</v>
      </c>
      <c r="GI105" s="208">
        <f t="shared" ref="GI105:GK105" si="322">( GI27*GI7 + GI29*GI9 ) / (GI7+GI9)</f>
        <v>4010.4460183101328</v>
      </c>
      <c r="GJ105" s="209">
        <f t="shared" si="322"/>
        <v>3710.2773676842976</v>
      </c>
      <c r="GK105" s="210">
        <f t="shared" si="322"/>
        <v>3889.4814902172338</v>
      </c>
      <c r="GL105" s="208">
        <f t="shared" ref="GL105:GN105" si="323">( GL27*GL7 + GL29*GL9 ) / (GL7+GL9)</f>
        <v>4077.6337698994926</v>
      </c>
      <c r="GM105" s="209">
        <f t="shared" si="323"/>
        <v>3774.8389450247923</v>
      </c>
      <c r="GN105" s="210">
        <f t="shared" si="323"/>
        <v>3955.4059273313865</v>
      </c>
    </row>
    <row r="106" spans="1:196" x14ac:dyDescent="0.25">
      <c r="A106" s="39" t="s">
        <v>404</v>
      </c>
      <c r="FB106" s="208">
        <f>( FB28*FB8 + FB29*FB9 ) / (FB8+FB9)</f>
        <v>2303.7567336989646</v>
      </c>
      <c r="FC106" s="209">
        <f t="shared" ref="FC106:FD106" si="324">( FC28*FC8 + FC29*FC9 ) / (FC8+FC9)</f>
        <v>1643.9401697890764</v>
      </c>
      <c r="FD106" s="210">
        <f t="shared" si="324"/>
        <v>1675.9833855654581</v>
      </c>
      <c r="FE106" s="208">
        <f>( FE28*FE8 + FE29*FE9 ) / (FE8+FE9)</f>
        <v>2321.7087354917526</v>
      </c>
      <c r="FF106" s="209">
        <f t="shared" ref="FF106:FK106" si="325">( FF28*FF8 + FF29*FF9 ) / (FF8+FF9)</f>
        <v>1657.0508641094102</v>
      </c>
      <c r="FG106" s="210">
        <f t="shared" si="325"/>
        <v>1689.4774901200165</v>
      </c>
      <c r="FH106" s="208">
        <f t="shared" si="325"/>
        <v>2315.8752753977965</v>
      </c>
      <c r="FI106" s="209">
        <f t="shared" si="325"/>
        <v>1649.8452428748242</v>
      </c>
      <c r="FJ106" s="210">
        <f t="shared" si="325"/>
        <v>1682.505378584231</v>
      </c>
      <c r="FK106" s="208">
        <f t="shared" si="325"/>
        <v>2397.587726296405</v>
      </c>
      <c r="FL106" s="209">
        <f t="shared" ref="FL106:FS106" si="326">( FL28*FL8 + FL29*FL9 ) / (FL8+FL9)</f>
        <v>1711.5787521145214</v>
      </c>
      <c r="FM106" s="210">
        <f t="shared" si="326"/>
        <v>1745.3126584755198</v>
      </c>
      <c r="FN106" s="208">
        <f t="shared" si="326"/>
        <v>2394.2947815123448</v>
      </c>
      <c r="FO106" s="209">
        <f t="shared" si="326"/>
        <v>1707.7620022769411</v>
      </c>
      <c r="FP106" s="210">
        <f t="shared" si="326"/>
        <v>1741.6613175078608</v>
      </c>
      <c r="FQ106" s="208">
        <f t="shared" si="326"/>
        <v>2405.2652583605391</v>
      </c>
      <c r="FR106" s="209">
        <f t="shared" si="326"/>
        <v>1717.344459350368</v>
      </c>
      <c r="FS106" s="210">
        <f t="shared" si="326"/>
        <v>1751.510597635167</v>
      </c>
      <c r="FT106" s="208">
        <f t="shared" ref="FT106:FY106" si="327">( FT28*FT8 + FT29*FT9 ) / (FT8+FT9)</f>
        <v>2400.7176924263476</v>
      </c>
      <c r="FU106" s="209">
        <f t="shared" si="327"/>
        <v>1713.2936738548108</v>
      </c>
      <c r="FV106" s="210">
        <f t="shared" si="327"/>
        <v>1747.5678644999584</v>
      </c>
      <c r="FW106" s="208">
        <f t="shared" si="327"/>
        <v>2391.375611557276</v>
      </c>
      <c r="FX106" s="209">
        <f t="shared" si="327"/>
        <v>1710.5222167319398</v>
      </c>
      <c r="FY106" s="210">
        <f t="shared" si="327"/>
        <v>1744.6714387070456</v>
      </c>
      <c r="FZ106" s="208">
        <f t="shared" ref="FZ106:GB106" si="328">( FZ28*FZ8 + FZ29*FZ9 ) / (FZ8+FZ9)</f>
        <v>2382.6384020066653</v>
      </c>
      <c r="GA106" s="209">
        <f t="shared" si="328"/>
        <v>1705.7566714785164</v>
      </c>
      <c r="GB106" s="210">
        <f t="shared" si="328"/>
        <v>1739.9489869008714</v>
      </c>
      <c r="GC106" s="208">
        <f t="shared" ref="GC106:GE106" si="329">( GC28*GC8 + GC29*GC9 ) / (GC8+GC9)</f>
        <v>2510.3892947025993</v>
      </c>
      <c r="GD106" s="209">
        <f t="shared" si="329"/>
        <v>1795.099473053004</v>
      </c>
      <c r="GE106" s="210">
        <f t="shared" si="329"/>
        <v>1831.4089473833515</v>
      </c>
      <c r="GF106" s="208">
        <f t="shared" ref="GF106:GH106" si="330">( GF28*GF8 + GF29*GF9 ) / (GF8+GF9)</f>
        <v>2512.153969526873</v>
      </c>
      <c r="GG106" s="209">
        <f t="shared" si="330"/>
        <v>1791.4698882412818</v>
      </c>
      <c r="GH106" s="210">
        <f t="shared" si="330"/>
        <v>1828.1498618322255</v>
      </c>
      <c r="GI106" s="208">
        <f t="shared" ref="GI106:GK106" si="331">( GI28*GI8 + GI29*GI9 ) / (GI8+GI9)</f>
        <v>2515.7361697256424</v>
      </c>
      <c r="GJ106" s="209">
        <f t="shared" si="331"/>
        <v>1789.8715570778531</v>
      </c>
      <c r="GK106" s="210">
        <f t="shared" si="331"/>
        <v>1826.9752839993685</v>
      </c>
      <c r="GL106" s="208">
        <f t="shared" ref="GL106:GN106" si="332">( GL28*GL8 + GL29*GL9 ) / (GL8+GL9)</f>
        <v>2549.2721939169428</v>
      </c>
      <c r="GM106" s="209">
        <f t="shared" si="332"/>
        <v>1795.3059423330781</v>
      </c>
      <c r="GN106" s="210">
        <f t="shared" si="332"/>
        <v>1834.0219996573799</v>
      </c>
    </row>
    <row r="107" spans="1:196" x14ac:dyDescent="0.25">
      <c r="A107" s="39" t="s">
        <v>4</v>
      </c>
      <c r="FB107" s="208">
        <f>FB29</f>
        <v>3865.0158847432599</v>
      </c>
      <c r="FC107" s="209">
        <f t="shared" ref="FC107:FD107" si="333">FC29</f>
        <v>3458.2044921327638</v>
      </c>
      <c r="FD107" s="210">
        <f t="shared" si="333"/>
        <v>3505.0235319960038</v>
      </c>
      <c r="FE107" s="208">
        <f>FE29</f>
        <v>3898.9214542747241</v>
      </c>
      <c r="FF107" s="209">
        <f t="shared" ref="FF107:FK107" si="334">FF29</f>
        <v>3493.0909032148602</v>
      </c>
      <c r="FG107" s="210">
        <f t="shared" si="334"/>
        <v>3539.8513371507001</v>
      </c>
      <c r="FH107" s="208">
        <f t="shared" si="334"/>
        <v>3889.830073501932</v>
      </c>
      <c r="FI107" s="209">
        <f t="shared" si="334"/>
        <v>3487.5271188237521</v>
      </c>
      <c r="FJ107" s="210">
        <f t="shared" si="334"/>
        <v>3534.0985426987122</v>
      </c>
      <c r="FK107" s="208">
        <f t="shared" si="334"/>
        <v>4040.0564227947998</v>
      </c>
      <c r="FL107" s="209">
        <f t="shared" ref="FL107:FS107" si="335">FL29</f>
        <v>3627.1940835104961</v>
      </c>
      <c r="FM107" s="210">
        <f t="shared" si="335"/>
        <v>3674.9917840034841</v>
      </c>
      <c r="FN107" s="208">
        <f t="shared" si="335"/>
        <v>4047.5434851260002</v>
      </c>
      <c r="FO107" s="209">
        <f t="shared" si="335"/>
        <v>3632.3809113075799</v>
      </c>
      <c r="FP107" s="210">
        <f t="shared" si="335"/>
        <v>3680.5695602131882</v>
      </c>
      <c r="FQ107" s="208">
        <f t="shared" si="335"/>
        <v>4072.0327494287999</v>
      </c>
      <c r="FR107" s="209">
        <f t="shared" si="335"/>
        <v>3662.7063527915798</v>
      </c>
      <c r="FS107" s="210">
        <f t="shared" si="335"/>
        <v>3710.3754785873721</v>
      </c>
      <c r="FT107" s="208">
        <f t="shared" ref="FT107:FY107" si="336">FT29</f>
        <v>4074.63998977244</v>
      </c>
      <c r="FU107" s="209">
        <f t="shared" si="336"/>
        <v>3664.8697440392398</v>
      </c>
      <c r="FV107" s="210">
        <f t="shared" si="336"/>
        <v>3712.6038050560319</v>
      </c>
      <c r="FW107" s="208">
        <f t="shared" si="336"/>
        <v>4072.9389141721599</v>
      </c>
      <c r="FX107" s="209">
        <f t="shared" si="336"/>
        <v>3667.7104743836239</v>
      </c>
      <c r="FY107" s="210">
        <f t="shared" si="336"/>
        <v>3715.005820303732</v>
      </c>
      <c r="FZ107" s="208">
        <f t="shared" ref="FZ107:GB107" si="337">FZ29</f>
        <v>4070.4448291337999</v>
      </c>
      <c r="GA107" s="209">
        <f t="shared" si="337"/>
        <v>3670.2415312374842</v>
      </c>
      <c r="GB107" s="210">
        <f t="shared" si="337"/>
        <v>3717.1948247329642</v>
      </c>
      <c r="GC107" s="208">
        <f t="shared" ref="GC107:GE107" si="338">GC29</f>
        <v>4279.0156099441201</v>
      </c>
      <c r="GD107" s="209">
        <f t="shared" si="338"/>
        <v>3870.6852053829839</v>
      </c>
      <c r="GE107" s="210">
        <f t="shared" si="338"/>
        <v>3918.837434094904</v>
      </c>
      <c r="GF107" s="208">
        <f t="shared" ref="GF107:GH107" si="339">GF29</f>
        <v>4289.1390488515199</v>
      </c>
      <c r="GG107" s="209">
        <f t="shared" si="339"/>
        <v>3872.5798768394002</v>
      </c>
      <c r="GH107" s="210">
        <f t="shared" si="339"/>
        <v>3921.7566035718119</v>
      </c>
      <c r="GI107" s="208">
        <f t="shared" ref="GI107:GK107" si="340">GI29</f>
        <v>4303.3030342492402</v>
      </c>
      <c r="GJ107" s="209">
        <f t="shared" si="340"/>
        <v>3880.9661621668802</v>
      </c>
      <c r="GK107" s="210">
        <f t="shared" si="340"/>
        <v>3930.86307724262</v>
      </c>
      <c r="GL107" s="208">
        <f t="shared" ref="GL107:GN107" si="341">GL29</f>
        <v>4385.5478977310004</v>
      </c>
      <c r="GM107" s="209">
        <f t="shared" si="341"/>
        <v>3924.2830837220722</v>
      </c>
      <c r="GN107" s="210">
        <f t="shared" si="341"/>
        <v>3978.8237240696799</v>
      </c>
    </row>
    <row r="108" spans="1:196" ht="12" thickBot="1" x14ac:dyDescent="0.3">
      <c r="A108" s="40" t="s">
        <v>5</v>
      </c>
      <c r="FB108" s="211">
        <f>FB30</f>
        <v>3165.45589498154</v>
      </c>
      <c r="FC108" s="212">
        <f t="shared" ref="FC108:FD108" si="342">FC30</f>
        <v>2205.1913037565359</v>
      </c>
      <c r="FD108" s="213">
        <f t="shared" si="342"/>
        <v>2659.7030112156322</v>
      </c>
      <c r="FE108" s="211">
        <f>FE30</f>
        <v>3240.3042473734922</v>
      </c>
      <c r="FF108" s="212">
        <f t="shared" ref="FF108:FK108" si="343">FF30</f>
        <v>2252.0846671263962</v>
      </c>
      <c r="FG108" s="213">
        <f t="shared" si="343"/>
        <v>2719.3232546194122</v>
      </c>
      <c r="FH108" s="211">
        <f t="shared" si="343"/>
        <v>3273.1175685449361</v>
      </c>
      <c r="FI108" s="212">
        <f t="shared" si="343"/>
        <v>2269.209342153008</v>
      </c>
      <c r="FJ108" s="213">
        <f t="shared" si="343"/>
        <v>2743.29903571762</v>
      </c>
      <c r="FK108" s="211">
        <f t="shared" si="343"/>
        <v>3439.040561332572</v>
      </c>
      <c r="FL108" s="212">
        <f t="shared" ref="FL108:FS108" si="344">FL30</f>
        <v>2378.8698272908482</v>
      </c>
      <c r="FM108" s="213">
        <f t="shared" si="344"/>
        <v>2878.9535445207639</v>
      </c>
      <c r="FN108" s="211">
        <f t="shared" si="344"/>
        <v>3470.5534689360802</v>
      </c>
      <c r="FO108" s="212">
        <f t="shared" si="344"/>
        <v>2397.6695969657799</v>
      </c>
      <c r="FP108" s="213">
        <f t="shared" si="344"/>
        <v>2903.45293354876</v>
      </c>
      <c r="FQ108" s="211">
        <f t="shared" si="344"/>
        <v>3543.9532717143079</v>
      </c>
      <c r="FR108" s="212">
        <f t="shared" si="344"/>
        <v>2445.196574037936</v>
      </c>
      <c r="FS108" s="213">
        <f t="shared" si="344"/>
        <v>2962.5019927594039</v>
      </c>
      <c r="FT108" s="211">
        <f t="shared" ref="FT108:FY108" si="345">FT30</f>
        <v>3581.5378738378399</v>
      </c>
      <c r="FU108" s="212">
        <f t="shared" si="345"/>
        <v>2466.6045751414158</v>
      </c>
      <c r="FV108" s="213">
        <f t="shared" si="345"/>
        <v>2990.9572501881639</v>
      </c>
      <c r="FW108" s="211">
        <f t="shared" si="345"/>
        <v>3620.917196458372</v>
      </c>
      <c r="FX108" s="212">
        <f t="shared" si="345"/>
        <v>2491.1588020883801</v>
      </c>
      <c r="FY108" s="213">
        <f t="shared" si="345"/>
        <v>3021.8255019759958</v>
      </c>
      <c r="FZ108" s="211">
        <f t="shared" ref="FZ108:GB108" si="346">FZ30</f>
        <v>3650.1566185249321</v>
      </c>
      <c r="GA108" s="212">
        <f t="shared" si="346"/>
        <v>2505.5939554174038</v>
      </c>
      <c r="GB108" s="213">
        <f t="shared" si="346"/>
        <v>3042.5319232992401</v>
      </c>
      <c r="GC108" s="211">
        <f t="shared" ref="GC108:GE108" si="347">GC30</f>
        <v>3887.2632287656361</v>
      </c>
      <c r="GD108" s="212">
        <f t="shared" si="347"/>
        <v>2665.2710342302439</v>
      </c>
      <c r="GE108" s="213">
        <f t="shared" si="347"/>
        <v>3237.9563152725041</v>
      </c>
      <c r="GF108" s="211">
        <f t="shared" ref="GF108:GH108" si="348">GF30</f>
        <v>3921.8248290414322</v>
      </c>
      <c r="GG108" s="212">
        <f t="shared" si="348"/>
        <v>2683.4166892170479</v>
      </c>
      <c r="GH108" s="213">
        <f t="shared" si="348"/>
        <v>3263.2068842940121</v>
      </c>
      <c r="GI108" s="211">
        <f t="shared" ref="GI108:GK108" si="349">GI30</f>
        <v>3958.8877229800642</v>
      </c>
      <c r="GJ108" s="212">
        <f t="shared" si="349"/>
        <v>2704.6553408916602</v>
      </c>
      <c r="GK108" s="213">
        <f t="shared" si="349"/>
        <v>3291.3202756053679</v>
      </c>
      <c r="GL108" s="211">
        <f t="shared" ref="GL108:GN108" si="350">GL30</f>
        <v>4024.4673438401201</v>
      </c>
      <c r="GM108" s="212">
        <f t="shared" si="350"/>
        <v>2741.5986068111438</v>
      </c>
      <c r="GN108" s="213">
        <f t="shared" si="350"/>
        <v>3340.9234250334039</v>
      </c>
    </row>
    <row r="109" spans="1:196" x14ac:dyDescent="0.25">
      <c r="FN109" s="198"/>
      <c r="FO109" s="198"/>
      <c r="FP109" s="198"/>
      <c r="FQ109" s="198"/>
      <c r="FR109" s="198"/>
      <c r="FS109" s="198"/>
      <c r="FT109" s="198"/>
      <c r="FU109" s="198"/>
      <c r="FV109" s="198"/>
      <c r="FW109" s="198"/>
      <c r="FX109" s="198"/>
      <c r="FY109" s="198"/>
      <c r="FZ109" s="198"/>
      <c r="GA109" s="198"/>
      <c r="GB109" s="198"/>
      <c r="GC109" s="198"/>
      <c r="GD109" s="198"/>
      <c r="GE109" s="198"/>
      <c r="GF109" s="198"/>
      <c r="GG109" s="198"/>
      <c r="GH109" s="198"/>
      <c r="GI109" s="198"/>
      <c r="GJ109" s="198"/>
      <c r="GK109" s="198"/>
      <c r="GL109" s="198"/>
      <c r="GM109" s="198"/>
      <c r="GN109" s="198"/>
    </row>
    <row r="110" spans="1:196" ht="23.5" thickBot="1" x14ac:dyDescent="0.3">
      <c r="A110" s="186" t="s">
        <v>406</v>
      </c>
      <c r="FN110" s="198"/>
      <c r="FO110" s="198"/>
      <c r="FP110" s="198"/>
      <c r="FQ110" s="198"/>
      <c r="FR110" s="198"/>
      <c r="FS110" s="198"/>
      <c r="FT110" s="198"/>
      <c r="FU110" s="198"/>
      <c r="FV110" s="198"/>
      <c r="FW110" s="198"/>
      <c r="FX110" s="198"/>
      <c r="FY110" s="198"/>
      <c r="FZ110" s="198"/>
      <c r="GA110" s="198"/>
      <c r="GB110" s="198"/>
      <c r="GC110" s="198"/>
      <c r="GD110" s="198"/>
      <c r="GE110" s="198"/>
      <c r="GF110" s="198"/>
      <c r="GG110" s="198"/>
      <c r="GH110" s="198"/>
      <c r="GI110" s="198"/>
      <c r="GJ110" s="198"/>
      <c r="GK110" s="198"/>
      <c r="GL110" s="198"/>
      <c r="GM110" s="198"/>
      <c r="GN110" s="198"/>
    </row>
    <row r="111" spans="1:196" x14ac:dyDescent="0.25">
      <c r="A111" s="184"/>
      <c r="FB111" s="433" t="str">
        <f>FB5</f>
        <v>Situation au 31/12/2021</v>
      </c>
      <c r="FC111" s="434"/>
      <c r="FD111" s="435"/>
      <c r="FE111" s="433" t="str">
        <f>FE5</f>
        <v>Situation au 31/03/2022</v>
      </c>
      <c r="FF111" s="434"/>
      <c r="FG111" s="435"/>
      <c r="FH111" s="433" t="str">
        <f>FH5</f>
        <v>Situation au 30/06/2022</v>
      </c>
      <c r="FI111" s="434"/>
      <c r="FJ111" s="435"/>
      <c r="FK111" s="433" t="str">
        <f>FK5</f>
        <v>Situation au 30/09/2022</v>
      </c>
      <c r="FL111" s="434"/>
      <c r="FM111" s="435"/>
      <c r="FN111" s="433" t="str">
        <f t="shared" ref="FN111" si="351">FN5</f>
        <v>Situation au 31/12/2022</v>
      </c>
      <c r="FO111" s="434"/>
      <c r="FP111" s="435"/>
      <c r="FQ111" s="433" t="str">
        <f t="shared" ref="FQ111" si="352">FQ5</f>
        <v>Situation au 31/03/2023</v>
      </c>
      <c r="FR111" s="434"/>
      <c r="FS111" s="435"/>
      <c r="FT111" s="433" t="str">
        <f t="shared" ref="FT111" si="353">FT5</f>
        <v>Situation au 30/06/2023</v>
      </c>
      <c r="FU111" s="434"/>
      <c r="FV111" s="435"/>
      <c r="FW111" s="433" t="str">
        <f t="shared" ref="FW111" si="354">FW5</f>
        <v>Situation au 30/09/2023</v>
      </c>
      <c r="FX111" s="434"/>
      <c r="FY111" s="435"/>
      <c r="FZ111" s="433" t="str">
        <f t="shared" ref="FZ111" si="355">FZ5</f>
        <v>Situation au 31/12/2023</v>
      </c>
      <c r="GA111" s="434"/>
      <c r="GB111" s="435"/>
      <c r="GC111" s="433" t="str">
        <f t="shared" ref="GC111" si="356">GC5</f>
        <v>Situation au 31/03/2024</v>
      </c>
      <c r="GD111" s="434"/>
      <c r="GE111" s="435"/>
      <c r="GF111" s="433" t="str">
        <f t="shared" ref="GF111" si="357">GF5</f>
        <v>Situation au 30/06/2024</v>
      </c>
      <c r="GG111" s="434"/>
      <c r="GH111" s="435"/>
      <c r="GI111" s="433" t="str">
        <f t="shared" ref="GI111" si="358">GI5</f>
        <v>Situation au 30/09/2024</v>
      </c>
      <c r="GJ111" s="434"/>
      <c r="GK111" s="435"/>
      <c r="GL111" s="433" t="str">
        <f t="shared" ref="GL111" si="359">GL5</f>
        <v>Situation au 31/12/2024</v>
      </c>
      <c r="GM111" s="434"/>
      <c r="GN111" s="435"/>
    </row>
    <row r="112" spans="1:196" ht="12" thickBot="1" x14ac:dyDescent="0.3">
      <c r="A112" s="3"/>
      <c r="FB112" s="199" t="s">
        <v>0</v>
      </c>
      <c r="FC112" s="200" t="s">
        <v>1</v>
      </c>
      <c r="FD112" s="201" t="s">
        <v>5</v>
      </c>
      <c r="FE112" s="199" t="s">
        <v>0</v>
      </c>
      <c r="FF112" s="200" t="s">
        <v>1</v>
      </c>
      <c r="FG112" s="201" t="s">
        <v>5</v>
      </c>
      <c r="FH112" s="199" t="s">
        <v>0</v>
      </c>
      <c r="FI112" s="200" t="s">
        <v>1</v>
      </c>
      <c r="FJ112" s="201" t="s">
        <v>5</v>
      </c>
      <c r="FK112" s="199" t="s">
        <v>0</v>
      </c>
      <c r="FL112" s="200" t="s">
        <v>1</v>
      </c>
      <c r="FM112" s="201" t="s">
        <v>5</v>
      </c>
      <c r="FN112" s="199" t="s">
        <v>0</v>
      </c>
      <c r="FO112" s="200" t="s">
        <v>1</v>
      </c>
      <c r="FP112" s="201" t="s">
        <v>5</v>
      </c>
      <c r="FQ112" s="199" t="s">
        <v>0</v>
      </c>
      <c r="FR112" s="200" t="s">
        <v>1</v>
      </c>
      <c r="FS112" s="201" t="s">
        <v>5</v>
      </c>
      <c r="FT112" s="199" t="s">
        <v>0</v>
      </c>
      <c r="FU112" s="200" t="s">
        <v>1</v>
      </c>
      <c r="FV112" s="201" t="s">
        <v>5</v>
      </c>
      <c r="FW112" s="199" t="s">
        <v>0</v>
      </c>
      <c r="FX112" s="200" t="s">
        <v>1</v>
      </c>
      <c r="FY112" s="201" t="s">
        <v>5</v>
      </c>
      <c r="FZ112" s="199" t="s">
        <v>0</v>
      </c>
      <c r="GA112" s="200" t="s">
        <v>1</v>
      </c>
      <c r="GB112" s="201" t="s">
        <v>5</v>
      </c>
      <c r="GC112" s="199" t="s">
        <v>0</v>
      </c>
      <c r="GD112" s="200" t="s">
        <v>1</v>
      </c>
      <c r="GE112" s="201" t="s">
        <v>5</v>
      </c>
      <c r="GF112" s="199" t="s">
        <v>0</v>
      </c>
      <c r="GG112" s="200" t="s">
        <v>1</v>
      </c>
      <c r="GH112" s="201" t="s">
        <v>5</v>
      </c>
      <c r="GI112" s="199" t="s">
        <v>0</v>
      </c>
      <c r="GJ112" s="200" t="s">
        <v>1</v>
      </c>
      <c r="GK112" s="201" t="s">
        <v>5</v>
      </c>
      <c r="GL112" s="199" t="s">
        <v>0</v>
      </c>
      <c r="GM112" s="200" t="s">
        <v>1</v>
      </c>
      <c r="GN112" s="201" t="s">
        <v>5</v>
      </c>
    </row>
    <row r="113" spans="1:196" x14ac:dyDescent="0.25">
      <c r="A113" s="38" t="s">
        <v>403</v>
      </c>
      <c r="FB113" s="202">
        <f>FB53+FB54</f>
        <v>76614</v>
      </c>
      <c r="FC113" s="203">
        <f t="shared" ref="FC113:FD113" si="360">FC53+FC54</f>
        <v>48664</v>
      </c>
      <c r="FD113" s="204">
        <f t="shared" si="360"/>
        <v>125278</v>
      </c>
      <c r="FE113" s="202">
        <f>FE53+FE54</f>
        <v>76614</v>
      </c>
      <c r="FF113" s="203">
        <f t="shared" ref="FF113:FG113" si="361">FF53+FF54</f>
        <v>48664</v>
      </c>
      <c r="FG113" s="204">
        <f t="shared" si="361"/>
        <v>125278</v>
      </c>
      <c r="FH113" s="202">
        <f>FH53+FH54</f>
        <v>77921</v>
      </c>
      <c r="FI113" s="203">
        <f t="shared" ref="FI113:FJ113" si="362">FI53+FI54</f>
        <v>50152</v>
      </c>
      <c r="FJ113" s="204">
        <f t="shared" si="362"/>
        <v>128073</v>
      </c>
      <c r="FK113" s="202">
        <f>FK53+FK54</f>
        <v>79351</v>
      </c>
      <c r="FL113" s="203">
        <f t="shared" ref="FL113:FN113" si="363">FL53+FL54</f>
        <v>51643</v>
      </c>
      <c r="FM113" s="204">
        <f t="shared" si="363"/>
        <v>130994</v>
      </c>
      <c r="FN113" s="202">
        <f t="shared" si="363"/>
        <v>80325</v>
      </c>
      <c r="FO113" s="203">
        <f t="shared" ref="FO113:FY113" si="364">FO53+FO54</f>
        <v>52844</v>
      </c>
      <c r="FP113" s="204">
        <f t="shared" si="364"/>
        <v>133169</v>
      </c>
      <c r="FQ113" s="202">
        <f t="shared" si="364"/>
        <v>81853</v>
      </c>
      <c r="FR113" s="203">
        <f t="shared" si="364"/>
        <v>54752</v>
      </c>
      <c r="FS113" s="204">
        <f t="shared" si="364"/>
        <v>136605</v>
      </c>
      <c r="FT113" s="202">
        <f t="shared" si="364"/>
        <v>83256</v>
      </c>
      <c r="FU113" s="203">
        <f t="shared" si="364"/>
        <v>56217</v>
      </c>
      <c r="FV113" s="204">
        <f t="shared" si="364"/>
        <v>139473</v>
      </c>
      <c r="FW113" s="202">
        <f t="shared" si="364"/>
        <v>84641</v>
      </c>
      <c r="FX113" s="203">
        <f t="shared" si="364"/>
        <v>57785</v>
      </c>
      <c r="FY113" s="204">
        <f t="shared" si="364"/>
        <v>142426</v>
      </c>
      <c r="FZ113" s="202">
        <f t="shared" ref="FZ113:GB113" si="365">FZ53+FZ54</f>
        <v>85253</v>
      </c>
      <c r="GA113" s="203">
        <f t="shared" si="365"/>
        <v>58430</v>
      </c>
      <c r="GB113" s="204">
        <f t="shared" si="365"/>
        <v>143683</v>
      </c>
      <c r="GC113" s="202">
        <f t="shared" ref="GC113:GE113" si="366">GC53+GC54</f>
        <v>86365</v>
      </c>
      <c r="GD113" s="203">
        <f t="shared" si="366"/>
        <v>59854</v>
      </c>
      <c r="GE113" s="204">
        <f t="shared" si="366"/>
        <v>146219</v>
      </c>
      <c r="GF113" s="202">
        <f t="shared" ref="GF113:GH113" si="367">GF53+GF54</f>
        <v>87330</v>
      </c>
      <c r="GG113" s="203">
        <f t="shared" si="367"/>
        <v>60874</v>
      </c>
      <c r="GH113" s="204">
        <f t="shared" si="367"/>
        <v>148204</v>
      </c>
      <c r="GI113" s="202">
        <f t="shared" ref="GI113:GK113" si="368">GI53+GI54</f>
        <v>88512</v>
      </c>
      <c r="GJ113" s="203">
        <f t="shared" si="368"/>
        <v>62204</v>
      </c>
      <c r="GK113" s="204">
        <f t="shared" si="368"/>
        <v>150716</v>
      </c>
      <c r="GL113" s="202">
        <f t="shared" ref="GL113:GN113" si="369">GL53+GL54</f>
        <v>89421</v>
      </c>
      <c r="GM113" s="203">
        <f t="shared" si="369"/>
        <v>63250</v>
      </c>
      <c r="GN113" s="204">
        <f t="shared" si="369"/>
        <v>152671</v>
      </c>
    </row>
    <row r="114" spans="1:196" x14ac:dyDescent="0.25">
      <c r="A114" s="39" t="s">
        <v>4</v>
      </c>
      <c r="FB114" s="202">
        <f>FB54</f>
        <v>1174</v>
      </c>
      <c r="FC114" s="203">
        <f t="shared" ref="FC114:FD114" si="370">FC54</f>
        <v>1975</v>
      </c>
      <c r="FD114" s="204">
        <f t="shared" si="370"/>
        <v>3149</v>
      </c>
      <c r="FE114" s="202">
        <f>FE54</f>
        <v>1174</v>
      </c>
      <c r="FF114" s="203">
        <f t="shared" ref="FF114:FG114" si="371">FF54</f>
        <v>1975</v>
      </c>
      <c r="FG114" s="204">
        <f t="shared" si="371"/>
        <v>3149</v>
      </c>
      <c r="FH114" s="202">
        <f>FH54</f>
        <v>1156</v>
      </c>
      <c r="FI114" s="203">
        <f t="shared" ref="FI114:FJ114" si="372">FI54</f>
        <v>2030</v>
      </c>
      <c r="FJ114" s="204">
        <f t="shared" si="372"/>
        <v>3186</v>
      </c>
      <c r="FK114" s="202">
        <f>FK54</f>
        <v>1154</v>
      </c>
      <c r="FL114" s="203">
        <f t="shared" ref="FL114:FN114" si="373">FL54</f>
        <v>2071</v>
      </c>
      <c r="FM114" s="204">
        <f t="shared" si="373"/>
        <v>3225</v>
      </c>
      <c r="FN114" s="202">
        <f t="shared" si="373"/>
        <v>1149</v>
      </c>
      <c r="FO114" s="203">
        <f t="shared" ref="FO114:FY114" si="374">FO54</f>
        <v>2120</v>
      </c>
      <c r="FP114" s="204">
        <f t="shared" si="374"/>
        <v>3269</v>
      </c>
      <c r="FQ114" s="202">
        <f t="shared" si="374"/>
        <v>1131</v>
      </c>
      <c r="FR114" s="203">
        <f t="shared" si="374"/>
        <v>2171</v>
      </c>
      <c r="FS114" s="204">
        <f t="shared" si="374"/>
        <v>3302</v>
      </c>
      <c r="FT114" s="202">
        <f t="shared" si="374"/>
        <v>1124</v>
      </c>
      <c r="FU114" s="203">
        <f t="shared" si="374"/>
        <v>2224</v>
      </c>
      <c r="FV114" s="204">
        <f t="shared" si="374"/>
        <v>3348</v>
      </c>
      <c r="FW114" s="202">
        <f t="shared" si="374"/>
        <v>1118</v>
      </c>
      <c r="FX114" s="203">
        <f t="shared" si="374"/>
        <v>2280</v>
      </c>
      <c r="FY114" s="204">
        <f t="shared" si="374"/>
        <v>3398</v>
      </c>
      <c r="FZ114" s="202">
        <f t="shared" ref="FZ114:GB114" si="375">FZ54</f>
        <v>1125</v>
      </c>
      <c r="GA114" s="203">
        <f t="shared" si="375"/>
        <v>2310</v>
      </c>
      <c r="GB114" s="204">
        <f t="shared" si="375"/>
        <v>3435</v>
      </c>
      <c r="GC114" s="202">
        <f t="shared" ref="GC114:GE114" si="376">GC54</f>
        <v>1109</v>
      </c>
      <c r="GD114" s="203">
        <f t="shared" si="376"/>
        <v>2389</v>
      </c>
      <c r="GE114" s="204">
        <f t="shared" si="376"/>
        <v>3498</v>
      </c>
      <c r="GF114" s="202">
        <f t="shared" ref="GF114:GH114" si="377">GF54</f>
        <v>1106</v>
      </c>
      <c r="GG114" s="203">
        <f t="shared" si="377"/>
        <v>2436</v>
      </c>
      <c r="GH114" s="204">
        <f t="shared" si="377"/>
        <v>3542</v>
      </c>
      <c r="GI114" s="202">
        <f t="shared" ref="GI114:GK114" si="378">GI54</f>
        <v>1108</v>
      </c>
      <c r="GJ114" s="203">
        <f t="shared" si="378"/>
        <v>2497</v>
      </c>
      <c r="GK114" s="204">
        <f t="shared" si="378"/>
        <v>3605</v>
      </c>
      <c r="GL114" s="202">
        <f t="shared" ref="GL114:GN114" si="379">GL54</f>
        <v>1103</v>
      </c>
      <c r="GM114" s="203">
        <f t="shared" si="379"/>
        <v>2550</v>
      </c>
      <c r="GN114" s="204">
        <f t="shared" si="379"/>
        <v>3653</v>
      </c>
    </row>
    <row r="115" spans="1:196" ht="12" thickBot="1" x14ac:dyDescent="0.3">
      <c r="A115" s="40" t="s">
        <v>5</v>
      </c>
      <c r="FB115" s="205">
        <f>FB55</f>
        <v>76614</v>
      </c>
      <c r="FC115" s="206">
        <f t="shared" ref="FC115:FD115" si="380">FC55</f>
        <v>48664</v>
      </c>
      <c r="FD115" s="207">
        <f t="shared" si="380"/>
        <v>125278</v>
      </c>
      <c r="FE115" s="205">
        <f>FE55</f>
        <v>76614</v>
      </c>
      <c r="FF115" s="206">
        <f t="shared" ref="FF115:FG115" si="381">FF55</f>
        <v>48664</v>
      </c>
      <c r="FG115" s="207">
        <f t="shared" si="381"/>
        <v>125278</v>
      </c>
      <c r="FH115" s="205">
        <f>FH55</f>
        <v>77921</v>
      </c>
      <c r="FI115" s="206">
        <f t="shared" ref="FI115:FJ115" si="382">FI55</f>
        <v>50152</v>
      </c>
      <c r="FJ115" s="207">
        <f t="shared" si="382"/>
        <v>128073</v>
      </c>
      <c r="FK115" s="205">
        <f>FK55</f>
        <v>79351</v>
      </c>
      <c r="FL115" s="206">
        <f t="shared" ref="FL115:FN115" si="383">FL55</f>
        <v>51643</v>
      </c>
      <c r="FM115" s="207">
        <f t="shared" si="383"/>
        <v>130994</v>
      </c>
      <c r="FN115" s="205">
        <f t="shared" si="383"/>
        <v>80325</v>
      </c>
      <c r="FO115" s="206">
        <f t="shared" ref="FO115:FY115" si="384">FO55</f>
        <v>52844</v>
      </c>
      <c r="FP115" s="207">
        <f t="shared" si="384"/>
        <v>133169</v>
      </c>
      <c r="FQ115" s="205">
        <f t="shared" si="384"/>
        <v>81853</v>
      </c>
      <c r="FR115" s="206">
        <f t="shared" si="384"/>
        <v>54752</v>
      </c>
      <c r="FS115" s="207">
        <f t="shared" si="384"/>
        <v>136605</v>
      </c>
      <c r="FT115" s="205">
        <f t="shared" si="384"/>
        <v>83256</v>
      </c>
      <c r="FU115" s="206">
        <f t="shared" si="384"/>
        <v>56217</v>
      </c>
      <c r="FV115" s="207">
        <f t="shared" si="384"/>
        <v>139473</v>
      </c>
      <c r="FW115" s="205">
        <f t="shared" si="384"/>
        <v>84641</v>
      </c>
      <c r="FX115" s="206">
        <f t="shared" si="384"/>
        <v>57785</v>
      </c>
      <c r="FY115" s="207">
        <f t="shared" si="384"/>
        <v>142426</v>
      </c>
      <c r="FZ115" s="205">
        <f t="shared" ref="FZ115:GB115" si="385">FZ55</f>
        <v>85253</v>
      </c>
      <c r="GA115" s="206">
        <f t="shared" si="385"/>
        <v>58430</v>
      </c>
      <c r="GB115" s="207">
        <f t="shared" si="385"/>
        <v>143683</v>
      </c>
      <c r="GC115" s="205">
        <f t="shared" ref="GC115:GE115" si="386">GC55</f>
        <v>86365</v>
      </c>
      <c r="GD115" s="206">
        <f t="shared" si="386"/>
        <v>59854</v>
      </c>
      <c r="GE115" s="207">
        <f t="shared" si="386"/>
        <v>146219</v>
      </c>
      <c r="GF115" s="205">
        <f t="shared" ref="GF115:GH115" si="387">GF55</f>
        <v>87330</v>
      </c>
      <c r="GG115" s="206">
        <f t="shared" si="387"/>
        <v>60874</v>
      </c>
      <c r="GH115" s="207">
        <f t="shared" si="387"/>
        <v>148204</v>
      </c>
      <c r="GI115" s="205">
        <f t="shared" ref="GI115:GK115" si="388">GI55</f>
        <v>88512</v>
      </c>
      <c r="GJ115" s="206">
        <f t="shared" si="388"/>
        <v>62204</v>
      </c>
      <c r="GK115" s="207">
        <f t="shared" si="388"/>
        <v>150716</v>
      </c>
      <c r="GL115" s="205">
        <f t="shared" ref="GL115:GN115" si="389">GL55</f>
        <v>89421</v>
      </c>
      <c r="GM115" s="206">
        <f t="shared" si="389"/>
        <v>63250</v>
      </c>
      <c r="GN115" s="207">
        <f t="shared" si="389"/>
        <v>152671</v>
      </c>
    </row>
    <row r="116" spans="1:196" x14ac:dyDescent="0.25">
      <c r="FN116" s="198"/>
      <c r="FO116" s="198"/>
      <c r="FP116" s="198"/>
      <c r="FQ116" s="198"/>
      <c r="FR116" s="198"/>
      <c r="FS116" s="198"/>
      <c r="FT116" s="198"/>
      <c r="FU116" s="198"/>
      <c r="FV116" s="198"/>
      <c r="FW116" s="198"/>
      <c r="FX116" s="198"/>
      <c r="FY116" s="198"/>
      <c r="FZ116" s="198"/>
      <c r="GA116" s="198"/>
      <c r="GB116" s="198"/>
      <c r="GC116" s="198"/>
      <c r="GD116" s="198"/>
      <c r="GE116" s="198"/>
      <c r="GF116" s="198"/>
      <c r="GG116" s="198"/>
      <c r="GH116" s="198"/>
      <c r="GI116" s="198"/>
      <c r="GJ116" s="198"/>
      <c r="GK116" s="198"/>
      <c r="GL116" s="198"/>
      <c r="GM116" s="198"/>
      <c r="GN116" s="198"/>
    </row>
    <row r="117" spans="1:196" ht="27" customHeight="1" thickBot="1" x14ac:dyDescent="0.3">
      <c r="A117" s="186" t="s">
        <v>407</v>
      </c>
      <c r="FN117" s="198"/>
      <c r="FO117" s="198"/>
      <c r="FP117" s="198"/>
      <c r="FQ117" s="198"/>
      <c r="FR117" s="198"/>
      <c r="FS117" s="198"/>
      <c r="FT117" s="198"/>
      <c r="FU117" s="198"/>
      <c r="FV117" s="198"/>
      <c r="FW117" s="198"/>
      <c r="FX117" s="198"/>
      <c r="FY117" s="198"/>
      <c r="FZ117" s="198"/>
      <c r="GA117" s="198"/>
      <c r="GB117" s="198"/>
      <c r="GC117" s="198"/>
      <c r="GD117" s="198"/>
      <c r="GE117" s="198"/>
      <c r="GF117" s="198"/>
      <c r="GG117" s="198"/>
      <c r="GH117" s="198"/>
      <c r="GI117" s="198"/>
      <c r="GJ117" s="198"/>
      <c r="GK117" s="198"/>
      <c r="GL117" s="198"/>
      <c r="GM117" s="198"/>
      <c r="GN117" s="198"/>
    </row>
    <row r="118" spans="1:196" x14ac:dyDescent="0.25">
      <c r="A118" s="14" t="s">
        <v>28</v>
      </c>
      <c r="FB118" s="433" t="str">
        <f>FB5</f>
        <v>Situation au 31/12/2021</v>
      </c>
      <c r="FC118" s="434"/>
      <c r="FD118" s="435"/>
      <c r="FE118" s="433" t="str">
        <f t="shared" ref="FE118" si="390">FE5</f>
        <v>Situation au 31/03/2022</v>
      </c>
      <c r="FF118" s="434"/>
      <c r="FG118" s="435"/>
      <c r="FH118" s="433" t="str">
        <f t="shared" ref="FH118" si="391">FH5</f>
        <v>Situation au 30/06/2022</v>
      </c>
      <c r="FI118" s="434"/>
      <c r="FJ118" s="435"/>
      <c r="FK118" s="433" t="str">
        <f t="shared" ref="FK118" si="392">FK5</f>
        <v>Situation au 30/09/2022</v>
      </c>
      <c r="FL118" s="434"/>
      <c r="FM118" s="435"/>
      <c r="FN118" s="433" t="str">
        <f t="shared" ref="FN118" si="393">FN5</f>
        <v>Situation au 31/12/2022</v>
      </c>
      <c r="FO118" s="434"/>
      <c r="FP118" s="435"/>
      <c r="FQ118" s="433" t="str">
        <f t="shared" ref="FQ118" si="394">FQ5</f>
        <v>Situation au 31/03/2023</v>
      </c>
      <c r="FR118" s="434"/>
      <c r="FS118" s="435"/>
      <c r="FT118" s="433" t="str">
        <f t="shared" ref="FT118" si="395">FT5</f>
        <v>Situation au 30/06/2023</v>
      </c>
      <c r="FU118" s="434"/>
      <c r="FV118" s="435"/>
      <c r="FW118" s="433" t="str">
        <f t="shared" ref="FW118" si="396">FW5</f>
        <v>Situation au 30/09/2023</v>
      </c>
      <c r="FX118" s="434"/>
      <c r="FY118" s="435"/>
      <c r="FZ118" s="433" t="str">
        <f t="shared" ref="FZ118" si="397">FZ5</f>
        <v>Situation au 31/12/2023</v>
      </c>
      <c r="GA118" s="434"/>
      <c r="GB118" s="435"/>
      <c r="GC118" s="433" t="str">
        <f t="shared" ref="GC118" si="398">GC5</f>
        <v>Situation au 31/03/2024</v>
      </c>
      <c r="GD118" s="434"/>
      <c r="GE118" s="435"/>
      <c r="GF118" s="433" t="str">
        <f t="shared" ref="GF118" si="399">GF5</f>
        <v>Situation au 30/06/2024</v>
      </c>
      <c r="GG118" s="434"/>
      <c r="GH118" s="435"/>
      <c r="GI118" s="433" t="str">
        <f t="shared" ref="GI118" si="400">GI5</f>
        <v>Situation au 30/09/2024</v>
      </c>
      <c r="GJ118" s="434"/>
      <c r="GK118" s="435"/>
      <c r="GL118" s="433" t="str">
        <f t="shared" ref="GL118" si="401">GL5</f>
        <v>Situation au 31/12/2024</v>
      </c>
      <c r="GM118" s="434"/>
      <c r="GN118" s="435"/>
    </row>
    <row r="119" spans="1:196" ht="12" thickBot="1" x14ac:dyDescent="0.3">
      <c r="A119" s="3"/>
      <c r="FB119" s="199" t="s">
        <v>0</v>
      </c>
      <c r="FC119" s="200" t="s">
        <v>1</v>
      </c>
      <c r="FD119" s="201" t="s">
        <v>5</v>
      </c>
      <c r="FE119" s="199" t="s">
        <v>0</v>
      </c>
      <c r="FF119" s="200" t="s">
        <v>1</v>
      </c>
      <c r="FG119" s="201" t="s">
        <v>5</v>
      </c>
      <c r="FH119" s="199" t="s">
        <v>0</v>
      </c>
      <c r="FI119" s="200" t="s">
        <v>1</v>
      </c>
      <c r="FJ119" s="201" t="s">
        <v>5</v>
      </c>
      <c r="FK119" s="199" t="s">
        <v>0</v>
      </c>
      <c r="FL119" s="200" t="s">
        <v>1</v>
      </c>
      <c r="FM119" s="201" t="s">
        <v>5</v>
      </c>
      <c r="FN119" s="199" t="s">
        <v>0</v>
      </c>
      <c r="FO119" s="200" t="s">
        <v>1</v>
      </c>
      <c r="FP119" s="201" t="s">
        <v>5</v>
      </c>
      <c r="FQ119" s="199" t="s">
        <v>0</v>
      </c>
      <c r="FR119" s="200" t="s">
        <v>1</v>
      </c>
      <c r="FS119" s="201" t="s">
        <v>5</v>
      </c>
      <c r="FT119" s="199" t="s">
        <v>0</v>
      </c>
      <c r="FU119" s="200" t="s">
        <v>1</v>
      </c>
      <c r="FV119" s="201" t="s">
        <v>5</v>
      </c>
      <c r="FW119" s="199" t="s">
        <v>0</v>
      </c>
      <c r="FX119" s="200" t="s">
        <v>1</v>
      </c>
      <c r="FY119" s="201" t="s">
        <v>5</v>
      </c>
      <c r="FZ119" s="199" t="s">
        <v>0</v>
      </c>
      <c r="GA119" s="200" t="s">
        <v>1</v>
      </c>
      <c r="GB119" s="201" t="s">
        <v>5</v>
      </c>
      <c r="GC119" s="199" t="s">
        <v>0</v>
      </c>
      <c r="GD119" s="200" t="s">
        <v>1</v>
      </c>
      <c r="GE119" s="201" t="s">
        <v>5</v>
      </c>
      <c r="GF119" s="199" t="s">
        <v>0</v>
      </c>
      <c r="GG119" s="200" t="s">
        <v>1</v>
      </c>
      <c r="GH119" s="201" t="s">
        <v>5</v>
      </c>
      <c r="GI119" s="199" t="s">
        <v>0</v>
      </c>
      <c r="GJ119" s="200" t="s">
        <v>1</v>
      </c>
      <c r="GK119" s="201" t="s">
        <v>5</v>
      </c>
      <c r="GL119" s="199" t="s">
        <v>0</v>
      </c>
      <c r="GM119" s="200" t="s">
        <v>1</v>
      </c>
      <c r="GN119" s="201" t="s">
        <v>5</v>
      </c>
    </row>
    <row r="120" spans="1:196" x14ac:dyDescent="0.25">
      <c r="A120" s="38" t="s">
        <v>403</v>
      </c>
      <c r="FB120" s="208">
        <f xml:space="preserve"> (FB61*FB53 + FB62*FB54) / (FB53+FB54)</f>
        <v>13820.094447490021</v>
      </c>
      <c r="FC120" s="209">
        <f t="shared" ref="FC120:FE120" si="402" xml:space="preserve"> (FC61*FC53 + FC62*FC54) / (FC53+FC54)</f>
        <v>13082.035508795007</v>
      </c>
      <c r="FD120" s="210">
        <f t="shared" si="402"/>
        <v>13533.396861380306</v>
      </c>
      <c r="FE120" s="208">
        <f t="shared" si="402"/>
        <v>13820.094447490021</v>
      </c>
      <c r="FF120" s="209">
        <f t="shared" ref="FF120:FM120" si="403" xml:space="preserve"> (FF61*FF53 + FF62*FF54) / (FF53+FF54)</f>
        <v>13082.035508795007</v>
      </c>
      <c r="FG120" s="210">
        <f t="shared" si="403"/>
        <v>13533.396861380306</v>
      </c>
      <c r="FH120" s="208">
        <f t="shared" si="403"/>
        <v>13863.349597669447</v>
      </c>
      <c r="FI120" s="209">
        <f t="shared" si="403"/>
        <v>13080.926064763134</v>
      </c>
      <c r="FJ120" s="210">
        <f t="shared" si="403"/>
        <v>13556.961014421464</v>
      </c>
      <c r="FK120" s="208">
        <f t="shared" si="403"/>
        <v>14449.84965532887</v>
      </c>
      <c r="FL120" s="209">
        <f t="shared" si="403"/>
        <v>13585.513544914113</v>
      </c>
      <c r="FM120" s="210">
        <f t="shared" si="403"/>
        <v>14109.094279127305</v>
      </c>
      <c r="FN120" s="208">
        <f t="shared" ref="FN120:FY120" si="404" xml:space="preserve"> (FN61*FN53 + FN62*FN54) / (FN53+FN54)</f>
        <v>14490.055848117028</v>
      </c>
      <c r="FO120" s="209">
        <f t="shared" si="404"/>
        <v>13590.953220800855</v>
      </c>
      <c r="FP120" s="210">
        <f t="shared" si="404"/>
        <v>14133.27477115544</v>
      </c>
      <c r="FQ120" s="208">
        <f t="shared" si="404"/>
        <v>14657.842082758121</v>
      </c>
      <c r="FR120" s="209">
        <f t="shared" si="404"/>
        <v>13699.958211572164</v>
      </c>
      <c r="FS120" s="210">
        <f t="shared" si="404"/>
        <v>14273.917206544404</v>
      </c>
      <c r="FT120" s="208">
        <f t="shared" si="404"/>
        <v>14690.235082156261</v>
      </c>
      <c r="FU120" s="209">
        <f t="shared" si="404"/>
        <v>13697.528363306477</v>
      </c>
      <c r="FV120" s="210">
        <f t="shared" si="404"/>
        <v>14290.107504678315</v>
      </c>
      <c r="FW120" s="208">
        <f t="shared" si="404"/>
        <v>14734.540990772815</v>
      </c>
      <c r="FX120" s="209">
        <f t="shared" si="404"/>
        <v>13709.541714977937</v>
      </c>
      <c r="FY120" s="210">
        <f t="shared" si="404"/>
        <v>14318.678836729237</v>
      </c>
      <c r="FZ120" s="208">
        <f t="shared" ref="FZ120:GB120" si="405" xml:space="preserve"> (FZ61*FZ53 + FZ62*FZ54) / (FZ53+FZ54)</f>
        <v>14763.913809484693</v>
      </c>
      <c r="GA120" s="209">
        <f t="shared" si="405"/>
        <v>13731.675166866353</v>
      </c>
      <c r="GB120" s="210">
        <f t="shared" si="405"/>
        <v>14344.144568250944</v>
      </c>
      <c r="GC120" s="208">
        <f t="shared" ref="GC120:GE120" si="406" xml:space="preserve"> (GC61*GC53 + GC62*GC54) / (GC53+GC54)</f>
        <v>15592.962380594001</v>
      </c>
      <c r="GD120" s="209">
        <f t="shared" si="406"/>
        <v>14471.579710629196</v>
      </c>
      <c r="GE120" s="210">
        <f t="shared" si="406"/>
        <v>15133.930118520859</v>
      </c>
      <c r="GF120" s="208">
        <f t="shared" ref="GF120:GH120" si="407" xml:space="preserve"> (GF61*GF53 + GF62*GF54) / (GF53+GF54)</f>
        <v>15626.745402496286</v>
      </c>
      <c r="GG120" s="209">
        <f t="shared" si="407"/>
        <v>14488.090679107656</v>
      </c>
      <c r="GH120" s="210">
        <f t="shared" si="407"/>
        <v>15159.049067501552</v>
      </c>
      <c r="GI120" s="208">
        <f t="shared" ref="GI120:GK120" si="408" xml:space="preserve"> (GI61*GI53 + GI62*GI54) / (GI53+GI54)</f>
        <v>15653.83134490241</v>
      </c>
      <c r="GJ120" s="209">
        <f t="shared" si="408"/>
        <v>14483.400938846384</v>
      </c>
      <c r="GK120" s="210">
        <f t="shared" si="408"/>
        <v>15170.767483213454</v>
      </c>
      <c r="GL120" s="208">
        <f t="shared" ref="GL120:GN120" si="409" xml:space="preserve"> (GL61*GL53 + GL62*GL54) / (GL53+GL54)</f>
        <v>15732.601022131277</v>
      </c>
      <c r="GM120" s="209">
        <f t="shared" si="409"/>
        <v>14536.642529644254</v>
      </c>
      <c r="GN120" s="210">
        <f t="shared" si="409"/>
        <v>15237.127915583198</v>
      </c>
    </row>
    <row r="121" spans="1:196" x14ac:dyDescent="0.25">
      <c r="A121" s="39" t="s">
        <v>4</v>
      </c>
      <c r="FB121" s="208">
        <f>FB62</f>
        <v>11801.863713798961</v>
      </c>
      <c r="FC121" s="209">
        <f t="shared" ref="FC121:FE121" si="410">FC62</f>
        <v>12019.914936708879</v>
      </c>
      <c r="FD121" s="210">
        <f t="shared" si="410"/>
        <v>11938.62178469356</v>
      </c>
      <c r="FE121" s="208">
        <f t="shared" si="410"/>
        <v>11801.863713798961</v>
      </c>
      <c r="FF121" s="209">
        <f t="shared" ref="FF121:FM121" si="411">FF62</f>
        <v>12019.914936708879</v>
      </c>
      <c r="FG121" s="210">
        <f t="shared" si="411"/>
        <v>11938.62178469356</v>
      </c>
      <c r="FH121" s="208">
        <f t="shared" si="411"/>
        <v>11802.26989619376</v>
      </c>
      <c r="FI121" s="209">
        <f t="shared" si="411"/>
        <v>12034.602955665039</v>
      </c>
      <c r="FJ121" s="210">
        <f t="shared" si="411"/>
        <v>11950.303829253</v>
      </c>
      <c r="FK121" s="208">
        <f t="shared" si="411"/>
        <v>12272.932409012121</v>
      </c>
      <c r="FL121" s="209">
        <f t="shared" si="411"/>
        <v>12500.29357798164</v>
      </c>
      <c r="FM121" s="210">
        <f t="shared" si="411"/>
        <v>12418.937054263561</v>
      </c>
      <c r="FN121" s="208">
        <f t="shared" ref="FN121:FY121" si="412">FN62</f>
        <v>12312.4177545692</v>
      </c>
      <c r="FO121" s="209">
        <f t="shared" si="412"/>
        <v>12506.839622641521</v>
      </c>
      <c r="FP121" s="210">
        <f t="shared" si="412"/>
        <v>12438.5035178954</v>
      </c>
      <c r="FQ121" s="208">
        <f t="shared" si="412"/>
        <v>12448.06012378428</v>
      </c>
      <c r="FR121" s="209">
        <f t="shared" si="412"/>
        <v>12566.55181943804</v>
      </c>
      <c r="FS121" s="210">
        <f t="shared" si="412"/>
        <v>12525.96608116292</v>
      </c>
      <c r="FT121" s="208">
        <f t="shared" si="412"/>
        <v>12468.51601423488</v>
      </c>
      <c r="FU121" s="209">
        <f t="shared" si="412"/>
        <v>12604.29676258992</v>
      </c>
      <c r="FV121" s="210">
        <f t="shared" si="412"/>
        <v>12558.7120669056</v>
      </c>
      <c r="FW121" s="208">
        <f t="shared" si="412"/>
        <v>12473.173524150279</v>
      </c>
      <c r="FX121" s="209">
        <f t="shared" si="412"/>
        <v>12609.217543859641</v>
      </c>
      <c r="FY121" s="210">
        <f t="shared" si="412"/>
        <v>12564.456739258399</v>
      </c>
      <c r="FZ121" s="208">
        <f t="shared" ref="FZ121:GB121" si="413">FZ62</f>
        <v>12491.175111111121</v>
      </c>
      <c r="GA121" s="209">
        <f t="shared" si="413"/>
        <v>12623.014718614721</v>
      </c>
      <c r="GB121" s="210">
        <f t="shared" si="413"/>
        <v>12579.83580786028</v>
      </c>
      <c r="GC121" s="208">
        <f t="shared" ref="GC121:GE121" si="414">GC62</f>
        <v>13202.8133453562</v>
      </c>
      <c r="GD121" s="209">
        <f t="shared" si="414"/>
        <v>13313.485140226039</v>
      </c>
      <c r="GE121" s="210">
        <f t="shared" si="414"/>
        <v>13278.39794168096</v>
      </c>
      <c r="GF121" s="208">
        <f t="shared" ref="GF121:GH121" si="415">GF62</f>
        <v>13263.00904159132</v>
      </c>
      <c r="GG121" s="209">
        <f t="shared" si="415"/>
        <v>13303.246305418719</v>
      </c>
      <c r="GH121" s="210">
        <f t="shared" si="415"/>
        <v>13290.6821005082</v>
      </c>
      <c r="GI121" s="208">
        <f t="shared" ref="GI121:GK121" si="416">GI62</f>
        <v>13310.180505415159</v>
      </c>
      <c r="GJ121" s="209">
        <f t="shared" si="416"/>
        <v>13280.65198237884</v>
      </c>
      <c r="GK121" s="210">
        <f t="shared" si="416"/>
        <v>13289.727600554799</v>
      </c>
      <c r="GL121" s="208">
        <f t="shared" ref="GL121:GN121" si="417">GL62</f>
        <v>13542.6364460562</v>
      </c>
      <c r="GM121" s="209">
        <f t="shared" si="417"/>
        <v>13450.36235294116</v>
      </c>
      <c r="GN121" s="210">
        <f t="shared" si="417"/>
        <v>13478.22392554064</v>
      </c>
    </row>
    <row r="122" spans="1:196" ht="12" thickBot="1" x14ac:dyDescent="0.3">
      <c r="A122" s="40" t="s">
        <v>5</v>
      </c>
      <c r="FB122" s="211">
        <f>FB63</f>
        <v>13820.094447490001</v>
      </c>
      <c r="FC122" s="212">
        <f t="shared" ref="FC122:FE122" si="418">FC63</f>
        <v>13082.035508794999</v>
      </c>
      <c r="FD122" s="213">
        <f t="shared" si="418"/>
        <v>13533.396861380281</v>
      </c>
      <c r="FE122" s="211">
        <f t="shared" si="418"/>
        <v>13820.094447490001</v>
      </c>
      <c r="FF122" s="212">
        <f t="shared" ref="FF122:FM122" si="419">FF63</f>
        <v>13082.035508794999</v>
      </c>
      <c r="FG122" s="213">
        <f t="shared" si="419"/>
        <v>13533.396861380281</v>
      </c>
      <c r="FH122" s="211">
        <f t="shared" si="419"/>
        <v>13863.349597669439</v>
      </c>
      <c r="FI122" s="212">
        <f t="shared" si="419"/>
        <v>13080.92606476312</v>
      </c>
      <c r="FJ122" s="213">
        <f t="shared" si="419"/>
        <v>13556.96101442148</v>
      </c>
      <c r="FK122" s="211">
        <f t="shared" si="419"/>
        <v>14449.849655328841</v>
      </c>
      <c r="FL122" s="212">
        <f t="shared" si="419"/>
        <v>13585.51354491412</v>
      </c>
      <c r="FM122" s="213">
        <f t="shared" si="419"/>
        <v>14109.094279127279</v>
      </c>
      <c r="FN122" s="211">
        <f t="shared" ref="FN122:FY122" si="420">FN63</f>
        <v>14490.055848117039</v>
      </c>
      <c r="FO122" s="212">
        <f t="shared" si="420"/>
        <v>13590.95322080084</v>
      </c>
      <c r="FP122" s="213">
        <f t="shared" si="420"/>
        <v>14133.27477115544</v>
      </c>
      <c r="FQ122" s="211">
        <f t="shared" si="420"/>
        <v>14657.842082758119</v>
      </c>
      <c r="FR122" s="212">
        <f t="shared" si="420"/>
        <v>13699.958211572201</v>
      </c>
      <c r="FS122" s="213">
        <f t="shared" si="420"/>
        <v>14273.9172065444</v>
      </c>
      <c r="FT122" s="211">
        <f t="shared" si="420"/>
        <v>14690.23508215624</v>
      </c>
      <c r="FU122" s="212">
        <f t="shared" si="420"/>
        <v>13697.528363306479</v>
      </c>
      <c r="FV122" s="213">
        <f t="shared" si="420"/>
        <v>14290.107504678321</v>
      </c>
      <c r="FW122" s="211">
        <f t="shared" si="420"/>
        <v>14734.540990772801</v>
      </c>
      <c r="FX122" s="212">
        <f t="shared" si="420"/>
        <v>13709.54171497792</v>
      </c>
      <c r="FY122" s="213">
        <f t="shared" si="420"/>
        <v>14318.678836729239</v>
      </c>
      <c r="FZ122" s="211">
        <f t="shared" ref="FZ122:GB122" si="421">FZ63</f>
        <v>14763.91380948472</v>
      </c>
      <c r="GA122" s="212">
        <f t="shared" si="421"/>
        <v>13731.67516686636</v>
      </c>
      <c r="GB122" s="213">
        <f t="shared" si="421"/>
        <v>14344.14456825096</v>
      </c>
      <c r="GC122" s="211">
        <f t="shared" ref="GC122:GE122" si="422">GC63</f>
        <v>15592.962380593999</v>
      </c>
      <c r="GD122" s="212">
        <f t="shared" si="422"/>
        <v>14471.579710629199</v>
      </c>
      <c r="GE122" s="213">
        <f t="shared" si="422"/>
        <v>15133.930118520841</v>
      </c>
      <c r="GF122" s="211">
        <f t="shared" ref="GF122:GH122" si="423">GF63</f>
        <v>15626.745402496281</v>
      </c>
      <c r="GG122" s="212">
        <f t="shared" si="423"/>
        <v>14488.09067910768</v>
      </c>
      <c r="GH122" s="213">
        <f t="shared" si="423"/>
        <v>15159.049067501561</v>
      </c>
      <c r="GI122" s="211">
        <f t="shared" ref="GI122:GK122" si="424">GI63</f>
        <v>15653.831344902401</v>
      </c>
      <c r="GJ122" s="212">
        <f t="shared" si="424"/>
        <v>14483.4009388464</v>
      </c>
      <c r="GK122" s="213">
        <f t="shared" si="424"/>
        <v>15170.76748321348</v>
      </c>
      <c r="GL122" s="211">
        <f t="shared" ref="GL122:GN122" si="425">GL63</f>
        <v>15732.601022131281</v>
      </c>
      <c r="GM122" s="212">
        <f t="shared" si="425"/>
        <v>14536.642529644279</v>
      </c>
      <c r="GN122" s="213">
        <f t="shared" si="425"/>
        <v>15237.1279155832</v>
      </c>
    </row>
    <row r="123" spans="1:196" x14ac:dyDescent="0.25">
      <c r="FN123" s="198"/>
      <c r="FO123" s="198"/>
      <c r="FP123" s="198"/>
      <c r="FQ123" s="198"/>
      <c r="FR123" s="198"/>
      <c r="FS123" s="198"/>
      <c r="FT123" s="198"/>
      <c r="FU123" s="198"/>
      <c r="FV123" s="198"/>
      <c r="FW123" s="198"/>
      <c r="FX123" s="198"/>
      <c r="FY123" s="198"/>
      <c r="FZ123" s="198"/>
      <c r="GA123" s="198"/>
      <c r="GB123" s="198"/>
      <c r="GC123" s="198"/>
      <c r="GD123" s="198"/>
      <c r="GE123" s="198"/>
      <c r="GF123" s="198"/>
      <c r="GG123" s="198"/>
      <c r="GH123" s="198"/>
      <c r="GI123" s="198"/>
      <c r="GJ123" s="198"/>
      <c r="GK123" s="198"/>
      <c r="GL123" s="198"/>
      <c r="GM123" s="198"/>
      <c r="GN123" s="198"/>
    </row>
    <row r="124" spans="1:196" x14ac:dyDescent="0.25">
      <c r="FN124" s="198"/>
      <c r="FO124" s="198"/>
      <c r="FP124" s="198"/>
      <c r="FQ124" s="198"/>
      <c r="FR124" s="198"/>
      <c r="FS124" s="198"/>
      <c r="FT124" s="198"/>
      <c r="FU124" s="198"/>
      <c r="FV124" s="198"/>
      <c r="FW124" s="198"/>
      <c r="FX124" s="198"/>
      <c r="FY124" s="198"/>
      <c r="FZ124" s="198"/>
      <c r="GA124" s="198"/>
      <c r="GB124" s="198"/>
      <c r="GC124" s="198"/>
      <c r="GD124" s="198"/>
      <c r="GE124" s="198"/>
      <c r="GF124" s="198"/>
      <c r="GG124" s="198"/>
      <c r="GH124" s="198"/>
      <c r="GI124" s="198"/>
      <c r="GJ124" s="198"/>
      <c r="GK124" s="198"/>
      <c r="GL124" s="198"/>
      <c r="GM124" s="198"/>
      <c r="GN124" s="198"/>
    </row>
    <row r="125" spans="1:196" x14ac:dyDescent="0.25">
      <c r="FN125" s="198"/>
      <c r="FO125" s="198"/>
      <c r="FP125" s="198"/>
      <c r="FQ125" s="198"/>
      <c r="FR125" s="198"/>
      <c r="FS125" s="198"/>
      <c r="FT125" s="198"/>
      <c r="FU125" s="198"/>
      <c r="FV125" s="198"/>
      <c r="FW125" s="198"/>
      <c r="FX125" s="198"/>
      <c r="FY125" s="198"/>
      <c r="FZ125" s="198"/>
      <c r="GA125" s="198"/>
      <c r="GB125" s="198"/>
      <c r="GC125" s="198"/>
      <c r="GD125" s="198"/>
      <c r="GE125" s="198"/>
      <c r="GF125" s="198"/>
      <c r="GG125" s="198"/>
      <c r="GH125" s="198"/>
      <c r="GI125" s="198"/>
      <c r="GJ125" s="198"/>
      <c r="GK125" s="198"/>
      <c r="GL125" s="198"/>
      <c r="GM125" s="198"/>
      <c r="GN125" s="198"/>
    </row>
    <row r="126" spans="1:196" x14ac:dyDescent="0.25">
      <c r="FN126" s="198"/>
      <c r="FO126" s="198"/>
      <c r="FP126" s="198"/>
      <c r="FQ126" s="198"/>
      <c r="FR126" s="198"/>
      <c r="FS126" s="198"/>
      <c r="FT126" s="198"/>
      <c r="FU126" s="198"/>
      <c r="FV126" s="198"/>
      <c r="FW126" s="198"/>
      <c r="FX126" s="198"/>
      <c r="FY126" s="198"/>
      <c r="FZ126" s="198"/>
      <c r="GA126" s="198"/>
      <c r="GB126" s="198"/>
      <c r="GC126" s="198"/>
      <c r="GD126" s="198"/>
      <c r="GE126" s="198"/>
      <c r="GF126" s="198"/>
      <c r="GG126" s="198"/>
      <c r="GH126" s="198"/>
      <c r="GI126" s="198"/>
      <c r="GJ126" s="198"/>
      <c r="GK126" s="198"/>
      <c r="GL126" s="198"/>
      <c r="GM126" s="198"/>
      <c r="GN126" s="198"/>
    </row>
    <row r="127" spans="1:196" x14ac:dyDescent="0.25">
      <c r="FN127" s="198"/>
      <c r="FO127" s="198"/>
      <c r="FP127" s="198"/>
      <c r="FQ127" s="198"/>
      <c r="FR127" s="198"/>
      <c r="FS127" s="198"/>
      <c r="FT127" s="198"/>
      <c r="FU127" s="198"/>
      <c r="FV127" s="198"/>
      <c r="FW127" s="198"/>
      <c r="FX127" s="198"/>
      <c r="FY127" s="198"/>
      <c r="FZ127" s="198"/>
      <c r="GA127" s="198"/>
      <c r="GB127" s="198"/>
      <c r="GC127" s="198"/>
      <c r="GD127" s="198"/>
      <c r="GE127" s="198"/>
      <c r="GF127" s="198"/>
      <c r="GG127" s="198"/>
      <c r="GH127" s="198"/>
      <c r="GI127" s="198"/>
      <c r="GJ127" s="198"/>
      <c r="GK127" s="198"/>
      <c r="GL127" s="198"/>
      <c r="GM127" s="198"/>
      <c r="GN127" s="198"/>
    </row>
    <row r="128" spans="1:196" x14ac:dyDescent="0.25">
      <c r="FN128" s="198"/>
      <c r="FO128" s="198"/>
      <c r="FP128" s="198"/>
      <c r="FQ128" s="198"/>
      <c r="FR128" s="198"/>
      <c r="FS128" s="198"/>
      <c r="FT128" s="198"/>
      <c r="FU128" s="198"/>
      <c r="FV128" s="198"/>
      <c r="FW128" s="198"/>
      <c r="FX128" s="198"/>
      <c r="FY128" s="198"/>
      <c r="FZ128" s="198"/>
      <c r="GA128" s="198"/>
      <c r="GB128" s="198"/>
      <c r="GC128" s="198"/>
      <c r="GD128" s="198"/>
      <c r="GE128" s="198"/>
      <c r="GF128" s="198"/>
      <c r="GG128" s="198"/>
      <c r="GH128" s="198"/>
      <c r="GI128" s="198"/>
      <c r="GJ128" s="198"/>
      <c r="GK128" s="198"/>
      <c r="GL128" s="198"/>
      <c r="GM128" s="198"/>
      <c r="GN128" s="198"/>
    </row>
    <row r="129" spans="170:196" x14ac:dyDescent="0.25">
      <c r="FN129" s="198"/>
      <c r="FO129" s="198"/>
      <c r="FP129" s="198"/>
      <c r="FQ129" s="198"/>
      <c r="FR129" s="198"/>
      <c r="FS129" s="198"/>
      <c r="FT129" s="198"/>
      <c r="FU129" s="198"/>
      <c r="FV129" s="198"/>
      <c r="FW129" s="198"/>
      <c r="FX129" s="198"/>
      <c r="FY129" s="198"/>
      <c r="FZ129" s="198"/>
      <c r="GA129" s="198"/>
      <c r="GB129" s="198"/>
      <c r="GC129" s="198"/>
      <c r="GD129" s="198"/>
      <c r="GE129" s="198"/>
      <c r="GF129" s="198"/>
      <c r="GG129" s="198"/>
      <c r="GH129" s="198"/>
      <c r="GI129" s="198"/>
      <c r="GJ129" s="198"/>
      <c r="GK129" s="198"/>
      <c r="GL129" s="198"/>
      <c r="GM129" s="198"/>
      <c r="GN129" s="198"/>
    </row>
    <row r="130" spans="170:196" x14ac:dyDescent="0.25">
      <c r="FN130" s="198"/>
      <c r="FO130" s="198"/>
      <c r="FP130" s="198"/>
      <c r="FQ130" s="198"/>
      <c r="FR130" s="198"/>
      <c r="FS130" s="198"/>
      <c r="FT130" s="198"/>
      <c r="FU130" s="198"/>
      <c r="FV130" s="198"/>
      <c r="FW130" s="198"/>
      <c r="FX130" s="198"/>
      <c r="FY130" s="198"/>
      <c r="FZ130" s="198"/>
      <c r="GA130" s="198"/>
      <c r="GB130" s="198"/>
      <c r="GC130" s="198"/>
      <c r="GD130" s="198"/>
      <c r="GE130" s="198"/>
      <c r="GF130" s="198"/>
      <c r="GG130" s="198"/>
      <c r="GH130" s="198"/>
      <c r="GI130" s="198"/>
      <c r="GJ130" s="198"/>
      <c r="GK130" s="198"/>
      <c r="GL130" s="198"/>
      <c r="GM130" s="198"/>
      <c r="GN130" s="198"/>
    </row>
    <row r="131" spans="170:196" x14ac:dyDescent="0.25">
      <c r="FN131" s="198"/>
      <c r="FO131" s="198"/>
      <c r="FP131" s="198"/>
      <c r="FQ131" s="198"/>
      <c r="FR131" s="198"/>
      <c r="FS131" s="198"/>
      <c r="FT131" s="198"/>
      <c r="FU131" s="198"/>
      <c r="FV131" s="198"/>
      <c r="FW131" s="198"/>
      <c r="FX131" s="198"/>
      <c r="FY131" s="198"/>
      <c r="FZ131" s="198"/>
      <c r="GA131" s="198"/>
      <c r="GB131" s="198"/>
      <c r="GC131" s="198"/>
      <c r="GD131" s="198"/>
      <c r="GE131" s="198"/>
      <c r="GF131" s="198"/>
      <c r="GG131" s="198"/>
      <c r="GH131" s="198"/>
      <c r="GI131" s="198"/>
      <c r="GJ131" s="198"/>
      <c r="GK131" s="198"/>
      <c r="GL131" s="198"/>
      <c r="GM131" s="198"/>
      <c r="GN131" s="198"/>
    </row>
    <row r="132" spans="170:196" x14ac:dyDescent="0.25">
      <c r="FN132" s="198"/>
      <c r="FO132" s="198"/>
      <c r="FP132" s="198"/>
      <c r="FQ132" s="198"/>
      <c r="FR132" s="198"/>
      <c r="FS132" s="198"/>
      <c r="FT132" s="198"/>
      <c r="FU132" s="198"/>
      <c r="FV132" s="198"/>
      <c r="FW132" s="198"/>
      <c r="FX132" s="198"/>
      <c r="FY132" s="198"/>
      <c r="FZ132" s="198"/>
      <c r="GA132" s="198"/>
      <c r="GB132" s="198"/>
      <c r="GC132" s="198"/>
      <c r="GD132" s="198"/>
      <c r="GE132" s="198"/>
      <c r="GF132" s="198"/>
      <c r="GG132" s="198"/>
      <c r="GH132" s="198"/>
      <c r="GI132" s="198"/>
      <c r="GJ132" s="198"/>
      <c r="GK132" s="198"/>
      <c r="GL132" s="198"/>
      <c r="GM132" s="198"/>
      <c r="GN132" s="198"/>
    </row>
    <row r="133" spans="170:196" x14ac:dyDescent="0.25">
      <c r="FN133" s="198"/>
      <c r="FO133" s="198"/>
      <c r="FP133" s="198"/>
      <c r="FQ133" s="198"/>
      <c r="FR133" s="198"/>
      <c r="FS133" s="198"/>
      <c r="FT133" s="198"/>
      <c r="FU133" s="198"/>
      <c r="FV133" s="198"/>
      <c r="FW133" s="198"/>
      <c r="FX133" s="198"/>
      <c r="FY133" s="198"/>
      <c r="FZ133" s="198"/>
      <c r="GA133" s="198"/>
      <c r="GB133" s="198"/>
      <c r="GC133" s="198"/>
      <c r="GD133" s="198"/>
      <c r="GE133" s="198"/>
      <c r="GF133" s="198"/>
      <c r="GG133" s="198"/>
      <c r="GH133" s="198"/>
      <c r="GI133" s="198"/>
      <c r="GJ133" s="198"/>
      <c r="GK133" s="198"/>
      <c r="GL133" s="198"/>
      <c r="GM133" s="198"/>
      <c r="GN133" s="198"/>
    </row>
    <row r="134" spans="170:196" x14ac:dyDescent="0.25">
      <c r="FN134" s="198"/>
      <c r="FO134" s="198"/>
      <c r="FP134" s="198"/>
      <c r="FQ134" s="198"/>
      <c r="FR134" s="198"/>
      <c r="FS134" s="198"/>
      <c r="FT134" s="198"/>
      <c r="FU134" s="198"/>
      <c r="FV134" s="198"/>
      <c r="FW134" s="198"/>
      <c r="FX134" s="198"/>
      <c r="FY134" s="198"/>
      <c r="FZ134" s="198"/>
      <c r="GA134" s="198"/>
      <c r="GB134" s="198"/>
      <c r="GC134" s="198"/>
      <c r="GD134" s="198"/>
      <c r="GE134" s="198"/>
      <c r="GF134" s="198"/>
      <c r="GG134" s="198"/>
      <c r="GH134" s="198"/>
      <c r="GI134" s="198"/>
      <c r="GJ134" s="198"/>
      <c r="GK134" s="198"/>
      <c r="GL134" s="198"/>
      <c r="GM134" s="198"/>
      <c r="GN134" s="198"/>
    </row>
    <row r="135" spans="170:196" x14ac:dyDescent="0.25">
      <c r="FN135" s="198"/>
      <c r="FO135" s="198"/>
      <c r="FP135" s="198"/>
      <c r="FQ135" s="198"/>
      <c r="FR135" s="198"/>
      <c r="FS135" s="198"/>
      <c r="FT135" s="198"/>
      <c r="FU135" s="198"/>
      <c r="FV135" s="198"/>
      <c r="FW135" s="198"/>
      <c r="FX135" s="198"/>
      <c r="FY135" s="198"/>
      <c r="FZ135" s="198"/>
      <c r="GA135" s="198"/>
      <c r="GB135" s="198"/>
      <c r="GC135" s="198"/>
      <c r="GD135" s="198"/>
      <c r="GE135" s="198"/>
      <c r="GF135" s="198"/>
      <c r="GG135" s="198"/>
      <c r="GH135" s="198"/>
      <c r="GI135" s="198"/>
      <c r="GJ135" s="198"/>
      <c r="GK135" s="198"/>
      <c r="GL135" s="198"/>
      <c r="GM135" s="198"/>
      <c r="GN135" s="198"/>
    </row>
    <row r="136" spans="170:196" x14ac:dyDescent="0.25">
      <c r="FN136" s="198"/>
      <c r="FO136" s="198"/>
      <c r="FP136" s="198"/>
      <c r="FQ136" s="198"/>
      <c r="FR136" s="198"/>
      <c r="FS136" s="198"/>
      <c r="FT136" s="198"/>
      <c r="FU136" s="198"/>
      <c r="FV136" s="198"/>
      <c r="FW136" s="198"/>
      <c r="FX136" s="198"/>
      <c r="FY136" s="198"/>
      <c r="FZ136" s="198"/>
      <c r="GA136" s="198"/>
      <c r="GB136" s="198"/>
      <c r="GC136" s="198"/>
      <c r="GD136" s="198"/>
      <c r="GE136" s="198"/>
      <c r="GF136" s="198"/>
      <c r="GG136" s="198"/>
      <c r="GH136" s="198"/>
      <c r="GI136" s="198"/>
      <c r="GJ136" s="198"/>
      <c r="GK136" s="198"/>
      <c r="GL136" s="198"/>
      <c r="GM136" s="198"/>
      <c r="GN136" s="198"/>
    </row>
    <row r="137" spans="170:196" x14ac:dyDescent="0.25">
      <c r="FN137" s="198"/>
      <c r="FO137" s="198"/>
      <c r="FP137" s="198"/>
      <c r="FQ137" s="198"/>
      <c r="FR137" s="198"/>
      <c r="FS137" s="198"/>
      <c r="FT137" s="198"/>
      <c r="FU137" s="198"/>
      <c r="FV137" s="198"/>
      <c r="FW137" s="198"/>
      <c r="FX137" s="198"/>
      <c r="FY137" s="198"/>
      <c r="FZ137" s="198"/>
      <c r="GA137" s="198"/>
      <c r="GB137" s="198"/>
      <c r="GC137" s="198"/>
      <c r="GD137" s="198"/>
      <c r="GE137" s="198"/>
      <c r="GF137" s="198"/>
      <c r="GG137" s="198"/>
      <c r="GH137" s="198"/>
      <c r="GI137" s="198"/>
      <c r="GJ137" s="198"/>
      <c r="GK137" s="198"/>
      <c r="GL137" s="198"/>
      <c r="GM137" s="198"/>
      <c r="GN137" s="198"/>
    </row>
  </sheetData>
  <autoFilter ref="A1:CZ91" xr:uid="{00000000-0009-0000-0000-000000000000}"/>
  <mergeCells count="800">
    <mergeCell ref="GL59:GN59"/>
    <mergeCell ref="GL66:GN66"/>
    <mergeCell ref="GL70:GN70"/>
    <mergeCell ref="GL73:GN73"/>
    <mergeCell ref="GL95:GN95"/>
    <mergeCell ref="GL103:GN103"/>
    <mergeCell ref="GL111:GN111"/>
    <mergeCell ref="GL118:GN118"/>
    <mergeCell ref="GL5:GN5"/>
    <mergeCell ref="GL13:GN13"/>
    <mergeCell ref="GL25:GN25"/>
    <mergeCell ref="GL33:GN33"/>
    <mergeCell ref="GL41:GN41"/>
    <mergeCell ref="GL46:GN46"/>
    <mergeCell ref="GL50:GN50"/>
    <mergeCell ref="GL51:GN51"/>
    <mergeCell ref="GL57:GN58"/>
    <mergeCell ref="GF59:GH59"/>
    <mergeCell ref="GF66:GH66"/>
    <mergeCell ref="GF70:GH70"/>
    <mergeCell ref="GF73:GH73"/>
    <mergeCell ref="GF95:GH95"/>
    <mergeCell ref="GF103:GH103"/>
    <mergeCell ref="GF111:GH111"/>
    <mergeCell ref="GF118:GH118"/>
    <mergeCell ref="GF5:GH5"/>
    <mergeCell ref="GF13:GH13"/>
    <mergeCell ref="GF25:GH25"/>
    <mergeCell ref="GF33:GH33"/>
    <mergeCell ref="GF41:GH41"/>
    <mergeCell ref="GF46:GH46"/>
    <mergeCell ref="GF50:GH50"/>
    <mergeCell ref="GF51:GH51"/>
    <mergeCell ref="GF57:GH58"/>
    <mergeCell ref="GC59:GE59"/>
    <mergeCell ref="GC66:GE66"/>
    <mergeCell ref="GC70:GE70"/>
    <mergeCell ref="GC73:GE73"/>
    <mergeCell ref="GC95:GE95"/>
    <mergeCell ref="GC103:GE103"/>
    <mergeCell ref="GC111:GE111"/>
    <mergeCell ref="GC118:GE118"/>
    <mergeCell ref="GC5:GE5"/>
    <mergeCell ref="GC13:GE13"/>
    <mergeCell ref="GC25:GE25"/>
    <mergeCell ref="GC33:GE33"/>
    <mergeCell ref="GC41:GE41"/>
    <mergeCell ref="GC46:GE46"/>
    <mergeCell ref="GC50:GE50"/>
    <mergeCell ref="GC51:GE51"/>
    <mergeCell ref="GC57:GE58"/>
    <mergeCell ref="FB111:FD111"/>
    <mergeCell ref="FE111:FG111"/>
    <mergeCell ref="FH111:FJ111"/>
    <mergeCell ref="FK111:FM111"/>
    <mergeCell ref="FN111:FP111"/>
    <mergeCell ref="FQ111:FS111"/>
    <mergeCell ref="FT111:FV111"/>
    <mergeCell ref="FW111:FY111"/>
    <mergeCell ref="FB118:FD118"/>
    <mergeCell ref="FE118:FG118"/>
    <mergeCell ref="FH118:FJ118"/>
    <mergeCell ref="FK118:FM118"/>
    <mergeCell ref="FN118:FP118"/>
    <mergeCell ref="FQ118:FS118"/>
    <mergeCell ref="FT118:FV118"/>
    <mergeCell ref="FW118:FY118"/>
    <mergeCell ref="FW95:FY95"/>
    <mergeCell ref="FB103:FD103"/>
    <mergeCell ref="FE103:FG103"/>
    <mergeCell ref="FH103:FJ103"/>
    <mergeCell ref="FK103:FM103"/>
    <mergeCell ref="FN103:FP103"/>
    <mergeCell ref="FQ103:FS103"/>
    <mergeCell ref="FT103:FV103"/>
    <mergeCell ref="FW103:FY103"/>
    <mergeCell ref="FB95:FD95"/>
    <mergeCell ref="FE95:FG95"/>
    <mergeCell ref="FH95:FJ95"/>
    <mergeCell ref="FK95:FM95"/>
    <mergeCell ref="FN95:FP95"/>
    <mergeCell ref="FQ95:FS95"/>
    <mergeCell ref="FT95:FV95"/>
    <mergeCell ref="FN70:FP70"/>
    <mergeCell ref="FN73:FP73"/>
    <mergeCell ref="FN50:FP50"/>
    <mergeCell ref="FN57:FP58"/>
    <mergeCell ref="FN5:FP5"/>
    <mergeCell ref="FN13:FP13"/>
    <mergeCell ref="FN25:FP25"/>
    <mergeCell ref="FN33:FP33"/>
    <mergeCell ref="FN41:FP41"/>
    <mergeCell ref="FN46:FP46"/>
    <mergeCell ref="FN51:FP51"/>
    <mergeCell ref="FN59:FP59"/>
    <mergeCell ref="FN66:FP66"/>
    <mergeCell ref="FH70:FJ70"/>
    <mergeCell ref="FH73:FJ73"/>
    <mergeCell ref="FH5:FJ5"/>
    <mergeCell ref="FH13:FJ13"/>
    <mergeCell ref="FH25:FJ25"/>
    <mergeCell ref="FH33:FJ33"/>
    <mergeCell ref="FH41:FJ41"/>
    <mergeCell ref="FH46:FJ46"/>
    <mergeCell ref="FH51:FJ51"/>
    <mergeCell ref="FH59:FJ59"/>
    <mergeCell ref="FH66:FJ66"/>
    <mergeCell ref="FH50:FJ50"/>
    <mergeCell ref="FH57:FJ58"/>
    <mergeCell ref="FE70:FG70"/>
    <mergeCell ref="FE73:FG73"/>
    <mergeCell ref="FE5:FG5"/>
    <mergeCell ref="FE13:FG13"/>
    <mergeCell ref="FE25:FG25"/>
    <mergeCell ref="FE33:FG33"/>
    <mergeCell ref="FE41:FG41"/>
    <mergeCell ref="FE46:FG46"/>
    <mergeCell ref="FE51:FG51"/>
    <mergeCell ref="FE59:FG59"/>
    <mergeCell ref="FE66:FG66"/>
    <mergeCell ref="FE50:FG50"/>
    <mergeCell ref="FE57:FG58"/>
    <mergeCell ref="FB70:FD70"/>
    <mergeCell ref="FB73:FD73"/>
    <mergeCell ref="FB5:FD5"/>
    <mergeCell ref="FB13:FD13"/>
    <mergeCell ref="FB25:FD25"/>
    <mergeCell ref="FB33:FD33"/>
    <mergeCell ref="FB41:FD41"/>
    <mergeCell ref="FB46:FD46"/>
    <mergeCell ref="FB51:FD51"/>
    <mergeCell ref="FB59:FD59"/>
    <mergeCell ref="FB66:FD66"/>
    <mergeCell ref="FB50:FD50"/>
    <mergeCell ref="FB57:FD58"/>
    <mergeCell ref="EP70:ER70"/>
    <mergeCell ref="EP73:ER73"/>
    <mergeCell ref="EP5:ER5"/>
    <mergeCell ref="EP13:ER13"/>
    <mergeCell ref="EP25:ER25"/>
    <mergeCell ref="EP33:ER33"/>
    <mergeCell ref="EP41:ER41"/>
    <mergeCell ref="EP46:ER46"/>
    <mergeCell ref="EP51:ER51"/>
    <mergeCell ref="EP59:ER59"/>
    <mergeCell ref="EP66:ER66"/>
    <mergeCell ref="EJ70:EL70"/>
    <mergeCell ref="EJ73:EL73"/>
    <mergeCell ref="EJ5:EL5"/>
    <mergeCell ref="EJ13:EL13"/>
    <mergeCell ref="EJ25:EL25"/>
    <mergeCell ref="EJ33:EL33"/>
    <mergeCell ref="EJ41:EL41"/>
    <mergeCell ref="EJ46:EL46"/>
    <mergeCell ref="EJ51:EL51"/>
    <mergeCell ref="EJ59:EL59"/>
    <mergeCell ref="EJ66:EL66"/>
    <mergeCell ref="EG70:EI70"/>
    <mergeCell ref="EG73:EI73"/>
    <mergeCell ref="EG5:EI5"/>
    <mergeCell ref="EG13:EI13"/>
    <mergeCell ref="EG25:EI25"/>
    <mergeCell ref="EG33:EI33"/>
    <mergeCell ref="EG41:EI41"/>
    <mergeCell ref="EG46:EI46"/>
    <mergeCell ref="EG51:EI51"/>
    <mergeCell ref="EG59:EI59"/>
    <mergeCell ref="EG66:EI66"/>
    <mergeCell ref="ED70:EF70"/>
    <mergeCell ref="ED73:EF73"/>
    <mergeCell ref="ED5:EF5"/>
    <mergeCell ref="ED13:EF13"/>
    <mergeCell ref="ED25:EF25"/>
    <mergeCell ref="ED33:EF33"/>
    <mergeCell ref="ED41:EF41"/>
    <mergeCell ref="ED46:EF46"/>
    <mergeCell ref="ED51:EF51"/>
    <mergeCell ref="ED59:EF59"/>
    <mergeCell ref="ED66:EF66"/>
    <mergeCell ref="EA70:EC70"/>
    <mergeCell ref="EA73:EC73"/>
    <mergeCell ref="EA5:EC5"/>
    <mergeCell ref="EA13:EC13"/>
    <mergeCell ref="EA25:EC25"/>
    <mergeCell ref="EA33:EC33"/>
    <mergeCell ref="EA41:EC41"/>
    <mergeCell ref="EA46:EC46"/>
    <mergeCell ref="EA51:EC51"/>
    <mergeCell ref="EA59:EC59"/>
    <mergeCell ref="EA66:EC66"/>
    <mergeCell ref="DX70:DZ70"/>
    <mergeCell ref="DX73:DZ73"/>
    <mergeCell ref="DX5:DZ5"/>
    <mergeCell ref="DX13:DZ13"/>
    <mergeCell ref="DX25:DZ25"/>
    <mergeCell ref="DX33:DZ33"/>
    <mergeCell ref="DX41:DZ41"/>
    <mergeCell ref="DX46:DZ46"/>
    <mergeCell ref="DX51:DZ51"/>
    <mergeCell ref="DX59:DZ59"/>
    <mergeCell ref="DX66:DZ66"/>
    <mergeCell ref="DR70:DT70"/>
    <mergeCell ref="DR73:DT73"/>
    <mergeCell ref="DR5:DT5"/>
    <mergeCell ref="DR13:DT13"/>
    <mergeCell ref="DR25:DT25"/>
    <mergeCell ref="DR33:DT33"/>
    <mergeCell ref="DR41:DT41"/>
    <mergeCell ref="DR46:DT46"/>
    <mergeCell ref="DR51:DT51"/>
    <mergeCell ref="DR59:DT59"/>
    <mergeCell ref="DR66:DT66"/>
    <mergeCell ref="DO70:DQ70"/>
    <mergeCell ref="DO73:DQ73"/>
    <mergeCell ref="DO5:DQ5"/>
    <mergeCell ref="DO13:DQ13"/>
    <mergeCell ref="DO25:DQ25"/>
    <mergeCell ref="DO33:DQ33"/>
    <mergeCell ref="DO41:DQ41"/>
    <mergeCell ref="DO46:DQ46"/>
    <mergeCell ref="DO51:DQ51"/>
    <mergeCell ref="DO59:DQ59"/>
    <mergeCell ref="DO66:DQ66"/>
    <mergeCell ref="DF59:DH59"/>
    <mergeCell ref="DF66:DH66"/>
    <mergeCell ref="DF70:DH70"/>
    <mergeCell ref="DF73:DH73"/>
    <mergeCell ref="DC5:DE5"/>
    <mergeCell ref="DC13:DE13"/>
    <mergeCell ref="DC25:DE25"/>
    <mergeCell ref="DC33:DE33"/>
    <mergeCell ref="DC41:DE41"/>
    <mergeCell ref="DC46:DE46"/>
    <mergeCell ref="DC51:DE51"/>
    <mergeCell ref="DC59:DE59"/>
    <mergeCell ref="DC66:DE66"/>
    <mergeCell ref="CH67:CJ67"/>
    <mergeCell ref="CN66:CP66"/>
    <mergeCell ref="CN5:CP5"/>
    <mergeCell ref="CN13:CP13"/>
    <mergeCell ref="CN25:CP25"/>
    <mergeCell ref="CN33:CP33"/>
    <mergeCell ref="CW59:CY59"/>
    <mergeCell ref="CQ51:CS51"/>
    <mergeCell ref="CQ59:CS59"/>
    <mergeCell ref="CT5:CV5"/>
    <mergeCell ref="CT13:CV13"/>
    <mergeCell ref="CT25:CV25"/>
    <mergeCell ref="CT33:CV33"/>
    <mergeCell ref="CT41:CV41"/>
    <mergeCell ref="CT46:CV46"/>
    <mergeCell ref="CT51:CV51"/>
    <mergeCell ref="CT59:CV59"/>
    <mergeCell ref="CN59:CP59"/>
    <mergeCell ref="CK46:CM46"/>
    <mergeCell ref="CH33:CJ33"/>
    <mergeCell ref="CH41:CJ41"/>
    <mergeCell ref="CN41:CP41"/>
    <mergeCell ref="CN46:CP46"/>
    <mergeCell ref="CK5:CM5"/>
    <mergeCell ref="CK51:CM51"/>
    <mergeCell ref="CK59:CM59"/>
    <mergeCell ref="BD59:BF59"/>
    <mergeCell ref="BJ59:BL59"/>
    <mergeCell ref="BG51:BI51"/>
    <mergeCell ref="BG59:BI59"/>
    <mergeCell ref="CN51:CP51"/>
    <mergeCell ref="AC66:AE66"/>
    <mergeCell ref="AF66:AH66"/>
    <mergeCell ref="AI66:AK66"/>
    <mergeCell ref="AL66:AN66"/>
    <mergeCell ref="AO66:AQ66"/>
    <mergeCell ref="AR66:AT66"/>
    <mergeCell ref="AU66:AW66"/>
    <mergeCell ref="AX66:AZ66"/>
    <mergeCell ref="BA66:BC66"/>
    <mergeCell ref="BD66:BF66"/>
    <mergeCell ref="BG66:BI66"/>
    <mergeCell ref="BJ66:BL66"/>
    <mergeCell ref="BM66:BO66"/>
    <mergeCell ref="CZ59:DB59"/>
    <mergeCell ref="CZ66:DB66"/>
    <mergeCell ref="CQ66:CS66"/>
    <mergeCell ref="CT66:CV66"/>
    <mergeCell ref="CW66:CY66"/>
    <mergeCell ref="CK66:CM66"/>
    <mergeCell ref="BP59:BR59"/>
    <mergeCell ref="BY59:CA59"/>
    <mergeCell ref="CH59:CJ59"/>
    <mergeCell ref="BP66:BR66"/>
    <mergeCell ref="BS66:BU66"/>
    <mergeCell ref="BV66:BX66"/>
    <mergeCell ref="BY66:CA66"/>
    <mergeCell ref="CB66:CD66"/>
    <mergeCell ref="CE66:CG66"/>
    <mergeCell ref="CH66:CJ66"/>
    <mergeCell ref="BS46:BU46"/>
    <mergeCell ref="BS51:BU51"/>
    <mergeCell ref="BS59:BU59"/>
    <mergeCell ref="BV46:BX46"/>
    <mergeCell ref="BM59:BO59"/>
    <mergeCell ref="BJ51:BL51"/>
    <mergeCell ref="BP51:BR51"/>
    <mergeCell ref="CH46:CJ46"/>
    <mergeCell ref="BV59:BX59"/>
    <mergeCell ref="BV51:BX51"/>
    <mergeCell ref="CE59:CG59"/>
    <mergeCell ref="BM51:BO51"/>
    <mergeCell ref="CB59:CD59"/>
    <mergeCell ref="CH51:CJ51"/>
    <mergeCell ref="BD46:BF46"/>
    <mergeCell ref="AX51:AZ51"/>
    <mergeCell ref="AX59:AZ59"/>
    <mergeCell ref="AR59:AT59"/>
    <mergeCell ref="AC46:AE46"/>
    <mergeCell ref="BD51:BF51"/>
    <mergeCell ref="AX46:AZ46"/>
    <mergeCell ref="AC59:AE59"/>
    <mergeCell ref="AI46:AK46"/>
    <mergeCell ref="AF46:AH46"/>
    <mergeCell ref="AF51:AH51"/>
    <mergeCell ref="AF59:AH59"/>
    <mergeCell ref="AC51:AE51"/>
    <mergeCell ref="AL59:AN59"/>
    <mergeCell ref="BA51:BC51"/>
    <mergeCell ref="BA59:BC59"/>
    <mergeCell ref="AR41:AT41"/>
    <mergeCell ref="AO41:AQ41"/>
    <mergeCell ref="AO46:AQ46"/>
    <mergeCell ref="AR51:AT51"/>
    <mergeCell ref="BA46:BC46"/>
    <mergeCell ref="AU46:AW46"/>
    <mergeCell ref="AR46:AT46"/>
    <mergeCell ref="AI59:AK59"/>
    <mergeCell ref="AU51:AW51"/>
    <mergeCell ref="AU59:AW59"/>
    <mergeCell ref="AO51:AQ51"/>
    <mergeCell ref="AL46:AN46"/>
    <mergeCell ref="AO59:AQ59"/>
    <mergeCell ref="AI51:AK51"/>
    <mergeCell ref="Q33:S33"/>
    <mergeCell ref="Q41:S41"/>
    <mergeCell ref="W41:Y41"/>
    <mergeCell ref="Z41:AB41"/>
    <mergeCell ref="Z5:AB5"/>
    <mergeCell ref="T5:V5"/>
    <mergeCell ref="T25:V25"/>
    <mergeCell ref="W5:Y5"/>
    <mergeCell ref="AO25:AQ25"/>
    <mergeCell ref="AO33:AQ33"/>
    <mergeCell ref="AI13:AK13"/>
    <mergeCell ref="AI25:AK25"/>
    <mergeCell ref="AI33:AK33"/>
    <mergeCell ref="AL41:AN41"/>
    <mergeCell ref="AO5:AQ5"/>
    <mergeCell ref="AO13:AQ13"/>
    <mergeCell ref="AC5:AE5"/>
    <mergeCell ref="AC13:AE13"/>
    <mergeCell ref="AC25:AE25"/>
    <mergeCell ref="AC33:AE33"/>
    <mergeCell ref="AF41:AH41"/>
    <mergeCell ref="AF13:AH13"/>
    <mergeCell ref="AF25:AH25"/>
    <mergeCell ref="AF33:AH33"/>
    <mergeCell ref="AL5:AN5"/>
    <mergeCell ref="AI5:AK5"/>
    <mergeCell ref="AL13:AN13"/>
    <mergeCell ref="AL25:AN25"/>
    <mergeCell ref="AL33:AN33"/>
    <mergeCell ref="AL51:AN51"/>
    <mergeCell ref="AI41:AK41"/>
    <mergeCell ref="W25:Y25"/>
    <mergeCell ref="Z25:AB25"/>
    <mergeCell ref="W33:Y33"/>
    <mergeCell ref="Z33:AB33"/>
    <mergeCell ref="Z13:AB13"/>
    <mergeCell ref="AC41:AE41"/>
    <mergeCell ref="AF5:AH5"/>
    <mergeCell ref="B33:D33"/>
    <mergeCell ref="N33:P33"/>
    <mergeCell ref="H33:J33"/>
    <mergeCell ref="K33:M33"/>
    <mergeCell ref="E46:G46"/>
    <mergeCell ref="H46:J46"/>
    <mergeCell ref="K41:M41"/>
    <mergeCell ref="K46:M46"/>
    <mergeCell ref="E41:G41"/>
    <mergeCell ref="H41:J41"/>
    <mergeCell ref="E33:G33"/>
    <mergeCell ref="B59:D59"/>
    <mergeCell ref="B51:D51"/>
    <mergeCell ref="B46:D46"/>
    <mergeCell ref="B41:D41"/>
    <mergeCell ref="E59:G59"/>
    <mergeCell ref="H59:J59"/>
    <mergeCell ref="K59:M59"/>
    <mergeCell ref="E51:G51"/>
    <mergeCell ref="H51:J51"/>
    <mergeCell ref="K51:M51"/>
    <mergeCell ref="Q5:S5"/>
    <mergeCell ref="W51:Y51"/>
    <mergeCell ref="Z51:AB51"/>
    <mergeCell ref="N59:P59"/>
    <mergeCell ref="N51:P51"/>
    <mergeCell ref="Q51:S51"/>
    <mergeCell ref="Z59:AB59"/>
    <mergeCell ref="W59:Y59"/>
    <mergeCell ref="W46:Y46"/>
    <mergeCell ref="Z46:AB46"/>
    <mergeCell ref="W13:Y13"/>
    <mergeCell ref="Q59:S59"/>
    <mergeCell ref="N46:P46"/>
    <mergeCell ref="T13:V13"/>
    <mergeCell ref="T33:V33"/>
    <mergeCell ref="T51:V51"/>
    <mergeCell ref="T59:V59"/>
    <mergeCell ref="N41:P41"/>
    <mergeCell ref="T41:V41"/>
    <mergeCell ref="N13:P13"/>
    <mergeCell ref="Q46:S46"/>
    <mergeCell ref="T46:V46"/>
    <mergeCell ref="Q13:S13"/>
    <mergeCell ref="Q25:S25"/>
    <mergeCell ref="B5:D5"/>
    <mergeCell ref="B13:D13"/>
    <mergeCell ref="E25:G25"/>
    <mergeCell ref="H25:J25"/>
    <mergeCell ref="K25:M25"/>
    <mergeCell ref="E5:G5"/>
    <mergeCell ref="H5:J5"/>
    <mergeCell ref="K5:M5"/>
    <mergeCell ref="N5:P5"/>
    <mergeCell ref="B25:D25"/>
    <mergeCell ref="E13:G13"/>
    <mergeCell ref="H13:J13"/>
    <mergeCell ref="K13:M13"/>
    <mergeCell ref="N25:P25"/>
    <mergeCell ref="BD13:BF13"/>
    <mergeCell ref="BD25:BF25"/>
    <mergeCell ref="BD33:BF33"/>
    <mergeCell ref="BA41:BC41"/>
    <mergeCell ref="BD41:BF41"/>
    <mergeCell ref="AR5:AT5"/>
    <mergeCell ref="BA5:BC5"/>
    <mergeCell ref="BA13:BC13"/>
    <mergeCell ref="BA25:BC25"/>
    <mergeCell ref="BA33:BC33"/>
    <mergeCell ref="AX41:AZ41"/>
    <mergeCell ref="AX13:AZ13"/>
    <mergeCell ref="AX25:AZ25"/>
    <mergeCell ref="AU33:AW33"/>
    <mergeCell ref="AR13:AT13"/>
    <mergeCell ref="AX5:AZ5"/>
    <mergeCell ref="AR25:AT25"/>
    <mergeCell ref="AR33:AT33"/>
    <mergeCell ref="AX33:AZ33"/>
    <mergeCell ref="AU5:AW5"/>
    <mergeCell ref="AU13:AW13"/>
    <mergeCell ref="AU25:AW25"/>
    <mergeCell ref="BD5:BF5"/>
    <mergeCell ref="AU41:AW41"/>
    <mergeCell ref="BG46:BI46"/>
    <mergeCell ref="BP5:BR5"/>
    <mergeCell ref="BP13:BR13"/>
    <mergeCell ref="BP25:BR25"/>
    <mergeCell ref="BP33:BR33"/>
    <mergeCell ref="BP41:BR41"/>
    <mergeCell ref="BP46:BR46"/>
    <mergeCell ref="BM5:BO5"/>
    <mergeCell ref="BM13:BO13"/>
    <mergeCell ref="BM25:BO25"/>
    <mergeCell ref="BM33:BO33"/>
    <mergeCell ref="BM46:BO46"/>
    <mergeCell ref="BJ46:BL46"/>
    <mergeCell ref="BS5:BU5"/>
    <mergeCell ref="BS13:BU13"/>
    <mergeCell ref="BS25:BU25"/>
    <mergeCell ref="BG13:BI13"/>
    <mergeCell ref="BG25:BI25"/>
    <mergeCell ref="BG33:BI33"/>
    <mergeCell ref="BG41:BI41"/>
    <mergeCell ref="BJ5:BL5"/>
    <mergeCell ref="BJ13:BL13"/>
    <mergeCell ref="BM41:BO41"/>
    <mergeCell ref="BJ25:BL25"/>
    <mergeCell ref="BJ33:BL33"/>
    <mergeCell ref="BJ41:BL41"/>
    <mergeCell ref="BS33:BU33"/>
    <mergeCell ref="BS41:BU41"/>
    <mergeCell ref="BG5:BI5"/>
    <mergeCell ref="BY33:CA33"/>
    <mergeCell ref="BY41:CA41"/>
    <mergeCell ref="BY46:CA46"/>
    <mergeCell ref="BY51:CA51"/>
    <mergeCell ref="BY5:CA5"/>
    <mergeCell ref="BY13:CA13"/>
    <mergeCell ref="BY25:CA25"/>
    <mergeCell ref="BV5:BX5"/>
    <mergeCell ref="BV13:BX13"/>
    <mergeCell ref="BV25:BX25"/>
    <mergeCell ref="BV33:BX33"/>
    <mergeCell ref="BV41:BX41"/>
    <mergeCell ref="CB5:CD5"/>
    <mergeCell ref="CB13:CD13"/>
    <mergeCell ref="CB25:CD25"/>
    <mergeCell ref="CB33:CD33"/>
    <mergeCell ref="CB41:CD41"/>
    <mergeCell ref="CB46:CD46"/>
    <mergeCell ref="CB51:CD51"/>
    <mergeCell ref="CE5:CG5"/>
    <mergeCell ref="CE13:CG13"/>
    <mergeCell ref="CE25:CG25"/>
    <mergeCell ref="CK13:CM13"/>
    <mergeCell ref="CK25:CM25"/>
    <mergeCell ref="CH5:CJ5"/>
    <mergeCell ref="CH13:CJ13"/>
    <mergeCell ref="CH25:CJ25"/>
    <mergeCell ref="CQ5:CS5"/>
    <mergeCell ref="CQ13:CS13"/>
    <mergeCell ref="CQ25:CS25"/>
    <mergeCell ref="DL5:DN5"/>
    <mergeCell ref="DL13:DN13"/>
    <mergeCell ref="CW5:CY5"/>
    <mergeCell ref="CW13:CY13"/>
    <mergeCell ref="CW25:CY25"/>
    <mergeCell ref="CW33:CY33"/>
    <mergeCell ref="CQ33:CS33"/>
    <mergeCell ref="DF5:DH5"/>
    <mergeCell ref="DF13:DH13"/>
    <mergeCell ref="DF25:DH25"/>
    <mergeCell ref="DF33:DH33"/>
    <mergeCell ref="DI5:DK5"/>
    <mergeCell ref="DI13:DK13"/>
    <mergeCell ref="DI25:DK25"/>
    <mergeCell ref="DI33:DK33"/>
    <mergeCell ref="DI41:DK41"/>
    <mergeCell ref="DI46:DK46"/>
    <mergeCell ref="DI51:DK51"/>
    <mergeCell ref="CZ5:DB5"/>
    <mergeCell ref="CZ13:DB13"/>
    <mergeCell ref="CZ25:DB25"/>
    <mergeCell ref="CZ33:DB33"/>
    <mergeCell ref="CZ41:DB41"/>
    <mergeCell ref="CZ46:DB46"/>
    <mergeCell ref="CZ51:DB51"/>
    <mergeCell ref="DF41:DH41"/>
    <mergeCell ref="DF46:DH46"/>
    <mergeCell ref="DF51:DH51"/>
    <mergeCell ref="A67:C67"/>
    <mergeCell ref="A71:C71"/>
    <mergeCell ref="A74:C74"/>
    <mergeCell ref="DC70:DE70"/>
    <mergeCell ref="DI59:DK59"/>
    <mergeCell ref="DI66:DK66"/>
    <mergeCell ref="DL25:DN25"/>
    <mergeCell ref="DL33:DN33"/>
    <mergeCell ref="DL41:DN41"/>
    <mergeCell ref="DL46:DN46"/>
    <mergeCell ref="DL51:DN51"/>
    <mergeCell ref="DL59:DN59"/>
    <mergeCell ref="DL66:DN66"/>
    <mergeCell ref="CW41:CY41"/>
    <mergeCell ref="CW46:CY46"/>
    <mergeCell ref="CW51:CY51"/>
    <mergeCell ref="CE33:CG33"/>
    <mergeCell ref="CE41:CG41"/>
    <mergeCell ref="CE46:CG46"/>
    <mergeCell ref="CE51:CG51"/>
    <mergeCell ref="CQ41:CS41"/>
    <mergeCell ref="CQ46:CS46"/>
    <mergeCell ref="CK33:CM33"/>
    <mergeCell ref="CK41:CM41"/>
    <mergeCell ref="DL70:DN70"/>
    <mergeCell ref="DL73:DN73"/>
    <mergeCell ref="CN70:CP70"/>
    <mergeCell ref="CQ70:CS70"/>
    <mergeCell ref="CT70:CV70"/>
    <mergeCell ref="CW70:CY70"/>
    <mergeCell ref="CH71:CJ71"/>
    <mergeCell ref="CZ70:DB70"/>
    <mergeCell ref="CZ73:DB73"/>
    <mergeCell ref="DC73:DE73"/>
    <mergeCell ref="CH73:CJ73"/>
    <mergeCell ref="A75:C75"/>
    <mergeCell ref="DI70:DK70"/>
    <mergeCell ref="DI73:DK73"/>
    <mergeCell ref="CK73:CM73"/>
    <mergeCell ref="CN73:CP73"/>
    <mergeCell ref="CQ73:CS73"/>
    <mergeCell ref="CT73:CV73"/>
    <mergeCell ref="CW73:CY73"/>
    <mergeCell ref="CH74:CJ74"/>
    <mergeCell ref="CK70:CM70"/>
    <mergeCell ref="AX70:AZ70"/>
    <mergeCell ref="BA70:BC70"/>
    <mergeCell ref="BD70:BF70"/>
    <mergeCell ref="BG70:BI70"/>
    <mergeCell ref="BJ70:BL70"/>
    <mergeCell ref="BM70:BO70"/>
    <mergeCell ref="BP70:BR70"/>
    <mergeCell ref="BS70:BU70"/>
    <mergeCell ref="BV70:BX70"/>
    <mergeCell ref="BY70:CA70"/>
    <mergeCell ref="CB70:CD70"/>
    <mergeCell ref="CE70:CG70"/>
    <mergeCell ref="CH70:CJ70"/>
    <mergeCell ref="B73:D73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B70:D70"/>
    <mergeCell ref="E70:G70"/>
    <mergeCell ref="H70:J70"/>
    <mergeCell ref="K70:M70"/>
    <mergeCell ref="N70:P70"/>
    <mergeCell ref="Q70:S70"/>
    <mergeCell ref="T70:V70"/>
    <mergeCell ref="W70:Y70"/>
    <mergeCell ref="Z70:AB70"/>
    <mergeCell ref="AC70:AE70"/>
    <mergeCell ref="AF70:AH70"/>
    <mergeCell ref="AI70:AK70"/>
    <mergeCell ref="AL70:AN70"/>
    <mergeCell ref="AO70:AQ70"/>
    <mergeCell ref="AR70:AT70"/>
    <mergeCell ref="AU70:AW70"/>
    <mergeCell ref="E73:G73"/>
    <mergeCell ref="H73:J73"/>
    <mergeCell ref="K73:M73"/>
    <mergeCell ref="N73:P73"/>
    <mergeCell ref="Q73:S73"/>
    <mergeCell ref="T73:V73"/>
    <mergeCell ref="W73:Y73"/>
    <mergeCell ref="Z73:AB73"/>
    <mergeCell ref="AC73:AE73"/>
    <mergeCell ref="AF73:AH73"/>
    <mergeCell ref="AI73:AK73"/>
    <mergeCell ref="AL73:AN73"/>
    <mergeCell ref="AO73:AQ73"/>
    <mergeCell ref="AR73:AT73"/>
    <mergeCell ref="AU73:AW73"/>
    <mergeCell ref="AX73:AZ73"/>
    <mergeCell ref="CB73:CD73"/>
    <mergeCell ref="CE73:CG73"/>
    <mergeCell ref="BA73:BC73"/>
    <mergeCell ref="BD73:BF73"/>
    <mergeCell ref="BG73:BI73"/>
    <mergeCell ref="BJ73:BL73"/>
    <mergeCell ref="BM73:BO73"/>
    <mergeCell ref="BP73:BR73"/>
    <mergeCell ref="BS73:BU73"/>
    <mergeCell ref="BV73:BX73"/>
    <mergeCell ref="BY73:CA73"/>
    <mergeCell ref="DU70:DW70"/>
    <mergeCell ref="DU73:DW73"/>
    <mergeCell ref="DU51:DW51"/>
    <mergeCell ref="DU59:DW59"/>
    <mergeCell ref="DU66:DW66"/>
    <mergeCell ref="DU33:DW33"/>
    <mergeCell ref="DU41:DW41"/>
    <mergeCell ref="DU46:DW46"/>
    <mergeCell ref="DU5:DW5"/>
    <mergeCell ref="DU13:DW13"/>
    <mergeCell ref="DU25:DW25"/>
    <mergeCell ref="EM70:EO70"/>
    <mergeCell ref="EM73:EO73"/>
    <mergeCell ref="EM5:EO5"/>
    <mergeCell ref="EM13:EO13"/>
    <mergeCell ref="EM25:EO25"/>
    <mergeCell ref="EM33:EO33"/>
    <mergeCell ref="EM41:EO41"/>
    <mergeCell ref="EM46:EO46"/>
    <mergeCell ref="EM51:EO51"/>
    <mergeCell ref="EM59:EO59"/>
    <mergeCell ref="EM66:EO66"/>
    <mergeCell ref="ES70:EU70"/>
    <mergeCell ref="ES73:EU73"/>
    <mergeCell ref="ES5:EU5"/>
    <mergeCell ref="ES13:EU13"/>
    <mergeCell ref="ES25:EU25"/>
    <mergeCell ref="ES33:EU33"/>
    <mergeCell ref="ES41:EU41"/>
    <mergeCell ref="ES46:EU46"/>
    <mergeCell ref="ES51:EU51"/>
    <mergeCell ref="ES59:EU59"/>
    <mergeCell ref="ES66:EU66"/>
    <mergeCell ref="EV70:EX70"/>
    <mergeCell ref="EV73:EX73"/>
    <mergeCell ref="EV5:EX5"/>
    <mergeCell ref="EV13:EX13"/>
    <mergeCell ref="EV25:EX25"/>
    <mergeCell ref="EV33:EX33"/>
    <mergeCell ref="EV41:EX41"/>
    <mergeCell ref="EV46:EX46"/>
    <mergeCell ref="EV51:EX51"/>
    <mergeCell ref="EV59:EX59"/>
    <mergeCell ref="EV66:EX66"/>
    <mergeCell ref="EY70:FA70"/>
    <mergeCell ref="EY73:FA73"/>
    <mergeCell ref="EY5:FA5"/>
    <mergeCell ref="EY13:FA13"/>
    <mergeCell ref="EY25:FA25"/>
    <mergeCell ref="EY33:FA33"/>
    <mergeCell ref="EY41:FA41"/>
    <mergeCell ref="EY46:FA46"/>
    <mergeCell ref="EY51:FA51"/>
    <mergeCell ref="EY59:FA59"/>
    <mergeCell ref="EY66:FA66"/>
    <mergeCell ref="FK70:FM70"/>
    <mergeCell ref="FK73:FM73"/>
    <mergeCell ref="FK5:FM5"/>
    <mergeCell ref="FK13:FM13"/>
    <mergeCell ref="FK25:FM25"/>
    <mergeCell ref="FK33:FM33"/>
    <mergeCell ref="FK41:FM41"/>
    <mergeCell ref="FK46:FM46"/>
    <mergeCell ref="FK51:FM51"/>
    <mergeCell ref="FK59:FM59"/>
    <mergeCell ref="FK66:FM66"/>
    <mergeCell ref="FK50:FM50"/>
    <mergeCell ref="FK57:FM58"/>
    <mergeCell ref="FQ59:FS59"/>
    <mergeCell ref="FQ66:FS66"/>
    <mergeCell ref="FQ70:FS70"/>
    <mergeCell ref="FQ73:FS73"/>
    <mergeCell ref="FQ5:FS5"/>
    <mergeCell ref="FQ13:FS13"/>
    <mergeCell ref="FQ25:FS25"/>
    <mergeCell ref="FQ33:FS33"/>
    <mergeCell ref="FQ41:FS41"/>
    <mergeCell ref="FQ46:FS46"/>
    <mergeCell ref="FQ50:FS50"/>
    <mergeCell ref="FQ51:FS51"/>
    <mergeCell ref="FQ57:FS58"/>
    <mergeCell ref="FT59:FV59"/>
    <mergeCell ref="FT66:FV66"/>
    <mergeCell ref="FT70:FV70"/>
    <mergeCell ref="FT73:FV73"/>
    <mergeCell ref="FT5:FV5"/>
    <mergeCell ref="FT13:FV13"/>
    <mergeCell ref="FT25:FV25"/>
    <mergeCell ref="FT33:FV33"/>
    <mergeCell ref="FT41:FV41"/>
    <mergeCell ref="FT46:FV46"/>
    <mergeCell ref="FT50:FV50"/>
    <mergeCell ref="FT51:FV51"/>
    <mergeCell ref="FT57:FV58"/>
    <mergeCell ref="FW59:FY59"/>
    <mergeCell ref="FW66:FY66"/>
    <mergeCell ref="FW70:FY70"/>
    <mergeCell ref="FW73:FY73"/>
    <mergeCell ref="FW5:FY5"/>
    <mergeCell ref="FW13:FY13"/>
    <mergeCell ref="FW25:FY25"/>
    <mergeCell ref="FW33:FY33"/>
    <mergeCell ref="FW41:FY41"/>
    <mergeCell ref="FW46:FY46"/>
    <mergeCell ref="FW50:FY50"/>
    <mergeCell ref="FW51:FY51"/>
    <mergeCell ref="FW57:FY58"/>
    <mergeCell ref="FZ59:GB59"/>
    <mergeCell ref="FZ66:GB66"/>
    <mergeCell ref="FZ70:GB70"/>
    <mergeCell ref="FZ73:GB73"/>
    <mergeCell ref="FZ95:GB95"/>
    <mergeCell ref="FZ103:GB103"/>
    <mergeCell ref="FZ111:GB111"/>
    <mergeCell ref="FZ118:GB118"/>
    <mergeCell ref="FZ5:GB5"/>
    <mergeCell ref="FZ13:GB13"/>
    <mergeCell ref="FZ25:GB25"/>
    <mergeCell ref="FZ33:GB33"/>
    <mergeCell ref="FZ41:GB41"/>
    <mergeCell ref="FZ46:GB46"/>
    <mergeCell ref="FZ50:GB50"/>
    <mergeCell ref="FZ51:GB51"/>
    <mergeCell ref="FZ57:GB58"/>
    <mergeCell ref="GI59:GK59"/>
    <mergeCell ref="GI66:GK66"/>
    <mergeCell ref="GI70:GK70"/>
    <mergeCell ref="GI73:GK73"/>
    <mergeCell ref="GI95:GK95"/>
    <mergeCell ref="GI103:GK103"/>
    <mergeCell ref="GI111:GK111"/>
    <mergeCell ref="GI118:GK118"/>
    <mergeCell ref="GI5:GK5"/>
    <mergeCell ref="GI13:GK13"/>
    <mergeCell ref="GI25:GK25"/>
    <mergeCell ref="GI33:GK33"/>
    <mergeCell ref="GI41:GK41"/>
    <mergeCell ref="GI46:GK46"/>
    <mergeCell ref="GI50:GK50"/>
    <mergeCell ref="GI51:GK51"/>
    <mergeCell ref="GI57:GK58"/>
  </mergeCells>
  <phoneticPr fontId="2" type="noConversion"/>
  <pageMargins left="0.39370078740157483" right="0.43307086614173229" top="0.31496062992125984" bottom="0.19685039370078741" header="0.19685039370078741" footer="0.19685039370078741"/>
  <pageSetup paperSize="9" scale="75" orientation="landscape" r:id="rId1"/>
  <headerFooter alignWithMargins="0"/>
  <rowBreaks count="1" manualBreakCount="1">
    <brk id="4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BO122"/>
  <sheetViews>
    <sheetView workbookViewId="0">
      <pane xSplit="1" ySplit="6" topLeftCell="BK7" activePane="bottomRight" state="frozen"/>
      <selection pane="topRight" activeCell="B1" sqref="B1"/>
      <selection pane="bottomLeft" activeCell="A7" sqref="A7"/>
      <selection pane="bottomRight" activeCell="BO24" sqref="BO24"/>
    </sheetView>
  </sheetViews>
  <sheetFormatPr baseColWidth="10" defaultColWidth="33" defaultRowHeight="11.5" x14ac:dyDescent="0.25"/>
  <cols>
    <col min="1" max="1" width="74.7265625" style="4" customWidth="1"/>
    <col min="2" max="2" width="30.26953125" style="4" bestFit="1" customWidth="1"/>
    <col min="3" max="11" width="7.81640625" style="4" bestFit="1" customWidth="1"/>
    <col min="12" max="14" width="8.54296875" style="4" bestFit="1" customWidth="1"/>
    <col min="15" max="15" width="8.54296875" style="93" bestFit="1" customWidth="1"/>
    <col min="16" max="16" width="8.54296875" style="76" bestFit="1" customWidth="1"/>
    <col min="17" max="35" width="8" style="4" bestFit="1" customWidth="1"/>
    <col min="36" max="36" width="8" style="4" customWidth="1"/>
    <col min="37" max="37" width="9.26953125" style="4" customWidth="1"/>
    <col min="38" max="39" width="8.81640625" style="4" customWidth="1"/>
    <col min="40" max="41" width="9.81640625" style="4" customWidth="1"/>
    <col min="42" max="42" width="14.453125" style="4" customWidth="1"/>
    <col min="43" max="43" width="8.81640625" style="4" customWidth="1"/>
    <col min="44" max="44" width="8.81640625" style="198" customWidth="1"/>
    <col min="45" max="45" width="8.81640625" style="126" customWidth="1"/>
    <col min="46" max="61" width="9.1796875" style="126" customWidth="1"/>
    <col min="62" max="66" width="12.26953125" style="4" bestFit="1" customWidth="1"/>
    <col min="67" max="16384" width="33" style="4"/>
  </cols>
  <sheetData>
    <row r="1" spans="1:67" x14ac:dyDescent="0.25">
      <c r="A1" s="32" t="s">
        <v>17</v>
      </c>
      <c r="I1" s="77" t="s">
        <v>69</v>
      </c>
      <c r="J1" s="98"/>
      <c r="K1" s="98"/>
      <c r="L1" s="98"/>
      <c r="Q1" s="76"/>
      <c r="R1" s="76"/>
      <c r="S1" s="76"/>
      <c r="T1" s="76"/>
      <c r="U1" s="76"/>
      <c r="V1" s="76"/>
      <c r="BO1" s="252" t="s">
        <v>346</v>
      </c>
    </row>
    <row r="2" spans="1:67" ht="12.5" x14ac:dyDescent="0.25">
      <c r="A2" s="32" t="s">
        <v>19</v>
      </c>
      <c r="I2" s="59" t="s">
        <v>68</v>
      </c>
      <c r="J2" s="98"/>
      <c r="K2" s="98"/>
      <c r="L2" s="98"/>
      <c r="Q2" s="76"/>
      <c r="R2" s="76"/>
      <c r="S2" s="76"/>
      <c r="T2" s="76"/>
      <c r="U2" s="76"/>
      <c r="V2" s="76"/>
    </row>
    <row r="3" spans="1:67" ht="16.5" customHeight="1" x14ac:dyDescent="0.25">
      <c r="A3" s="69" t="s">
        <v>37</v>
      </c>
      <c r="C3" s="76" t="s">
        <v>51</v>
      </c>
      <c r="D3" s="76" t="s">
        <v>52</v>
      </c>
      <c r="E3" s="76" t="s">
        <v>53</v>
      </c>
      <c r="F3" s="76" t="s">
        <v>54</v>
      </c>
      <c r="G3" s="76" t="s">
        <v>56</v>
      </c>
      <c r="H3" s="76" t="s">
        <v>57</v>
      </c>
      <c r="I3" s="76" t="s">
        <v>58</v>
      </c>
      <c r="J3" s="76" t="s">
        <v>59</v>
      </c>
      <c r="K3" s="76" t="s">
        <v>60</v>
      </c>
      <c r="L3" s="76" t="s">
        <v>61</v>
      </c>
      <c r="M3" s="76" t="s">
        <v>76</v>
      </c>
      <c r="N3" s="76" t="s">
        <v>85</v>
      </c>
      <c r="O3" s="76" t="s">
        <v>107</v>
      </c>
      <c r="P3" s="76" t="s">
        <v>114</v>
      </c>
      <c r="Q3" s="76" t="s">
        <v>137</v>
      </c>
      <c r="R3" s="76" t="s">
        <v>143</v>
      </c>
      <c r="S3" s="76" t="s">
        <v>148</v>
      </c>
      <c r="T3" s="76" t="s">
        <v>153</v>
      </c>
      <c r="U3" s="76" t="s">
        <v>162</v>
      </c>
      <c r="V3" s="76" t="s">
        <v>167</v>
      </c>
      <c r="W3" s="111" t="s">
        <v>171</v>
      </c>
      <c r="X3" s="111" t="s">
        <v>176</v>
      </c>
      <c r="Y3" s="111" t="s">
        <v>181</v>
      </c>
      <c r="Z3" s="111" t="s">
        <v>196</v>
      </c>
      <c r="AA3" s="111" t="s">
        <v>201</v>
      </c>
      <c r="AB3" s="111" t="s">
        <v>232</v>
      </c>
      <c r="AC3" s="111" t="s">
        <v>233</v>
      </c>
      <c r="AD3" s="111" t="s">
        <v>213</v>
      </c>
      <c r="AE3" s="111" t="s">
        <v>222</v>
      </c>
      <c r="AF3" s="111" t="s">
        <v>230</v>
      </c>
      <c r="AG3" s="111" t="s">
        <v>234</v>
      </c>
      <c r="AH3" s="111" t="s">
        <v>237</v>
      </c>
      <c r="AI3" s="111" t="s">
        <v>242</v>
      </c>
      <c r="AJ3" s="111" t="s">
        <v>250</v>
      </c>
      <c r="AK3" s="111" t="s">
        <v>253</v>
      </c>
      <c r="AL3" s="111" t="s">
        <v>258</v>
      </c>
      <c r="AM3" s="111" t="s">
        <v>262</v>
      </c>
      <c r="AN3" s="111" t="s">
        <v>272</v>
      </c>
      <c r="AO3" s="4" t="s">
        <v>283</v>
      </c>
      <c r="AP3" s="4" t="s">
        <v>282</v>
      </c>
      <c r="AQ3" s="111" t="s">
        <v>284</v>
      </c>
      <c r="AR3" s="271" t="s">
        <v>311</v>
      </c>
      <c r="AS3" s="259" t="s">
        <v>312</v>
      </c>
      <c r="AT3" s="259" t="s">
        <v>320</v>
      </c>
      <c r="AU3" s="259" t="s">
        <v>321</v>
      </c>
      <c r="AV3" s="259" t="s">
        <v>337</v>
      </c>
      <c r="AW3" s="259" t="s">
        <v>338</v>
      </c>
      <c r="AX3" s="259" t="s">
        <v>339</v>
      </c>
      <c r="AY3" s="259" t="s">
        <v>341</v>
      </c>
      <c r="AZ3" s="259" t="s">
        <v>351</v>
      </c>
      <c r="BA3" s="259" t="s">
        <v>352</v>
      </c>
      <c r="BB3" s="259" t="s">
        <v>357</v>
      </c>
      <c r="BC3" s="259" t="s">
        <v>361</v>
      </c>
      <c r="BD3" s="259" t="s">
        <v>366</v>
      </c>
      <c r="BE3" s="259" t="s">
        <v>368</v>
      </c>
      <c r="BF3" s="259" t="s">
        <v>387</v>
      </c>
      <c r="BG3" s="259" t="s">
        <v>388</v>
      </c>
      <c r="BH3" s="259" t="s">
        <v>395</v>
      </c>
      <c r="BI3" s="259" t="s">
        <v>400</v>
      </c>
      <c r="BJ3" s="259" t="s">
        <v>410</v>
      </c>
      <c r="BK3" s="259" t="s">
        <v>416</v>
      </c>
      <c r="BL3" s="259" t="s">
        <v>420</v>
      </c>
      <c r="BM3" s="259" t="s">
        <v>425</v>
      </c>
      <c r="BN3" s="259" t="s">
        <v>431</v>
      </c>
    </row>
    <row r="4" spans="1:67" x14ac:dyDescent="0.25">
      <c r="A4" s="3" t="s">
        <v>154</v>
      </c>
      <c r="Q4" s="76"/>
      <c r="BJ4" s="126"/>
      <c r="BK4" s="126"/>
      <c r="BL4" s="126"/>
      <c r="BM4" s="126"/>
      <c r="BN4" s="126"/>
    </row>
    <row r="5" spans="1:67" s="32" customFormat="1" x14ac:dyDescent="0.25">
      <c r="A5" s="3"/>
      <c r="O5" s="95"/>
      <c r="P5" s="99"/>
      <c r="Q5" s="99"/>
      <c r="AR5" s="272"/>
      <c r="AS5" s="260"/>
      <c r="AT5" s="260"/>
      <c r="AU5" s="260"/>
      <c r="AV5" s="260"/>
      <c r="AW5" s="260"/>
      <c r="AX5" s="260"/>
      <c r="AY5" s="260"/>
      <c r="AZ5" s="260"/>
      <c r="BA5" s="260"/>
      <c r="BB5" s="260"/>
      <c r="BC5" s="260"/>
      <c r="BD5" s="260"/>
      <c r="BE5" s="260"/>
      <c r="BF5" s="260"/>
      <c r="BG5" s="260"/>
      <c r="BH5" s="260"/>
      <c r="BI5" s="260"/>
      <c r="BJ5" s="260"/>
      <c r="BK5" s="260"/>
      <c r="BL5" s="260"/>
      <c r="BM5" s="260"/>
      <c r="BN5" s="260"/>
    </row>
    <row r="6" spans="1:67" ht="12" thickBot="1" x14ac:dyDescent="0.3">
      <c r="A6" s="3"/>
      <c r="B6" s="70" t="s">
        <v>38</v>
      </c>
      <c r="C6" s="70" t="s">
        <v>39</v>
      </c>
      <c r="D6" s="70" t="s">
        <v>40</v>
      </c>
      <c r="E6" s="70" t="s">
        <v>41</v>
      </c>
      <c r="F6" s="70" t="s">
        <v>42</v>
      </c>
      <c r="G6" s="70" t="s">
        <v>43</v>
      </c>
      <c r="H6" s="70" t="s">
        <v>44</v>
      </c>
      <c r="I6" s="70" t="s">
        <v>45</v>
      </c>
      <c r="J6" s="70" t="s">
        <v>46</v>
      </c>
      <c r="K6" s="70" t="s">
        <v>47</v>
      </c>
      <c r="L6" s="70" t="s">
        <v>48</v>
      </c>
      <c r="M6" s="70" t="s">
        <v>74</v>
      </c>
      <c r="N6" s="70" t="s">
        <v>83</v>
      </c>
      <c r="O6" s="70" t="s">
        <v>106</v>
      </c>
      <c r="P6" s="70" t="s">
        <v>111</v>
      </c>
      <c r="Q6" s="70" t="s">
        <v>135</v>
      </c>
      <c r="R6" s="70" t="s">
        <v>141</v>
      </c>
      <c r="S6" s="70" t="s">
        <v>145</v>
      </c>
      <c r="T6" s="70" t="s">
        <v>150</v>
      </c>
      <c r="U6" s="70" t="s">
        <v>159</v>
      </c>
      <c r="V6" s="70" t="s">
        <v>164</v>
      </c>
      <c r="W6" s="70" t="s">
        <v>168</v>
      </c>
      <c r="X6" s="70" t="s">
        <v>172</v>
      </c>
      <c r="Y6" s="70" t="s">
        <v>178</v>
      </c>
      <c r="Z6" s="70" t="s">
        <v>193</v>
      </c>
      <c r="AA6" s="70" t="s">
        <v>198</v>
      </c>
      <c r="AB6" s="70" t="s">
        <v>203</v>
      </c>
      <c r="AC6" s="70" t="s">
        <v>206</v>
      </c>
      <c r="AD6" s="70" t="s">
        <v>210</v>
      </c>
      <c r="AE6" s="70" t="s">
        <v>219</v>
      </c>
      <c r="AF6" s="70" t="s">
        <v>224</v>
      </c>
      <c r="AG6" s="70" t="s">
        <v>228</v>
      </c>
      <c r="AH6" s="70" t="s">
        <v>235</v>
      </c>
      <c r="AI6" s="70" t="s">
        <v>240</v>
      </c>
      <c r="AJ6" s="70" t="s">
        <v>248</v>
      </c>
      <c r="AK6" s="70" t="s">
        <v>251</v>
      </c>
      <c r="AL6" s="70" t="s">
        <v>256</v>
      </c>
      <c r="AM6" s="70" t="s">
        <v>263</v>
      </c>
      <c r="AN6" s="70" t="s">
        <v>271</v>
      </c>
      <c r="AO6" s="70" t="s">
        <v>275</v>
      </c>
      <c r="AP6" s="70" t="s">
        <v>277</v>
      </c>
      <c r="AQ6" s="70" t="s">
        <v>280</v>
      </c>
      <c r="AR6" s="273" t="s">
        <v>304</v>
      </c>
      <c r="AS6" s="196" t="s">
        <v>309</v>
      </c>
      <c r="AT6" s="196" t="s">
        <v>317</v>
      </c>
      <c r="AU6" s="196" t="s">
        <v>319</v>
      </c>
      <c r="AV6" s="196" t="s">
        <v>324</v>
      </c>
      <c r="AW6" s="196" t="s">
        <v>327</v>
      </c>
      <c r="AX6" s="196" t="s">
        <v>334</v>
      </c>
      <c r="AY6" s="196" t="s">
        <v>340</v>
      </c>
      <c r="AZ6" s="196" t="s">
        <v>345</v>
      </c>
      <c r="BA6" s="196" t="s">
        <v>355</v>
      </c>
      <c r="BB6" s="133" t="s">
        <v>356</v>
      </c>
      <c r="BC6" s="133" t="s">
        <v>360</v>
      </c>
      <c r="BD6" s="133" t="s">
        <v>365</v>
      </c>
      <c r="BE6" s="133" t="s">
        <v>371</v>
      </c>
      <c r="BF6" s="133" t="s">
        <v>375</v>
      </c>
      <c r="BG6" s="133" t="s">
        <v>386</v>
      </c>
      <c r="BH6" s="133" t="s">
        <v>394</v>
      </c>
      <c r="BI6" s="133" t="s">
        <v>399</v>
      </c>
      <c r="BJ6" s="133" t="s">
        <v>408</v>
      </c>
      <c r="BK6" s="133" t="s">
        <v>417</v>
      </c>
      <c r="BL6" s="133" t="s">
        <v>421</v>
      </c>
      <c r="BM6" s="133" t="s">
        <v>424</v>
      </c>
      <c r="BN6" s="133" t="s">
        <v>432</v>
      </c>
    </row>
    <row r="7" spans="1:67" x14ac:dyDescent="0.25">
      <c r="A7" s="38" t="s">
        <v>2</v>
      </c>
      <c r="B7" s="71"/>
      <c r="C7" s="72">
        <f>'retraites SA Nb'!$G7/'retraites SA Nb'!$D7-1</f>
        <v>1.0422459271759443E-3</v>
      </c>
      <c r="D7" s="72">
        <f>'retraites SA Nb'!$J7/'retraites SA Nb'!$G7-1</f>
        <v>-1.2315895392638332E-3</v>
      </c>
      <c r="E7" s="72">
        <f>'retraites SA Nb'!$M7/'retraites SA Nb'!$J7-1</f>
        <v>0</v>
      </c>
      <c r="F7" s="72">
        <f>'retraites SA Nb'!$P7/'retraites SA Nb'!$M7-1</f>
        <v>-4.2589053428676582E-4</v>
      </c>
      <c r="G7" s="72">
        <f>'retraites SA Nb'!$S7/'retraites SA Nb'!$P7-1</f>
        <v>1.7229109915852803E-3</v>
      </c>
      <c r="H7" s="72">
        <f>'retraites SA Nb'!$V7/'retraites SA Nb'!$S7-1</f>
        <v>-5.9851700286300824E-3</v>
      </c>
      <c r="I7" s="72">
        <f>'retraites SA Nb'!$Y7/'retraites SA Nb'!$V7-1</f>
        <v>0</v>
      </c>
      <c r="J7" s="72">
        <f>'retraites SA Nb'!$AB7/'retraites SA Nb'!$Y7-1</f>
        <v>7.689168740046437E-3</v>
      </c>
      <c r="K7" s="72">
        <f>'retraites SA Nb'!$AE7/'retraites SA Nb'!$AB7-1</f>
        <v>6.0798752753798979E-4</v>
      </c>
      <c r="L7" s="72">
        <f>'retraites SA Nb'!$AH7/'retraites SA Nb'!$AE7-1</f>
        <v>-5.0250747859281741E-4</v>
      </c>
      <c r="M7" s="72">
        <f>'retraites SA Nb'!$AK7/'retraites SA Nb'!$AH7-1</f>
        <v>-2.1190158048886021E-3</v>
      </c>
      <c r="N7" s="72">
        <f>'retraites SA Nb'!$AN7/'retraites SA Nb'!$AK7-1</f>
        <v>-4.2137807594160304E-3</v>
      </c>
      <c r="O7" s="72">
        <f>'retraites SA Nb'!$AQ7/'retraites SA Nb'!$AN7-1</f>
        <v>-3.1783779745651053E-3</v>
      </c>
      <c r="P7" s="72">
        <f>'retraites SA Nb'!$AT7/'retraites SA Nb'!$AQ7-1</f>
        <v>-3.030676372249741E-3</v>
      </c>
      <c r="Q7" s="72">
        <f>'retraites SA Nb'!$AW7/'retraites SA Nb'!$AT7-1</f>
        <v>-3.4185941223870975E-3</v>
      </c>
      <c r="R7" s="72">
        <f>'retraites SA Nb'!$AZ7/'retraites SA Nb'!$AW7-1</f>
        <v>-4.0108983978121016E-3</v>
      </c>
      <c r="S7" s="72">
        <f>'retraites SA Nb'!$BC7/'retraites SA Nb'!$AZ7-1</f>
        <v>-8.2044197151631693E-5</v>
      </c>
      <c r="T7" s="72">
        <f>'retraites SA Nb'!$BF7/'retraites SA Nb'!$BC7-1</f>
        <v>-3.7852446035735454E-3</v>
      </c>
      <c r="U7" s="72">
        <f>'retraites SA Nb'!$BI7/'retraites SA Nb'!$BF7-1</f>
        <v>4.2102886553168073E-3</v>
      </c>
      <c r="V7" s="72">
        <f>'retraites SA Nb'!$BL7/'retraites SA Nb'!$BI7-1</f>
        <v>2.2901774729815472E-3</v>
      </c>
      <c r="W7" s="72">
        <f>'retraites SA Nb'!$BO7/'retraites SA Nb'!$BL7-1</f>
        <v>6.5120633398296768E-4</v>
      </c>
      <c r="X7" s="72">
        <f>'retraites SA Nb'!$BR7/'retraites SA Nb'!$BO7-1</f>
        <v>4.4777041215460223E-4</v>
      </c>
      <c r="Y7" s="72">
        <f>'retraites SA Nb'!$BU7/'retraites SA Nb'!$BR7-1</f>
        <v>2.9443589888691335E-3</v>
      </c>
      <c r="Z7" s="72">
        <f>'retraites SA Nb'!$BX7/'retraites SA Nb'!$BU7-1</f>
        <v>3.0029670614009074E-3</v>
      </c>
      <c r="AA7" s="72">
        <f>'retraites SA Nb'!$CA7/'retraites SA Nb'!$BX7-1</f>
        <v>3.6769824083298097E-3</v>
      </c>
      <c r="AB7" s="72">
        <f>'retraites SA Nb'!$CG7/'retraites SA Nb'!$CA7-1</f>
        <v>-6.4653537431680341E-4</v>
      </c>
      <c r="AC7" s="72">
        <f>'retraites SA Nb'!BU7/'retraites SA Nb'!BR7-1</f>
        <v>2.9443589888691335E-3</v>
      </c>
      <c r="AD7" s="72">
        <f>'retraites SA Nb'!$CJ7/'retraites SA Nb'!$CG7-1</f>
        <v>1.3698195554487924E-3</v>
      </c>
      <c r="AE7" s="72">
        <f>'retraites SA Nb'!$CM7/'retraites SA Nb'!$CJ7-1</f>
        <v>4.1683308686173426E-3</v>
      </c>
      <c r="AF7" s="72">
        <f>'retraites SA Nb'!$CS7/'retraites SA Nb'!$CM7-1</f>
        <v>4.5780745945591672E-3</v>
      </c>
      <c r="AG7" s="72">
        <f>'retraites SA Nb'!CS7/'retraites SA Nb'!CP7-1</f>
        <v>2.6422493363449373E-3</v>
      </c>
      <c r="AH7" s="72">
        <f>'retraites SA Nb'!CV7/'retraites SA Nb'!CS7-1</f>
        <v>-7.9636230671387143E-4</v>
      </c>
      <c r="AI7" s="72">
        <f>'retraites SA Nb'!$CY7/'retraites SA Nb'!$CV7-1</f>
        <v>-2.8063274827072604E-5</v>
      </c>
      <c r="AJ7" s="72">
        <f>'retraites SA Nb'!$DB7/'retraites SA Nb'!$CY7-1</f>
        <v>1.9824453676897669E-3</v>
      </c>
      <c r="AK7" s="72">
        <f>'retraites SA Nb'!$DE7/'retraites SA Nb'!$DB7-1</f>
        <v>-9.7805811211260085E-4</v>
      </c>
      <c r="AL7" s="72">
        <f>'retraites SA Nb'!$DH7/'retraites SA Nb'!$DE7-1</f>
        <v>-1.9916744419723464E-3</v>
      </c>
      <c r="AM7" s="72">
        <f>'retraites SA Nb'!$DK7/'retraites SA Nb'!$DH7-1</f>
        <v>-3.4328311249348653E-3</v>
      </c>
      <c r="AN7" s="72">
        <f>'retraites SA Nb'!$DN7/'retraites SA Nb'!$DK7-1</f>
        <v>-5.250986321727491E-3</v>
      </c>
      <c r="AO7" s="72">
        <f>'retraites SA Nb'!$DQ7/'retraites SA Nb'!$DN7-1</f>
        <v>-2.9323618491449155E-3</v>
      </c>
      <c r="AP7" s="72">
        <f>'retraites SA Nb'!$DT7/'retraites SA Nb'!$DQ7-1</f>
        <v>-2.4998948429864054E-3</v>
      </c>
      <c r="AQ7" s="72">
        <f>'retraites SA Nb'!$DW7/'retraites SA Nb'!$DT7-1</f>
        <v>-4.9490676264305478E-3</v>
      </c>
      <c r="AR7" s="274">
        <f>'retraites SA Nb'!$DZ7/'retraites SA Nb'!$DW7-1</f>
        <v>-6.5817542296346954E-3</v>
      </c>
      <c r="AS7" s="261">
        <f>'retraites SA Nb'!$EC7/'retraites SA Nb'!$DZ7-1</f>
        <v>-6.3290555474209143E-3</v>
      </c>
      <c r="AT7" s="261">
        <f>'retraites SA Nb'!$EF7/'retraites SA Nb'!$EC7-1</f>
        <v>-5.3314954467631459E-4</v>
      </c>
      <c r="AU7" s="261">
        <f>'retraites SA Nb'!$EI7/'retraites SA Nb'!$EF7-1</f>
        <v>-3.9755049918737129E-3</v>
      </c>
      <c r="AV7" s="261">
        <f>'retraites SA Nb'!$EL7/'retraites SA Nb'!$EI7-1</f>
        <v>-6.8877258150145115E-3</v>
      </c>
      <c r="AW7" s="261">
        <f>'retraites SA Nb'!$EO7/'retraites SA Nb'!$EL7-1</f>
        <v>-5.8011938042358269E-3</v>
      </c>
      <c r="AX7" s="261">
        <f>'retraites SA Nb'!$ER7/'retraites SA Nb'!$EO7-1</f>
        <v>-7.8636750507304898E-3</v>
      </c>
      <c r="AY7" s="261">
        <f>'retraites SA Nb'!$EU7/'retraites SA Nb'!$ER7-1</f>
        <v>-6.3102236092908992E-3</v>
      </c>
      <c r="AZ7" s="261">
        <f>'retraites SA Nb'!$EX7/'retraites SA Nb'!$EU7-1</f>
        <v>-6.6622124196858978E-3</v>
      </c>
      <c r="BA7" s="261">
        <f>'retraites SA Nb'!$FA7/'retraites SA Nb'!$EX7-1</f>
        <v>-5.1555339117689281E-3</v>
      </c>
      <c r="BB7" s="261">
        <f>'retraites SA Nb'!$FD7/'retraites SA Nb'!$FA7-1</f>
        <v>-5.3609703907711026E-3</v>
      </c>
      <c r="BC7" s="261">
        <f>'retraites SA Nb'!$FG7/'retraites SA Nb'!$FD7-1</f>
        <v>-4.7423992788336866E-3</v>
      </c>
      <c r="BD7" s="261">
        <f>'retraites SA Nb'!$FJ7/'retraites SA Nb'!$FG7-1</f>
        <v>-4.8519001541617035E-3</v>
      </c>
      <c r="BE7" s="261">
        <f>'retraites SA Nb'!$FM7/'retraites SA Nb'!$FJ7-1</f>
        <v>-4.3417538348571316E-3</v>
      </c>
      <c r="BF7" s="261">
        <f>'retraites SA Nb'!$FP7/'retraites SA Nb'!$FM7-1</f>
        <v>-4.9252290441510471E-3</v>
      </c>
      <c r="BG7" s="261">
        <f>'retraites SA Nb'!$FS7/'retraites SA Nb'!$FP7-1</f>
        <v>-5.3977655385940571E-3</v>
      </c>
      <c r="BH7" s="261">
        <f>'retraites SA Nb'!$FV7/'retraites SA Nb'!$FS7-1</f>
        <v>-4.4097979144264166E-3</v>
      </c>
      <c r="BI7" s="261">
        <f>'retraites SA Nb'!$FY7/'retraites SA Nb'!$FV7-1</f>
        <v>-3.507232295372309E-3</v>
      </c>
      <c r="BJ7" s="261">
        <f>'retraites SA Nb'!$GB7/'retraites SA Nb'!$FY7-1</f>
        <v>-4.2757032861959754E-3</v>
      </c>
      <c r="BK7" s="261">
        <f>'retraites SA Nb'!$GE7/'retraites SA Nb'!$GB7-1</f>
        <v>-5.93095004494959E-3</v>
      </c>
      <c r="BL7" s="261">
        <f>'retraites SA Nb'!$GH7/'retraites SA Nb'!$GE7-1</f>
        <v>-4.9577532817073333E-3</v>
      </c>
      <c r="BM7" s="261">
        <f>'retraites SA Nb'!$GK7/'retraites SA Nb'!$GH7-1</f>
        <v>-4.18791922304107E-3</v>
      </c>
      <c r="BN7" s="261">
        <f>'retraites SA Nb'!$GN7/'retraites SA Nb'!$GK7-1</f>
        <v>-4.7846982016332973E-3</v>
      </c>
    </row>
    <row r="8" spans="1:67" x14ac:dyDescent="0.25">
      <c r="A8" s="39" t="s">
        <v>3</v>
      </c>
      <c r="B8" s="71"/>
      <c r="C8" s="72">
        <f>'retraites SA Nb'!$G8/'retraites SA Nb'!$D8-1</f>
        <v>1.3089882685013432E-3</v>
      </c>
      <c r="D8" s="72">
        <f>'retraites SA Nb'!$J8/'retraites SA Nb'!$G8-1</f>
        <v>2.2533791878673881E-3</v>
      </c>
      <c r="E8" s="72">
        <f>'retraites SA Nb'!$M8/'retraites SA Nb'!$J8-1</f>
        <v>4.8323785181525469E-3</v>
      </c>
      <c r="F8" s="72">
        <f>'retraites SA Nb'!$P8/'retraites SA Nb'!$M8-1</f>
        <v>4.761904761904745E-3</v>
      </c>
      <c r="G8" s="72">
        <f>'retraites SA Nb'!$S8/'retraites SA Nb'!$P8-1</f>
        <v>2.8763350059719528E-3</v>
      </c>
      <c r="H8" s="72">
        <f>'retraites SA Nb'!$V8/'retraites SA Nb'!$S8-1</f>
        <v>-1.2795272172974048E-2</v>
      </c>
      <c r="I8" s="72">
        <f>'retraites SA Nb'!$Y8/'retraites SA Nb'!$V8-1</f>
        <v>-2.4444975941917413E-4</v>
      </c>
      <c r="J8" s="72">
        <f>'retraites SA Nb'!$AB8/'retraites SA Nb'!$Y8-1</f>
        <v>1.9094611115508808E-2</v>
      </c>
      <c r="K8" s="72">
        <f>'retraites SA Nb'!$AE8/'retraites SA Nb'!$AB8-1</f>
        <v>4.5741706079338584E-4</v>
      </c>
      <c r="L8" s="72">
        <f>'retraites SA Nb'!$AH8/'retraites SA Nb'!$AE8-1</f>
        <v>1.3802503429058977E-3</v>
      </c>
      <c r="M8" s="72">
        <f>'retraites SA Nb'!$AK8/'retraites SA Nb'!$AH8-1</f>
        <v>2.7946003221888116E-3</v>
      </c>
      <c r="N8" s="72">
        <f>'retraites SA Nb'!$AN8/'retraites SA Nb'!$AK8-1</f>
        <v>3.6390064378457598E-3</v>
      </c>
      <c r="O8" s="72">
        <f>'retraites SA Nb'!$AQ8/'retraites SA Nb'!$AN8-1</f>
        <v>7.908995198109281E-4</v>
      </c>
      <c r="P8" s="72">
        <f>'retraites SA Nb'!$AT8/'retraites SA Nb'!$AQ8-1</f>
        <v>-6.0724555128488511E-4</v>
      </c>
      <c r="Q8" s="72">
        <f>'retraites SA Nb'!$AW8/'retraites SA Nb'!$AT8-1</f>
        <v>2.1497572965090139E-3</v>
      </c>
      <c r="R8" s="72">
        <f>'retraites SA Nb'!$AZ8/'retraites SA Nb'!$AW8-1</f>
        <v>1.7933145234565462E-3</v>
      </c>
      <c r="S8" s="72">
        <f>'retraites SA Nb'!$BC8/'retraites SA Nb'!$AZ8-1</f>
        <v>-2.2350730874014513E-3</v>
      </c>
      <c r="T8" s="72">
        <f>'retraites SA Nb'!$BF8/'retraites SA Nb'!$BC8-1</f>
        <v>-2.139267693811342E-3</v>
      </c>
      <c r="U8" s="72">
        <f>'retraites SA Nb'!$BI8/'retraites SA Nb'!$BF8-1</f>
        <v>3.8185258435441405E-4</v>
      </c>
      <c r="V8" s="72">
        <f>'retraites SA Nb'!$BL8/'retraites SA Nb'!$BI8-1</f>
        <v>2.9184311335836988E-3</v>
      </c>
      <c r="W8" s="72">
        <f>'retraites SA Nb'!$BO8/'retraites SA Nb'!$BL8-1</f>
        <v>3.4816861601272286E-4</v>
      </c>
      <c r="X8" s="72">
        <f>'retraites SA Nb'!$BR8/'retraites SA Nb'!$BO8-1</f>
        <v>-2.9242809152282279E-3</v>
      </c>
      <c r="Y8" s="72">
        <f>'retraites SA Nb'!$BU8/'retraites SA Nb'!$BR8-1</f>
        <v>-1.5622513530670901E-3</v>
      </c>
      <c r="Z8" s="72">
        <f>'retraites SA Nb'!$BX8/'retraites SA Nb'!$BU8-1</f>
        <v>-5.1413881747564005E-6</v>
      </c>
      <c r="AA8" s="72">
        <f>'retraites SA Nb'!$CA8/'retraites SA Nb'!$BX8-1</f>
        <v>-2.4661652073618701E-3</v>
      </c>
      <c r="AB8" s="72">
        <f>'retraites SA Nb'!$CG8/'retraites SA Nb'!$CA8-1</f>
        <v>-1.491260321136334E-3</v>
      </c>
      <c r="AC8" s="72">
        <f>'retraites SA Nb'!BU8/'retraites SA Nb'!BR8-1</f>
        <v>-1.5622513530670901E-3</v>
      </c>
      <c r="AD8" s="72">
        <f>'retraites SA Nb'!$CJ8/'retraites SA Nb'!$CG8-1</f>
        <v>6.6587518711602733E-4</v>
      </c>
      <c r="AE8" s="72">
        <f>'retraites SA Nb'!$CM8/'retraites SA Nb'!$CJ8-1</f>
        <v>-8.0642803962327481E-4</v>
      </c>
      <c r="AF8" s="72">
        <f>'retraites SA Nb'!$CS8/'retraites SA Nb'!$CM8-1</f>
        <v>-2.655272341802184E-3</v>
      </c>
      <c r="AG8" s="72">
        <f>'retraites SA Nb'!CS8/'retraites SA Nb'!CP8-1</f>
        <v>-3.5014005602240772E-4</v>
      </c>
      <c r="AH8" s="72">
        <f>'retraites SA Nb'!CV8/'retraites SA Nb'!CS8-1</f>
        <v>1.1543140113705608E-3</v>
      </c>
      <c r="AI8" s="72">
        <f>'retraites SA Nb'!$CY8/'retraites SA Nb'!$CV8-1</f>
        <v>-3.433097681280306E-3</v>
      </c>
      <c r="AJ8" s="72">
        <f>'retraites SA Nb'!$DB8/'retraites SA Nb'!$CY8-1</f>
        <v>-3.6766613286478567E-3</v>
      </c>
      <c r="AK8" s="72">
        <f>'retraites SA Nb'!$DE8/'retraites SA Nb'!$DB8-1</f>
        <v>-2.6331502683487606E-3</v>
      </c>
      <c r="AL8" s="72">
        <f>'retraites SA Nb'!$DH8/'retraites SA Nb'!$DE8-1</f>
        <v>-1.5837131634410806E-4</v>
      </c>
      <c r="AM8" s="72">
        <f>'retraites SA Nb'!$DK8/'retraites SA Nb'!$DH8-1</f>
        <v>-5.4168088172836804E-3</v>
      </c>
      <c r="AN8" s="72">
        <f>'retraites SA Nb'!$DN8/'retraites SA Nb'!$DK8-1</f>
        <v>-6.6853810667207858E-3</v>
      </c>
      <c r="AO8" s="72">
        <f>'retraites SA Nb'!$DQ8/'retraites SA Nb'!$DN8-1</f>
        <v>-2.4243449335419331E-3</v>
      </c>
      <c r="AP8" s="72">
        <f>'retraites SA Nb'!$DT8/'retraites SA Nb'!$DQ8-1</f>
        <v>-3.7089367714593369E-4</v>
      </c>
      <c r="AQ8" s="72">
        <f>'retraites SA Nb'!$DW8/'retraites SA Nb'!$DT8-1</f>
        <v>-4.0071379352991654E-3</v>
      </c>
      <c r="AR8" s="274">
        <f>'retraites SA Nb'!$DZ8/'retraites SA Nb'!$DW8-1</f>
        <v>-5.8397578948489182E-3</v>
      </c>
      <c r="AS8" s="261">
        <f>'retraites SA Nb'!$EC8/'retraites SA Nb'!$DZ8-1</f>
        <v>-5.3780133112074635E-3</v>
      </c>
      <c r="AT8" s="261">
        <f>'retraites SA Nb'!$EF8/'retraites SA Nb'!$EC8-1</f>
        <v>2.2281384100921731E-3</v>
      </c>
      <c r="AU8" s="261">
        <f>'retraites SA Nb'!$EI8/'retraites SA Nb'!$EF8-1</f>
        <v>-4.6575901535464981E-3</v>
      </c>
      <c r="AV8" s="261">
        <f>'retraites SA Nb'!$EL8/'retraites SA Nb'!$EI8-1</f>
        <v>-6.7583121124491496E-3</v>
      </c>
      <c r="AW8" s="261">
        <f>'retraites SA Nb'!$EO8/'retraites SA Nb'!$EL8-1</f>
        <v>-6.3932876816501505E-3</v>
      </c>
      <c r="AX8" s="261">
        <f>'retraites SA Nb'!$ER8/'retraites SA Nb'!$EO8-1</f>
        <v>-6.6622081867168115E-3</v>
      </c>
      <c r="AY8" s="261">
        <f>'retraites SA Nb'!$EU8/'retraites SA Nb'!$ER8-1</f>
        <v>-7.8644532948335399E-3</v>
      </c>
      <c r="AZ8" s="261">
        <f>'retraites SA Nb'!$EX8/'retraites SA Nb'!$EU8-1</f>
        <v>-5.264189459047719E-3</v>
      </c>
      <c r="BA8" s="261">
        <f>'retraites SA Nb'!$FA8/'retraites SA Nb'!$EX8-1</f>
        <v>-2.5484360855575483E-3</v>
      </c>
      <c r="BB8" s="261">
        <f>'retraites SA Nb'!$FD8/'retraites SA Nb'!$FA8-1</f>
        <v>-3.5612721438075257E-3</v>
      </c>
      <c r="BC8" s="261">
        <f>'retraites SA Nb'!$FG8/'retraites SA Nb'!$FD8-1</f>
        <v>-6.5270855347441259E-3</v>
      </c>
      <c r="BD8" s="261">
        <f>'retraites SA Nb'!$FJ8/'retraites SA Nb'!$FG8-1</f>
        <v>-6.4777251720146145E-3</v>
      </c>
      <c r="BE8" s="261">
        <f>'retraites SA Nb'!$FM8/'retraites SA Nb'!$FJ8-1</f>
        <v>-5.2845590074351856E-3</v>
      </c>
      <c r="BF8" s="261">
        <f>'retraites SA Nb'!$FP8/'retraites SA Nb'!$FM8-1</f>
        <v>-5.324063050621497E-3</v>
      </c>
      <c r="BG8" s="261">
        <f>'retraites SA Nb'!$FS8/'retraites SA Nb'!$FP8-1</f>
        <v>-6.9229001493738007E-3</v>
      </c>
      <c r="BH8" s="261">
        <f>'retraites SA Nb'!$FV8/'retraites SA Nb'!$FS8-1</f>
        <v>-5.2375304928022892E-3</v>
      </c>
      <c r="BI8" s="261">
        <f>'retraites SA Nb'!$FY8/'retraites SA Nb'!$FV8-1</f>
        <v>-3.0222022335993914E-3</v>
      </c>
      <c r="BJ8" s="261">
        <f>'retraites SA Nb'!$GB8/'retraites SA Nb'!$FY8-1</f>
        <v>-1.1861012269342996E-4</v>
      </c>
      <c r="BK8" s="261">
        <f>'retraites SA Nb'!$GE8/'retraites SA Nb'!$GB8-1</f>
        <v>-8.4981593803539202E-3</v>
      </c>
      <c r="BL8" s="261">
        <f>'retraites SA Nb'!$GH8/'retraites SA Nb'!$GE8-1</f>
        <v>-7.3373226715621742E-3</v>
      </c>
      <c r="BM8" s="261">
        <f>'retraites SA Nb'!$GK8/'retraites SA Nb'!$GH8-1</f>
        <v>-5.8306560920575734E-3</v>
      </c>
      <c r="BN8" s="261">
        <f>'retraites SA Nb'!$GN8/'retraites SA Nb'!$GK8-1</f>
        <v>-3.6170893560190098E-3</v>
      </c>
    </row>
    <row r="9" spans="1:67" x14ac:dyDescent="0.25">
      <c r="A9" s="39" t="s">
        <v>4</v>
      </c>
      <c r="B9" s="71"/>
      <c r="C9" s="72">
        <f>'retraites SA Nb'!$G9/'retraites SA Nb'!$D9-1</f>
        <v>-2.226234941994365E-4</v>
      </c>
      <c r="D9" s="72">
        <f>'retraites SA Nb'!$J9/'retraites SA Nb'!$G9-1</f>
        <v>1.1566628729773321E-3</v>
      </c>
      <c r="E9" s="72">
        <f>'retraites SA Nb'!$M9/'retraites SA Nb'!$J9-1</f>
        <v>5.0723160281480606E-3</v>
      </c>
      <c r="F9" s="72">
        <f>'retraites SA Nb'!$P9/'retraites SA Nb'!$M9-1</f>
        <v>3.0919596754364065E-3</v>
      </c>
      <c r="G9" s="72">
        <f>'retraites SA Nb'!$S9/'retraites SA Nb'!$P9-1</f>
        <v>1.1336965247605857E-3</v>
      </c>
      <c r="H9" s="72">
        <f>'retraites SA Nb'!$V9/'retraites SA Nb'!$S9-1</f>
        <v>-7.835071739875632E-4</v>
      </c>
      <c r="I9" s="72">
        <f>'retraites SA Nb'!$Y9/'retraites SA Nb'!$V9-1</f>
        <v>1.3967164910562158E-3</v>
      </c>
      <c r="J9" s="72">
        <f>'retraites SA Nb'!$AB9/'retraites SA Nb'!$Y9-1</f>
        <v>1.0277240805540711E-3</v>
      </c>
      <c r="K9" s="72">
        <f>'retraites SA Nb'!$AE9/'retraites SA Nb'!$AB9-1</f>
        <v>3.7277860617468406E-4</v>
      </c>
      <c r="L9" s="72">
        <f>'retraites SA Nb'!$AH9/'retraites SA Nb'!$AE9-1</f>
        <v>-1.0385040654381505E-4</v>
      </c>
      <c r="M9" s="72">
        <f>'retraites SA Nb'!$AK9/'retraites SA Nb'!$AH9-1</f>
        <v>1.4723851417399736E-3</v>
      </c>
      <c r="N9" s="72">
        <f>'retraites SA Nb'!$AN9/'retraites SA Nb'!$AK9-1</f>
        <v>-4.2093447453350752E-4</v>
      </c>
      <c r="O9" s="72">
        <f>'retraites SA Nb'!$AQ9/'retraites SA Nb'!$AN9-1</f>
        <v>-2.7402778116837334E-3</v>
      </c>
      <c r="P9" s="72">
        <f>'retraites SA Nb'!$AT9/'retraites SA Nb'!$AQ9-1</f>
        <v>-2.6376504715335258E-3</v>
      </c>
      <c r="Q9" s="72">
        <f>'retraites SA Nb'!$AW9/'retraites SA Nb'!$AT9-1</f>
        <v>5.5224210293802756E-5</v>
      </c>
      <c r="R9" s="72">
        <f>'retraites SA Nb'!$AZ9/'retraites SA Nb'!$AW9-1</f>
        <v>-1.840705358293615E-4</v>
      </c>
      <c r="S9" s="72">
        <f>'retraites SA Nb'!$BC9/'retraites SA Nb'!$AZ9-1</f>
        <v>-3.6329939675117107E-3</v>
      </c>
      <c r="T9" s="72">
        <f>'retraites SA Nb'!$BF9/'retraites SA Nb'!$BC9-1</f>
        <v>-4.8965563966272274E-3</v>
      </c>
      <c r="U9" s="72">
        <f>'retraites SA Nb'!$BI9/'retraites SA Nb'!$BF9-1</f>
        <v>5.5705478943401943E-5</v>
      </c>
      <c r="V9" s="72">
        <f>'retraites SA Nb'!$BL9/'retraites SA Nb'!$BI9-1</f>
        <v>6.4367190062686319E-4</v>
      </c>
      <c r="W9" s="72">
        <f>'retraites SA Nb'!$BO9/'retraites SA Nb'!$BL9-1</f>
        <v>-1.6452556640709215E-3</v>
      </c>
      <c r="X9" s="72">
        <f>'retraites SA Nb'!$BR9/'retraites SA Nb'!$BO9-1</f>
        <v>-2.9118213752470368E-3</v>
      </c>
      <c r="Y9" s="72">
        <f>'retraites SA Nb'!$BU9/'retraites SA Nb'!$BR9-1</f>
        <v>-2.9203248395375248E-3</v>
      </c>
      <c r="Z9" s="72">
        <f>'retraites SA Nb'!$BX9/'retraites SA Nb'!$BU9-1</f>
        <v>-1.9878981248948602E-3</v>
      </c>
      <c r="AA9" s="72">
        <f>'retraites SA Nb'!$CA9/'retraites SA Nb'!$BX9-1</f>
        <v>-4.0336680153854054E-3</v>
      </c>
      <c r="AB9" s="72">
        <f>'retraites SA Nb'!$CG9/'retraites SA Nb'!$CA9-1</f>
        <v>-4.5013980665303821E-3</v>
      </c>
      <c r="AC9" s="72">
        <f>'retraites SA Nb'!BU9/'retraites SA Nb'!BR9-1</f>
        <v>-2.9203248395375248E-3</v>
      </c>
      <c r="AD9" s="72">
        <f>'retraites SA Nb'!$CJ9/'retraites SA Nb'!$CG9-1</f>
        <v>-1.5240446381338257E-3</v>
      </c>
      <c r="AE9" s="72">
        <f>'retraites SA Nb'!$CM9/'retraites SA Nb'!$CJ9-1</f>
        <v>-1.8354294652656034E-3</v>
      </c>
      <c r="AF9" s="72">
        <f>'retraites SA Nb'!$CS9/'retraites SA Nb'!$CM9-1</f>
        <v>-4.3726896464566511E-3</v>
      </c>
      <c r="AG9" s="72">
        <f>'retraites SA Nb'!CS9/'retraites SA Nb'!CP9-1</f>
        <v>-1.2993762993762648E-3</v>
      </c>
      <c r="AH9" s="72">
        <f>'retraites SA Nb'!CV9/'retraites SA Nb'!CS9-1</f>
        <v>-6.8544010967042102E-4</v>
      </c>
      <c r="AI9" s="72">
        <f>'retraites SA Nb'!$CY9/'retraites SA Nb'!$CV9-1</f>
        <v>-5.4618779968880204E-3</v>
      </c>
      <c r="AJ9" s="72">
        <f>'retraites SA Nb'!$DB9/'retraites SA Nb'!$CY9-1</f>
        <v>-5.0512468469618987E-3</v>
      </c>
      <c r="AK9" s="72">
        <f>'retraites SA Nb'!$DE9/'retraites SA Nb'!$DB9-1</f>
        <v>-2.9973556519730105E-3</v>
      </c>
      <c r="AL9" s="72">
        <f>'retraites SA Nb'!$DH9/'retraites SA Nb'!$DE9-1</f>
        <v>-1.5064022093899121E-3</v>
      </c>
      <c r="AM9" s="72">
        <f>'retraites SA Nb'!$DK9/'retraites SA Nb'!$DH9-1</f>
        <v>-6.7374583341393013E-3</v>
      </c>
      <c r="AN9" s="72">
        <f>'retraites SA Nb'!$DN9/'retraites SA Nb'!$DK9-1</f>
        <v>-9.1394150255098561E-3</v>
      </c>
      <c r="AO9" s="72">
        <f>'retraites SA Nb'!$DQ9/'retraites SA Nb'!$DN9-1</f>
        <v>-3.3606288896167458E-3</v>
      </c>
      <c r="AP9" s="72">
        <f>'retraites SA Nb'!$DT9/'retraites SA Nb'!$DQ9-1</f>
        <v>-2.090221313684415E-3</v>
      </c>
      <c r="AQ9" s="72">
        <f>'retraites SA Nb'!$DW9/'retraites SA Nb'!$DT9-1</f>
        <v>-6.2837984705471639E-3</v>
      </c>
      <c r="AR9" s="274">
        <f>'retraites SA Nb'!$DZ9/'retraites SA Nb'!$DW9-1</f>
        <v>-8.1662413415968249E-3</v>
      </c>
      <c r="AS9" s="261">
        <f>'retraites SA Nb'!$EC9/'retraites SA Nb'!$DZ9-1</f>
        <v>-4.7917237507768551E-3</v>
      </c>
      <c r="AT9" s="261">
        <f>'retraites SA Nb'!$EF9/'retraites SA Nb'!$EC9-1</f>
        <v>-2.3704638856805182E-3</v>
      </c>
      <c r="AU9" s="261">
        <f>'retraites SA Nb'!$EI9/'retraites SA Nb'!$EF9-1</f>
        <v>-5.0483633206114265E-3</v>
      </c>
      <c r="AV9" s="261">
        <f>'retraites SA Nb'!$EL9/'retraites SA Nb'!$EI9-1</f>
        <v>-7.8342229709159605E-3</v>
      </c>
      <c r="AW9" s="261">
        <f>'retraites SA Nb'!$EO9/'retraites SA Nb'!$EL9-1</f>
        <v>-6.2732262793631088E-3</v>
      </c>
      <c r="AX9" s="261">
        <f>'retraites SA Nb'!$ER9/'retraites SA Nb'!$EO9-1</f>
        <v>-6.0109102137441139E-3</v>
      </c>
      <c r="AY9" s="261">
        <f>'retraites SA Nb'!$EU9/'retraites SA Nb'!$ER9-1</f>
        <v>-9.0087602427187941E-3</v>
      </c>
      <c r="AZ9" s="261">
        <f>'retraites SA Nb'!$EX9/'retraites SA Nb'!$EU9-1</f>
        <v>-8.7144907142956418E-3</v>
      </c>
      <c r="BA9" s="261">
        <f>'retraites SA Nb'!$FA9/'retraites SA Nb'!$EX9-1</f>
        <v>-4.5396091438690833E-3</v>
      </c>
      <c r="BB9" s="261">
        <f>'retraites SA Nb'!$FD9/'retraites SA Nb'!$FA9-1</f>
        <v>-3.5578898324827302E-3</v>
      </c>
      <c r="BC9" s="261">
        <f>'retraites SA Nb'!$FG9/'retraites SA Nb'!$FD9-1</f>
        <v>-8.7564557607702209E-3</v>
      </c>
      <c r="BD9" s="261">
        <f>'retraites SA Nb'!$FJ9/'retraites SA Nb'!$FG9-1</f>
        <v>-8.6479841620389353E-3</v>
      </c>
      <c r="BE9" s="261">
        <f>'retraites SA Nb'!$FM9/'retraites SA Nb'!$FJ9-1</f>
        <v>-6.5173351020496595E-3</v>
      </c>
      <c r="BF9" s="261">
        <f>'retraites SA Nb'!$FP9/'retraites SA Nb'!$FM9-1</f>
        <v>-9.9562418815265508E-3</v>
      </c>
      <c r="BG9" s="261">
        <f>'retraites SA Nb'!$FS9/'retraites SA Nb'!$FP9-1</f>
        <v>-8.1433105379276061E-3</v>
      </c>
      <c r="BH9" s="261">
        <f>'retraites SA Nb'!$FV9/'retraites SA Nb'!$FS9-1</f>
        <v>-7.3898906296187006E-3</v>
      </c>
      <c r="BI9" s="261">
        <f>'retraites SA Nb'!$FY9/'retraites SA Nb'!$FV9-1</f>
        <v>-4.6605122096485818E-3</v>
      </c>
      <c r="BJ9" s="261">
        <f>'retraites SA Nb'!$GB9/'retraites SA Nb'!$FY9-1</f>
        <v>-5.4527503104103703E-3</v>
      </c>
      <c r="BK9" s="261">
        <f>'retraites SA Nb'!$GE9/'retraites SA Nb'!$GB9-1</f>
        <v>-7.0018425901553494E-3</v>
      </c>
      <c r="BL9" s="261">
        <f>'retraites SA Nb'!$GH9/'retraites SA Nb'!$GE9-1</f>
        <v>-8.2857445809412233E-3</v>
      </c>
      <c r="BM9" s="261">
        <f>'retraites SA Nb'!$GK9/'retraites SA Nb'!$GH9-1</f>
        <v>-7.0184817473651906E-3</v>
      </c>
      <c r="BN9" s="261">
        <f>'retraites SA Nb'!$GN9/'retraites SA Nb'!$GK9-1</f>
        <v>-5.0530298951707575E-3</v>
      </c>
    </row>
    <row r="10" spans="1:67" ht="12" thickBot="1" x14ac:dyDescent="0.3">
      <c r="A10" s="40" t="s">
        <v>5</v>
      </c>
      <c r="B10" s="71"/>
      <c r="C10" s="72">
        <f>'retraites SA Nb'!$G10/'retraites SA Nb'!$D10-1</f>
        <v>1.0209253725137479E-3</v>
      </c>
      <c r="D10" s="72">
        <f>'retraites SA Nb'!$J10/'retraites SA Nb'!$G10-1</f>
        <v>-2.8751628260614837E-4</v>
      </c>
      <c r="E10" s="72">
        <f>'retraites SA Nb'!$M10/'retraites SA Nb'!$J10-1</f>
        <v>1.4260115694675335E-3</v>
      </c>
      <c r="F10" s="72">
        <f>'retraites SA Nb'!$P10/'retraites SA Nb'!$M10-1</f>
        <v>9.852193169996859E-4</v>
      </c>
      <c r="G10" s="72">
        <f>'retraites SA Nb'!$S10/'retraites SA Nb'!$P10-1</f>
        <v>1.948575149251397E-3</v>
      </c>
      <c r="H10" s="72">
        <f>'retraites SA Nb'!$V10/'retraites SA Nb'!$S10-1</f>
        <v>-7.2072401702820699E-3</v>
      </c>
      <c r="I10" s="72">
        <f>'retraites SA Nb'!$Y10/'retraites SA Nb'!$V10-1</f>
        <v>3.5652851787526529E-5</v>
      </c>
      <c r="J10" s="72">
        <f>'retraites SA Nb'!$AB10/'retraites SA Nb'!$Y10-1</f>
        <v>9.8502513436440342E-3</v>
      </c>
      <c r="K10" s="72">
        <f>'retraites SA Nb'!$AE10/'retraites SA Nb'!$AB10-1</f>
        <v>5.5811783783488167E-4</v>
      </c>
      <c r="L10" s="72">
        <f>'retraites SA Nb'!$AH10/'retraites SA Nb'!$AE10-1</f>
        <v>-4.400605777088451E-5</v>
      </c>
      <c r="M10" s="72">
        <f>'retraites SA Nb'!$AK10/'retraites SA Nb'!$AH10-1</f>
        <v>-7.5527233613859046E-4</v>
      </c>
      <c r="N10" s="72">
        <f>'retraites SA Nb'!$AN10/'retraites SA Nb'!$AK10-1</f>
        <v>-2.1536571701548102E-3</v>
      </c>
      <c r="O10" s="72">
        <f>'retraites SA Nb'!$AQ10/'retraites SA Nb'!$AN10-1</f>
        <v>-2.2278896958014549E-3</v>
      </c>
      <c r="P10" s="72">
        <f>'retraites SA Nb'!$AT10/'retraites SA Nb'!$AQ10-1</f>
        <v>-2.4404891658460492E-3</v>
      </c>
      <c r="Q10" s="72">
        <f>'retraites SA Nb'!$AW10/'retraites SA Nb'!$AT10-1</f>
        <v>-1.892770439863356E-3</v>
      </c>
      <c r="R10" s="72">
        <f>'retraites SA Nb'!$AZ10/'retraites SA Nb'!$AW10-1</f>
        <v>-2.4010684934906434E-3</v>
      </c>
      <c r="S10" s="72">
        <f>'retraites SA Nb'!$BC10/'retraites SA Nb'!$AZ10-1</f>
        <v>-8.2087180919188096E-4</v>
      </c>
      <c r="T10" s="72">
        <f>'retraites SA Nb'!$BF10/'retraites SA Nb'!$BC10-1</f>
        <v>-3.4708921284952732E-3</v>
      </c>
      <c r="U10" s="72">
        <f>'retraites SA Nb'!$BI10/'retraites SA Nb'!$BF10-1</f>
        <v>3.0389454029402518E-3</v>
      </c>
      <c r="V10" s="72">
        <f>'retraites SA Nb'!$BL10/'retraites SA Nb'!$BI10-1</f>
        <v>2.3307532486731564E-3</v>
      </c>
      <c r="W10" s="72">
        <f>'retraites SA Nb'!$BO10/'retraites SA Nb'!$BL10-1</f>
        <v>4.312407469602153E-4</v>
      </c>
      <c r="X10" s="72">
        <f>'retraites SA Nb'!$BR10/'retraites SA Nb'!$BO10-1</f>
        <v>-5.6125265503348398E-4</v>
      </c>
      <c r="Y10" s="72">
        <f>'retraites SA Nb'!$BU10/'retraites SA Nb'!$BR10-1</f>
        <v>1.5103409049459504E-3</v>
      </c>
      <c r="Z10" s="72">
        <f>'retraites SA Nb'!$BX10/'retraites SA Nb'!$BU10-1</f>
        <v>1.9799333138288411E-3</v>
      </c>
      <c r="AA10" s="72">
        <f>'retraites SA Nb'!$CA10/'retraites SA Nb'!$BX10-1</f>
        <v>1.7519360771012238E-3</v>
      </c>
      <c r="AB10" s="72">
        <f>'retraites SA Nb'!$CG10/'retraites SA Nb'!$CA10-1</f>
        <v>-1.0877618024947022E-3</v>
      </c>
      <c r="AC10" s="72">
        <f>'retraites SA Nb'!BU10/'retraites SA Nb'!BR10-1</f>
        <v>1.5103409049459504E-3</v>
      </c>
      <c r="AD10" s="72">
        <f>'retraites SA Nb'!$CJ10/'retraites SA Nb'!$CG10-1</f>
        <v>1.0230826281927285E-3</v>
      </c>
      <c r="AE10" s="72">
        <f>'retraites SA Nb'!$CM10/'retraites SA Nb'!$CJ10-1</f>
        <v>2.6350450625405308E-3</v>
      </c>
      <c r="AF10" s="72">
        <f>'retraites SA Nb'!$CS10/'retraites SA Nb'!$CM10-1</f>
        <v>2.3429561177961133E-3</v>
      </c>
      <c r="AG10" s="72">
        <f>'retraites SA Nb'!CS10/'retraites SA Nb'!CP10-1</f>
        <v>1.7055221795390096E-3</v>
      </c>
      <c r="AH10" s="72">
        <f>'retraites SA Nb'!CV10/'retraites SA Nb'!CS10-1</f>
        <v>-3.4084109583387701E-4</v>
      </c>
      <c r="AI10" s="72">
        <f>'retraites SA Nb'!$CY10/'retraites SA Nb'!$CV10-1</f>
        <v>-1.151872069960147E-3</v>
      </c>
      <c r="AJ10" s="72">
        <f>'retraites SA Nb'!$DB10/'retraites SA Nb'!$CY10-1</f>
        <v>2.4438947337057648E-4</v>
      </c>
      <c r="AK10" s="72">
        <f>'retraites SA Nb'!$DE10/'retraites SA Nb'!$DB10-1</f>
        <v>-1.4818699371099697E-3</v>
      </c>
      <c r="AL10" s="72">
        <f>'retraites SA Nb'!$DH10/'retraites SA Nb'!$DE10-1</f>
        <v>-1.5425565776490124E-3</v>
      </c>
      <c r="AM10" s="72">
        <f>'retraites SA Nb'!$DK10/'retraites SA Nb'!$DH10-1</f>
        <v>-4.0912809530887495E-3</v>
      </c>
      <c r="AN10" s="72">
        <f>'retraites SA Nb'!$DN10/'retraites SA Nb'!$DK10-1</f>
        <v>-5.8186247207123731E-3</v>
      </c>
      <c r="AO10" s="72">
        <f>'retraites SA Nb'!$DQ10/'retraites SA Nb'!$DN10-1</f>
        <v>-2.8426264371100851E-3</v>
      </c>
      <c r="AP10" s="72">
        <f>'retraites SA Nb'!$DT10/'retraites SA Nb'!$DQ10-1</f>
        <v>-1.9882055738370541E-3</v>
      </c>
      <c r="AQ10" s="72">
        <f>'retraites SA Nb'!$DW10/'retraites SA Nb'!$DT10-1</f>
        <v>-4.8154132046742681E-3</v>
      </c>
      <c r="AR10" s="274">
        <f>'retraites SA Nb'!$DZ10/'retraites SA Nb'!$DW10-1</f>
        <v>-6.5089170985761502E-3</v>
      </c>
      <c r="AS10" s="261">
        <f>'retraites SA Nb'!$EC10/'retraites SA Nb'!$DZ10-1</f>
        <v>-6.0169480779511675E-3</v>
      </c>
      <c r="AT10" s="261">
        <f>'retraites SA Nb'!$EF10/'retraites SA Nb'!$EC10-1</f>
        <v>-1.2345419910908539E-5</v>
      </c>
      <c r="AU10" s="261">
        <f>'retraites SA Nb'!$EI10/'retraites SA Nb'!$EF10-1</f>
        <v>-4.197906108630356E-3</v>
      </c>
      <c r="AV10" s="261">
        <f>'retraites SA Nb'!$EL10/'retraites SA Nb'!$EI10-1</f>
        <v>-6.9158036548172541E-3</v>
      </c>
      <c r="AW10" s="261">
        <f>'retraites SA Nb'!$EO10/'retraites SA Nb'!$EL10-1</f>
        <v>-5.9660810999194736E-3</v>
      </c>
      <c r="AX10" s="261">
        <f>'retraites SA Nb'!$ER10/'retraites SA Nb'!$EO10-1</f>
        <v>-7.4746268756687995E-3</v>
      </c>
      <c r="AY10" s="261">
        <f>'retraites SA Nb'!$EU10/'retraites SA Nb'!$ER10-1</f>
        <v>-6.8324466772646808E-3</v>
      </c>
      <c r="AZ10" s="261">
        <f>'retraites SA Nb'!$EX10/'retraites SA Nb'!$EU10-1</f>
        <v>-6.4662329797416929E-3</v>
      </c>
      <c r="BA10" s="261">
        <f>'retraites SA Nb'!$FA10/'retraites SA Nb'!$EX10-1</f>
        <v>-4.5185486614905956E-3</v>
      </c>
      <c r="BB10" s="261">
        <f>'retraites SA Nb'!$FD10/'retraites SA Nb'!$FA10-1</f>
        <v>-4.8366243762605343E-3</v>
      </c>
      <c r="BC10" s="261">
        <f>'retraites SA Nb'!$FG10/'retraites SA Nb'!$FD10-1</f>
        <v>-5.3986114281251441E-3</v>
      </c>
      <c r="BD10" s="261">
        <f>'retraites SA Nb'!$FJ10/'retraites SA Nb'!$FG10-1</f>
        <v>-5.456980349404672E-3</v>
      </c>
      <c r="BE10" s="261">
        <f>'retraites SA Nb'!$FM10/'retraites SA Nb'!$FJ10-1</f>
        <v>-4.6904266094143221E-3</v>
      </c>
      <c r="BF10" s="261">
        <f>'retraites SA Nb'!$FP10/'retraites SA Nb'!$FM10-1</f>
        <v>-5.3208250193159667E-3</v>
      </c>
      <c r="BG10" s="261">
        <f>'retraites SA Nb'!$FS10/'retraites SA Nb'!$FP10-1</f>
        <v>-5.9136923434823796E-3</v>
      </c>
      <c r="BH10" s="261">
        <f>'retraites SA Nb'!$FV10/'retraites SA Nb'!$FS10-1</f>
        <v>-4.7787765941886828E-3</v>
      </c>
      <c r="BI10" s="261">
        <f>'retraites SA Nb'!$FY10/'retraites SA Nb'!$FV10-1</f>
        <v>-3.4647935998404211E-3</v>
      </c>
      <c r="BJ10" s="261">
        <f>'retraites SA Nb'!$GB10/'retraites SA Nb'!$FY10-1</f>
        <v>-3.3905894718778695E-3</v>
      </c>
      <c r="BK10" s="261">
        <f>'retraites SA Nb'!$GE10/'retraites SA Nb'!$GB10-1</f>
        <v>-6.5867680802053075E-3</v>
      </c>
      <c r="BL10" s="261">
        <f>'retraites SA Nb'!$GH10/'retraites SA Nb'!$GE10-1</f>
        <v>-5.7037412859508585E-3</v>
      </c>
      <c r="BM10" s="261">
        <f>'retraites SA Nb'!$GK10/'retraites SA Nb'!$GH10-1</f>
        <v>-4.7336241210994556E-3</v>
      </c>
      <c r="BN10" s="261">
        <f>'retraites SA Nb'!$GN10/'retraites SA Nb'!$GK10-1</f>
        <v>-4.5326308827386974E-3</v>
      </c>
    </row>
    <row r="11" spans="1:67" x14ac:dyDescent="0.25">
      <c r="A11" s="14"/>
      <c r="O11" s="4"/>
      <c r="Q11" s="76"/>
      <c r="BJ11" s="126"/>
      <c r="BK11" s="126"/>
      <c r="BL11" s="126"/>
      <c r="BM11" s="126"/>
      <c r="BN11" s="126"/>
    </row>
    <row r="12" spans="1:67" x14ac:dyDescent="0.25">
      <c r="A12" s="3" t="s">
        <v>16</v>
      </c>
      <c r="O12" s="4"/>
      <c r="Q12" s="76"/>
      <c r="BJ12" s="126"/>
      <c r="BK12" s="126"/>
      <c r="BL12" s="126"/>
      <c r="BM12" s="126"/>
      <c r="BN12" s="126"/>
    </row>
    <row r="13" spans="1:67" s="32" customFormat="1" x14ac:dyDescent="0.25">
      <c r="A13" s="3"/>
      <c r="P13" s="99"/>
      <c r="Q13" s="99"/>
      <c r="AR13" s="272"/>
      <c r="AS13" s="260"/>
      <c r="AT13" s="260"/>
      <c r="AU13" s="260"/>
      <c r="AV13" s="260"/>
      <c r="AW13" s="260"/>
      <c r="AX13" s="260"/>
      <c r="AY13" s="260"/>
      <c r="AZ13" s="260"/>
      <c r="BA13" s="260"/>
      <c r="BB13" s="260"/>
      <c r="BC13" s="260"/>
      <c r="BD13" s="260"/>
      <c r="BE13" s="260"/>
      <c r="BF13" s="260"/>
      <c r="BG13" s="260"/>
      <c r="BH13" s="260"/>
      <c r="BI13" s="260"/>
      <c r="BJ13" s="260"/>
      <c r="BK13" s="260"/>
      <c r="BL13" s="260"/>
      <c r="BM13" s="260"/>
      <c r="BN13" s="260"/>
    </row>
    <row r="14" spans="1:67" ht="12" thickBot="1" x14ac:dyDescent="0.3">
      <c r="A14" s="3"/>
      <c r="B14" s="70" t="str">
        <f>B6</f>
        <v>4 T2008</v>
      </c>
      <c r="C14" s="70" t="str">
        <f>C6</f>
        <v>1 T 2009</v>
      </c>
      <c r="D14" s="70" t="str">
        <f>D6</f>
        <v>2 T 2009</v>
      </c>
      <c r="E14" s="70" t="str">
        <f t="shared" ref="E14:L14" si="0">E6</f>
        <v>3 T 2009</v>
      </c>
      <c r="F14" s="70" t="str">
        <f t="shared" si="0"/>
        <v>4 T 2009</v>
      </c>
      <c r="G14" s="70" t="str">
        <f t="shared" si="0"/>
        <v>1 T 2010</v>
      </c>
      <c r="H14" s="70" t="str">
        <f t="shared" si="0"/>
        <v>2 T 2010</v>
      </c>
      <c r="I14" s="70" t="str">
        <f t="shared" si="0"/>
        <v>3 T 2010</v>
      </c>
      <c r="J14" s="70" t="str">
        <f t="shared" si="0"/>
        <v>4 T 2010</v>
      </c>
      <c r="K14" s="70" t="str">
        <f t="shared" si="0"/>
        <v>1 T 2011</v>
      </c>
      <c r="L14" s="70" t="str">
        <f t="shared" si="0"/>
        <v>2 T 2011</v>
      </c>
      <c r="M14" s="70" t="str">
        <f t="shared" ref="M14:R14" si="1">M6</f>
        <v>3 T 2011</v>
      </c>
      <c r="N14" s="70" t="str">
        <f t="shared" si="1"/>
        <v>4 T 2011</v>
      </c>
      <c r="O14" s="70" t="str">
        <f t="shared" si="1"/>
        <v>1 T 2012</v>
      </c>
      <c r="P14" s="70" t="str">
        <f t="shared" si="1"/>
        <v>2 T 2012</v>
      </c>
      <c r="Q14" s="70" t="str">
        <f t="shared" si="1"/>
        <v>3 T 2012</v>
      </c>
      <c r="R14" s="70" t="str">
        <f t="shared" si="1"/>
        <v>4 T 2012</v>
      </c>
      <c r="S14" s="70" t="str">
        <f t="shared" ref="S14:X14" si="2">S6</f>
        <v>1 T 2013</v>
      </c>
      <c r="T14" s="70" t="str">
        <f t="shared" si="2"/>
        <v>2 T 2013</v>
      </c>
      <c r="U14" s="70" t="str">
        <f t="shared" si="2"/>
        <v>3 T 2013</v>
      </c>
      <c r="V14" s="70" t="str">
        <f t="shared" si="2"/>
        <v>4 T 2013</v>
      </c>
      <c r="W14" s="70" t="str">
        <f t="shared" si="2"/>
        <v>1 T 2014</v>
      </c>
      <c r="X14" s="70" t="str">
        <f t="shared" si="2"/>
        <v>2 T 2014</v>
      </c>
      <c r="Y14" s="70" t="str">
        <f t="shared" ref="Y14:Z14" si="3">Y6</f>
        <v>3 T 2014</v>
      </c>
      <c r="Z14" s="70" t="str">
        <f t="shared" si="3"/>
        <v>4 T 2014</v>
      </c>
      <c r="AA14" s="70" t="str">
        <f t="shared" ref="AA14:AB14" si="4">AA6</f>
        <v>1 T 2015</v>
      </c>
      <c r="AB14" s="70" t="str">
        <f t="shared" si="4"/>
        <v>2 T 2015</v>
      </c>
      <c r="AC14" s="70" t="str">
        <f t="shared" ref="AC14:AD14" si="5">AC6</f>
        <v>3 T 2015</v>
      </c>
      <c r="AD14" s="70" t="str">
        <f t="shared" si="5"/>
        <v>4 T 2015</v>
      </c>
      <c r="AE14" s="70" t="str">
        <f t="shared" ref="AE14:AF14" si="6">AE6</f>
        <v>1 T 2016</v>
      </c>
      <c r="AF14" s="70" t="str">
        <f t="shared" si="6"/>
        <v>2 T 2016</v>
      </c>
      <c r="AG14" s="70" t="str">
        <f t="shared" ref="AG14:AH14" si="7">AG6</f>
        <v>3 T 2016</v>
      </c>
      <c r="AH14" s="70" t="str">
        <f t="shared" si="7"/>
        <v>4 T 2016</v>
      </c>
      <c r="AI14" s="70" t="str">
        <f t="shared" ref="AI14:AJ14" si="8">AI6</f>
        <v>1 T 2017</v>
      </c>
      <c r="AJ14" s="70" t="str">
        <f t="shared" si="8"/>
        <v>2 T 2017</v>
      </c>
      <c r="AK14" s="70" t="str">
        <f t="shared" ref="AK14:AL14" si="9">AK6</f>
        <v>3 T 2017</v>
      </c>
      <c r="AL14" s="70" t="str">
        <f t="shared" si="9"/>
        <v>4 T 2017</v>
      </c>
      <c r="AM14" s="70" t="str">
        <f t="shared" ref="AM14:AR14" si="10">AM6</f>
        <v>1T 2018</v>
      </c>
      <c r="AN14" s="70" t="str">
        <f t="shared" si="10"/>
        <v>2T 2018</v>
      </c>
      <c r="AO14" s="70" t="str">
        <f t="shared" si="10"/>
        <v>3T 2018</v>
      </c>
      <c r="AP14" s="70" t="str">
        <f t="shared" si="10"/>
        <v>4T 2018</v>
      </c>
      <c r="AQ14" s="70" t="str">
        <f t="shared" si="10"/>
        <v>1T 2019</v>
      </c>
      <c r="AR14" s="273" t="str">
        <f t="shared" si="10"/>
        <v>2T 2019</v>
      </c>
      <c r="AS14" s="196" t="str">
        <f t="shared" ref="AS14:AT14" si="11">AS6</f>
        <v>3T 2019</v>
      </c>
      <c r="AT14" s="196" t="str">
        <f t="shared" si="11"/>
        <v>4T 2019</v>
      </c>
      <c r="AU14" s="196" t="str">
        <f t="shared" ref="AU14:AV14" si="12">AU6</f>
        <v>1T 2020</v>
      </c>
      <c r="AV14" s="196" t="str">
        <f t="shared" si="12"/>
        <v>2T 2020</v>
      </c>
      <c r="AW14" s="196" t="str">
        <f t="shared" ref="AW14:AX14" si="13">AW6</f>
        <v>3T 2020</v>
      </c>
      <c r="AX14" s="196" t="str">
        <f t="shared" si="13"/>
        <v>4T 2020</v>
      </c>
      <c r="AY14" s="196" t="str">
        <f t="shared" ref="AY14:AZ14" si="14">AY6</f>
        <v>1T 2021</v>
      </c>
      <c r="AZ14" s="196" t="str">
        <f t="shared" si="14"/>
        <v>2T 2021</v>
      </c>
      <c r="BA14" s="196" t="str">
        <f t="shared" ref="BA14:BB14" si="15">BA6</f>
        <v>3T 2021</v>
      </c>
      <c r="BB14" s="196" t="str">
        <f t="shared" si="15"/>
        <v>4T 2021</v>
      </c>
      <c r="BC14" s="196" t="str">
        <f t="shared" ref="BC14:BD14" si="16">BC6</f>
        <v>1T 2022</v>
      </c>
      <c r="BD14" s="196" t="str">
        <f t="shared" si="16"/>
        <v>2T 2022</v>
      </c>
      <c r="BE14" s="196" t="str">
        <f t="shared" ref="BE14:BF14" si="17">BE6</f>
        <v>3T 2022</v>
      </c>
      <c r="BF14" s="196" t="str">
        <f t="shared" si="17"/>
        <v>4T 2022</v>
      </c>
      <c r="BG14" s="196" t="str">
        <f t="shared" ref="BG14:BH14" si="18">BG6</f>
        <v>1T 2023</v>
      </c>
      <c r="BH14" s="196" t="str">
        <f t="shared" si="18"/>
        <v>2T 2023</v>
      </c>
      <c r="BI14" s="196" t="str">
        <f t="shared" ref="BI14:BJ14" si="19">BI6</f>
        <v>3T 2023</v>
      </c>
      <c r="BJ14" s="196" t="str">
        <f t="shared" si="19"/>
        <v>4T 2023</v>
      </c>
      <c r="BK14" s="196" t="str">
        <f t="shared" ref="BK14:BL14" si="20">BK6</f>
        <v>1T 2024</v>
      </c>
      <c r="BL14" s="196" t="str">
        <f t="shared" si="20"/>
        <v>2T 2024</v>
      </c>
      <c r="BM14" s="196" t="str">
        <f t="shared" ref="BM14:BN14" si="21">BM6</f>
        <v>3T 2024</v>
      </c>
      <c r="BN14" s="196" t="str">
        <f t="shared" si="21"/>
        <v>4T 2024</v>
      </c>
    </row>
    <row r="15" spans="1:67" x14ac:dyDescent="0.25">
      <c r="A15" s="38" t="s">
        <v>6</v>
      </c>
      <c r="C15" s="72">
        <f>'retraites SA Nb'!$G15/'retraites SA Nb'!$D15-1</f>
        <v>-1.8261964735516334E-2</v>
      </c>
      <c r="D15" s="72">
        <f>'retraites SA Nb'!$J15/'retraites SA Nb'!$G15-1</f>
        <v>-2.0739790463972674E-2</v>
      </c>
      <c r="E15" s="72">
        <f>'retraites SA Nb'!$M15/'retraites SA Nb'!$J15-1</f>
        <v>-1.0553129548762752E-2</v>
      </c>
      <c r="F15" s="72">
        <f>'retraites SA Nb'!$P15/'retraites SA Nb'!$M15-1</f>
        <v>-1.3387274733357879E-2</v>
      </c>
      <c r="G15" s="72">
        <f>'retraites SA Nb'!$S15/'retraites SA Nb'!$P15-1</f>
        <v>-9.9157533735927395E-3</v>
      </c>
      <c r="H15" s="72">
        <f>'retraites SA Nb'!$V15/'retraites SA Nb'!$S15-1</f>
        <v>-4.3900602409638556E-2</v>
      </c>
      <c r="I15" s="72">
        <f>'retraites SA Nb'!$Y15/'retraites SA Nb'!$V15-1</f>
        <v>-1.6539340001575198E-2</v>
      </c>
      <c r="J15" s="72">
        <f>'retraites SA Nb'!$AB15/'retraites SA Nb'!$Y15-1</f>
        <v>8.9693281012253046E-3</v>
      </c>
      <c r="K15" s="72">
        <f>'retraites SA Nb'!$AE15/'retraites SA Nb'!$AB15-1</f>
        <v>-2.3176442574807554E-2</v>
      </c>
      <c r="L15" s="72">
        <f>'retraites SA Nb'!$AH15/'retraites SA Nb'!$AE15-1</f>
        <v>-2.5270171447143941E-2</v>
      </c>
      <c r="M15" s="72">
        <f>'retraites SA Nb'!$AK15/'retraites SA Nb'!$AH15-1</f>
        <v>-2.0006668889629875E-2</v>
      </c>
      <c r="N15" s="72">
        <f>'retraites SA Nb'!$AN15/'retraites SA Nb'!$AK15-1</f>
        <v>-2.3817625042531487E-2</v>
      </c>
      <c r="O15" s="72">
        <f>'retraites SA Nb'!$AQ15/'retraites SA Nb'!$AN15-1</f>
        <v>-2.561868246775878E-2</v>
      </c>
      <c r="P15" s="72">
        <f>'retraites SA Nb'!$AT15/'retraites SA Nb'!$AQ15-1</f>
        <v>-3.1926310141298542E-2</v>
      </c>
      <c r="Q15" s="72">
        <f>'retraites SA Nb'!$AW15/'retraites SA Nb'!$AT15-1</f>
        <v>-3.103926096997689E-2</v>
      </c>
      <c r="R15" s="72">
        <f>'retraites SA Nb'!$AZ15/'retraites SA Nb'!$AW15-1</f>
        <v>-2.5645914767852052E-2</v>
      </c>
      <c r="S15" s="72">
        <f>'retraites SA Nb'!$BC15/'retraites SA Nb'!$AZ15-1</f>
        <v>-2.8473581213307231E-2</v>
      </c>
      <c r="T15" s="72">
        <f>'retraites SA Nb'!$BF15/'retraites SA Nb'!$BC15-1</f>
        <v>-3.525027696646188E-2</v>
      </c>
      <c r="U15" s="72">
        <f>'retraites SA Nb'!$BI15/'retraites SA Nb'!$BF15-1</f>
        <v>-1.9626265789748354E-2</v>
      </c>
      <c r="V15" s="72">
        <f>'retraites SA Nb'!$BL15/'retraites SA Nb'!$BI15-1</f>
        <v>-2.3533170056437069E-2</v>
      </c>
      <c r="W15" s="72">
        <f>'retraites SA Nb'!$BO15/'retraites SA Nb'!$BL15-1</f>
        <v>-2.6390403489640168E-2</v>
      </c>
      <c r="X15" s="72">
        <f>'retraites SA Nb'!$BR15/'retraites SA Nb'!$BO15-1</f>
        <v>-3.4274193548387122E-2</v>
      </c>
      <c r="Y15" s="72">
        <f>'retraites SA Nb'!$BU15/'retraites SA Nb'!$BR15-1</f>
        <v>-2.6096033402922769E-2</v>
      </c>
      <c r="Z15" s="72">
        <f>'retraites SA Nb'!$BX15/'retraites SA Nb'!$BU15-1</f>
        <v>-3.2392521138501884E-2</v>
      </c>
      <c r="AA15" s="72">
        <f>'retraites SA Nb'!$CA15/'retraites SA Nb'!$BX15-1</f>
        <v>-2.8553846153846152E-2</v>
      </c>
      <c r="AB15" s="72">
        <f>'retraites SA Nb'!$CG15/'retraites SA Nb'!$CA15-1</f>
        <v>-6.1066768022298268E-2</v>
      </c>
      <c r="AC15" s="72">
        <f>'retraites SA Nb'!$CG15/'retraites SA Nb'!$CG15-1</f>
        <v>0</v>
      </c>
      <c r="AD15" s="72">
        <f>'retraites SA Nb'!$CJ15/'retraites SA Nb'!$CG15-1</f>
        <v>-2.9820537039535799E-2</v>
      </c>
      <c r="AE15" s="72">
        <f>'retraites SA Nb'!$CM15/'retraites SA Nb'!$CJ15-1</f>
        <v>-2.8789986091794173E-2</v>
      </c>
      <c r="AF15" s="72">
        <f>'retraites SA Nb'!$CS15/'retraites SA Nb'!$CM15-1</f>
        <v>-6.6733495632249729E-2</v>
      </c>
      <c r="AG15" s="72">
        <f>'retraites SA Nb'!$CS15/'retraites SA Nb'!CP15-1</f>
        <v>-3.4804502369668255E-2</v>
      </c>
      <c r="AH15" s="72">
        <f>'retraites SA Nb'!$CV15/'retraites SA Nb'!$CS15-1</f>
        <v>-2.9001074113856107E-2</v>
      </c>
      <c r="AI15" s="72">
        <f>'retraites SA Nb'!$CY15/'retraites SA Nb'!$CV15-1</f>
        <v>-3.9981036662452563E-2</v>
      </c>
      <c r="AJ15" s="72">
        <f>'retraites SA Nb'!$DB15/'retraites SA Nb'!$CY15-1</f>
        <v>-3.2757201646090528E-2</v>
      </c>
      <c r="AK15" s="72">
        <f>'retraites SA Nb'!$DE15/'retraites SA Nb'!$DB15-1</f>
        <v>-3.2164737916950292E-2</v>
      </c>
      <c r="AL15" s="72">
        <f>'retraites SA Nb'!$DH15/'retraites SA Nb'!$DE15-1</f>
        <v>-4.4487427466150864E-2</v>
      </c>
      <c r="AM15" s="72">
        <f>'retraites SA Nb'!$DK15/'retraites SA Nb'!$DH15-1</f>
        <v>-2.0242914979757054E-2</v>
      </c>
      <c r="AN15" s="72">
        <f>'retraites SA Nb'!$DN15/'retraites SA Nb'!$DK15-1</f>
        <v>-3.8692712246431227E-2</v>
      </c>
      <c r="AO15" s="72">
        <f>'retraites SA Nb'!$DQ15/'retraites SA Nb'!$DN15-1</f>
        <v>-3.6733098866744807E-2</v>
      </c>
      <c r="AP15" s="72">
        <f>'retraites SA Nb'!$DT15/'retraites SA Nb'!$DQ15-1</f>
        <v>-4.1582150101419857E-2</v>
      </c>
      <c r="AQ15" s="72">
        <f>'retraites SA Nb'!$DW15/'retraites SA Nb'!$DT15-1</f>
        <v>-2.1375661375661381E-2</v>
      </c>
      <c r="AR15" s="274">
        <f>'retraites SA Nb'!$DZ15/'retraites SA Nb'!$DW15-1</f>
        <v>-4.9956747404844237E-2</v>
      </c>
      <c r="AS15" s="261">
        <f>'retraites SA Nb'!$EC15/'retraites SA Nb'!$DZ15-1</f>
        <v>-3.3917596175734088E-2</v>
      </c>
      <c r="AT15" s="261">
        <f>'retraites SA Nb'!$EF15/'retraites SA Nb'!$EC15-1</f>
        <v>-3.1573986804901089E-2</v>
      </c>
      <c r="AU15" s="261">
        <f>'retraites SA Nb'!$EI15/'retraites SA Nb'!$EF15-1</f>
        <v>-4.4768856447688576E-2</v>
      </c>
      <c r="AV15" s="261">
        <f>'retraites SA Nb'!$EL15/'retraites SA Nb'!$EI15-1</f>
        <v>-3.0310748853795255E-2</v>
      </c>
      <c r="AW15" s="261">
        <f>'retraites SA Nb'!$EO15/'retraites SA Nb'!$EL15-1</f>
        <v>-4.4917257683215084E-2</v>
      </c>
      <c r="AX15" s="261">
        <f>'retraites SA Nb'!$ER15/'retraites SA Nb'!$EO15-1</f>
        <v>-5.6930693069306981E-2</v>
      </c>
      <c r="AY15" s="261">
        <f>'retraites SA Nb'!$EU15/'retraites SA Nb'!$ER15-1</f>
        <v>-5.3659959171770244E-2</v>
      </c>
      <c r="AZ15" s="261">
        <f>'retraites SA Nb'!$EX15/'retraites SA Nb'!$EU15-1</f>
        <v>-6.2249614791987651E-2</v>
      </c>
      <c r="BA15" s="261">
        <f>'retraites SA Nb'!$FA15/'retraites SA Nb'!$EX15-1</f>
        <v>-5.0607952678278001E-2</v>
      </c>
      <c r="BB15" s="261">
        <f>'retraites SA Nb'!$FD15/'retraites SA Nb'!$FA15-1</f>
        <v>-5.3651782623745259E-2</v>
      </c>
      <c r="BC15" s="261">
        <f>'retraites SA Nb'!$FG15/'retraites SA Nb'!$FD15-1</f>
        <v>-2.633504023408928E-2</v>
      </c>
      <c r="BD15" s="261">
        <f>'retraites SA Nb'!$FJ15/'retraites SA Nb'!$FG15-1</f>
        <v>-5.409466566491361E-2</v>
      </c>
      <c r="BE15" s="261">
        <f>'retraites SA Nb'!$FM15/'retraites SA Nb'!$FJ15-1</f>
        <v>-4.5274027005559936E-2</v>
      </c>
      <c r="BF15" s="261">
        <f>'retraites SA Nb'!$FP15/'retraites SA Nb'!$FM15-1</f>
        <v>-4.2013311148086485E-2</v>
      </c>
      <c r="BG15" s="261">
        <f>'retraites SA Nb'!$FS15/'retraites SA Nb'!$FP15-1</f>
        <v>-4.9066435084672122E-2</v>
      </c>
      <c r="BH15" s="261">
        <f>'retraites SA Nb'!$FV15/'retraites SA Nb'!$FS15-1</f>
        <v>-3.4246575342465779E-2</v>
      </c>
      <c r="BI15" s="261">
        <f>'retraites SA Nb'!$FY15/'retraites SA Nb'!$FV15-1</f>
        <v>-3.4515366430260097E-2</v>
      </c>
      <c r="BJ15" s="261">
        <f>'retraites SA Nb'!$GB15/'retraites SA Nb'!$FY15-1</f>
        <v>-3.9666993143976481E-2</v>
      </c>
      <c r="BK15" s="261">
        <f>'retraites SA Nb'!$GE15/'retraites SA Nb'!$GB15-1</f>
        <v>-4.3855175930647583E-2</v>
      </c>
      <c r="BL15" s="261">
        <f>'retraites SA Nb'!$GH15/'retraites SA Nb'!$GE15-1</f>
        <v>-6.5066666666666717E-2</v>
      </c>
      <c r="BM15" s="261">
        <f>'retraites SA Nb'!$GK15/'retraites SA Nb'!$GH15-1</f>
        <v>-5.4192812321734118E-2</v>
      </c>
      <c r="BN15" s="261">
        <f>'retraites SA Nb'!$GN15/'retraites SA Nb'!$GK15-1</f>
        <v>-2.3522316043425806E-2</v>
      </c>
    </row>
    <row r="16" spans="1:67" x14ac:dyDescent="0.25">
      <c r="A16" s="39" t="s">
        <v>18</v>
      </c>
      <c r="C16" s="72">
        <f>'retraites SA Nb'!$G16/'retraites SA Nb'!$D16-1</f>
        <v>-6.9018043752588909E-5</v>
      </c>
      <c r="D16" s="72">
        <f>'retraites SA Nb'!$J16/'retraites SA Nb'!$G16-1</f>
        <v>-2.351647655620015E-3</v>
      </c>
      <c r="E16" s="72">
        <f>'retraites SA Nb'!$M16/'retraites SA Nb'!$J16-1</f>
        <v>1.0231315639750438E-3</v>
      </c>
      <c r="F16" s="72">
        <f>'retraites SA Nb'!$P16/'retraites SA Nb'!$M16-1</f>
        <v>-2.9190836516679308E-4</v>
      </c>
      <c r="G16" s="72">
        <f>'retraites SA Nb'!$S16/'retraites SA Nb'!$P16-1</f>
        <v>7.8569865772415426E-4</v>
      </c>
      <c r="H16" s="72">
        <f>'retraites SA Nb'!$V16/'retraites SA Nb'!$S16-1</f>
        <v>-7.2437207676897541E-3</v>
      </c>
      <c r="I16" s="72">
        <f>'retraites SA Nb'!$Y16/'retraites SA Nb'!$V16-1</f>
        <v>-1.6282831722786995E-3</v>
      </c>
      <c r="J16" s="72">
        <f>'retraites SA Nb'!$AB16/'retraites SA Nb'!$Y16-1</f>
        <v>6.3572994146168238E-3</v>
      </c>
      <c r="K16" s="72">
        <f>'retraites SA Nb'!$AE16/'retraites SA Nb'!$AB16-1</f>
        <v>-5.833963444841217E-4</v>
      </c>
      <c r="L16" s="72">
        <f>'retraites SA Nb'!$AH16/'retraites SA Nb'!$AE16-1</f>
        <v>-1.5751112850364013E-3</v>
      </c>
      <c r="M16" s="72">
        <f>'retraites SA Nb'!$AK16/'retraites SA Nb'!$AH16-1</f>
        <v>-1.9376996492053156E-3</v>
      </c>
      <c r="N16" s="72">
        <f>'retraites SA Nb'!$AN16/'retraites SA Nb'!$AK16-1</f>
        <v>-3.1874987216461426E-3</v>
      </c>
      <c r="O16" s="72">
        <f>'retraites SA Nb'!$AQ16/'retraites SA Nb'!$AN16-1</f>
        <v>-3.3405040631856453E-3</v>
      </c>
      <c r="P16" s="72">
        <f>'retraites SA Nb'!$AT16/'retraites SA Nb'!$AQ16-1</f>
        <v>-3.8466321175252283E-3</v>
      </c>
      <c r="Q16" s="72">
        <f>'retraites SA Nb'!$AW16/'retraites SA Nb'!$AT16-1</f>
        <v>-3.1736767528798282E-3</v>
      </c>
      <c r="R16" s="72">
        <f>'retraites SA Nb'!$AZ16/'retraites SA Nb'!$AW16-1</f>
        <v>-3.09836050618717E-3</v>
      </c>
      <c r="S16" s="72">
        <f>'retraites SA Nb'!$BC16/'retraites SA Nb'!$AZ16-1</f>
        <v>-2.8010179166981786E-3</v>
      </c>
      <c r="T16" s="72">
        <f>'retraites SA Nb'!$BF16/'retraites SA Nb'!$BC16-1</f>
        <v>-4.9345288546888133E-3</v>
      </c>
      <c r="U16" s="72">
        <f>'retraites SA Nb'!$BI16/'retraites SA Nb'!$BF16-1</f>
        <v>4.2589544937410295E-4</v>
      </c>
      <c r="V16" s="72">
        <f>'retraites SA Nb'!$BL16/'retraites SA Nb'!$BI16-1</f>
        <v>1.8268835127122074E-4</v>
      </c>
      <c r="W16" s="72">
        <f>'retraites SA Nb'!$BO16/'retraites SA Nb'!$BL16-1</f>
        <v>-1.6237860356076439E-3</v>
      </c>
      <c r="X16" s="72">
        <f>'retraites SA Nb'!$BR16/'retraites SA Nb'!$BO16-1</f>
        <v>-2.8810752881285318E-3</v>
      </c>
      <c r="Y16" s="72">
        <f>'retraites SA Nb'!$BU16/'retraites SA Nb'!$BR16-1</f>
        <v>-1.0562763858682489E-3</v>
      </c>
      <c r="Z16" s="72">
        <f>'retraites SA Nb'!$BX16/'retraites SA Nb'!$BU16-1</f>
        <v>-5.2322010378458295E-4</v>
      </c>
      <c r="AA16" s="72">
        <f>'retraites SA Nb'!$CA16/'retraites SA Nb'!$BX16-1</f>
        <v>-1.2417176672904207E-3</v>
      </c>
      <c r="AB16" s="72">
        <f>'retraites SA Nb'!$CG16/'retraites SA Nb'!$CA16-1</f>
        <v>-5.9386201908022684E-3</v>
      </c>
      <c r="AC16" s="72">
        <f>'retraites SA Nb'!$CG16/'retraites SA Nb'!$CG16-1</f>
        <v>0</v>
      </c>
      <c r="AD16" s="72">
        <f>'retraites SA Nb'!$CJ16/'retraites SA Nb'!$CG16-1</f>
        <v>-1.374653895432898E-3</v>
      </c>
      <c r="AE16" s="72">
        <f>'retraites SA Nb'!$CM16/'retraites SA Nb'!$CJ16-1</f>
        <v>-4.9569266034765747E-4</v>
      </c>
      <c r="AF16" s="72">
        <f>'retraites SA Nb'!$CS16/'retraites SA Nb'!$CM16-1</f>
        <v>-3.583006748336337E-3</v>
      </c>
      <c r="AG16" s="72">
        <f>'retraites SA Nb'!$CS16/'retraites SA Nb'!CP16-1</f>
        <v>-1.1810130619192005E-3</v>
      </c>
      <c r="AH16" s="72">
        <f>'retraites SA Nb'!$CV16/'retraites SA Nb'!$CS16-1</f>
        <v>-2.3955531157984211E-3</v>
      </c>
      <c r="AI16" s="72">
        <f>'retraites SA Nb'!$CY16/'retraites SA Nb'!$CV16-1</f>
        <v>-4.483406944274515E-3</v>
      </c>
      <c r="AJ16" s="72">
        <f>'retraites SA Nb'!$DB16/'retraites SA Nb'!$CY16-1</f>
        <v>-2.8213036795576851E-3</v>
      </c>
      <c r="AK16" s="72">
        <f>'retraites SA Nb'!$DE16/'retraites SA Nb'!$DB16-1</f>
        <v>-3.7301402574115849E-3</v>
      </c>
      <c r="AL16" s="72">
        <f>'retraites SA Nb'!$DH16/'retraites SA Nb'!$DE16-1</f>
        <v>-3.3841459985134437E-3</v>
      </c>
      <c r="AM16" s="72">
        <f>'retraites SA Nb'!$DK16/'retraites SA Nb'!$DH16-1</f>
        <v>-6.0029241898570396E-3</v>
      </c>
      <c r="AN16" s="72">
        <f>'retraites SA Nb'!$DN16/'retraites SA Nb'!$DK16-1</f>
        <v>-7.9896371427723434E-3</v>
      </c>
      <c r="AO16" s="72">
        <f>'retraites SA Nb'!$DQ16/'retraites SA Nb'!$DN16-1</f>
        <v>-4.909699738753992E-3</v>
      </c>
      <c r="AP16" s="72">
        <f>'retraites SA Nb'!$DT16/'retraites SA Nb'!$DQ16-1</f>
        <v>-3.9260796276551213E-3</v>
      </c>
      <c r="AQ16" s="72">
        <f>'retraites SA Nb'!$DW16/'retraites SA Nb'!$DT16-1</f>
        <v>-6.8188803746652704E-3</v>
      </c>
      <c r="AR16" s="274">
        <f>'retraites SA Nb'!$DZ16/'retraites SA Nb'!$DW16-1</f>
        <v>-7.9980537055621692E-3</v>
      </c>
      <c r="AS16" s="261">
        <f>'retraites SA Nb'!$EC16/'retraites SA Nb'!$DZ16-1</f>
        <v>-7.2735961337324628E-3</v>
      </c>
      <c r="AT16" s="261">
        <f>'retraites SA Nb'!$EF16/'retraites SA Nb'!$EC16-1</f>
        <v>-2.7683596833097956E-3</v>
      </c>
      <c r="AU16" s="261">
        <f>'retraites SA Nb'!$EI16/'retraites SA Nb'!$EF16-1</f>
        <v>-6.4683300469504657E-3</v>
      </c>
      <c r="AV16" s="261">
        <f>'retraites SA Nb'!$EL16/'retraites SA Nb'!$EI16-1</f>
        <v>-9.0286314596791373E-3</v>
      </c>
      <c r="AW16" s="261">
        <f>'retraites SA Nb'!$EO16/'retraites SA Nb'!$EL16-1</f>
        <v>-7.6280233188469326E-3</v>
      </c>
      <c r="AX16" s="261">
        <f>'retraites SA Nb'!$ER16/'retraites SA Nb'!$EO16-1</f>
        <v>-9.9611472377998389E-3</v>
      </c>
      <c r="AY16" s="261">
        <f>'retraites SA Nb'!$EU16/'retraites SA Nb'!$ER16-1</f>
        <v>-9.7337117096419901E-3</v>
      </c>
      <c r="AZ16" s="261">
        <f>'retraites SA Nb'!$EX16/'retraites SA Nb'!$EU16-1</f>
        <v>-8.900454863540963E-3</v>
      </c>
      <c r="BA16" s="261">
        <f>'retraites SA Nb'!$FA16/'retraites SA Nb'!$EX16-1</f>
        <v>-6.6894797785458371E-3</v>
      </c>
      <c r="BB16" s="261">
        <f>'retraites SA Nb'!$FD16/'retraites SA Nb'!$FA16-1</f>
        <v>-7.3072502680098239E-3</v>
      </c>
      <c r="BC16" s="261">
        <f>'retraites SA Nb'!$FG16/'retraites SA Nb'!$FD16-1</f>
        <v>-8.102396861780603E-3</v>
      </c>
      <c r="BD16" s="261">
        <f>'retraites SA Nb'!$FJ16/'retraites SA Nb'!$FG16-1</f>
        <v>-8.0999219237363196E-3</v>
      </c>
      <c r="BE16" s="261">
        <f>'retraites SA Nb'!$FM16/'retraites SA Nb'!$FJ16-1</f>
        <v>-6.9972252382676237E-3</v>
      </c>
      <c r="BF16" s="261">
        <f>'retraites SA Nb'!$FP16/'retraites SA Nb'!$FM16-1</f>
        <v>-8.0114959240455974E-3</v>
      </c>
      <c r="BG16" s="261">
        <f>'retraites SA Nb'!$FS16/'retraites SA Nb'!$FP16-1</f>
        <v>-9.1413128917006148E-3</v>
      </c>
      <c r="BH16" s="261">
        <f>'retraites SA Nb'!$FV16/'retraites SA Nb'!$FS16-1</f>
        <v>-6.8619931896769515E-3</v>
      </c>
      <c r="BI16" s="261">
        <f>'retraites SA Nb'!$FY16/'retraites SA Nb'!$FV16-1</f>
        <v>-5.9249707730005818E-3</v>
      </c>
      <c r="BJ16" s="261">
        <f>'retraites SA Nb'!$GB16/'retraites SA Nb'!$FY16-1</f>
        <v>-5.5990558776746191E-3</v>
      </c>
      <c r="BK16" s="261">
        <f>'retraites SA Nb'!$GE16/'retraites SA Nb'!$GB16-1</f>
        <v>-9.624414599058384E-3</v>
      </c>
      <c r="BL16" s="261">
        <f>'retraites SA Nb'!$GH16/'retraites SA Nb'!$GE16-1</f>
        <v>-8.2664004634935839E-3</v>
      </c>
      <c r="BM16" s="261">
        <f>'retraites SA Nb'!$GK16/'retraites SA Nb'!$GH16-1</f>
        <v>-7.470566912008092E-3</v>
      </c>
      <c r="BN16" s="261">
        <f>'retraites SA Nb'!$GN16/'retraites SA Nb'!$GK16-1</f>
        <v>-7.1149927219795739E-3</v>
      </c>
    </row>
    <row r="17" spans="1:66" x14ac:dyDescent="0.25">
      <c r="A17" s="39" t="s">
        <v>7</v>
      </c>
      <c r="C17" s="72">
        <f>'retraites SA Nb'!$G17/'retraites SA Nb'!$D17-1</f>
        <v>0.13017751479289941</v>
      </c>
      <c r="D17" s="72">
        <f>'retraites SA Nb'!$J17/'retraites SA Nb'!$G17-1</f>
        <v>5.7591623036649109E-2</v>
      </c>
      <c r="E17" s="72">
        <f>'retraites SA Nb'!$M17/'retraites SA Nb'!$J17-1</f>
        <v>0</v>
      </c>
      <c r="F17" s="86">
        <f>'retraites SA Nb'!$P17/'retraites SA Nb'!$M17-1</f>
        <v>-0.13861386138613863</v>
      </c>
      <c r="G17" s="72">
        <f>'retraites SA Nb'!$S17/'retraites SA Nb'!$P17-1</f>
        <v>6.321839080459779E-2</v>
      </c>
      <c r="H17" s="72">
        <f>'retraites SA Nb'!$V17/'retraites SA Nb'!$S17-1</f>
        <v>6.4864864864864868E-2</v>
      </c>
      <c r="I17" s="72">
        <f>'retraites SA Nb'!$Y17/'retraites SA Nb'!$V17-1</f>
        <v>1.0152284263959421E-2</v>
      </c>
      <c r="J17" s="86">
        <f>'retraites SA Nb'!$AB17/'retraites SA Nb'!$Y17-1</f>
        <v>-0.17587939698492461</v>
      </c>
      <c r="K17" s="72">
        <f>'retraites SA Nb'!$AE17/'retraites SA Nb'!$AB17-1</f>
        <v>6.0975609756097615E-3</v>
      </c>
      <c r="L17" s="72">
        <f>'retraites SA Nb'!$AH17/'retraites SA Nb'!$AE17-1</f>
        <v>1.2121212121212199E-2</v>
      </c>
      <c r="M17" s="72">
        <f>'retraites SA Nb'!$AK17/'retraites SA Nb'!$AH17-1</f>
        <v>0</v>
      </c>
      <c r="N17" s="86">
        <f>'retraites SA Nb'!$AN17/'retraites SA Nb'!$AK17-1</f>
        <v>-0.16167664670658688</v>
      </c>
      <c r="O17" s="72">
        <f>'retraites SA Nb'!$AQ17/'retraites SA Nb'!$AN17-1</f>
        <v>8.5714285714285632E-2</v>
      </c>
      <c r="P17" s="72">
        <f>'retraites SA Nb'!$AT17/'retraites SA Nb'!$AQ17-1</f>
        <v>-5.9210526315789491E-2</v>
      </c>
      <c r="Q17" s="72">
        <f>'retraites SA Nb'!$AW17/'retraites SA Nb'!$AT17-1</f>
        <v>2.7972027972027913E-2</v>
      </c>
      <c r="R17" s="72">
        <f>'retraites SA Nb'!$AZ17/'retraites SA Nb'!$AW17-1</f>
        <v>-0.13605442176870752</v>
      </c>
      <c r="S17" s="72">
        <f>'retraites SA Nb'!$BC17/'retraites SA Nb'!$AZ17-1</f>
        <v>0.10236220472440949</v>
      </c>
      <c r="T17" s="72">
        <f>'retraites SA Nb'!$BF17/'retraites SA Nb'!$BC17-1</f>
        <v>-6.4285714285714279E-2</v>
      </c>
      <c r="U17" s="72">
        <f>'retraites SA Nb'!$BI17/'retraites SA Nb'!$BF17-1</f>
        <v>2.2900763358778553E-2</v>
      </c>
      <c r="V17" s="72">
        <f>'retraites SA Nb'!$BL17/'retraites SA Nb'!$BI17-1</f>
        <v>-0.14179104477611937</v>
      </c>
      <c r="W17" s="72">
        <f>'retraites SA Nb'!$BO17/'retraites SA Nb'!$BL17-1</f>
        <v>0.11304347826086958</v>
      </c>
      <c r="X17" s="72">
        <f>'retraites SA Nb'!$BR17/'retraites SA Nb'!$BO17-1</f>
        <v>0.1015625</v>
      </c>
      <c r="Y17" s="72">
        <f>'retraites SA Nb'!$BU17/'retraites SA Nb'!$BR17-1</f>
        <v>-7.0921985815602939E-3</v>
      </c>
      <c r="Z17" s="72">
        <f>'retraites SA Nb'!$BX17/'retraites SA Nb'!$BU17-1</f>
        <v>-0.19999999999999996</v>
      </c>
      <c r="AA17" s="72">
        <f>'retraites SA Nb'!$CA17/'retraites SA Nb'!$BX17-1</f>
        <v>0.15178571428571419</v>
      </c>
      <c r="AB17" s="72">
        <f>'retraites SA Nb'!$CG17/'retraites SA Nb'!$CA17-1</f>
        <v>0</v>
      </c>
      <c r="AC17" s="72">
        <f>'retraites SA Nb'!$CG17/'retraites SA Nb'!$CG17-1</f>
        <v>0</v>
      </c>
      <c r="AD17" s="72">
        <f>'retraites SA Nb'!$CJ17/'retraites SA Nb'!$CG17-1</f>
        <v>-0.12403100775193798</v>
      </c>
      <c r="AE17" s="72">
        <f>'retraites SA Nb'!$CM17/'retraites SA Nb'!$CJ17-1</f>
        <v>4.4247787610619538E-2</v>
      </c>
      <c r="AF17" s="72">
        <f>'retraites SA Nb'!$CS17/'retraites SA Nb'!$CM17-1</f>
        <v>5.9322033898305149E-2</v>
      </c>
      <c r="AG17" s="72">
        <f>'retraites SA Nb'!$CS17/'retraites SA Nb'!CP17-1</f>
        <v>1.6260162601626105E-2</v>
      </c>
      <c r="AH17" s="72">
        <f>'retraites SA Nb'!$CV17/'retraites SA Nb'!$CS17-1</f>
        <v>-0.22399999999999998</v>
      </c>
      <c r="AI17" s="72">
        <f>'retraites SA Nb'!$CY17/'retraites SA Nb'!$CV17-1</f>
        <v>0.12371134020618557</v>
      </c>
      <c r="AJ17" s="72">
        <f>'retraites SA Nb'!$DB17/'retraites SA Nb'!$CY17-1</f>
        <v>9.1743119266054496E-3</v>
      </c>
      <c r="AK17" s="72">
        <f>'retraites SA Nb'!$DE17/'retraites SA Nb'!$DB17-1</f>
        <v>6.3636363636363713E-2</v>
      </c>
      <c r="AL17" s="72">
        <f>'retraites SA Nb'!$DH17/'retraites SA Nb'!$DE17-1</f>
        <v>-0.2649572649572649</v>
      </c>
      <c r="AM17" s="72">
        <f>'retraites SA Nb'!$DK17/'retraites SA Nb'!$DH17-1</f>
        <v>5.8139534883721034E-2</v>
      </c>
      <c r="AN17" s="72">
        <f>'retraites SA Nb'!$DN17/'retraites SA Nb'!$DK17-1</f>
        <v>0.13186813186813184</v>
      </c>
      <c r="AO17" s="72">
        <f>'retraites SA Nb'!$DQ17/'retraites SA Nb'!$DN17-1</f>
        <v>0</v>
      </c>
      <c r="AP17" s="72">
        <f>'retraites SA Nb'!$DT17/'retraites SA Nb'!$DQ17-1</f>
        <v>-0.15533980582524276</v>
      </c>
      <c r="AQ17" s="72">
        <f>'retraites SA Nb'!$DW17/'retraites SA Nb'!$DT17-1</f>
        <v>0.13793103448275867</v>
      </c>
      <c r="AR17" s="274">
        <f>'retraites SA Nb'!$DZ17/'retraites SA Nb'!$DW17-1</f>
        <v>2.020202020202011E-2</v>
      </c>
      <c r="AS17" s="261">
        <f>'retraites SA Nb'!$EC17/'retraites SA Nb'!$DZ17-1</f>
        <v>0</v>
      </c>
      <c r="AT17" s="261">
        <f>'retraites SA Nb'!$EF17/'retraites SA Nb'!$EC17-1</f>
        <v>-0.1089108910891089</v>
      </c>
      <c r="AU17" s="261">
        <f>'retraites SA Nb'!$EI17/'retraites SA Nb'!$EF17-1</f>
        <v>0.18888888888888888</v>
      </c>
      <c r="AV17" s="261">
        <f>'retraites SA Nb'!$EL17/'retraites SA Nb'!$EI17-1</f>
        <v>0.13084112149532712</v>
      </c>
      <c r="AW17" s="261">
        <f>'retraites SA Nb'!$EO17/'retraites SA Nb'!$EL17-1</f>
        <v>1.6528925619834656E-2</v>
      </c>
      <c r="AX17" s="261">
        <f>'retraites SA Nb'!$ER17/'retraites SA Nb'!$EO17-1</f>
        <v>-0.14634146341463417</v>
      </c>
      <c r="AY17" s="261">
        <f>'retraites SA Nb'!$EU17/'retraites SA Nb'!$ER17-1</f>
        <v>5.7142857142857162E-2</v>
      </c>
      <c r="AZ17" s="261">
        <f>'retraites SA Nb'!$EX17/'retraites SA Nb'!$EU17-1</f>
        <v>0.10810810810810811</v>
      </c>
      <c r="BA17" s="261">
        <f>'retraites SA Nb'!$FA17/'retraites SA Nb'!$EX17-1</f>
        <v>-2.4390243902439046E-2</v>
      </c>
      <c r="BB17" s="261">
        <f>'retraites SA Nb'!$FD17/'retraites SA Nb'!$FA17-1</f>
        <v>-0.17500000000000004</v>
      </c>
      <c r="BC17" s="261">
        <f>'retraites SA Nb'!$FG17/'retraites SA Nb'!$FD17-1</f>
        <v>5.0505050505050608E-2</v>
      </c>
      <c r="BD17" s="261">
        <f>'retraites SA Nb'!$FJ17/'retraites SA Nb'!$FG17-1</f>
        <v>0</v>
      </c>
      <c r="BE17" s="261">
        <f>'retraites SA Nb'!$FM17/'retraites SA Nb'!$FJ17-1</f>
        <v>-3.8461538461538436E-2</v>
      </c>
      <c r="BF17" s="261">
        <f>'retraites SA Nb'!$FP17/'retraites SA Nb'!$FM17-1</f>
        <v>-0.15000000000000002</v>
      </c>
      <c r="BG17" s="261">
        <f>'retraites SA Nb'!$FS17/'retraites SA Nb'!$FP17-1</f>
        <v>0</v>
      </c>
      <c r="BH17" s="261">
        <f>'retraites SA Nb'!$FV17/'retraites SA Nb'!$FS17-1</f>
        <v>0.12941176470588234</v>
      </c>
      <c r="BI17" s="261">
        <f>'retraites SA Nb'!$FY17/'retraites SA Nb'!$FV17-1</f>
        <v>0</v>
      </c>
      <c r="BJ17" s="261">
        <f>'retraites SA Nb'!$GB17/'retraites SA Nb'!$FY17-1</f>
        <v>-0.23958333333333337</v>
      </c>
      <c r="BK17" s="261">
        <f>'retraites SA Nb'!$GE17/'retraites SA Nb'!$GB17-1</f>
        <v>-2.7397260273972601E-2</v>
      </c>
      <c r="BL17" s="261">
        <f>'retraites SA Nb'!$GH17/'retraites SA Nb'!$GE17-1</f>
        <v>2.8169014084507005E-2</v>
      </c>
      <c r="BM17" s="261">
        <f>'retraites SA Nb'!$GK17/'retraites SA Nb'!$GH17-1</f>
        <v>-1.3698630136986356E-2</v>
      </c>
      <c r="BN17" s="261">
        <f>'retraites SA Nb'!$GN17/'retraites SA Nb'!$GK17-1</f>
        <v>-0.11111111111111116</v>
      </c>
    </row>
    <row r="18" spans="1:66" x14ac:dyDescent="0.25">
      <c r="A18" s="39" t="s">
        <v>8</v>
      </c>
      <c r="C18" s="72">
        <f>'retraites SA Nb'!$G18/'retraites SA Nb'!$D18-1</f>
        <v>-1.8181818181818188E-2</v>
      </c>
      <c r="D18" s="72">
        <f>'retraites SA Nb'!$J18/'retraites SA Nb'!$G18-1</f>
        <v>-4.3572984749454813E-3</v>
      </c>
      <c r="E18" s="72">
        <f>'retraites SA Nb'!$M18/'retraites SA Nb'!$J18-1</f>
        <v>3.2822757111596879E-3</v>
      </c>
      <c r="F18" s="72">
        <f>'retraites SA Nb'!$P18/'retraites SA Nb'!$M18-1</f>
        <v>8.724100327153872E-3</v>
      </c>
      <c r="G18" s="72">
        <f>'retraites SA Nb'!$S18/'retraites SA Nb'!$P18-1</f>
        <v>-7.5675675675676013E-3</v>
      </c>
      <c r="H18" s="72">
        <f>'retraites SA Nb'!$V18/'retraites SA Nb'!$S18-1</f>
        <v>-3.2679738562091387E-3</v>
      </c>
      <c r="I18" s="72">
        <f>'retraites SA Nb'!$Y18/'retraites SA Nb'!$V18-1</f>
        <v>-6.5573770491803574E-3</v>
      </c>
      <c r="J18" s="72">
        <f>'retraites SA Nb'!$AB18/'retraites SA Nb'!$Y18-1</f>
        <v>-4.4004400440044167E-3</v>
      </c>
      <c r="K18" s="72">
        <f>'retraites SA Nb'!$AE18/'retraites SA Nb'!$AB18-1</f>
        <v>-1.436464088397793E-2</v>
      </c>
      <c r="L18" s="72">
        <f>'retraites SA Nb'!$AH18/'retraites SA Nb'!$AE18-1</f>
        <v>3.3632286995515237E-3</v>
      </c>
      <c r="M18" s="72">
        <f>'retraites SA Nb'!$AK18/'retraites SA Nb'!$AH18-1</f>
        <v>-1.5642458100558643E-2</v>
      </c>
      <c r="N18" s="72">
        <f>'retraites SA Nb'!$AN18/'retraites SA Nb'!$AK18-1</f>
        <v>-6.8104426787741756E-3</v>
      </c>
      <c r="O18" s="72">
        <f>'retraites SA Nb'!$AQ18/'retraites SA Nb'!$AN18-1</f>
        <v>-1.0285714285714231E-2</v>
      </c>
      <c r="P18" s="72">
        <f>'retraites SA Nb'!$AT18/'retraites SA Nb'!$AQ18-1</f>
        <v>-1.2702078521939941E-2</v>
      </c>
      <c r="Q18" s="72">
        <f>'retraites SA Nb'!$AW18/'retraites SA Nb'!$AT18-1</f>
        <v>-9.3567251461987855E-3</v>
      </c>
      <c r="R18" s="72">
        <f>'retraites SA Nb'!$AZ18/'retraites SA Nb'!$AW18-1</f>
        <v>-3.5419126328217754E-3</v>
      </c>
      <c r="S18" s="72">
        <f>'retraites SA Nb'!$BC18/'retraites SA Nb'!$AZ18-1</f>
        <v>-7.1090047393365108E-3</v>
      </c>
      <c r="T18" s="72">
        <f>'retraites SA Nb'!$BF18/'retraites SA Nb'!$BC18-1</f>
        <v>-8.3532219570405797E-3</v>
      </c>
      <c r="U18" s="72">
        <f>'retraites SA Nb'!$BI18/'retraites SA Nb'!$BF18-1</f>
        <v>2.4067388688326918E-3</v>
      </c>
      <c r="V18" s="72">
        <f>'retraites SA Nb'!$BL18/'retraites SA Nb'!$BI18-1</f>
        <v>-4.8019207683073217E-3</v>
      </c>
      <c r="W18" s="72">
        <f>'retraites SA Nb'!$BO18/'retraites SA Nb'!$BL18-1</f>
        <v>-1.0856453558504175E-2</v>
      </c>
      <c r="X18" s="72">
        <f>'retraites SA Nb'!$BR18/'retraites SA Nb'!$BO18-1</f>
        <v>9.7560975609756184E-3</v>
      </c>
      <c r="Y18" s="72">
        <f>'retraites SA Nb'!$BU18/'retraites SA Nb'!$BR18-1</f>
        <v>-2.4154589371980784E-3</v>
      </c>
      <c r="Z18" s="72">
        <f>'retraites SA Nb'!$BX18/'retraites SA Nb'!$BU18-1</f>
        <v>6.0532687651331241E-3</v>
      </c>
      <c r="AA18" s="72">
        <f>'retraites SA Nb'!$CA18/'retraites SA Nb'!$BX18-1</f>
        <v>1.2033694344164569E-3</v>
      </c>
      <c r="AB18" s="72">
        <f>'retraites SA Nb'!$CG18/'retraites SA Nb'!$CA18-1</f>
        <v>-2.6442307692307709E-2</v>
      </c>
      <c r="AC18" s="72">
        <f>'retraites SA Nb'!$CG18/'retraites SA Nb'!$CG18-1</f>
        <v>0</v>
      </c>
      <c r="AD18" s="72">
        <f>'retraites SA Nb'!$CJ18/'retraites SA Nb'!$CG18-1</f>
        <v>-9.8765432098765205E-3</v>
      </c>
      <c r="AE18" s="72">
        <f>'retraites SA Nb'!$CM18/'retraites SA Nb'!$CJ18-1</f>
        <v>-1.4962593516209433E-2</v>
      </c>
      <c r="AF18" s="72">
        <f>'retraites SA Nb'!$CS18/'retraites SA Nb'!$CM18-1</f>
        <v>-1.7721518987341756E-2</v>
      </c>
      <c r="AG18" s="72">
        <f>'retraites SA Nb'!$CS18/'retraites SA Nb'!CP18-1</f>
        <v>-1.2870012870013214E-3</v>
      </c>
      <c r="AH18" s="72">
        <f>'retraites SA Nb'!$CV18/'retraites SA Nb'!$CS18-1</f>
        <v>-1.2886597938144284E-2</v>
      </c>
      <c r="AI18" s="72">
        <f>'retraites SA Nb'!$CY18/'retraites SA Nb'!$CV18-1</f>
        <v>-2.3498694516971286E-2</v>
      </c>
      <c r="AJ18" s="72">
        <f>'retraites SA Nb'!$DB18/'retraites SA Nb'!$CY18-1</f>
        <v>-8.0213903743315829E-3</v>
      </c>
      <c r="AK18" s="72">
        <f>'retraites SA Nb'!$DE18/'retraites SA Nb'!$DB18-1</f>
        <v>-2.6954177897574594E-3</v>
      </c>
      <c r="AL18" s="72">
        <f>'retraites SA Nb'!$DH18/'retraites SA Nb'!$DE18-1</f>
        <v>6.7567567567567988E-3</v>
      </c>
      <c r="AM18" s="72">
        <f>'retraites SA Nb'!$DK18/'retraites SA Nb'!$DH18-1</f>
        <v>-1.4765100671140896E-2</v>
      </c>
      <c r="AN18" s="72">
        <f>'retraites SA Nb'!$DN18/'retraites SA Nb'!$DK18-1</f>
        <v>2.7247956403269047E-3</v>
      </c>
      <c r="AO18" s="72">
        <f>'retraites SA Nb'!$DQ18/'retraites SA Nb'!$DN18-1</f>
        <v>-8.152173913043459E-3</v>
      </c>
      <c r="AP18" s="72">
        <f>'retraites SA Nb'!$DT18/'retraites SA Nb'!$DQ18-1</f>
        <v>1.6438356164383494E-2</v>
      </c>
      <c r="AQ18" s="72">
        <f>'retraites SA Nb'!$DW18/'retraites SA Nb'!$DT18-1</f>
        <v>-6.7385444743934819E-3</v>
      </c>
      <c r="AR18" s="274">
        <f>'retraites SA Nb'!$DZ18/'retraites SA Nb'!$DW18-1</f>
        <v>-5.4274084124830146E-3</v>
      </c>
      <c r="AS18" s="261">
        <f>'retraites SA Nb'!$EC18/'retraites SA Nb'!$DZ18-1</f>
        <v>2.7285129604366354E-3</v>
      </c>
      <c r="AT18" s="261">
        <f>'retraites SA Nb'!$EF18/'retraites SA Nb'!$EC18-1</f>
        <v>-1.0884353741496544E-2</v>
      </c>
      <c r="AU18" s="261">
        <f>'retraites SA Nb'!$EI18/'retraites SA Nb'!$EF18-1</f>
        <v>-4.126547455295726E-3</v>
      </c>
      <c r="AV18" s="261">
        <f>'retraites SA Nb'!$EL18/'retraites SA Nb'!$EI18-1</f>
        <v>4.1436464088397962E-3</v>
      </c>
      <c r="AW18" s="261">
        <f>'retraites SA Nb'!$EO18/'retraites SA Nb'!$EL18-1</f>
        <v>0</v>
      </c>
      <c r="AX18" s="261">
        <f>'retraites SA Nb'!$ER18/'retraites SA Nb'!$EO18-1</f>
        <v>8.2530949105914519E-3</v>
      </c>
      <c r="AY18" s="261">
        <f>'retraites SA Nb'!$EU18/'retraites SA Nb'!$ER18-1</f>
        <v>1.3642564802183177E-3</v>
      </c>
      <c r="AZ18" s="261">
        <f>'retraites SA Nb'!$EX18/'retraites SA Nb'!$EU18-1</f>
        <v>9.5367847411444995E-3</v>
      </c>
      <c r="BA18" s="261">
        <f>'retraites SA Nb'!$FA18/'retraites SA Nb'!$EX18-1</f>
        <v>1.7543859649122862E-2</v>
      </c>
      <c r="BB18" s="261">
        <f>'retraites SA Nb'!$FD18/'retraites SA Nb'!$FA18-1</f>
        <v>-2.6525198938992522E-3</v>
      </c>
      <c r="BC18" s="261">
        <f>'retraites SA Nb'!$FG18/'retraites SA Nb'!$FD18-1</f>
        <v>1.3297872340425343E-3</v>
      </c>
      <c r="BD18" s="261">
        <f>'retraites SA Nb'!$FJ18/'retraites SA Nb'!$FG18-1</f>
        <v>5.312084993359889E-3</v>
      </c>
      <c r="BE18" s="261">
        <f>'retraites SA Nb'!$FM18/'retraites SA Nb'!$FJ18-1</f>
        <v>-3.9630118890356947E-3</v>
      </c>
      <c r="BF18" s="261">
        <f>'retraites SA Nb'!$FP18/'retraites SA Nb'!$FM18-1</f>
        <v>-1.3262599469495706E-3</v>
      </c>
      <c r="BG18" s="261">
        <f>'retraites SA Nb'!$FS18/'retraites SA Nb'!$FP18-1</f>
        <v>-1.0624169986719778E-2</v>
      </c>
      <c r="BH18" s="261">
        <f>'retraites SA Nb'!$FV18/'retraites SA Nb'!$FS18-1</f>
        <v>9.3959731543624692E-3</v>
      </c>
      <c r="BI18" s="261">
        <f>'retraites SA Nb'!$FY18/'retraites SA Nb'!$FV18-1</f>
        <v>-1.5957446808510634E-2</v>
      </c>
      <c r="BJ18" s="261">
        <f>'retraites SA Nb'!$GB18/'retraites SA Nb'!$FY18-1</f>
        <v>-9.4594594594594739E-3</v>
      </c>
      <c r="BK18" s="261">
        <f>'retraites SA Nb'!$GE18/'retraites SA Nb'!$GB18-1</f>
        <v>-1.3642564802182844E-2</v>
      </c>
      <c r="BL18" s="261">
        <f>'retraites SA Nb'!$GH18/'retraites SA Nb'!$GE18-1</f>
        <v>4.1493775933609811E-3</v>
      </c>
      <c r="BM18" s="261">
        <f>'retraites SA Nb'!$GK18/'retraites SA Nb'!$GH18-1</f>
        <v>-1.6528925619834656E-2</v>
      </c>
      <c r="BN18" s="261">
        <f>'retraites SA Nb'!$GN18/'retraites SA Nb'!$GK18-1</f>
        <v>4.2016806722688926E-3</v>
      </c>
    </row>
    <row r="19" spans="1:66" x14ac:dyDescent="0.25">
      <c r="A19" s="39" t="s">
        <v>10</v>
      </c>
      <c r="C19" s="72">
        <f>'retraites SA Nb'!$G19/'retraites SA Nb'!$D19-1</f>
        <v>-2.3781963590445154E-2</v>
      </c>
      <c r="D19" s="72">
        <f>'retraites SA Nb'!$J19/'retraites SA Nb'!$G19-1</f>
        <v>-2.4361323703783522E-2</v>
      </c>
      <c r="E19" s="72">
        <f>'retraites SA Nb'!$M19/'retraites SA Nb'!$J19-1</f>
        <v>-1.2042868191360023E-2</v>
      </c>
      <c r="F19" s="72">
        <f>'retraites SA Nb'!$P19/'retraites SA Nb'!$M19-1</f>
        <v>-1.8004920599418495E-2</v>
      </c>
      <c r="G19" s="72">
        <f>'retraites SA Nb'!$S19/'retraites SA Nb'!$P19-1</f>
        <v>-1.6512925634893483E-2</v>
      </c>
      <c r="H19" s="72">
        <f>'retraites SA Nb'!$V19/'retraites SA Nb'!$S19-1</f>
        <v>-2.7559055118110187E-2</v>
      </c>
      <c r="I19" s="72">
        <f>'retraites SA Nb'!$Y19/'retraites SA Nb'!$V19-1</f>
        <v>-2.274351035960942E-2</v>
      </c>
      <c r="J19" s="72">
        <f>'retraites SA Nb'!$AB19/'retraites SA Nb'!$Y19-1</f>
        <v>-8.8948458632874816E-3</v>
      </c>
      <c r="K19" s="72">
        <f>'retraites SA Nb'!$AE19/'retraites SA Nb'!$AB19-1</f>
        <v>-2.1391689205802811E-2</v>
      </c>
      <c r="L19" s="72">
        <f>'retraites SA Nb'!$AH19/'retraites SA Nb'!$AE19-1</f>
        <v>-1.896984924623113E-2</v>
      </c>
      <c r="M19" s="72">
        <f>'retraites SA Nb'!$AK19/'retraites SA Nb'!$AH19-1</f>
        <v>-1.9848892303752086E-2</v>
      </c>
      <c r="N19" s="72">
        <f>'retraites SA Nb'!$AN19/'retraites SA Nb'!$AK19-1</f>
        <v>-1.593937810295265E-2</v>
      </c>
      <c r="O19" s="72">
        <f>'retraites SA Nb'!$AQ19/'retraites SA Nb'!$AN19-1</f>
        <v>-2.2835900159320244E-2</v>
      </c>
      <c r="P19" s="72">
        <f>'retraites SA Nb'!$AT19/'retraites SA Nb'!$AQ19-1</f>
        <v>-1.8750000000000044E-2</v>
      </c>
      <c r="Q19" s="72">
        <f>'retraites SA Nb'!$AW19/'retraites SA Nb'!$AT19-1</f>
        <v>-2.4923843810578772E-2</v>
      </c>
      <c r="R19" s="72">
        <f>'retraites SA Nb'!$AZ19/'retraites SA Nb'!$AW19-1</f>
        <v>-2.0306731042317505E-2</v>
      </c>
      <c r="S19" s="72">
        <f>'retraites SA Nb'!$BC19/'retraites SA Nb'!$AZ19-1</f>
        <v>-2.0292796057399642E-2</v>
      </c>
      <c r="T19" s="72">
        <f>'retraites SA Nb'!$BF19/'retraites SA Nb'!$BC19-1</f>
        <v>-2.1600828524929727E-2</v>
      </c>
      <c r="U19" s="72">
        <f>'retraites SA Nb'!$BI19/'retraites SA Nb'!$BF19-1</f>
        <v>-1.8750945108120365E-2</v>
      </c>
      <c r="V19" s="72">
        <f>'retraites SA Nb'!$BL19/'retraites SA Nb'!$BI19-1</f>
        <v>-1.4794267221451718E-2</v>
      </c>
      <c r="W19" s="72">
        <f>'retraites SA Nb'!$BO19/'retraites SA Nb'!$BL19-1</f>
        <v>-1.5642108556233381E-2</v>
      </c>
      <c r="X19" s="72">
        <f>'retraites SA Nb'!$BR19/'retraites SA Nb'!$BO19-1</f>
        <v>-2.367710154139524E-2</v>
      </c>
      <c r="Y19" s="72">
        <f>'retraites SA Nb'!$BU19/'retraites SA Nb'!$BR19-1</f>
        <v>-2.132161458333337E-2</v>
      </c>
      <c r="Z19" s="72">
        <f>'retraites SA Nb'!$BX19/'retraites SA Nb'!$BU19-1</f>
        <v>-2.1786130051554942E-2</v>
      </c>
      <c r="AA19" s="72">
        <f>'retraites SA Nb'!$CA19/'retraites SA Nb'!$BX19-1</f>
        <v>-2.3801428085685195E-2</v>
      </c>
      <c r="AB19" s="72">
        <f>'retraites SA Nb'!$CG19/'retraites SA Nb'!$CA19-1</f>
        <v>-5.4510623476140663E-2</v>
      </c>
      <c r="AC19" s="72">
        <f>'retraites SA Nb'!$CG19/'retraites SA Nb'!$CG19-1</f>
        <v>0</v>
      </c>
      <c r="AD19" s="72">
        <f>'retraites SA Nb'!$CJ19/'retraites SA Nb'!$CG19-1</f>
        <v>-1.8051206483698623E-2</v>
      </c>
      <c r="AE19" s="72">
        <f>'retraites SA Nb'!$CM19/'retraites SA Nb'!$CJ19-1</f>
        <v>-2.4573250797223833E-2</v>
      </c>
      <c r="AF19" s="72">
        <f>'retraites SA Nb'!$CS19/'retraites SA Nb'!$CM19-1</f>
        <v>-5.615384615384611E-2</v>
      </c>
      <c r="AG19" s="72">
        <f>'retraites SA Nb'!$CS19/'retraites SA Nb'!CP19-1</f>
        <v>-2.7733755942947691E-2</v>
      </c>
      <c r="AH19" s="72">
        <f>'retraites SA Nb'!$CV19/'retraites SA Nb'!$CS19-1</f>
        <v>-2.0986145069274653E-2</v>
      </c>
      <c r="AI19" s="72">
        <f>'retraites SA Nb'!$CY19/'retraites SA Nb'!$CV19-1</f>
        <v>-2.5390218522372554E-2</v>
      </c>
      <c r="AJ19" s="72">
        <f>'retraites SA Nb'!$DB19/'retraites SA Nb'!$CY19-1</f>
        <v>-2.3489216314328432E-2</v>
      </c>
      <c r="AK19" s="72">
        <f>'retraites SA Nb'!$DE19/'retraites SA Nb'!$DB19-1</f>
        <v>-3.2582549748523926E-2</v>
      </c>
      <c r="AL19" s="72">
        <f>'retraites SA Nb'!$DH19/'retraites SA Nb'!$DE19-1</f>
        <v>-2.7576853526220635E-2</v>
      </c>
      <c r="AM19" s="72">
        <f>'retraites SA Nb'!$DK19/'retraites SA Nb'!$DH19-1</f>
        <v>-2.5337052533705218E-2</v>
      </c>
      <c r="AN19" s="72">
        <f>'retraites SA Nb'!$DN19/'retraites SA Nb'!$DK19-1</f>
        <v>-2.8619127116622955E-2</v>
      </c>
      <c r="AO19" s="72">
        <f>'retraites SA Nb'!$DQ19/'retraites SA Nb'!$DN19-1</f>
        <v>-2.5534004419346945E-2</v>
      </c>
      <c r="AP19" s="72">
        <f>'retraites SA Nb'!$DT19/'retraites SA Nb'!$DQ19-1</f>
        <v>-3.0990173847316727E-2</v>
      </c>
      <c r="AQ19" s="72">
        <f>'retraites SA Nb'!$DW19/'retraites SA Nb'!$DT19-1</f>
        <v>-1.5600624024960985E-2</v>
      </c>
      <c r="AR19" s="274">
        <f>'retraites SA Nb'!$DZ19/'retraites SA Nb'!$DW19-1</f>
        <v>-3.2752245113576328E-2</v>
      </c>
      <c r="AS19" s="261">
        <f>'retraites SA Nb'!$EC19/'retraites SA Nb'!$DZ19-1</f>
        <v>-3.0857454942654239E-2</v>
      </c>
      <c r="AT19" s="261">
        <f>'retraites SA Nb'!$EF19/'retraites SA Nb'!$EC19-1</f>
        <v>-1.5215553677092153E-2</v>
      </c>
      <c r="AU19" s="261">
        <f>'retraites SA Nb'!$EI19/'retraites SA Nb'!$EF19-1</f>
        <v>-3.1473533619456373E-2</v>
      </c>
      <c r="AV19" s="261">
        <f>'retraites SA Nb'!$EL19/'retraites SA Nb'!$EI19-1</f>
        <v>-3.4564254062038446E-2</v>
      </c>
      <c r="AW19" s="261">
        <f>'retraites SA Nb'!$EO19/'retraites SA Nb'!$EL19-1</f>
        <v>-4.1003671970624267E-2</v>
      </c>
      <c r="AX19" s="261">
        <f>'retraites SA Nb'!$ER19/'retraites SA Nb'!$EO19-1</f>
        <v>-5.0414805360561532E-2</v>
      </c>
      <c r="AY19" s="261">
        <f>'retraites SA Nb'!$EU19/'retraites SA Nb'!$ER19-1</f>
        <v>-3.9314516129032251E-2</v>
      </c>
      <c r="AZ19" s="261">
        <f>'retraites SA Nb'!$EX19/'retraites SA Nb'!$EU19-1</f>
        <v>-3.3578174186778553E-2</v>
      </c>
      <c r="BA19" s="261">
        <f>'retraites SA Nb'!$FA19/'retraites SA Nb'!$EX19-1</f>
        <v>-3.6916395222584164E-2</v>
      </c>
      <c r="BB19" s="261">
        <f>'retraites SA Nb'!$FD19/'retraites SA Nb'!$FA19-1</f>
        <v>-3.6076662908680945E-2</v>
      </c>
      <c r="BC19" s="261">
        <f>'retraites SA Nb'!$FG19/'retraites SA Nb'!$FD19-1</f>
        <v>-2.8070175438596467E-2</v>
      </c>
      <c r="BD19" s="261">
        <f>'retraites SA Nb'!$FJ19/'retraites SA Nb'!$FG19-1</f>
        <v>-4.9739269955876408E-2</v>
      </c>
      <c r="BE19" s="261">
        <f>'retraites SA Nb'!$FM19/'retraites SA Nb'!$FJ19-1</f>
        <v>-2.5327142254115698E-2</v>
      </c>
      <c r="BF19" s="261">
        <f>'retraites SA Nb'!$FP19/'retraites SA Nb'!$FM19-1</f>
        <v>-4.287570376786487E-2</v>
      </c>
      <c r="BG19" s="261">
        <f>'retraites SA Nb'!$FS19/'retraites SA Nb'!$FP19-1</f>
        <v>-3.0769230769230771E-2</v>
      </c>
      <c r="BH19" s="261">
        <f>'retraites SA Nb'!$FV19/'retraites SA Nb'!$FS19-1</f>
        <v>-3.1279178338001867E-2</v>
      </c>
      <c r="BI19" s="261">
        <f>'retraites SA Nb'!$FY19/'retraites SA Nb'!$FV19-1</f>
        <v>-4.3855421686746943E-2</v>
      </c>
      <c r="BJ19" s="261">
        <f>'retraites SA Nb'!$GB19/'retraites SA Nb'!$FY19-1</f>
        <v>-2.5705645161290369E-2</v>
      </c>
      <c r="BK19" s="261">
        <f>'retraites SA Nb'!$GE19/'retraites SA Nb'!$GB19-1</f>
        <v>-3.0522503879979346E-2</v>
      </c>
      <c r="BL19" s="261">
        <f>'retraites SA Nb'!$GH19/'retraites SA Nb'!$GE19-1</f>
        <v>-4.2689434364994616E-2</v>
      </c>
      <c r="BM19" s="261">
        <f>'retraites SA Nb'!$GK19/'retraites SA Nb'!$GH19-1</f>
        <v>-4.7937569676700154E-2</v>
      </c>
      <c r="BN19" s="261">
        <f>'retraites SA Nb'!$GN19/'retraites SA Nb'!$GK19-1</f>
        <v>-1.4051522248243575E-2</v>
      </c>
    </row>
    <row r="20" spans="1:66" x14ac:dyDescent="0.25">
      <c r="A20" s="39" t="s">
        <v>9</v>
      </c>
      <c r="C20" s="72">
        <f>'retraites SA Nb'!$G20/'retraites SA Nb'!$D20-1</f>
        <v>-3.0014430014430049E-2</v>
      </c>
      <c r="D20" s="72">
        <f>'retraites SA Nb'!$J20/'retraites SA Nb'!$G20-1</f>
        <v>-2.762074779331547E-2</v>
      </c>
      <c r="E20" s="72">
        <f>'retraites SA Nb'!$M20/'retraites SA Nb'!$J20-1</f>
        <v>-2.3458615941659433E-2</v>
      </c>
      <c r="F20" s="72">
        <f>'retraites SA Nb'!$P20/'retraites SA Nb'!$M20-1</f>
        <v>-2.5327693352133251E-2</v>
      </c>
      <c r="G20" s="72">
        <f>'retraites SA Nb'!$S20/'retraites SA Nb'!$P20-1</f>
        <v>-2.437848264037723E-2</v>
      </c>
      <c r="H20" s="72">
        <f>'retraites SA Nb'!$V20/'retraites SA Nb'!$S20-1</f>
        <v>-3.0699104838266766E-2</v>
      </c>
      <c r="I20" s="72">
        <f>'retraites SA Nb'!$Y20/'retraites SA Nb'!$V20-1</f>
        <v>-2.2549575070821559E-2</v>
      </c>
      <c r="J20" s="72">
        <f>'retraites SA Nb'!$AB20/'retraites SA Nb'!$Y20-1</f>
        <v>-2.1852538836076962E-2</v>
      </c>
      <c r="K20" s="72">
        <f>'retraites SA Nb'!$AE20/'retraites SA Nb'!$AB20-1</f>
        <v>-2.7496296296296241E-2</v>
      </c>
      <c r="L20" s="72">
        <f>'retraites SA Nb'!$AH20/'retraites SA Nb'!$AE20-1</f>
        <v>-2.6750350374748599E-2</v>
      </c>
      <c r="M20" s="72">
        <f>'retraites SA Nb'!$AK20/'retraites SA Nb'!$AH20-1</f>
        <v>-2.973954420235414E-2</v>
      </c>
      <c r="N20" s="72">
        <f>'retraites SA Nb'!$AN20/'retraites SA Nb'!$AK20-1</f>
        <v>-2.4198231915854684E-2</v>
      </c>
      <c r="O20" s="72">
        <f>'retraites SA Nb'!$AQ20/'retraites SA Nb'!$AN20-1</f>
        <v>-2.5525724110567416E-2</v>
      </c>
      <c r="P20" s="72">
        <f>'retraites SA Nb'!$AT20/'retraites SA Nb'!$AQ20-1</f>
        <v>-2.8230184581976125E-2</v>
      </c>
      <c r="Q20" s="72">
        <f>'retraites SA Nb'!$AW20/'retraites SA Nb'!$AT20-1</f>
        <v>-2.5558659217877144E-2</v>
      </c>
      <c r="R20" s="72">
        <f>'retraites SA Nb'!$AZ20/'retraites SA Nb'!$AW20-1</f>
        <v>-2.4795757488892067E-2</v>
      </c>
      <c r="S20" s="72">
        <f>'retraites SA Nb'!$BC20/'retraites SA Nb'!$AZ20-1</f>
        <v>-2.6822457378012921E-2</v>
      </c>
      <c r="T20" s="72">
        <f>'retraites SA Nb'!$BF20/'retraites SA Nb'!$BC20-1</f>
        <v>-3.0053613229630738E-2</v>
      </c>
      <c r="U20" s="72">
        <f>'retraites SA Nb'!$BI20/'retraites SA Nb'!$BF20-1</f>
        <v>-2.3511093810821282E-2</v>
      </c>
      <c r="V20" s="72">
        <f>'retraites SA Nb'!$BL20/'retraites SA Nb'!$BI20-1</f>
        <v>-2.3678545802439555E-2</v>
      </c>
      <c r="W20" s="72">
        <f>'retraites SA Nb'!$BO20/'retraites SA Nb'!$BL20-1</f>
        <v>-2.6294300179650509E-2</v>
      </c>
      <c r="X20" s="72">
        <f>'retraites SA Nb'!$BR20/'retraites SA Nb'!$BO20-1</f>
        <v>-3.1113720228111319E-2</v>
      </c>
      <c r="Y20" s="72">
        <f>'retraites SA Nb'!$BU20/'retraites SA Nb'!$BR20-1</f>
        <v>-2.5188262788885973E-2</v>
      </c>
      <c r="Z20" s="72">
        <f>'retraites SA Nb'!$BX20/'retraites SA Nb'!$BU20-1</f>
        <v>-2.1399396199609289E-2</v>
      </c>
      <c r="AA20" s="72">
        <f>'retraites SA Nb'!$CA20/'retraites SA Nb'!$BX20-1</f>
        <v>-3.1666817893113097E-2</v>
      </c>
      <c r="AB20" s="72">
        <f>'retraites SA Nb'!$CG20/'retraites SA Nb'!$CA20-1</f>
        <v>-6.2687406296851544E-2</v>
      </c>
      <c r="AC20" s="72">
        <f>'retraites SA Nb'!$CG20/'retraites SA Nb'!$CG20-1</f>
        <v>0</v>
      </c>
      <c r="AD20" s="72">
        <f>'retraites SA Nb'!$CJ20/'retraites SA Nb'!$CG20-1</f>
        <v>-2.5192442267319759E-2</v>
      </c>
      <c r="AE20" s="72">
        <f>'retraites SA Nb'!$CM20/'retraites SA Nb'!$CJ20-1</f>
        <v>-3.1996718285304038E-2</v>
      </c>
      <c r="AF20" s="72">
        <f>'retraites SA Nb'!$CS20/'retraites SA Nb'!$CM20-1</f>
        <v>-5.9328318677826064E-2</v>
      </c>
      <c r="AG20" s="72">
        <f>'retraites SA Nb'!$CS20/'retraites SA Nb'!CP20-1</f>
        <v>-2.9829545454545414E-2</v>
      </c>
      <c r="AH20" s="72">
        <f>'retraites SA Nb'!$CV20/'retraites SA Nb'!$CS20-1</f>
        <v>-2.8043698614708901E-2</v>
      </c>
      <c r="AI20" s="72">
        <f>'retraites SA Nb'!$CY20/'retraites SA Nb'!$CV20-1</f>
        <v>-3.6500579374275754E-2</v>
      </c>
      <c r="AJ20" s="72">
        <f>'retraites SA Nb'!$DB20/'retraites SA Nb'!$CY20-1</f>
        <v>-3.066746843054724E-2</v>
      </c>
      <c r="AK20" s="72">
        <f>'retraites SA Nb'!$DE20/'retraites SA Nb'!$DB20-1</f>
        <v>-2.3325062034739497E-2</v>
      </c>
      <c r="AL20" s="72">
        <f>'retraites SA Nb'!$DH20/'retraites SA Nb'!$DE20-1</f>
        <v>-2.8582317073170715E-2</v>
      </c>
      <c r="AM20" s="72">
        <f>'retraites SA Nb'!$DK20/'retraites SA Nb'!$DH20-1</f>
        <v>-3.7531057931214806E-2</v>
      </c>
      <c r="AN20" s="72">
        <f>'retraites SA Nb'!$DN20/'retraites SA Nb'!$DK20-1</f>
        <v>-3.2065217391304301E-2</v>
      </c>
      <c r="AO20" s="72">
        <f>'retraites SA Nb'!$DQ20/'retraites SA Nb'!$DN20-1</f>
        <v>-2.4424480628860157E-2</v>
      </c>
      <c r="AP20" s="72">
        <f>'retraites SA Nb'!$DT20/'retraites SA Nb'!$DQ20-1</f>
        <v>-2.7769784172661849E-2</v>
      </c>
      <c r="AQ20" s="72">
        <f>'retraites SA Nb'!$DW20/'retraites SA Nb'!$DT20-1</f>
        <v>-3.7442652064525683E-2</v>
      </c>
      <c r="AR20" s="274">
        <f>'retraites SA Nb'!$DZ20/'retraites SA Nb'!$DW20-1</f>
        <v>-2.8751537515375181E-2</v>
      </c>
      <c r="AS20" s="261">
        <f>'retraites SA Nb'!$EC20/'retraites SA Nb'!$DZ20-1</f>
        <v>-2.9286053506411225E-2</v>
      </c>
      <c r="AT20" s="261">
        <f>'retraites SA Nb'!$EF20/'retraites SA Nb'!$EC20-1</f>
        <v>-2.8049575994781528E-2</v>
      </c>
      <c r="AU20" s="261">
        <f>'retraites SA Nb'!$EI20/'retraites SA Nb'!$EF20-1</f>
        <v>-3.238255033557047E-2</v>
      </c>
      <c r="AV20" s="261">
        <f>'retraites SA Nb'!$EL20/'retraites SA Nb'!$EI20-1</f>
        <v>-4.5604300329460723E-2</v>
      </c>
      <c r="AW20" s="261">
        <f>'retraites SA Nb'!$EO20/'retraites SA Nb'!$EL20-1</f>
        <v>-3.3248546511627897E-2</v>
      </c>
      <c r="AX20" s="261">
        <f>'retraites SA Nb'!$ER20/'retraites SA Nb'!$EO20-1</f>
        <v>-3.8150723548205256E-2</v>
      </c>
      <c r="AY20" s="261">
        <f>'retraites SA Nb'!$EU20/'retraites SA Nb'!$ER20-1</f>
        <v>-4.2790152403282544E-2</v>
      </c>
      <c r="AZ20" s="261">
        <f>'retraites SA Nb'!$EX20/'retraites SA Nb'!$EU20-1</f>
        <v>-3.6333945703204695E-2</v>
      </c>
      <c r="BA20" s="261">
        <f>'retraites SA Nb'!$FA20/'retraites SA Nb'!$EX20-1</f>
        <v>-3.643295911883071E-2</v>
      </c>
      <c r="BB20" s="261">
        <f>'retraites SA Nb'!$FD20/'retraites SA Nb'!$FA20-1</f>
        <v>-3.2314794460320928E-2</v>
      </c>
      <c r="BC20" s="261">
        <f>'retraites SA Nb'!$FG20/'retraites SA Nb'!$FD20-1</f>
        <v>-4.725124943207637E-2</v>
      </c>
      <c r="BD20" s="261">
        <f>'retraites SA Nb'!$FJ20/'retraites SA Nb'!$FG20-1</f>
        <v>-4.2441583214115397E-2</v>
      </c>
      <c r="BE20" s="261">
        <f>'retraites SA Nb'!$FM20/'retraites SA Nb'!$FJ20-1</f>
        <v>-3.2619521912350624E-2</v>
      </c>
      <c r="BF20" s="261">
        <f>'retraites SA Nb'!$FP20/'retraites SA Nb'!$FM20-1</f>
        <v>-3.6293436293436288E-2</v>
      </c>
      <c r="BG20" s="261">
        <f>'retraites SA Nb'!$FS20/'retraites SA Nb'!$FP20-1</f>
        <v>-5.0213675213675257E-2</v>
      </c>
      <c r="BH20" s="261">
        <f>'retraites SA Nb'!$FV20/'retraites SA Nb'!$FS20-1</f>
        <v>-3.0089988751406116E-2</v>
      </c>
      <c r="BI20" s="261">
        <f>'retraites SA Nb'!$FY20/'retraites SA Nb'!$FV20-1</f>
        <v>-4.2910988692374641E-2</v>
      </c>
      <c r="BJ20" s="261">
        <f>'retraites SA Nb'!$GB20/'retraites SA Nb'!$FY20-1</f>
        <v>-2.756740381702516E-2</v>
      </c>
      <c r="BK20" s="261">
        <f>'retraites SA Nb'!$GE20/'retraites SA Nb'!$GB20-1</f>
        <v>-4.4859813084112132E-2</v>
      </c>
      <c r="BL20" s="261">
        <f>'retraites SA Nb'!$GH20/'retraites SA Nb'!$GE20-1</f>
        <v>-5.251141552511418E-2</v>
      </c>
      <c r="BM20" s="261">
        <f>'retraites SA Nb'!$GK20/'retraites SA Nb'!$GH20-1</f>
        <v>-3.7865748709122182E-2</v>
      </c>
      <c r="BN20" s="261">
        <f>'retraites SA Nb'!$GN20/'retraites SA Nb'!$GK20-1</f>
        <v>-3.9355992844364973E-2</v>
      </c>
    </row>
    <row r="21" spans="1:66" ht="12" thickBot="1" x14ac:dyDescent="0.3">
      <c r="A21" s="40" t="s">
        <v>11</v>
      </c>
      <c r="C21" s="72">
        <f>'retraites SA Nb'!$G21/'retraites SA Nb'!$D21-1</f>
        <v>0.17883755588673611</v>
      </c>
      <c r="D21" s="72">
        <f>'retraites SA Nb'!$J21/'retraites SA Nb'!$G21-1</f>
        <v>0.1517067003792667</v>
      </c>
      <c r="E21" s="72">
        <f>'retraites SA Nb'!$M21/'retraites SA Nb'!$J21-1</f>
        <v>8.7815587266739881E-2</v>
      </c>
      <c r="F21" s="72">
        <f>'retraites SA Nb'!$P21/'retraites SA Nb'!$M21-1</f>
        <v>9.838546922300706E-2</v>
      </c>
      <c r="G21" s="72">
        <f>'retraites SA Nb'!$S21/'retraites SA Nb'!$P21-1</f>
        <v>0.12264584290307767</v>
      </c>
      <c r="H21" s="72">
        <f>'retraites SA Nb'!$V21/'retraites SA Nb'!$S21-1</f>
        <v>7.6513911620294639E-2</v>
      </c>
      <c r="I21" s="72">
        <f>'retraites SA Nb'!$Y21/'retraites SA Nb'!$V21-1</f>
        <v>5.6252375522614972E-2</v>
      </c>
      <c r="J21" s="72">
        <f>'retraites SA Nb'!$AB21/'retraites SA Nb'!$Y21-1</f>
        <v>6.4771500539762439E-2</v>
      </c>
      <c r="K21" s="72">
        <f>'retraites SA Nb'!$AE21/'retraites SA Nb'!$AB21-1</f>
        <v>9.0233186887461958E-2</v>
      </c>
      <c r="L21" s="72">
        <f>'retraites SA Nb'!$AH21/'retraites SA Nb'!$AE21-1</f>
        <v>7.284562926224436E-2</v>
      </c>
      <c r="M21" s="72">
        <f>'retraites SA Nb'!$AK21/'retraites SA Nb'!$AH21-1</f>
        <v>3.7850332273909215E-2</v>
      </c>
      <c r="N21" s="72">
        <f>'retraites SA Nb'!$AN21/'retraites SA Nb'!$AK21-1</f>
        <v>3.2850779510022354E-2</v>
      </c>
      <c r="O21" s="72">
        <f>'retraites SA Nb'!$AQ21/'retraites SA Nb'!$AN21-1</f>
        <v>3.3962264150943389E-2</v>
      </c>
      <c r="P21" s="72">
        <f>'retraites SA Nb'!$AT21/'retraites SA Nb'!$AQ21-1</f>
        <v>2.007299270072993E-2</v>
      </c>
      <c r="Q21" s="72">
        <f>'retraites SA Nb'!$AW21/'retraites SA Nb'!$AT21-1</f>
        <v>3.5778175313059268E-3</v>
      </c>
      <c r="R21" s="72">
        <f>'retraites SA Nb'!$AZ21/'retraites SA Nb'!$AW21-1</f>
        <v>2.8265851795263641E-2</v>
      </c>
      <c r="S21" s="72">
        <f>'retraites SA Nb'!$BC21/'retraites SA Nb'!$AZ21-1</f>
        <v>3.3432392273402778E-2</v>
      </c>
      <c r="T21" s="72">
        <f>'retraites SA Nb'!$BF21/'retraites SA Nb'!$BC21-1</f>
        <v>1.7733045770429001E-2</v>
      </c>
      <c r="U21" s="72">
        <f>'retraites SA Nb'!$BI21/'retraites SA Nb'!$BF21-1</f>
        <v>2.1897810218978186E-2</v>
      </c>
      <c r="V21" s="72">
        <f>'retraites SA Nb'!$BL21/'retraites SA Nb'!$BI21-1</f>
        <v>2.188940092165903E-2</v>
      </c>
      <c r="W21" s="72">
        <f>'retraites SA Nb'!$BO21/'retraites SA Nb'!$BL21-1</f>
        <v>2.7959413754227835E-2</v>
      </c>
      <c r="X21" s="72">
        <f>'retraites SA Nb'!$BR21/'retraites SA Nb'!$BO21-1</f>
        <v>1.8425093222197875E-2</v>
      </c>
      <c r="Y21" s="72">
        <f>'retraites SA Nb'!$BU21/'retraites SA Nb'!$BR21-1</f>
        <v>1.3999569244023347E-2</v>
      </c>
      <c r="Z21" s="72">
        <f>'retraites SA Nb'!$BX21/'retraites SA Nb'!$BU21-1</f>
        <v>1.9116397621070425E-2</v>
      </c>
      <c r="AA21" s="72">
        <f>'retraites SA Nb'!$CA21/'retraites SA Nb'!$BX21-1</f>
        <v>2.4802000833680671E-2</v>
      </c>
      <c r="AB21" s="72">
        <f>'retraites SA Nb'!$CG21/'retraites SA Nb'!$CA21-1</f>
        <v>4.4335977221883205E-2</v>
      </c>
      <c r="AC21" s="72">
        <f>'retraites SA Nb'!$CG21/'retraites SA Nb'!$CG21-1</f>
        <v>0</v>
      </c>
      <c r="AD21" s="72">
        <f>'retraites SA Nb'!$CJ21/'retraites SA Nb'!$CG21-1</f>
        <v>2.2005842259006814E-2</v>
      </c>
      <c r="AE21" s="72">
        <f>'retraites SA Nb'!$CM21/'retraites SA Nb'!$CJ21-1</f>
        <v>2.34375E-2</v>
      </c>
      <c r="AF21" s="72">
        <f>'retraites SA Nb'!$CS21/'retraites SA Nb'!$CM21-1</f>
        <v>4.6732452057345109E-2</v>
      </c>
      <c r="AG21" s="72">
        <f>'retraites SA Nb'!$CS21/'retraites SA Nb'!CP21-1</f>
        <v>2.106792589901918E-2</v>
      </c>
      <c r="AH21" s="72">
        <f>'retraites SA Nb'!$CV21/'retraites SA Nb'!$CS21-1</f>
        <v>1.9921736036997428E-2</v>
      </c>
      <c r="AI21" s="72">
        <f>'retraites SA Nb'!$CY21/'retraites SA Nb'!$CV21-1</f>
        <v>4.8831531217299329E-3</v>
      </c>
      <c r="AJ21" s="72">
        <f>'retraites SA Nb'!$DB21/'retraites SA Nb'!$CY21-1</f>
        <v>8.1568899687607388E-3</v>
      </c>
      <c r="AK21" s="72">
        <f>'retraites SA Nb'!$DE21/'retraites SA Nb'!$DB21-1</f>
        <v>6.5415734205542808E-3</v>
      </c>
      <c r="AL21" s="72">
        <f>'retraites SA Nb'!$DH21/'retraites SA Nb'!$DE21-1</f>
        <v>2.4114930733709627E-2</v>
      </c>
      <c r="AM21" s="72">
        <f>'retraites SA Nb'!$DK21/'retraites SA Nb'!$DH21-1</f>
        <v>3.0227120908483673E-2</v>
      </c>
      <c r="AN21" s="72">
        <f>'retraites SA Nb'!$DN21/'retraites SA Nb'!$DK21-1</f>
        <v>3.3716971956556874E-2</v>
      </c>
      <c r="AO21" s="72">
        <f>'retraites SA Nb'!$DQ21/'retraites SA Nb'!$DN21-1</f>
        <v>4.1555590403010711E-2</v>
      </c>
      <c r="AP21" s="72">
        <f>'retraites SA Nb'!$DT21/'retraites SA Nb'!$DQ21-1</f>
        <v>4.832881662149946E-2</v>
      </c>
      <c r="AQ21" s="72">
        <f>'retraites SA Nb'!$DW21/'retraites SA Nb'!$DT21-1</f>
        <v>5.1845468907080194E-2</v>
      </c>
      <c r="AR21" s="274">
        <f>'retraites SA Nb'!$DZ21/'retraites SA Nb'!$DW21-1</f>
        <v>6.3762971054068807E-2</v>
      </c>
      <c r="AS21" s="261">
        <f>'retraites SA Nb'!$EC21/'retraites SA Nb'!$DZ21-1</f>
        <v>5.2881529970478791E-2</v>
      </c>
      <c r="AT21" s="261">
        <f>'retraites SA Nb'!$EF21/'retraites SA Nb'!$EC21-1</f>
        <v>6.7414360599780565E-2</v>
      </c>
      <c r="AU21" s="261">
        <f>'retraites SA Nb'!$EI21/'retraites SA Nb'!$EF21-1</f>
        <v>6.7382366377341185E-2</v>
      </c>
      <c r="AV21" s="261">
        <f>'retraites SA Nb'!$EL21/'retraites SA Nb'!$EI21-1</f>
        <v>5.8741707682431032E-2</v>
      </c>
      <c r="AW21" s="261">
        <f>'retraites SA Nb'!$EO21/'retraites SA Nb'!$EL21-1</f>
        <v>4.8408287013643303E-2</v>
      </c>
      <c r="AX21" s="261">
        <f>'retraites SA Nb'!$ER21/'retraites SA Nb'!$EO21-1</f>
        <v>5.2535184114131495E-2</v>
      </c>
      <c r="AY21" s="261">
        <f>'retraites SA Nb'!$EU21/'retraites SA Nb'!$ER21-1</f>
        <v>4.9088744390511918E-2</v>
      </c>
      <c r="AZ21" s="261">
        <f>'retraites SA Nb'!$EX21/'retraites SA Nb'!$EU21-1</f>
        <v>4.1728502837188985E-2</v>
      </c>
      <c r="BA21" s="261">
        <f>'retraites SA Nb'!$FA21/'retraites SA Nb'!$EX21-1</f>
        <v>4.2906226430905914E-2</v>
      </c>
      <c r="BB21" s="261">
        <f>'retraites SA Nb'!$FD21/'retraites SA Nb'!$FA21-1</f>
        <v>4.4033748493370828E-2</v>
      </c>
      <c r="BC21" s="261">
        <f>'retraites SA Nb'!$FG21/'retraites SA Nb'!$FD21-1</f>
        <v>4.3331024397752715E-2</v>
      </c>
      <c r="BD21" s="261">
        <f>'retraites SA Nb'!$FJ21/'retraites SA Nb'!$FG21-1</f>
        <v>3.7769253467099473E-2</v>
      </c>
      <c r="BE21" s="261">
        <f>'retraites SA Nb'!$FM21/'retraites SA Nb'!$FJ21-1</f>
        <v>3.4333238555587231E-2</v>
      </c>
      <c r="BF21" s="261">
        <f>'retraites SA Nb'!$FP21/'retraites SA Nb'!$FM21-1</f>
        <v>3.8554051267954081E-2</v>
      </c>
      <c r="BG21" s="261">
        <f>'retraites SA Nb'!$FS21/'retraites SA Nb'!$FP21-1</f>
        <v>4.3409211222869226E-2</v>
      </c>
      <c r="BH21" s="261">
        <f>'retraites SA Nb'!$FV21/'retraites SA Nb'!$FS21-1</f>
        <v>3.5641806189751435E-2</v>
      </c>
      <c r="BI21" s="261">
        <f>'retraites SA Nb'!$FY21/'retraites SA Nb'!$FV21-1</f>
        <v>3.1169626454378374E-2</v>
      </c>
      <c r="BJ21" s="261">
        <f>'retraites SA Nb'!$GB21/'retraites SA Nb'!$FY21-1</f>
        <v>3.8303937288437506E-2</v>
      </c>
      <c r="BK21" s="261">
        <f>'retraites SA Nb'!$GE21/'retraites SA Nb'!$GB21-1</f>
        <v>2.9169526424159153E-2</v>
      </c>
      <c r="BL21" s="261">
        <f>'retraites SA Nb'!$GH21/'retraites SA Nb'!$GE21-1</f>
        <v>3.0010003334444812E-2</v>
      </c>
      <c r="BM21" s="261">
        <f>'retraites SA Nb'!$GK21/'retraites SA Nb'!$GH21-1</f>
        <v>2.8434228984568932E-2</v>
      </c>
      <c r="BN21" s="261">
        <f>'retraites SA Nb'!$GN21/'retraites SA Nb'!$GK21-1</f>
        <v>3.0795865904202246E-2</v>
      </c>
    </row>
    <row r="22" spans="1:66" x14ac:dyDescent="0.25">
      <c r="A22" s="14"/>
      <c r="Q22" s="76"/>
      <c r="BJ22" s="126"/>
      <c r="BK22" s="126"/>
      <c r="BL22" s="126"/>
      <c r="BM22" s="126"/>
      <c r="BN22" s="126"/>
    </row>
    <row r="23" spans="1:66" x14ac:dyDescent="0.25">
      <c r="A23" s="3" t="s">
        <v>31</v>
      </c>
      <c r="Q23" s="76"/>
      <c r="BJ23" s="126"/>
      <c r="BK23" s="126"/>
      <c r="BL23" s="126"/>
      <c r="BM23" s="126"/>
      <c r="BN23" s="126"/>
    </row>
    <row r="24" spans="1:66" x14ac:dyDescent="0.25">
      <c r="A24" s="14" t="s">
        <v>29</v>
      </c>
      <c r="Q24" s="76"/>
      <c r="BJ24" s="126"/>
      <c r="BK24" s="126"/>
      <c r="BL24" s="126"/>
      <c r="BM24" s="126"/>
      <c r="BN24" s="126"/>
    </row>
    <row r="25" spans="1:66" s="32" customFormat="1" x14ac:dyDescent="0.25">
      <c r="A25" s="3"/>
      <c r="O25" s="95"/>
      <c r="P25" s="99"/>
      <c r="Q25" s="99"/>
      <c r="AR25" s="272"/>
      <c r="AS25" s="260"/>
      <c r="AT25" s="260"/>
      <c r="AU25" s="260"/>
      <c r="AV25" s="260"/>
      <c r="AW25" s="260"/>
      <c r="AX25" s="260"/>
      <c r="AY25" s="260"/>
      <c r="AZ25" s="260"/>
      <c r="BA25" s="260"/>
      <c r="BB25" s="260"/>
      <c r="BC25" s="260"/>
      <c r="BD25" s="260"/>
      <c r="BE25" s="260"/>
      <c r="BF25" s="260"/>
      <c r="BG25" s="260"/>
      <c r="BH25" s="260"/>
      <c r="BI25" s="260"/>
      <c r="BJ25" s="260"/>
      <c r="BK25" s="260"/>
      <c r="BL25" s="260"/>
      <c r="BM25" s="260"/>
      <c r="BN25" s="260"/>
    </row>
    <row r="26" spans="1:66" ht="12" thickBot="1" x14ac:dyDescent="0.3">
      <c r="A26" s="3"/>
      <c r="B26" s="70" t="str">
        <f>B6</f>
        <v>4 T2008</v>
      </c>
      <c r="C26" s="70" t="str">
        <f>C6</f>
        <v>1 T 2009</v>
      </c>
      <c r="D26" s="70" t="str">
        <f>D6</f>
        <v>2 T 2009</v>
      </c>
      <c r="E26" s="70" t="str">
        <f t="shared" ref="E26:L26" si="22">E6</f>
        <v>3 T 2009</v>
      </c>
      <c r="F26" s="70" t="str">
        <f t="shared" si="22"/>
        <v>4 T 2009</v>
      </c>
      <c r="G26" s="70" t="str">
        <f t="shared" si="22"/>
        <v>1 T 2010</v>
      </c>
      <c r="H26" s="70" t="str">
        <f t="shared" si="22"/>
        <v>2 T 2010</v>
      </c>
      <c r="I26" s="70" t="str">
        <f t="shared" si="22"/>
        <v>3 T 2010</v>
      </c>
      <c r="J26" s="70" t="str">
        <f t="shared" si="22"/>
        <v>4 T 2010</v>
      </c>
      <c r="K26" s="70" t="str">
        <f t="shared" si="22"/>
        <v>1 T 2011</v>
      </c>
      <c r="L26" s="70" t="str">
        <f t="shared" si="22"/>
        <v>2 T 2011</v>
      </c>
      <c r="M26" s="70" t="str">
        <f t="shared" ref="M26:R26" si="23">M6</f>
        <v>3 T 2011</v>
      </c>
      <c r="N26" s="70" t="str">
        <f t="shared" si="23"/>
        <v>4 T 2011</v>
      </c>
      <c r="O26" s="70" t="str">
        <f t="shared" si="23"/>
        <v>1 T 2012</v>
      </c>
      <c r="P26" s="70" t="str">
        <f t="shared" si="23"/>
        <v>2 T 2012</v>
      </c>
      <c r="Q26" s="70" t="str">
        <f t="shared" si="23"/>
        <v>3 T 2012</v>
      </c>
      <c r="R26" s="70" t="str">
        <f t="shared" si="23"/>
        <v>4 T 2012</v>
      </c>
      <c r="S26" s="70" t="str">
        <f t="shared" ref="S26:X26" si="24">S6</f>
        <v>1 T 2013</v>
      </c>
      <c r="T26" s="70" t="str">
        <f t="shared" si="24"/>
        <v>2 T 2013</v>
      </c>
      <c r="U26" s="70" t="str">
        <f t="shared" si="24"/>
        <v>3 T 2013</v>
      </c>
      <c r="V26" s="70" t="str">
        <f t="shared" si="24"/>
        <v>4 T 2013</v>
      </c>
      <c r="W26" s="70" t="str">
        <f t="shared" si="24"/>
        <v>1 T 2014</v>
      </c>
      <c r="X26" s="70" t="str">
        <f t="shared" si="24"/>
        <v>2 T 2014</v>
      </c>
      <c r="Y26" s="70" t="str">
        <f t="shared" ref="Y26:Z26" si="25">Y6</f>
        <v>3 T 2014</v>
      </c>
      <c r="Z26" s="70" t="str">
        <f t="shared" si="25"/>
        <v>4 T 2014</v>
      </c>
      <c r="AA26" s="70" t="str">
        <f t="shared" ref="AA26:AB26" si="26">AA6</f>
        <v>1 T 2015</v>
      </c>
      <c r="AB26" s="70" t="str">
        <f t="shared" si="26"/>
        <v>2 T 2015</v>
      </c>
      <c r="AC26" s="70" t="str">
        <f t="shared" ref="AC26:AD26" si="27">AC6</f>
        <v>3 T 2015</v>
      </c>
      <c r="AD26" s="70" t="str">
        <f t="shared" si="27"/>
        <v>4 T 2015</v>
      </c>
      <c r="AE26" s="70" t="str">
        <f t="shared" ref="AE26:AF26" si="28">AE6</f>
        <v>1 T 2016</v>
      </c>
      <c r="AF26" s="70" t="str">
        <f t="shared" si="28"/>
        <v>2 T 2016</v>
      </c>
      <c r="AG26" s="70" t="str">
        <f t="shared" ref="AG26:AH26" si="29">AG6</f>
        <v>3 T 2016</v>
      </c>
      <c r="AH26" s="70" t="str">
        <f t="shared" si="29"/>
        <v>4 T 2016</v>
      </c>
      <c r="AI26" s="70" t="str">
        <f t="shared" ref="AI26:AJ26" si="30">AI6</f>
        <v>1 T 2017</v>
      </c>
      <c r="AJ26" s="70" t="str">
        <f t="shared" si="30"/>
        <v>2 T 2017</v>
      </c>
      <c r="AK26" s="70" t="str">
        <f t="shared" ref="AK26:AL26" si="31">AK6</f>
        <v>3 T 2017</v>
      </c>
      <c r="AL26" s="70" t="str">
        <f t="shared" si="31"/>
        <v>4 T 2017</v>
      </c>
      <c r="AM26" s="70" t="str">
        <f t="shared" ref="AM26:AR26" si="32">AM6</f>
        <v>1T 2018</v>
      </c>
      <c r="AN26" s="70" t="str">
        <f t="shared" si="32"/>
        <v>2T 2018</v>
      </c>
      <c r="AO26" s="70" t="str">
        <f t="shared" si="32"/>
        <v>3T 2018</v>
      </c>
      <c r="AP26" s="70" t="str">
        <f t="shared" si="32"/>
        <v>4T 2018</v>
      </c>
      <c r="AQ26" s="70" t="str">
        <f t="shared" si="32"/>
        <v>1T 2019</v>
      </c>
      <c r="AR26" s="273" t="str">
        <f t="shared" si="32"/>
        <v>2T 2019</v>
      </c>
      <c r="AS26" s="196" t="str">
        <f t="shared" ref="AS26:AT26" si="33">AS6</f>
        <v>3T 2019</v>
      </c>
      <c r="AT26" s="196" t="str">
        <f t="shared" si="33"/>
        <v>4T 2019</v>
      </c>
      <c r="AU26" s="196" t="str">
        <f t="shared" ref="AU26:AV26" si="34">AU6</f>
        <v>1T 2020</v>
      </c>
      <c r="AV26" s="196" t="str">
        <f t="shared" si="34"/>
        <v>2T 2020</v>
      </c>
      <c r="AW26" s="196" t="str">
        <f t="shared" ref="AW26:AX26" si="35">AW6</f>
        <v>3T 2020</v>
      </c>
      <c r="AX26" s="196" t="str">
        <f t="shared" si="35"/>
        <v>4T 2020</v>
      </c>
      <c r="AY26" s="196" t="str">
        <f t="shared" ref="AY26:AZ26" si="36">AY6</f>
        <v>1T 2021</v>
      </c>
      <c r="AZ26" s="196" t="str">
        <f t="shared" si="36"/>
        <v>2T 2021</v>
      </c>
      <c r="BA26" s="196" t="str">
        <f t="shared" ref="BA26:BB26" si="37">BA6</f>
        <v>3T 2021</v>
      </c>
      <c r="BB26" s="196" t="str">
        <f t="shared" si="37"/>
        <v>4T 2021</v>
      </c>
      <c r="BC26" s="196" t="str">
        <f t="shared" ref="BC26:BD26" si="38">BC6</f>
        <v>1T 2022</v>
      </c>
      <c r="BD26" s="196" t="str">
        <f t="shared" si="38"/>
        <v>2T 2022</v>
      </c>
      <c r="BE26" s="196" t="str">
        <f t="shared" ref="BE26:BF26" si="39">BE6</f>
        <v>3T 2022</v>
      </c>
      <c r="BF26" s="196" t="str">
        <f t="shared" si="39"/>
        <v>4T 2022</v>
      </c>
      <c r="BG26" s="196" t="str">
        <f t="shared" ref="BG26:BH26" si="40">BG6</f>
        <v>1T 2023</v>
      </c>
      <c r="BH26" s="196" t="str">
        <f t="shared" si="40"/>
        <v>2T 2023</v>
      </c>
      <c r="BI26" s="196" t="str">
        <f t="shared" ref="BI26:BJ26" si="41">BI6</f>
        <v>3T 2023</v>
      </c>
      <c r="BJ26" s="196" t="str">
        <f t="shared" si="41"/>
        <v>4T 2023</v>
      </c>
      <c r="BK26" s="196" t="str">
        <f t="shared" ref="BK26:BL26" si="42">BK6</f>
        <v>1T 2024</v>
      </c>
      <c r="BL26" s="196" t="str">
        <f t="shared" si="42"/>
        <v>2T 2024</v>
      </c>
      <c r="BM26" s="196" t="str">
        <f t="shared" ref="BM26:BN26" si="43">BM6</f>
        <v>3T 2024</v>
      </c>
      <c r="BN26" s="196" t="str">
        <f t="shared" si="43"/>
        <v>4T 2024</v>
      </c>
    </row>
    <row r="27" spans="1:66" x14ac:dyDescent="0.25">
      <c r="A27" s="38" t="s">
        <v>2</v>
      </c>
      <c r="C27" s="72">
        <f>'retraites SA Nb'!$G27/'retraites SA Nb'!$D27-1</f>
        <v>4.3163195480147021E-3</v>
      </c>
      <c r="D27" s="72">
        <f>'retraites SA Nb'!$J27/'retraites SA Nb'!$G27-1</f>
        <v>1.1233599468893685E-2</v>
      </c>
      <c r="E27" s="72">
        <f>'retraites SA Nb'!$M27/'retraites SA Nb'!$J27-1</f>
        <v>5.5284889948503668E-4</v>
      </c>
      <c r="F27" s="72">
        <f>'retraites SA Nb'!$P27/'retraites SA Nb'!$M27-1</f>
        <v>-1.0532859066892941E-3</v>
      </c>
      <c r="G27" s="72">
        <f>'retraites SA Nb'!$S27/'retraites SA Nb'!$P27-1</f>
        <v>9.1611498107257994E-4</v>
      </c>
      <c r="H27" s="72">
        <f>'retraites SA Nb'!$V27/'retraites SA Nb'!$S27-1</f>
        <v>1.5680585776948863E-2</v>
      </c>
      <c r="I27" s="72">
        <f>'retraites SA Nb'!$Y27/'retraites SA Nb'!$V27-1</f>
        <v>5.7809365117145184E-4</v>
      </c>
      <c r="J27" s="72">
        <f>'retraites SA Nb'!$AB27/'retraites SA Nb'!$Y27-1</f>
        <v>-5.5566884176182496E-3</v>
      </c>
      <c r="K27" s="72">
        <f>'retraites SA Nb'!$AE27/'retraites SA Nb'!$AB27-1</f>
        <v>1.6062610003244604E-3</v>
      </c>
      <c r="L27" s="72">
        <f>'retraites SA Nb'!$AH27/'retraites SA Nb'!$AE27-1</f>
        <v>2.1973897466518899E-2</v>
      </c>
      <c r="M27" s="72">
        <f>'retraites SA Nb'!$AK27/'retraites SA Nb'!$AH27-1</f>
        <v>-2.337111663855973E-4</v>
      </c>
      <c r="N27" s="72">
        <f>'retraites SA Nb'!$AN27/'retraites SA Nb'!$AK27-1</f>
        <v>-2.0037068576865824E-3</v>
      </c>
      <c r="O27" s="72">
        <f>'retraites SA Nb'!$AQ27/'retraites SA Nb'!$AN27-1</f>
        <v>1.7400324582976801E-3</v>
      </c>
      <c r="P27" s="72">
        <f>'retraites SA Nb'!$AT27/'retraites SA Nb'!$AQ27-1</f>
        <v>2.3733569388539211E-2</v>
      </c>
      <c r="Q27" s="72">
        <f>'retraites SA Nb'!$AW27/'retraites SA Nb'!$AT27-1</f>
        <v>9.299442033476879E-4</v>
      </c>
      <c r="R27" s="72">
        <f>'retraites SA Nb'!$AZ27/'retraites SA Nb'!$AW27-1</f>
        <v>1.8581604211829195E-3</v>
      </c>
      <c r="S27" s="72">
        <f>'retraites SA Nb'!$BC27/'retraites SA Nb'!$AZ27-1</f>
        <v>3.725697551452134E-3</v>
      </c>
      <c r="T27" s="72">
        <f>'retraites SA Nb'!$BF27/'retraites SA Nb'!$BC27-1</f>
        <v>1.582001491230911E-2</v>
      </c>
      <c r="U27" s="72">
        <f>'retraites SA Nb'!$BI27/'retraites SA Nb'!$BF27-1</f>
        <v>-6.574118397957518E-3</v>
      </c>
      <c r="V27" s="72">
        <f>'retraites SA Nb'!$BL27/'retraites SA Nb'!$BI27-1</f>
        <v>-3.2766873333548441E-3</v>
      </c>
      <c r="W27" s="72">
        <f>'retraites SA Nb'!$BO27/'retraites SA Nb'!$BL27-1</f>
        <v>-6.768298578656573E-4</v>
      </c>
      <c r="X27" s="72">
        <f>'retraites SA Nb'!$BR27/'retraites SA Nb'!$BO27-1</f>
        <v>5.1602915564741281E-4</v>
      </c>
      <c r="Y27" s="72">
        <f>'retraites SA Nb'!$BU27/'retraites SA Nb'!$BR27-1</f>
        <v>-7.5752691638197867E-4</v>
      </c>
      <c r="Z27" s="72">
        <f>'retraites SA Nb'!$BX27/'retraites SA Nb'!$BU27-1</f>
        <v>-1.0403729212703494E-3</v>
      </c>
      <c r="AA27" s="72">
        <f>'retraites SA Nb'!$CA27/'retraites SA Nb'!$BX27-1</f>
        <v>-4.0366528074919916E-4</v>
      </c>
      <c r="AB27" s="72">
        <f>'retraites SA Nb'!$CG27/'retraites SA Nb'!$CA27-1</f>
        <v>-9.6918790130440247E-4</v>
      </c>
      <c r="AC27" s="72">
        <f>'retraites SA Nb'!$CG27/'retraites SA Nb'!$CG27-1</f>
        <v>0</v>
      </c>
      <c r="AD27" s="72">
        <f>'retraites SA Nb'!$CJ27/'retraites SA Nb'!$CG27-1</f>
        <v>-5.416548769150431E-4</v>
      </c>
      <c r="AE27" s="72">
        <f>'retraites SA Nb'!$CM27/'retraites SA Nb'!$CJ27-1</f>
        <v>-9.7065389717543304E-4</v>
      </c>
      <c r="AF27" s="72">
        <f>'retraites SA Nb'!$CS27/'retraites SA Nb'!$CM27-1</f>
        <v>-1.2954626420960125E-3</v>
      </c>
      <c r="AG27" s="72">
        <f>'retraites SA Nb'!$CS27/'retraites SA Nb'!$CP27-1</f>
        <v>-9.7276264591328321E-5</v>
      </c>
      <c r="AH27" s="72">
        <f>'retraites SA Nb'!$CV27/'retraites SA Nb'!$CS27-1</f>
        <v>-3.8914291273473012E-4</v>
      </c>
      <c r="AI27" s="72">
        <f>'retraites SA Nb'!$CY27/'retraites SA Nb'!$CV27-1</f>
        <v>-3.4387672343871856E-4</v>
      </c>
      <c r="AJ27" s="72">
        <f>'retraites SA Nb'!$DB27/'retraites SA Nb'!$CY27-1</f>
        <v>-3.0342956539797239E-4</v>
      </c>
      <c r="AK27" s="72">
        <f>'retraites SA Nb'!$DE27/'retraites SA Nb'!$DB27-1</f>
        <v>7.0345608918016556E-3</v>
      </c>
      <c r="AL27" s="72">
        <f>'retraites SA Nb'!$DH27/'retraites SA Nb'!$DE27-1</f>
        <v>1.5339237792838967E-2</v>
      </c>
      <c r="AM27" s="72">
        <f>'retraites SA Nb'!$DK27/'retraites SA Nb'!$DH27-1</f>
        <v>1.0924641877476216E-2</v>
      </c>
      <c r="AN27" s="72">
        <f>'retraites SA Nb'!$DN27/'retraites SA Nb'!$DK27-1</f>
        <v>1.0109384863245419E-2</v>
      </c>
      <c r="AO27" s="72">
        <f>'retraites SA Nb'!$DQ27/'retraites SA Nb'!$DN27-1</f>
        <v>9.4641147135270387E-3</v>
      </c>
      <c r="AP27" s="72">
        <f>'retraites SA Nb'!$DT27/'retraites SA Nb'!$DQ27-1</f>
        <v>1.0106874461007775E-2</v>
      </c>
      <c r="AQ27" s="72">
        <f>'retraites SA Nb'!$DW27/'retraites SA Nb'!$DT27-1</f>
        <v>1.6294595554661173E-2</v>
      </c>
      <c r="AR27" s="274">
        <f>'retraites SA Nb'!$DZ27/'retraites SA Nb'!$DW27-1</f>
        <v>1.0997418284426796E-2</v>
      </c>
      <c r="AS27" s="261">
        <f>'retraites SA Nb'!$EC27/'retraites SA Nb'!$DZ27-1</f>
        <v>1.3171756620005803E-2</v>
      </c>
      <c r="AT27" s="261">
        <f>'retraites SA Nb'!$EF27/'retraites SA Nb'!$EC27-1</f>
        <v>7.7004301286285326E-3</v>
      </c>
      <c r="AU27" s="261">
        <f>'retraites SA Nb'!$EI27/'retraites SA Nb'!$EF27-1</f>
        <v>2.0570372211249577E-2</v>
      </c>
      <c r="AV27" s="261">
        <f>'retraites SA Nb'!$EL27/'retraites SA Nb'!$EI27-1</f>
        <v>1.1037678484715041E-2</v>
      </c>
      <c r="AW27" s="261">
        <f>'retraites SA Nb'!$EO27/'retraites SA Nb'!$EL27-1</f>
        <v>1.2627080686552716E-2</v>
      </c>
      <c r="AX27" s="261">
        <f>'retraites SA Nb'!$ER27/'retraites SA Nb'!$EO27-1</f>
        <v>1.2348615405586294E-2</v>
      </c>
      <c r="AY27" s="261">
        <f>'retraites SA Nb'!$EU27/'retraites SA Nb'!$ER27-1</f>
        <v>1.7373681860337387E-2</v>
      </c>
      <c r="AZ27" s="261">
        <f>'retraites SA Nb'!$EX27/'retraites SA Nb'!$EU27-1</f>
        <v>1.16372033978418E-2</v>
      </c>
      <c r="BA27" s="261">
        <f>'retraites SA Nb'!$FA27/'retraites SA Nb'!$EX27-1</f>
        <v>1.2391084079686365E-2</v>
      </c>
      <c r="BB27" s="261">
        <f>'retraites SA Nb'!$FD27/'retraites SA Nb'!$FA27-1</f>
        <v>1.028447642114072E-2</v>
      </c>
      <c r="BC27" s="261">
        <f>'retraites SA Nb'!$FG27/'retraites SA Nb'!$FD27-1</f>
        <v>2.533663962603816E-2</v>
      </c>
      <c r="BD27" s="261">
        <f>'retraites SA Nb'!$FJ27/'retraites SA Nb'!$FG27-1</f>
        <v>1.1385840693403759E-2</v>
      </c>
      <c r="BE27" s="261">
        <f>'retraites SA Nb'!$FM27/'retraites SA Nb'!$FJ27-1</f>
        <v>5.1902448843636595E-2</v>
      </c>
      <c r="BF27" s="261">
        <f>'retraites SA Nb'!$FP27/'retraites SA Nb'!$FM27-1</f>
        <v>1.0580831869522411E-2</v>
      </c>
      <c r="BG27" s="261">
        <f>'retraites SA Nb'!$FS27/'retraites SA Nb'!$FP27-1</f>
        <v>2.3169808862688379E-2</v>
      </c>
      <c r="BH27" s="261">
        <f>'retraites SA Nb'!$FV27/'retraites SA Nb'!$FS27-1</f>
        <v>1.1869296630993453E-2</v>
      </c>
      <c r="BI27" s="261">
        <f>'retraites SA Nb'!$FY27/'retraites SA Nb'!$FV27-1</f>
        <v>1.278118861586508E-2</v>
      </c>
      <c r="BJ27" s="261">
        <f>'retraites SA Nb'!$GB27/'retraites SA Nb'!$FY27-1</f>
        <v>9.2312685095516933E-3</v>
      </c>
      <c r="BK27" s="261">
        <f>'retraites SA Nb'!$GE27/'retraites SA Nb'!$GB27-1</f>
        <v>6.6187400978144462E-2</v>
      </c>
      <c r="BL27" s="261">
        <f>'retraites SA Nb'!$GH27/'retraites SA Nb'!$GE27-1</f>
        <v>9.277813473743679E-3</v>
      </c>
      <c r="BM27" s="261">
        <f>'retraites SA Nb'!$GK27/'retraites SA Nb'!$GH27-1</f>
        <v>1.0111622400799769E-2</v>
      </c>
      <c r="BN27" s="261">
        <f>'retraites SA Nb'!$GN27/'retraites SA Nb'!$GK27-1</f>
        <v>1.7350099468487201E-2</v>
      </c>
    </row>
    <row r="28" spans="1:66" x14ac:dyDescent="0.25">
      <c r="A28" s="39" t="s">
        <v>3</v>
      </c>
      <c r="C28" s="72">
        <f>'retraites SA Nb'!$G28/'retraites SA Nb'!$D28-1</f>
        <v>3.5239061795218074E-3</v>
      </c>
      <c r="D28" s="72">
        <f>'retraites SA Nb'!$J28/'retraites SA Nb'!$G28-1</f>
        <v>5.1970671685814818E-3</v>
      </c>
      <c r="E28" s="72">
        <f>'retraites SA Nb'!$M28/'retraites SA Nb'!$J28-1</f>
        <v>-7.0705941534848771E-3</v>
      </c>
      <c r="F28" s="72">
        <f>'retraites SA Nb'!$P28/'retraites SA Nb'!$M28-1</f>
        <v>-7.0365053899631436E-3</v>
      </c>
      <c r="G28" s="72">
        <f>'retraites SA Nb'!$S28/'retraites SA Nb'!$P28-1</f>
        <v>-6.5194591683438441E-3</v>
      </c>
      <c r="H28" s="72">
        <f>'retraites SA Nb'!$V28/'retraites SA Nb'!$S28-1</f>
        <v>1.2924762475391427E-2</v>
      </c>
      <c r="I28" s="72">
        <f>'retraites SA Nb'!$Y28/'retraites SA Nb'!$V28-1</f>
        <v>-3.5209283984001249E-3</v>
      </c>
      <c r="J28" s="72">
        <f>'retraites SA Nb'!$AB28/'retraites SA Nb'!$Y28-1</f>
        <v>-1.9080193345959229E-2</v>
      </c>
      <c r="K28" s="72">
        <f>'retraites SA Nb'!$AE28/'retraites SA Nb'!$AB28-1</f>
        <v>-6.224425105181175E-3</v>
      </c>
      <c r="L28" s="72">
        <f>'retraites SA Nb'!$AH28/'retraites SA Nb'!$AE28-1</f>
        <v>1.5600533549846363E-2</v>
      </c>
      <c r="M28" s="72">
        <f>'retraites SA Nb'!$AK28/'retraites SA Nb'!$AH28-1</f>
        <v>0</v>
      </c>
      <c r="N28" s="72">
        <f>'retraites SA Nb'!$AN28/'retraites SA Nb'!$AK28-1</f>
        <v>-1.3676336226587593E-2</v>
      </c>
      <c r="O28" s="72">
        <f>'retraites SA Nb'!$AQ28/'retraites SA Nb'!$AN28-1</f>
        <v>-5.8184976118106357E-3</v>
      </c>
      <c r="P28" s="72">
        <f>'retraites SA Nb'!$AT28/'retraites SA Nb'!$AQ28-1</f>
        <v>1.4966224085720903E-2</v>
      </c>
      <c r="Q28" s="72">
        <f>'retraites SA Nb'!$AW28/'retraites SA Nb'!$AT28-1</f>
        <v>-5.9957542027654354E-3</v>
      </c>
      <c r="R28" s="72">
        <f>'retraites SA Nb'!$AZ28/'retraites SA Nb'!$AW28-1</f>
        <v>-5.3103985685013511E-3</v>
      </c>
      <c r="S28" s="72">
        <f>'retraites SA Nb'!$BC28/'retraites SA Nb'!$AZ28-1</f>
        <v>-5.4548092267517889E-3</v>
      </c>
      <c r="T28" s="72">
        <f>'retraites SA Nb'!$BF28/'retraites SA Nb'!$BC28-1</f>
        <v>6.5058202293082346E-3</v>
      </c>
      <c r="U28" s="72">
        <f>'retraites SA Nb'!$BI28/'retraites SA Nb'!$BF28-1</f>
        <v>-5.7971014492753659E-3</v>
      </c>
      <c r="V28" s="72">
        <f>'retraites SA Nb'!$BL28/'retraites SA Nb'!$BI28-1</f>
        <v>-6.2973760932945044E-3</v>
      </c>
      <c r="W28" s="72">
        <f>'retraites SA Nb'!$BO28/'retraites SA Nb'!$BL28-1</f>
        <v>-6.4839807534325944E-3</v>
      </c>
      <c r="X28" s="72">
        <f>'retraites SA Nb'!$BR28/'retraites SA Nb'!$BO28-1</f>
        <v>-5.5222514248589594E-3</v>
      </c>
      <c r="Y28" s="72">
        <f>'retraites SA Nb'!$BU28/'retraites SA Nb'!$BR28-1</f>
        <v>-5.0184107376173293E-3</v>
      </c>
      <c r="Z28" s="72">
        <f>'retraites SA Nb'!$BX28/'retraites SA Nb'!$BU28-1</f>
        <v>-5.5063121138865245E-3</v>
      </c>
      <c r="AA28" s="72">
        <f>'retraites SA Nb'!$CA28/'retraites SA Nb'!$BX28-1</f>
        <v>-5.7768774851827409E-3</v>
      </c>
      <c r="AB28" s="72">
        <f>'retraites SA Nb'!$CG28/'retraites SA Nb'!$CA28-1</f>
        <v>-1.2828252339269541E-2</v>
      </c>
      <c r="AC28" s="72">
        <f>'retraites SA Nb'!$CG28/'retraites SA Nb'!$CG28-1</f>
        <v>0</v>
      </c>
      <c r="AD28" s="72">
        <f>'retraites SA Nb'!$CJ28/'retraites SA Nb'!$CG28-1</f>
        <v>-5.5648983335880864E-3</v>
      </c>
      <c r="AE28" s="72">
        <f>'retraites SA Nb'!$CM28/'retraites SA Nb'!$CJ28-1</f>
        <v>-6.5184638563478003E-3</v>
      </c>
      <c r="AF28" s="72">
        <f>'retraites SA Nb'!$CS28/'retraites SA Nb'!$CM28-1</f>
        <v>-1.2039243601250305E-2</v>
      </c>
      <c r="AG28" s="72">
        <f>'retraites SA Nb'!$CS28/'retraites SA Nb'!$CP28-1</f>
        <v>-6.1334412652945813E-3</v>
      </c>
      <c r="AH28" s="72">
        <f>'retraites SA Nb'!$CV28/'retraites SA Nb'!$CS28-1</f>
        <v>-6.4532297475096145E-3</v>
      </c>
      <c r="AI28" s="72">
        <f>'retraites SA Nb'!$CY28/'retraites SA Nb'!$CV28-1</f>
        <v>-6.5266742338253581E-3</v>
      </c>
      <c r="AJ28" s="72">
        <f>'retraites SA Nb'!$DB28/'retraites SA Nb'!$CY28-1</f>
        <v>-5.3889364943349172E-3</v>
      </c>
      <c r="AK28" s="72">
        <f>'retraites SA Nb'!$DE28/'retraites SA Nb'!$DB28-1</f>
        <v>-4.3874763873997802E-3</v>
      </c>
      <c r="AL28" s="72">
        <f>'retraites SA Nb'!$DH28/'retraites SA Nb'!$DE28-1</f>
        <v>2.2082130140346212E-3</v>
      </c>
      <c r="AM28" s="72">
        <f>'retraites SA Nb'!$DK28/'retraites SA Nb'!$DH28-1</f>
        <v>-4.0773122357742331E-3</v>
      </c>
      <c r="AN28" s="72">
        <f>'retraites SA Nb'!$DN28/'retraites SA Nb'!$DK28-1</f>
        <v>-4.8357421065982065E-3</v>
      </c>
      <c r="AO28" s="72">
        <f>'retraites SA Nb'!$DQ28/'retraites SA Nb'!$DN28-1</f>
        <v>-4.6430588045495158E-3</v>
      </c>
      <c r="AP28" s="72">
        <f>'retraites SA Nb'!$DT28/'retraites SA Nb'!$DQ28-1</f>
        <v>-4.4767023462976008E-3</v>
      </c>
      <c r="AQ28" s="72">
        <f>'retraites SA Nb'!$DW28/'retraites SA Nb'!$DT28-1</f>
        <v>-1.1233942788297924E-3</v>
      </c>
      <c r="AR28" s="274">
        <f>'retraites SA Nb'!$DZ28/'retraites SA Nb'!$DW28-1</f>
        <v>-3.8173164689007111E-3</v>
      </c>
      <c r="AS28" s="261">
        <f>'retraites SA Nb'!$EC28/'retraites SA Nb'!$DZ28-1</f>
        <v>-1.3416713297926819E-3</v>
      </c>
      <c r="AT28" s="261">
        <f>'retraites SA Nb'!$EF28/'retraites SA Nb'!$EC28-1</f>
        <v>-7.1597324848693411E-3</v>
      </c>
      <c r="AU28" s="261">
        <f>'retraites SA Nb'!$EI28/'retraites SA Nb'!$EF28-1</f>
        <v>5.1354152227436334E-3</v>
      </c>
      <c r="AV28" s="261">
        <f>'retraites SA Nb'!$EL28/'retraites SA Nb'!$EI28-1</f>
        <v>-4.9942538171072748E-3</v>
      </c>
      <c r="AW28" s="261">
        <f>'retraites SA Nb'!$EO28/'retraites SA Nb'!$EL28-1</f>
        <v>-1.4685063145771782E-3</v>
      </c>
      <c r="AX28" s="261">
        <f>'retraites SA Nb'!$ER28/'retraites SA Nb'!$EO28-1</f>
        <v>-3.7311953044444346E-3</v>
      </c>
      <c r="AY28" s="261">
        <f>'retraites SA Nb'!$EU28/'retraites SA Nb'!$ER28-1</f>
        <v>-4.9758670448318831E-5</v>
      </c>
      <c r="AZ28" s="261">
        <f>'retraites SA Nb'!$EX28/'retraites SA Nb'!$EU28-1</f>
        <v>-4.372346072186728E-3</v>
      </c>
      <c r="BA28" s="261">
        <f>'retraites SA Nb'!$FA28/'retraites SA Nb'!$EX28-1</f>
        <v>-2.9354729076842556E-3</v>
      </c>
      <c r="BB28" s="261">
        <f>'retraites SA Nb'!$FD28/'retraites SA Nb'!$FA28-1</f>
        <v>-3.1956239683230692E-3</v>
      </c>
      <c r="BC28" s="261">
        <f>'retraites SA Nb'!$FG28/'retraites SA Nb'!$FD28-1</f>
        <v>7.5082748997028492E-3</v>
      </c>
      <c r="BD28" s="261">
        <f>'retraites SA Nb'!$FJ28/'retraites SA Nb'!$FG28-1</f>
        <v>-5.180890705558383E-3</v>
      </c>
      <c r="BE28" s="261">
        <f>'retraites SA Nb'!$FM28/'retraites SA Nb'!$FJ28-1</f>
        <v>3.5884563175484718E-2</v>
      </c>
      <c r="BF28" s="261">
        <f>'retraites SA Nb'!$FP28/'retraites SA Nb'!$FM28-1</f>
        <v>-2.9898337734090008E-3</v>
      </c>
      <c r="BG28" s="261">
        <f>'retraites SA Nb'!$FS28/'retraites SA Nb'!$FP28-1</f>
        <v>4.2621776325018068E-3</v>
      </c>
      <c r="BH28" s="261">
        <f>'retraites SA Nb'!$FV28/'retraites SA Nb'!$FS28-1</f>
        <v>-3.5825435089227309E-3</v>
      </c>
      <c r="BI28" s="261">
        <f>'retraites SA Nb'!$FY28/'retraites SA Nb'!$FV28-1</f>
        <v>-2.7777238596904397E-3</v>
      </c>
      <c r="BJ28" s="261">
        <f>'retraites SA Nb'!$GB28/'retraites SA Nb'!$FY28-1</f>
        <v>-3.0646356859149737E-3</v>
      </c>
      <c r="BK28" s="261">
        <f>'retraites SA Nb'!$GE28/'retraites SA Nb'!$GB28-1</f>
        <v>5.0586665685418808E-2</v>
      </c>
      <c r="BL28" s="261">
        <f>'retraites SA Nb'!$GH28/'retraites SA Nb'!$GE28-1</f>
        <v>-3.3629268866764983E-3</v>
      </c>
      <c r="BM28" s="261">
        <f>'retraites SA Nb'!$GK28/'retraites SA Nb'!$GH28-1</f>
        <v>-2.4750034333484994E-3</v>
      </c>
      <c r="BN28" s="261">
        <f>'retraites SA Nb'!$GN28/'retraites SA Nb'!$GK28-1</f>
        <v>-2.1249046564941754E-3</v>
      </c>
    </row>
    <row r="29" spans="1:66" x14ac:dyDescent="0.25">
      <c r="A29" s="39" t="s">
        <v>4</v>
      </c>
      <c r="C29" s="72">
        <f>'retraites SA Nb'!$G29/'retraites SA Nb'!$D29-1</f>
        <v>4.9347270198740745E-4</v>
      </c>
      <c r="D29" s="72">
        <f>'retraites SA Nb'!$J29/'retraites SA Nb'!$G29-1</f>
        <v>8.4969957851313005E-3</v>
      </c>
      <c r="E29" s="72">
        <f>'retraites SA Nb'!$M29/'retraites SA Nb'!$J29-1</f>
        <v>-2.1786008047484096E-3</v>
      </c>
      <c r="F29" s="72">
        <f>'retraites SA Nb'!$P29/'retraites SA Nb'!$M29-1</f>
        <v>-2.5175448368051079E-3</v>
      </c>
      <c r="G29" s="72">
        <f>'retraites SA Nb'!$S29/'retraites SA Nb'!$P29-1</f>
        <v>-1.3066202090593615E-3</v>
      </c>
      <c r="H29" s="72">
        <f>'retraites SA Nb'!$V29/'retraites SA Nb'!$S29-1</f>
        <v>5.8595278830777531E-3</v>
      </c>
      <c r="I29" s="72">
        <f>'retraites SA Nb'!$Y29/'retraites SA Nb'!$V29-1</f>
        <v>-2.4235417060398667E-3</v>
      </c>
      <c r="J29" s="72">
        <f>'retraites SA Nb'!$AB29/'retraites SA Nb'!$Y29-1</f>
        <v>-2.830619727413608E-3</v>
      </c>
      <c r="K29" s="72">
        <f>'retraites SA Nb'!$AE29/'retraites SA Nb'!$AB29-1</f>
        <v>-2.2463371293822698E-3</v>
      </c>
      <c r="L29" s="72">
        <f>'retraites SA Nb'!$AH29/'retraites SA Nb'!$AE29-1</f>
        <v>1.8739219068527602E-2</v>
      </c>
      <c r="M29" s="72">
        <f>'retraites SA Nb'!$AK29/'retraites SA Nb'!$AH29-1</f>
        <v>0</v>
      </c>
      <c r="N29" s="72">
        <f>'retraites SA Nb'!$AN29/'retraites SA Nb'!$AK29-1</f>
        <v>-5.8163186770898712E-3</v>
      </c>
      <c r="O29" s="72">
        <f>'retraites SA Nb'!$AQ29/'retraites SA Nb'!$AN29-1</f>
        <v>-2.9417619605849321E-3</v>
      </c>
      <c r="P29" s="72">
        <f>'retraites SA Nb'!$AT29/'retraites SA Nb'!$AQ29-1</f>
        <v>1.8867296685744828E-2</v>
      </c>
      <c r="Q29" s="72">
        <f>'retraites SA Nb'!$AW29/'retraites SA Nb'!$AT29-1</f>
        <v>-2.8087135438780164E-3</v>
      </c>
      <c r="R29" s="72">
        <f>'retraites SA Nb'!$AZ29/'retraites SA Nb'!$AW29-1</f>
        <v>-1.3209751198157704E-3</v>
      </c>
      <c r="S29" s="72">
        <f>'retraites SA Nb'!$BC29/'retraites SA Nb'!$AZ29-1</f>
        <v>-3.7386038173111702E-3</v>
      </c>
      <c r="T29" s="72">
        <f>'retraites SA Nb'!$BF29/'retraites SA Nb'!$BC29-1</f>
        <v>1.0094803370786387E-2</v>
      </c>
      <c r="U29" s="72">
        <f>'retraites SA Nb'!$BI29/'retraites SA Nb'!$BF29-1</f>
        <v>-3.2914747544972034E-3</v>
      </c>
      <c r="V29" s="72">
        <f>'retraites SA Nb'!$BL29/'retraites SA Nb'!$BI29-1</f>
        <v>-3.313243163711177E-3</v>
      </c>
      <c r="W29" s="72">
        <f>'retraites SA Nb'!$BO29/'retraites SA Nb'!$BL29-1</f>
        <v>-2.8977900250412025E-3</v>
      </c>
      <c r="X29" s="72">
        <f>'retraites SA Nb'!$BR29/'retraites SA Nb'!$BO29-1</f>
        <v>-2.6101070363221401E-3</v>
      </c>
      <c r="Y29" s="72">
        <f>'retraites SA Nb'!$BU29/'retraites SA Nb'!$BR29-1</f>
        <v>-2.8698348470521662E-3</v>
      </c>
      <c r="Z29" s="72">
        <f>'retraites SA Nb'!$BX29/'retraites SA Nb'!$BU29-1</f>
        <v>-2.5638198158460801E-3</v>
      </c>
      <c r="AA29" s="72">
        <f>'retraites SA Nb'!$CA29/'retraites SA Nb'!$BX29-1</f>
        <v>-3.371935546281124E-3</v>
      </c>
      <c r="AB29" s="72">
        <f>'retraites SA Nb'!$CG29/'retraites SA Nb'!$CA29-1</f>
        <v>-6.4616323248011254E-3</v>
      </c>
      <c r="AC29" s="72">
        <f>'retraites SA Nb'!$CG29/'retraites SA Nb'!$CG29-1</f>
        <v>0</v>
      </c>
      <c r="AD29" s="72">
        <f>'retraites SA Nb'!$CJ29/'retraites SA Nb'!$CG29-1</f>
        <v>-2.5456372466923227E-3</v>
      </c>
      <c r="AE29" s="72">
        <f>'retraites SA Nb'!$CM29/'retraites SA Nb'!$CJ29-1</f>
        <v>-3.5035875393174543E-3</v>
      </c>
      <c r="AF29" s="72">
        <f>'retraites SA Nb'!$CS29/'retraites SA Nb'!$CM29-1</f>
        <v>-7.234004313443676E-3</v>
      </c>
      <c r="AG29" s="72">
        <f>'retraites SA Nb'!$CS29/'retraites SA Nb'!$CP29-1</f>
        <v>-3.2593127248532472E-3</v>
      </c>
      <c r="AH29" s="72">
        <f>'retraites SA Nb'!$CV29/'retraites SA Nb'!$CS29-1</f>
        <v>-2.783435166327175E-3</v>
      </c>
      <c r="AI29" s="72">
        <f>'retraites SA Nb'!$CY29/'retraites SA Nb'!$CV29-1</f>
        <v>-4.1629791000067362E-3</v>
      </c>
      <c r="AJ29" s="72">
        <f>'retraites SA Nb'!$DB29/'retraites SA Nb'!$CY29-1</f>
        <v>-3.8237562822515114E-3</v>
      </c>
      <c r="AK29" s="72">
        <f>'retraites SA Nb'!$DE29/'retraites SA Nb'!$DB29-1</f>
        <v>-3.0972818720942374E-3</v>
      </c>
      <c r="AL29" s="72">
        <f>'retraites SA Nb'!$DH29/'retraites SA Nb'!$DE29-1</f>
        <v>4.9185011134604828E-3</v>
      </c>
      <c r="AM29" s="72">
        <f>'retraites SA Nb'!$DK29/'retraites SA Nb'!$DH29-1</f>
        <v>-2.7811584506801657E-3</v>
      </c>
      <c r="AN29" s="72">
        <f>'retraites SA Nb'!$DN29/'retraites SA Nb'!$DK29-1</f>
        <v>-2.2920392279880408E-3</v>
      </c>
      <c r="AO29" s="72">
        <f>'retraites SA Nb'!$DQ29/'retraites SA Nb'!$DN29-1</f>
        <v>-1.234715235192585E-3</v>
      </c>
      <c r="AP29" s="72">
        <f>'retraites SA Nb'!$DT29/'retraites SA Nb'!$DQ29-1</f>
        <v>-1.9152554056849347E-3</v>
      </c>
      <c r="AQ29" s="72">
        <f>'retraites SA Nb'!$DW29/'retraites SA Nb'!$DT29-1</f>
        <v>1.3963184619085744E-3</v>
      </c>
      <c r="AR29" s="274">
        <f>'retraites SA Nb'!$DZ29/'retraites SA Nb'!$DW29-1</f>
        <v>-6.7017194565988092E-4</v>
      </c>
      <c r="AS29" s="261">
        <f>'retraites SA Nb'!$EC29/'retraites SA Nb'!$DZ29-1</f>
        <v>-1.6702268264654485E-3</v>
      </c>
      <c r="AT29" s="261">
        <f>'retraites SA Nb'!$EF29/'retraites SA Nb'!$EC29-1</f>
        <v>-1.3400300268121557E-3</v>
      </c>
      <c r="AU29" s="261">
        <f>'retraites SA Nb'!$EI29/'retraites SA Nb'!$EF29-1</f>
        <v>8.8343747980912379E-3</v>
      </c>
      <c r="AV29" s="261">
        <f>'retraites SA Nb'!$EL29/'retraites SA Nb'!$EI29-1</f>
        <v>-1.3826861165275872E-3</v>
      </c>
      <c r="AW29" s="261">
        <f>'retraites SA Nb'!$EO29/'retraites SA Nb'!$EL29-1</f>
        <v>4.37483393954885E-4</v>
      </c>
      <c r="AX29" s="261">
        <f>'retraites SA Nb'!$ER29/'retraites SA Nb'!$EO29-1</f>
        <v>-1.1790859908555884E-4</v>
      </c>
      <c r="AY29" s="261">
        <f>'retraites SA Nb'!$EU29/'retraites SA Nb'!$ER29-1</f>
        <v>3.2686286070833237E-3</v>
      </c>
      <c r="AZ29" s="261">
        <f>'retraites SA Nb'!$EX29/'retraites SA Nb'!$EU29-1</f>
        <v>-9.8138786502333097E-5</v>
      </c>
      <c r="BA29" s="261">
        <f>'retraites SA Nb'!$FA29/'retraites SA Nb'!$EX29-1</f>
        <v>3.777572858081335E-4</v>
      </c>
      <c r="BB29" s="261">
        <f>'retraites SA Nb'!$FD29/'retraites SA Nb'!$FA29-1</f>
        <v>-3.4124156612991285E-4</v>
      </c>
      <c r="BC29" s="261">
        <f>'retraites SA Nb'!$FG29/'retraites SA Nb'!$FD29-1</f>
        <v>9.936539608583761E-3</v>
      </c>
      <c r="BD29" s="261">
        <f>'retraites SA Nb'!$FJ29/'retraites SA Nb'!$FG29-1</f>
        <v>-1.6251514270140266E-3</v>
      </c>
      <c r="BE29" s="261">
        <f>'retraites SA Nb'!$FM29/'retraites SA Nb'!$FJ29-1</f>
        <v>3.9866811749166065E-2</v>
      </c>
      <c r="BF29" s="261">
        <f>'retraites SA Nb'!$FP29/'retraites SA Nb'!$FM29-1</f>
        <v>1.5177656271185835E-3</v>
      </c>
      <c r="BG29" s="261">
        <f>'retraites SA Nb'!$FS29/'retraites SA Nb'!$FP29-1</f>
        <v>8.0981809707889596E-3</v>
      </c>
      <c r="BH29" s="261">
        <f>'retraites SA Nb'!$FV29/'retraites SA Nb'!$FS29-1</f>
        <v>6.00566298887939E-4</v>
      </c>
      <c r="BI29" s="261">
        <f>'retraites SA Nb'!$FY29/'retraites SA Nb'!$FV29-1</f>
        <v>6.4698938368512593E-4</v>
      </c>
      <c r="BJ29" s="261">
        <f>'retraites SA Nb'!$GB29/'retraites SA Nb'!$FY29-1</f>
        <v>5.8923310894121173E-4</v>
      </c>
      <c r="BK29" s="261">
        <f>'retraites SA Nb'!$GE29/'retraites SA Nb'!$GB29-1</f>
        <v>5.424590823711406E-2</v>
      </c>
      <c r="BL29" s="261">
        <f>'retraites SA Nb'!$GH29/'retraites SA Nb'!$GE29-1</f>
        <v>7.4490701030627271E-4</v>
      </c>
      <c r="BM29" s="261">
        <f>'retraites SA Nb'!$GK29/'retraites SA Nb'!$GH29-1</f>
        <v>2.3220394816225731E-3</v>
      </c>
      <c r="BN29" s="261">
        <f>'retraites SA Nb'!$GN29/'retraites SA Nb'!$GK29-1</f>
        <v>1.2201047425112188E-2</v>
      </c>
    </row>
    <row r="30" spans="1:66" ht="12" thickBot="1" x14ac:dyDescent="0.3">
      <c r="A30" s="40" t="s">
        <v>5</v>
      </c>
      <c r="C30" s="79">
        <f>'retraites SA Nb'!$G30/'retraites SA Nb'!$D30-1</f>
        <v>4.6726382860835525E-3</v>
      </c>
      <c r="D30" s="79">
        <f>'retraites SA Nb'!$J30/'retraites SA Nb'!$G30-1</f>
        <v>9.7981543439096264E-3</v>
      </c>
      <c r="E30" s="79">
        <f>'retraites SA Nb'!$M30/'retraites SA Nb'!$J30-1</f>
        <v>-9.8305146456456605E-4</v>
      </c>
      <c r="F30" s="79">
        <f>'retraites SA Nb'!$P30/'retraites SA Nb'!$M30-1</f>
        <v>-2.3689341618527981E-3</v>
      </c>
      <c r="G30" s="79">
        <f>'retraites SA Nb'!$S30/'retraites SA Nb'!$P30-1</f>
        <v>-5.4797523151961514E-4</v>
      </c>
      <c r="H30" s="79">
        <f>'retraites SA Nb'!$V30/'retraites SA Nb'!$S30-1</f>
        <v>1.5022753440429915E-2</v>
      </c>
      <c r="I30" s="79">
        <f>'retraites SA Nb'!$Y30/'retraites SA Nb'!$V30-1</f>
        <v>-2.3406975278628117E-4</v>
      </c>
      <c r="J30" s="79">
        <f>'retraites SA Nb'!$AB30/'retraites SA Nb'!$Y30-1</f>
        <v>-8.4464935345602843E-3</v>
      </c>
      <c r="K30" s="79">
        <f>'retraites SA Nb'!$AE30/'retraites SA Nb'!$AB30-1</f>
        <v>5.4488984143619135E-5</v>
      </c>
      <c r="L30" s="72">
        <f>'retraites SA Nb'!$AH30/'retraites SA Nb'!$AE30-1</f>
        <v>2.0577551761714385E-2</v>
      </c>
      <c r="M30" s="72">
        <f>'retraites SA Nb'!$AK30/'retraites SA Nb'!$AH30-1</f>
        <v>-1.7795810866105821E-4</v>
      </c>
      <c r="N30" s="72">
        <f>'retraites SA Nb'!$AN30/'retraites SA Nb'!$AK30-1</f>
        <v>-4.9125180214655284E-3</v>
      </c>
      <c r="O30" s="72">
        <f>'retraites SA Nb'!$AQ30/'retraites SA Nb'!$AN30-1</f>
        <v>-1.6098163020739076E-4</v>
      </c>
      <c r="P30" s="72">
        <f>'retraites SA Nb'!$AT30/'retraites SA Nb'!$AQ30-1</f>
        <v>2.1736019177788002E-2</v>
      </c>
      <c r="Q30" s="72">
        <f>'retraites SA Nb'!$AW30/'retraites SA Nb'!$AT30-1</f>
        <v>-8.2292998091504366E-4</v>
      </c>
      <c r="R30" s="72">
        <f>'retraites SA Nb'!$AZ30/'retraites SA Nb'!$AW30-1</f>
        <v>1.2266498440416385E-4</v>
      </c>
      <c r="S30" s="72">
        <f>'retraites SA Nb'!$BC30/'retraites SA Nb'!$AZ30-1</f>
        <v>1.6995777337796003E-3</v>
      </c>
      <c r="T30" s="72">
        <f>'retraites SA Nb'!$BF30/'retraites SA Nb'!$BC30-1</f>
        <v>1.3730977785551657E-2</v>
      </c>
      <c r="U30" s="72">
        <f>'retraites SA Nb'!$BI30/'retraites SA Nb'!$BF30-1</f>
        <v>-5.9356397204727296E-3</v>
      </c>
      <c r="V30" s="72">
        <f>'retraites SA Nb'!$BL30/'retraites SA Nb'!$BI30-1</f>
        <v>-3.8187151759213611E-3</v>
      </c>
      <c r="W30" s="72">
        <f>'retraites SA Nb'!$BO30/'retraites SA Nb'!$BL30-1</f>
        <v>-1.7772821522538118E-3</v>
      </c>
      <c r="X30" s="72">
        <f>'retraites SA Nb'!$BR30/'retraites SA Nb'!$BO30-1</f>
        <v>-4.5383930597497901E-4</v>
      </c>
      <c r="Y30" s="72">
        <f>'retraites SA Nb'!$BU30/'retraites SA Nb'!$BR30-1</f>
        <v>-1.3446728253846407E-3</v>
      </c>
      <c r="Z30" s="72">
        <f>'retraites SA Nb'!$BX30/'retraites SA Nb'!$BU30-1</f>
        <v>-1.6787325569196376E-3</v>
      </c>
      <c r="AA30" s="72">
        <f>'retraites SA Nb'!$CA30/'retraites SA Nb'!$BX30-1</f>
        <v>-1.1385531616745492E-3</v>
      </c>
      <c r="AB30" s="72">
        <f>'retraites SA Nb'!$CG30/'retraites SA Nb'!$CA30-1</f>
        <v>-3.2003507233669959E-3</v>
      </c>
      <c r="AC30" s="72">
        <f>'retraites SA Nb'!$CG30/'retraites SA Nb'!$CG30-1</f>
        <v>0</v>
      </c>
      <c r="AD30" s="72">
        <f>'retraites SA Nb'!$CJ30/'retraites SA Nb'!$CG30-1</f>
        <v>-1.4337863394465744E-3</v>
      </c>
      <c r="AE30" s="72">
        <f>'retraites SA Nb'!$CM30/'retraites SA Nb'!$CJ30-1</f>
        <v>-1.6736843959761494E-3</v>
      </c>
      <c r="AF30" s="72">
        <f>'retraites SA Nb'!$CS30/'retraites SA Nb'!$CM30-1</f>
        <v>-2.8941516959022362E-3</v>
      </c>
      <c r="AG30" s="72">
        <f>'retraites SA Nb'!$CS30/'retraites SA Nb'!$CP30-1</f>
        <v>-1.0254596888260581E-3</v>
      </c>
      <c r="AH30" s="72">
        <f>'retraites SA Nb'!$CV30/'retraites SA Nb'!$CS30-1</f>
        <v>-1.6105624579659805E-3</v>
      </c>
      <c r="AI30" s="72">
        <f>'retraites SA Nb'!$CY30/'retraites SA Nb'!$CV30-1</f>
        <v>-1.3649820070553709E-3</v>
      </c>
      <c r="AJ30" s="72">
        <f>'retraites SA Nb'!$DB30/'retraites SA Nb'!$CY30-1</f>
        <v>-9.6566904533668119E-4</v>
      </c>
      <c r="AK30" s="72">
        <f>'retraites SA Nb'!$DE30/'retraites SA Nb'!$DB30-1</f>
        <v>4.7086333236199263E-3</v>
      </c>
      <c r="AL30" s="72">
        <f>'retraites SA Nb'!$DH30/'retraites SA Nb'!$DE30-1</f>
        <v>1.2512246969648588E-2</v>
      </c>
      <c r="AM30" s="72">
        <f>'retraites SA Nb'!$DK30/'retraites SA Nb'!$DH30-1</f>
        <v>7.8582270344669247E-3</v>
      </c>
      <c r="AN30" s="72">
        <f>'retraites SA Nb'!$DN30/'retraites SA Nb'!$DK30-1</f>
        <v>7.1418668330387458E-3</v>
      </c>
      <c r="AO30" s="72">
        <f>'retraites SA Nb'!$DQ30/'retraites SA Nb'!$DN30-1</f>
        <v>6.6920076194934008E-3</v>
      </c>
      <c r="AP30" s="72">
        <f>'retraites SA Nb'!$DT30/'retraites SA Nb'!$DQ30-1</f>
        <v>7.0269900688852971E-3</v>
      </c>
      <c r="AQ30" s="72">
        <f>'retraites SA Nb'!$DW30/'retraites SA Nb'!$DT30-1</f>
        <v>1.2723609458516583E-2</v>
      </c>
      <c r="AR30" s="274">
        <f>'retraites SA Nb'!$DZ30/'retraites SA Nb'!$DW30-1</f>
        <v>8.0786139646049637E-3</v>
      </c>
      <c r="AS30" s="261">
        <f>'retraites SA Nb'!$EC30/'retraites SA Nb'!$DZ30-1</f>
        <v>1.0098810056246688E-2</v>
      </c>
      <c r="AT30" s="261">
        <f>'retraites SA Nb'!$EF30/'retraites SA Nb'!$EC30-1</f>
        <v>4.8310291985100839E-3</v>
      </c>
      <c r="AU30" s="261">
        <f>'retraites SA Nb'!$EI30/'retraites SA Nb'!$EF30-1</f>
        <v>1.7843745597625471E-2</v>
      </c>
      <c r="AV30" s="261">
        <f>'retraites SA Nb'!$EL30/'retraites SA Nb'!$EI30-1</f>
        <v>8.1273466707652009E-3</v>
      </c>
      <c r="AW30" s="261">
        <f>'retraites SA Nb'!$EO30/'retraites SA Nb'!$EL30-1</f>
        <v>1.0084465580794566E-2</v>
      </c>
      <c r="AX30" s="261">
        <f>'retraites SA Nb'!$ER30/'retraites SA Nb'!$EO30-1</f>
        <v>9.4258810290710482E-3</v>
      </c>
      <c r="AY30" s="261">
        <f>'retraites SA Nb'!$EU30/'retraites SA Nb'!$ER30-1</f>
        <v>1.443579827459307E-2</v>
      </c>
      <c r="AZ30" s="261">
        <f>'retraites SA Nb'!$EX30/'retraites SA Nb'!$EU30-1</f>
        <v>8.7419549011436004E-3</v>
      </c>
      <c r="BA30" s="261">
        <f>'retraites SA Nb'!$FA30/'retraites SA Nb'!$EX30-1</f>
        <v>9.4755911342863097E-3</v>
      </c>
      <c r="BB30" s="261">
        <f>'retraites SA Nb'!$FD30/'retraites SA Nb'!$FA30-1</f>
        <v>7.8190524896031288E-3</v>
      </c>
      <c r="BC30" s="261">
        <f>'retraites SA Nb'!$FG30/'retraites SA Nb'!$FD30-1</f>
        <v>2.24161280986519E-2</v>
      </c>
      <c r="BD30" s="261">
        <f>'retraites SA Nb'!$FJ30/'retraites SA Nb'!$FG30-1</f>
        <v>8.8168190587416539E-3</v>
      </c>
      <c r="BE30" s="261">
        <f>'retraites SA Nb'!$FM30/'retraites SA Nb'!$FJ30-1</f>
        <v>4.9449406366906645E-2</v>
      </c>
      <c r="BF30" s="261">
        <f>'retraites SA Nb'!$FP30/'retraites SA Nb'!$FM30-1</f>
        <v>8.5098243681713814E-3</v>
      </c>
      <c r="BG30" s="261">
        <f>'retraites SA Nb'!$FS30/'retraites SA Nb'!$FP30-1</f>
        <v>2.0337529335621385E-2</v>
      </c>
      <c r="BH30" s="261">
        <f>'retraites SA Nb'!$FV30/'retraites SA Nb'!$FS30-1</f>
        <v>9.6051437259137007E-3</v>
      </c>
      <c r="BI30" s="261">
        <f>'retraites SA Nb'!$FY30/'retraites SA Nb'!$FV30-1</f>
        <v>1.0320525907179023E-2</v>
      </c>
      <c r="BJ30" s="261">
        <f>'retraites SA Nb'!$GB30/'retraites SA Nb'!$FY30-1</f>
        <v>6.8522888928246317E-3</v>
      </c>
      <c r="BK30" s="261">
        <f>'retraites SA Nb'!$GE30/'retraites SA Nb'!$GB30-1</f>
        <v>6.4230843553927608E-2</v>
      </c>
      <c r="BL30" s="261">
        <f>'retraites SA Nb'!$GH30/'retraites SA Nb'!$GE30-1</f>
        <v>7.7983044126965773E-3</v>
      </c>
      <c r="BM30" s="261">
        <f>'retraites SA Nb'!$GK30/'retraites SA Nb'!$GH30-1</f>
        <v>8.6152647711879027E-3</v>
      </c>
      <c r="BN30" s="261">
        <f>'retraites SA Nb'!$GN30/'retraites SA Nb'!$GK30-1</f>
        <v>1.5070897170258668E-2</v>
      </c>
    </row>
    <row r="31" spans="1:66" x14ac:dyDescent="0.25">
      <c r="A31" s="14"/>
      <c r="P31" s="4"/>
      <c r="Q31" s="76"/>
      <c r="BJ31" s="126"/>
      <c r="BK31" s="126"/>
      <c r="BL31" s="126"/>
      <c r="BM31" s="126"/>
      <c r="BN31" s="126"/>
    </row>
    <row r="32" spans="1:66" x14ac:dyDescent="0.25">
      <c r="A32" s="3" t="s">
        <v>12</v>
      </c>
      <c r="P32" s="4"/>
      <c r="Q32" s="76"/>
      <c r="BJ32" s="126"/>
      <c r="BK32" s="126"/>
      <c r="BL32" s="126"/>
      <c r="BM32" s="126"/>
      <c r="BN32" s="126"/>
    </row>
    <row r="33" spans="1:66" s="32" customFormat="1" x14ac:dyDescent="0.25">
      <c r="A33" s="3"/>
      <c r="O33" s="95"/>
      <c r="Q33" s="99"/>
      <c r="AR33" s="272"/>
      <c r="AS33" s="260"/>
      <c r="AT33" s="260"/>
      <c r="AU33" s="260"/>
      <c r="AV33" s="260"/>
      <c r="AW33" s="260"/>
      <c r="AX33" s="260"/>
      <c r="AY33" s="260"/>
      <c r="AZ33" s="260"/>
      <c r="BA33" s="260"/>
      <c r="BB33" s="260"/>
      <c r="BC33" s="260"/>
      <c r="BD33" s="260"/>
      <c r="BE33" s="260"/>
      <c r="BF33" s="260"/>
      <c r="BG33" s="260"/>
      <c r="BH33" s="260"/>
      <c r="BI33" s="260"/>
      <c r="BJ33" s="260"/>
      <c r="BK33" s="260"/>
      <c r="BL33" s="260"/>
      <c r="BM33" s="260"/>
      <c r="BN33" s="260"/>
    </row>
    <row r="34" spans="1:66" ht="12.5" thickBot="1" x14ac:dyDescent="0.35">
      <c r="A34" s="75" t="s">
        <v>49</v>
      </c>
      <c r="B34" s="70" t="str">
        <f>B6</f>
        <v>4 T2008</v>
      </c>
      <c r="C34" s="70" t="str">
        <f>C6</f>
        <v>1 T 2009</v>
      </c>
      <c r="D34" s="70" t="str">
        <f>D6</f>
        <v>2 T 2009</v>
      </c>
      <c r="E34" s="70" t="str">
        <f t="shared" ref="E34:L34" si="44">E6</f>
        <v>3 T 2009</v>
      </c>
      <c r="F34" s="70" t="str">
        <f t="shared" si="44"/>
        <v>4 T 2009</v>
      </c>
      <c r="G34" s="70" t="str">
        <f t="shared" si="44"/>
        <v>1 T 2010</v>
      </c>
      <c r="H34" s="70" t="str">
        <f t="shared" si="44"/>
        <v>2 T 2010</v>
      </c>
      <c r="I34" s="70" t="str">
        <f t="shared" si="44"/>
        <v>3 T 2010</v>
      </c>
      <c r="J34" s="70" t="str">
        <f t="shared" si="44"/>
        <v>4 T 2010</v>
      </c>
      <c r="K34" s="70" t="str">
        <f t="shared" si="44"/>
        <v>1 T 2011</v>
      </c>
      <c r="L34" s="70" t="str">
        <f t="shared" si="44"/>
        <v>2 T 2011</v>
      </c>
      <c r="M34" s="70" t="str">
        <f t="shared" ref="M34:R34" si="45">M6</f>
        <v>3 T 2011</v>
      </c>
      <c r="N34" s="70" t="str">
        <f t="shared" si="45"/>
        <v>4 T 2011</v>
      </c>
      <c r="O34" s="70" t="str">
        <f t="shared" si="45"/>
        <v>1 T 2012</v>
      </c>
      <c r="P34" s="70" t="str">
        <f t="shared" si="45"/>
        <v>2 T 2012</v>
      </c>
      <c r="Q34" s="70" t="str">
        <f t="shared" si="45"/>
        <v>3 T 2012</v>
      </c>
      <c r="R34" s="70" t="str">
        <f t="shared" si="45"/>
        <v>4 T 2012</v>
      </c>
      <c r="S34" s="70" t="str">
        <f t="shared" ref="S34:X34" si="46">S6</f>
        <v>1 T 2013</v>
      </c>
      <c r="T34" s="70" t="str">
        <f t="shared" si="46"/>
        <v>2 T 2013</v>
      </c>
      <c r="U34" s="70" t="str">
        <f t="shared" si="46"/>
        <v>3 T 2013</v>
      </c>
      <c r="V34" s="70" t="str">
        <f t="shared" si="46"/>
        <v>4 T 2013</v>
      </c>
      <c r="W34" s="70" t="str">
        <f t="shared" si="46"/>
        <v>1 T 2014</v>
      </c>
      <c r="X34" s="70" t="str">
        <f t="shared" si="46"/>
        <v>2 T 2014</v>
      </c>
      <c r="Y34" s="70" t="str">
        <f t="shared" ref="Y34:Z34" si="47">Y6</f>
        <v>3 T 2014</v>
      </c>
      <c r="Z34" s="70" t="str">
        <f t="shared" si="47"/>
        <v>4 T 2014</v>
      </c>
      <c r="AA34" s="70" t="str">
        <f t="shared" ref="AA34:AB34" si="48">AA6</f>
        <v>1 T 2015</v>
      </c>
      <c r="AB34" s="70" t="str">
        <f t="shared" si="48"/>
        <v>2 T 2015</v>
      </c>
      <c r="AC34" s="70" t="str">
        <f t="shared" ref="AC34:AD34" si="49">AC6</f>
        <v>3 T 2015</v>
      </c>
      <c r="AD34" s="70" t="str">
        <f t="shared" si="49"/>
        <v>4 T 2015</v>
      </c>
      <c r="AE34" s="70" t="str">
        <f t="shared" ref="AE34:AF34" si="50">AE6</f>
        <v>1 T 2016</v>
      </c>
      <c r="AF34" s="70" t="str">
        <f t="shared" si="50"/>
        <v>2 T 2016</v>
      </c>
      <c r="AG34" s="70" t="str">
        <f t="shared" ref="AG34:AH34" si="51">AG6</f>
        <v>3 T 2016</v>
      </c>
      <c r="AH34" s="70" t="str">
        <f t="shared" si="51"/>
        <v>4 T 2016</v>
      </c>
      <c r="AI34" s="70" t="str">
        <f t="shared" ref="AI34:AJ34" si="52">AI6</f>
        <v>1 T 2017</v>
      </c>
      <c r="AJ34" s="70" t="str">
        <f t="shared" si="52"/>
        <v>2 T 2017</v>
      </c>
      <c r="AK34" s="70" t="str">
        <f t="shared" ref="AK34:AL34" si="53">AK6</f>
        <v>3 T 2017</v>
      </c>
      <c r="AL34" s="70" t="str">
        <f t="shared" si="53"/>
        <v>4 T 2017</v>
      </c>
      <c r="AM34" s="70" t="str">
        <f t="shared" ref="AM34:AR34" si="54">AM6</f>
        <v>1T 2018</v>
      </c>
      <c r="AN34" s="70" t="str">
        <f t="shared" si="54"/>
        <v>2T 2018</v>
      </c>
      <c r="AO34" s="70" t="str">
        <f t="shared" si="54"/>
        <v>3T 2018</v>
      </c>
      <c r="AP34" s="70" t="str">
        <f t="shared" si="54"/>
        <v>4T 2018</v>
      </c>
      <c r="AQ34" s="70" t="str">
        <f t="shared" si="54"/>
        <v>1T 2019</v>
      </c>
      <c r="AR34" s="273" t="str">
        <f t="shared" si="54"/>
        <v>2T 2019</v>
      </c>
      <c r="AS34" s="196" t="str">
        <f t="shared" ref="AS34:AT34" si="55">AS6</f>
        <v>3T 2019</v>
      </c>
      <c r="AT34" s="196" t="str">
        <f t="shared" si="55"/>
        <v>4T 2019</v>
      </c>
      <c r="AU34" s="196" t="str">
        <f t="shared" ref="AU34:AV34" si="56">AU6</f>
        <v>1T 2020</v>
      </c>
      <c r="AV34" s="196" t="str">
        <f t="shared" si="56"/>
        <v>2T 2020</v>
      </c>
      <c r="AW34" s="196" t="str">
        <f t="shared" ref="AW34:AX34" si="57">AW6</f>
        <v>3T 2020</v>
      </c>
      <c r="AX34" s="196" t="str">
        <f t="shared" si="57"/>
        <v>4T 2020</v>
      </c>
      <c r="AY34" s="196" t="str">
        <f t="shared" ref="AY34:AZ34" si="58">AY6</f>
        <v>1T 2021</v>
      </c>
      <c r="AZ34" s="196" t="str">
        <f t="shared" si="58"/>
        <v>2T 2021</v>
      </c>
      <c r="BA34" s="196" t="str">
        <f t="shared" ref="BA34:BB34" si="59">BA6</f>
        <v>3T 2021</v>
      </c>
      <c r="BB34" s="196" t="str">
        <f t="shared" si="59"/>
        <v>4T 2021</v>
      </c>
      <c r="BC34" s="196" t="str">
        <f t="shared" ref="BC34:BD34" si="60">BC6</f>
        <v>1T 2022</v>
      </c>
      <c r="BD34" s="196" t="str">
        <f t="shared" si="60"/>
        <v>2T 2022</v>
      </c>
      <c r="BE34" s="196" t="str">
        <f t="shared" ref="BE34:BF34" si="61">BE6</f>
        <v>3T 2022</v>
      </c>
      <c r="BF34" s="196" t="str">
        <f t="shared" si="61"/>
        <v>4T 2022</v>
      </c>
      <c r="BG34" s="196" t="str">
        <f t="shared" ref="BG34:BH34" si="62">BG6</f>
        <v>1T 2023</v>
      </c>
      <c r="BH34" s="196" t="str">
        <f t="shared" si="62"/>
        <v>2T 2023</v>
      </c>
      <c r="BI34" s="196" t="str">
        <f t="shared" ref="BI34:BJ34" si="63">BI6</f>
        <v>3T 2023</v>
      </c>
      <c r="BJ34" s="196" t="str">
        <f t="shared" si="63"/>
        <v>4T 2023</v>
      </c>
      <c r="BK34" s="196" t="str">
        <f t="shared" ref="BK34:BL34" si="64">BK6</f>
        <v>1T 2024</v>
      </c>
      <c r="BL34" s="196" t="str">
        <f t="shared" si="64"/>
        <v>2T 2024</v>
      </c>
      <c r="BM34" s="196" t="str">
        <f t="shared" ref="BM34:BN34" si="65">BM6</f>
        <v>3T 2024</v>
      </c>
      <c r="BN34" s="196" t="str">
        <f t="shared" si="65"/>
        <v>4T 2024</v>
      </c>
    </row>
    <row r="35" spans="1:66" x14ac:dyDescent="0.25">
      <c r="A35" s="38" t="s">
        <v>2</v>
      </c>
      <c r="C35" s="73">
        <f>'retraites SA Nb'!$G35-'retraites SA Nb'!$D35</f>
        <v>4.8100000000005139E-2</v>
      </c>
      <c r="D35" s="73">
        <f>'retraites SA Nb'!$J35-'retraites SA Nb'!$G35</f>
        <v>7.0499999999995566E-2</v>
      </c>
      <c r="E35" s="73">
        <f>'retraites SA Nb'!$M35-'retraites SA Nb'!$J35</f>
        <v>3.1899999999993156E-2</v>
      </c>
      <c r="F35" s="73">
        <f>'retraites SA Nb'!$P35-'retraites SA Nb'!$M35</f>
        <v>5.2100000000010027E-2</v>
      </c>
      <c r="G35" s="73">
        <f>'retraites SA Nb'!$S35-'retraites SA Nb'!$P35</f>
        <v>3.6199999999993793E-2</v>
      </c>
      <c r="H35" s="73">
        <f>'retraites SA Nb'!$V35-'retraites SA Nb'!$S35</f>
        <v>8.399999999994634E-3</v>
      </c>
      <c r="I35" s="73">
        <f>'retraites SA Nb'!$Y35-'retraites SA Nb'!$V35</f>
        <v>2.8500000000008185E-2</v>
      </c>
      <c r="J35" s="73">
        <f>'retraites SA Nb'!$AB35-'retraites SA Nb'!$Y35</f>
        <v>5.0100000000000477E-2</v>
      </c>
      <c r="K35" s="73">
        <f>'retraites SA Nb'!$AE35-'retraites SA Nb'!$AB35</f>
        <v>3.3699999999996066E-2</v>
      </c>
      <c r="L35" s="73">
        <f>'retraites SA Nb'!$AH35-'retraites SA Nb'!$AE35</f>
        <v>4.6599999999997976E-2</v>
      </c>
      <c r="M35" s="73">
        <f>'retraites SA Nb'!$AK35-'retraites SA Nb'!$AH35</f>
        <v>0.24080000000000723</v>
      </c>
      <c r="N35" s="73">
        <f>'retraites SA Nb'!$AN35-'retraites SA Nb'!$AK35</f>
        <v>-8.2000000000007844E-2</v>
      </c>
      <c r="O35" s="73">
        <f>'retraites SA Nb'!$AQ35-'retraites SA Nb'!$AN35</f>
        <v>7.7899999999999636E-2</v>
      </c>
      <c r="P35" s="73">
        <f>'retraites SA Nb'!$AT35-'retraites SA Nb'!$AQ35</f>
        <v>6.1700000000001864E-2</v>
      </c>
      <c r="Q35" s="73">
        <f>'retraites SA Nb'!$AW35-'retraites SA Nb'!$AT35</f>
        <v>7.5800000000000978E-2</v>
      </c>
      <c r="R35" s="73">
        <f>'retraites SA Nb'!$AZ35-'retraites SA Nb'!$AW35</f>
        <v>8.7100000000006617E-2</v>
      </c>
      <c r="S35" s="73">
        <f>'retraites SA Nb'!$BC35-'retraites SA Nb'!$AZ35</f>
        <v>5.1899999999989177E-2</v>
      </c>
      <c r="T35" s="73">
        <f>'retraites SA Nb'!$BF35-'retraites SA Nb'!$BC35</f>
        <v>5.6400000000010664E-2</v>
      </c>
      <c r="U35" s="73">
        <f>'retraites SA Nb'!$BI35-'retraites SA Nb'!$BF35</f>
        <v>-2.6400000000009527E-2</v>
      </c>
      <c r="V35" s="73">
        <f>'retraites SA Nb'!$BL35-'retraites SA Nb'!$BI35</f>
        <v>5.7000000000044793E-3</v>
      </c>
      <c r="W35" s="73">
        <f>'retraites SA Nb'!$BO35-'retraites SA Nb'!$BL35</f>
        <v>5.2300000000002456E-2</v>
      </c>
      <c r="X35" s="73">
        <f>'retraites SA Nb'!$BR35-'retraites SA Nb'!$BO35</f>
        <v>3.1999999999996476E-2</v>
      </c>
      <c r="Y35" s="73">
        <f>'retraites SA Nb'!$BU35-'retraites SA Nb'!$BR35</f>
        <v>-4.0999999999939973E-3</v>
      </c>
      <c r="Z35" s="73">
        <f>'retraites SA Nb'!$BX35-'retraites SA Nb'!$BU35</f>
        <v>2.8799999999989723E-2</v>
      </c>
      <c r="AA35" s="73">
        <f>'retraites SA Nb'!$CA35-'retraites SA Nb'!$BX35</f>
        <v>0</v>
      </c>
      <c r="AB35" s="73">
        <f>'retraites SA Nb'!$CG35-'retraites SA Nb'!$CA35</f>
        <v>0</v>
      </c>
      <c r="AC35" s="73">
        <f>'retraites SA Nb'!$CG35-'retraites SA Nb'!$CG35</f>
        <v>0</v>
      </c>
      <c r="AD35" s="73">
        <f>'retraites SA Nb'!$CJ35-'retraites SA Nb'!$CG35</f>
        <v>-4.8999999999921329E-3</v>
      </c>
      <c r="AE35" s="73">
        <f>'retraites SA Nb'!$CM35-'retraites SA Nb'!$CJ35</f>
        <v>-1.6500000000007731E-2</v>
      </c>
      <c r="AF35" s="73">
        <f>'retraites SA Nb'!$CS35-'retraites SA Nb'!$CM35</f>
        <v>2.6000000000010459E-3</v>
      </c>
      <c r="AG35" s="73">
        <f>'retraites SA Nb'!$CS35-'retraites SA Nb'!$CP35</f>
        <v>2.6999999999901547E-3</v>
      </c>
      <c r="AH35" s="73">
        <f>'retraites SA Nb'!$CV35-'retraites SA Nb'!$CS35</f>
        <v>3.7800000000004275E-2</v>
      </c>
      <c r="AI35" s="73">
        <f>'retraites SA Nb'!$CY35-'retraites SA Nb'!$CV35</f>
        <v>2.0999999999986585E-3</v>
      </c>
      <c r="AJ35" s="73">
        <f>'retraites SA Nb'!$DB35-'retraites SA Nb'!$CY35</f>
        <v>8.8999999999970214E-3</v>
      </c>
      <c r="AK35" s="73">
        <f>'retraites SA Nb'!$DE35-'retraites SA Nb'!$DB35</f>
        <v>4.6500000000008868E-2</v>
      </c>
      <c r="AL35" s="73">
        <f>'retraites SA Nb'!$DH35-'retraites SA Nb'!$DE35</f>
        <v>5.7699999999996976E-2</v>
      </c>
      <c r="AM35" s="73">
        <f>'retraites SA Nb'!$DK35-'retraites SA Nb'!$DH35</f>
        <v>7.6300000000003365E-2</v>
      </c>
      <c r="AN35" s="73">
        <f>'retraites SA Nb'!$DN35-'retraites SA Nb'!$DK35</f>
        <v>7.2499999999990905E-2</v>
      </c>
      <c r="AO35" s="73">
        <f>'retraites SA Nb'!$DQ35-'retraites SA Nb'!$DN35</f>
        <v>7.8000000000002956E-2</v>
      </c>
      <c r="AP35" s="73">
        <f>'retraites SA Nb'!$DT35-'retraites SA Nb'!$DQ35</f>
        <v>6.3199999999994816E-2</v>
      </c>
      <c r="AQ35" s="73">
        <f>'retraites SA Nb'!$DW35-'retraites SA Nb'!$DT35</f>
        <v>7.2300000000012687E-2</v>
      </c>
      <c r="AR35" s="275">
        <f>'retraites SA Nb'!$DZ35-'retraites SA Nb'!$DW35</f>
        <v>8.6699999999993338E-2</v>
      </c>
      <c r="AS35" s="262">
        <f>'retraites SA Nb'!$EC35-'retraites SA Nb'!$DZ35</f>
        <v>9.0900000000004866E-2</v>
      </c>
      <c r="AT35" s="262">
        <f>'retraites SA Nb'!$EF35-'retraites SA Nb'!$EC35</f>
        <v>4.410000000000025E-2</v>
      </c>
      <c r="AU35" s="262">
        <f>'retraites SA Nb'!$EI35-'retraites SA Nb'!$EF35</f>
        <v>7.5800000000000978E-2</v>
      </c>
      <c r="AV35" s="262">
        <f>'retraites SA Nb'!$EL35-'retraites SA Nb'!$EI35</f>
        <v>6.9099999999991724E-2</v>
      </c>
      <c r="AW35" s="262">
        <f>'retraites SA Nb'!$EO35-'retraites SA Nb'!$EL35</f>
        <v>8.1400000000002137E-2</v>
      </c>
      <c r="AX35" s="262">
        <f>'retraites SA Nb'!$ER35-'retraites SA Nb'!$EO35</f>
        <v>4.0900000000007708E-2</v>
      </c>
      <c r="AY35" s="262">
        <f>'retraites SA Nb'!$EU35-'retraites SA Nb'!$ER35</f>
        <v>6.3599999999993884E-2</v>
      </c>
      <c r="AZ35" s="262">
        <f>'retraites SA Nb'!$EX35-'retraites SA Nb'!$EU35</f>
        <v>7.0300000000003138E-2</v>
      </c>
      <c r="BA35" s="262">
        <f>'retraites SA Nb'!$FA35-'retraites SA Nb'!$EX35</f>
        <v>7.8099999999992065E-2</v>
      </c>
      <c r="BB35" s="262">
        <f>'retraites SA Nb'!$FD35-'retraites SA Nb'!$FA35</f>
        <v>5.7867942580799081E-2</v>
      </c>
      <c r="BC35" s="262">
        <f>'retraites SA Nb'!$FG35-'retraites SA Nb'!$FD35</f>
        <v>6.2772168314808141E-2</v>
      </c>
      <c r="BD35" s="262">
        <f>'retraites SA Nb'!$FJ35-'retraites SA Nb'!$FG35</f>
        <v>6.8538940050302699E-2</v>
      </c>
      <c r="BE35" s="262">
        <f>'retraites SA Nb'!$FM35-'retraites SA Nb'!$FJ35</f>
        <v>7.2251163862091516E-2</v>
      </c>
      <c r="BF35" s="262">
        <f>'retraites SA Nb'!$FP35-'retraites SA Nb'!$FM35</f>
        <v>6.3529354305998709E-2</v>
      </c>
      <c r="BG35" s="262">
        <f>'retraites SA Nb'!$FS35-'retraites SA Nb'!$FP35</f>
        <v>4.7215913329196724E-2</v>
      </c>
      <c r="BH35" s="262">
        <f>'retraites SA Nb'!$FV35-'retraites SA Nb'!$FS35</f>
        <v>7.274984879060753E-2</v>
      </c>
      <c r="BI35" s="262">
        <f>'retraites SA Nb'!$FY35-'retraites SA Nb'!$FV35</f>
        <v>6.9597419057203069E-2</v>
      </c>
      <c r="BJ35" s="262">
        <f>'retraites SA Nb'!$GB35-'retraites SA Nb'!$FY35</f>
        <v>8.8033783863792792E-2</v>
      </c>
      <c r="BK35" s="262">
        <f>'retraites SA Nb'!$GE35-'retraites SA Nb'!$GB35</f>
        <v>6.4739489838203212E-2</v>
      </c>
      <c r="BL35" s="262">
        <f>'retraites SA Nb'!$GH35-'retraites SA Nb'!$GE35</f>
        <v>8.562859845180526E-2</v>
      </c>
      <c r="BM35" s="262">
        <f>'retraites SA Nb'!$GK35-'retraites SA Nb'!$GH35</f>
        <v>7.9341186466493241E-2</v>
      </c>
      <c r="BN35" s="262">
        <f>'retraites SA Nb'!$GN35-'retraites SA Nb'!$GK35</f>
        <v>5.8978537429695166E-2</v>
      </c>
    </row>
    <row r="36" spans="1:66" x14ac:dyDescent="0.25">
      <c r="A36" s="39" t="s">
        <v>3</v>
      </c>
      <c r="C36" s="73">
        <f>'retraites SA Nb'!$G36-'retraites SA Nb'!$D36</f>
        <v>0.12130000000000507</v>
      </c>
      <c r="D36" s="73">
        <f>'retraites SA Nb'!$J36-'retraites SA Nb'!$G36</f>
        <v>7.6099999999996726E-2</v>
      </c>
      <c r="E36" s="73">
        <f>'retraites SA Nb'!$M36-'retraites SA Nb'!$J36</f>
        <v>7.7800000000010527E-2</v>
      </c>
      <c r="F36" s="73">
        <f>'retraites SA Nb'!$P36-'retraites SA Nb'!$M36</f>
        <v>6.4499999999995339E-2</v>
      </c>
      <c r="G36" s="73">
        <f>'retraites SA Nb'!$S36-'retraites SA Nb'!$P36</f>
        <v>8.8899999999995316E-2</v>
      </c>
      <c r="H36" s="73">
        <f>'retraites SA Nb'!$V36-'retraites SA Nb'!$S36</f>
        <v>0.13900000000001</v>
      </c>
      <c r="I36" s="73">
        <f>'retraites SA Nb'!$Y36-'retraites SA Nb'!$V36</f>
        <v>0.10249999999999204</v>
      </c>
      <c r="J36" s="73">
        <f>'retraites SA Nb'!$AB36-'retraites SA Nb'!$Y36</f>
        <v>8.4999999999979536E-3</v>
      </c>
      <c r="K36" s="73">
        <f>'retraites SA Nb'!$AE36-'retraites SA Nb'!$AB36</f>
        <v>9.9600000000009459E-2</v>
      </c>
      <c r="L36" s="73">
        <f>'retraites SA Nb'!$AH36-'retraites SA Nb'!$AE36</f>
        <v>8.8299999999989609E-2</v>
      </c>
      <c r="M36" s="73">
        <f>'retraites SA Nb'!$AK36-'retraites SA Nb'!$AH36</f>
        <v>0.24340000000000828</v>
      </c>
      <c r="N36" s="73">
        <f>'retraites SA Nb'!$AN36-'retraites SA Nb'!$AK36</f>
        <v>-9.4099999999997408E-2</v>
      </c>
      <c r="O36" s="73">
        <f>'retraites SA Nb'!$AQ36-'retraites SA Nb'!$AN36</f>
        <v>8.9099999999987745E-2</v>
      </c>
      <c r="P36" s="73">
        <f>'retraites SA Nb'!$AT36-'retraites SA Nb'!$AQ36</f>
        <v>7.6300000000003365E-2</v>
      </c>
      <c r="Q36" s="73">
        <f>'retraites SA Nb'!$AW36-'retraites SA Nb'!$AT36</f>
        <v>8.2599999999999341E-2</v>
      </c>
      <c r="R36" s="73">
        <f>'retraites SA Nb'!$AZ36-'retraites SA Nb'!$AW36</f>
        <v>7.4899999999999523E-2</v>
      </c>
      <c r="S36" s="73">
        <f>'retraites SA Nb'!$BC36-'retraites SA Nb'!$AZ36</f>
        <v>0.10529999999999973</v>
      </c>
      <c r="T36" s="73">
        <f>'retraites SA Nb'!$BF36-'retraites SA Nb'!$BC36</f>
        <v>7.6500000000010004E-2</v>
      </c>
      <c r="U36" s="73">
        <f>'retraites SA Nb'!$BI36-'retraites SA Nb'!$BF36</f>
        <v>7.7100000000001501E-2</v>
      </c>
      <c r="V36" s="73">
        <f>'retraites SA Nb'!$BL36-'retraites SA Nb'!$BI36</f>
        <v>5.9899999999998954E-2</v>
      </c>
      <c r="W36" s="73">
        <f>'retraites SA Nb'!$BO36-'retraites SA Nb'!$BL36</f>
        <v>8.5899999999995202E-2</v>
      </c>
      <c r="X36" s="73">
        <f>'retraites SA Nb'!$BR36-'retraites SA Nb'!$BO36</f>
        <v>8.4999999999993747E-2</v>
      </c>
      <c r="Y36" s="73">
        <f>'retraites SA Nb'!$BU36-'retraites SA Nb'!$BR36</f>
        <v>9.2700000000007776E-2</v>
      </c>
      <c r="Z36" s="73">
        <f>'retraites SA Nb'!$BX36-'retraites SA Nb'!$BU36</f>
        <v>6.609999999999161E-2</v>
      </c>
      <c r="AA36" s="73">
        <f>'retraites SA Nb'!$CA36-'retraites SA Nb'!$BX36</f>
        <v>0.10000000000000853</v>
      </c>
      <c r="AB36" s="73">
        <f>'retraites SA Nb'!$CG36-'retraites SA Nb'!$CA36</f>
        <v>9.9999999999994316E-2</v>
      </c>
      <c r="AC36" s="73">
        <f>'retraites SA Nb'!$CG36-'retraites SA Nb'!$CG36</f>
        <v>0</v>
      </c>
      <c r="AD36" s="73">
        <f>'retraites SA Nb'!$CJ36-'retraites SA Nb'!$CG36</f>
        <v>2.4900000000002365E-2</v>
      </c>
      <c r="AE36" s="73">
        <f>'retraites SA Nb'!$CM36-'retraites SA Nb'!$CJ36</f>
        <v>8.100000000000307E-2</v>
      </c>
      <c r="AF36" s="73">
        <f>'retraites SA Nb'!$CS36-'retraites SA Nb'!$CM36</f>
        <v>0.13739999999999952</v>
      </c>
      <c r="AG36" s="73">
        <f>'retraites SA Nb'!$CS36-'retraites SA Nb'!$CP36</f>
        <v>6.7800000000005411E-2</v>
      </c>
      <c r="AH36" s="73">
        <f>'retraites SA Nb'!$CV36-'retraites SA Nb'!$CS36</f>
        <v>4.4399999999995998E-2</v>
      </c>
      <c r="AI36" s="73">
        <f>'retraites SA Nb'!$CY36-'retraites SA Nb'!$CV36</f>
        <v>3.8300000000006662E-2</v>
      </c>
      <c r="AJ36" s="73">
        <f>'retraites SA Nb'!$DB36-'retraites SA Nb'!$CY36</f>
        <v>6.8799999999995975E-2</v>
      </c>
      <c r="AK36" s="73">
        <f>'retraites SA Nb'!$DE36-'retraites SA Nb'!$DB36</f>
        <v>7.1600000000003661E-2</v>
      </c>
      <c r="AL36" s="73">
        <f>'retraites SA Nb'!$DH36-'retraites SA Nb'!$DE36</f>
        <v>5.3499999999999659E-2</v>
      </c>
      <c r="AM36" s="73">
        <f>'retraites SA Nb'!$DK36-'retraites SA Nb'!$DH36</f>
        <v>8.4400000000002251E-2</v>
      </c>
      <c r="AN36" s="73">
        <f>'retraites SA Nb'!$DN36-'retraites SA Nb'!$DK36</f>
        <v>4.8899999999989063E-2</v>
      </c>
      <c r="AO36" s="73">
        <f>'retraites SA Nb'!$DQ36-'retraites SA Nb'!$DN36</f>
        <v>7.6400000000006685E-2</v>
      </c>
      <c r="AP36" s="73">
        <f>'retraites SA Nb'!$DT36-'retraites SA Nb'!$DQ36</f>
        <v>5.1599999999993429E-2</v>
      </c>
      <c r="AQ36" s="73">
        <f>'retraites SA Nb'!$DW36-'retraites SA Nb'!$DT36</f>
        <v>5.7800000000000296E-2</v>
      </c>
      <c r="AR36" s="275">
        <f>'retraites SA Nb'!$DZ36-'retraites SA Nb'!$DW36</f>
        <v>6.25E-2</v>
      </c>
      <c r="AS36" s="262">
        <f>'retraites SA Nb'!$EC36-'retraites SA Nb'!$DZ36</f>
        <v>7.2699999999997544E-2</v>
      </c>
      <c r="AT36" s="262">
        <f>'retraites SA Nb'!$EF36-'retraites SA Nb'!$EC36</f>
        <v>2.5100000000009004E-2</v>
      </c>
      <c r="AU36" s="262">
        <f>'retraites SA Nb'!$EI36-'retraites SA Nb'!$EF36</f>
        <v>7.6999999999998181E-2</v>
      </c>
      <c r="AV36" s="262">
        <f>'retraites SA Nb'!$EL36-'retraites SA Nb'!$EI36</f>
        <v>3.4400000000005093E-2</v>
      </c>
      <c r="AW36" s="262">
        <f>'retraites SA Nb'!$EO36-'retraites SA Nb'!$EL36</f>
        <v>7.0799999999991314E-2</v>
      </c>
      <c r="AX36" s="262">
        <f>'retraites SA Nb'!$ER36-'retraites SA Nb'!$EO36</f>
        <v>3.3900000000002706E-2</v>
      </c>
      <c r="AY36" s="262">
        <f>'retraites SA Nb'!$EU36-'retraites SA Nb'!$ER36</f>
        <v>3.7599999999997635E-2</v>
      </c>
      <c r="AZ36" s="262">
        <f>'retraites SA Nb'!$EX36-'retraites SA Nb'!$EU36</f>
        <v>3.8300000000006662E-2</v>
      </c>
      <c r="BA36" s="262">
        <f>'retraites SA Nb'!$FA36-'retraites SA Nb'!$EX36</f>
        <v>6.3199999999994816E-2</v>
      </c>
      <c r="BB36" s="262">
        <f>'retraites SA Nb'!$FD36-'retraites SA Nb'!$FA36</f>
        <v>4.3426465940200387E-2</v>
      </c>
      <c r="BC36" s="262">
        <f>'retraites SA Nb'!$FG36-'retraites SA Nb'!$FD36</f>
        <v>5.3309888043898468E-2</v>
      </c>
      <c r="BD36" s="262">
        <f>'retraites SA Nb'!$FJ36-'retraites SA Nb'!$FG36</f>
        <v>2.7114073576896658E-2</v>
      </c>
      <c r="BE36" s="262">
        <f>'retraites SA Nb'!$FM36-'retraites SA Nb'!$FJ36</f>
        <v>5.7652254486811216E-2</v>
      </c>
      <c r="BF36" s="262">
        <f>'retraites SA Nb'!$FP36-'retraites SA Nb'!$FM36</f>
        <v>2.4335594701796026E-2</v>
      </c>
      <c r="BG36" s="262">
        <f>'retraites SA Nb'!$FS36-'retraites SA Nb'!$FP36</f>
        <v>3.2665632144500023E-2</v>
      </c>
      <c r="BH36" s="262">
        <f>'retraites SA Nb'!$FV36-'retraites SA Nb'!$FS36</f>
        <v>3.7287437183294969E-2</v>
      </c>
      <c r="BI36" s="262">
        <f>'retraites SA Nb'!$FY36-'retraites SA Nb'!$FV36</f>
        <v>5.1069256076701208E-2</v>
      </c>
      <c r="BJ36" s="262">
        <f>'retraites SA Nb'!$GB36-'retraites SA Nb'!$FY36</f>
        <v>3.162009695620327E-2</v>
      </c>
      <c r="BK36" s="262">
        <f>'retraites SA Nb'!$GE36-'retraites SA Nb'!$GB36</f>
        <v>4.2915365864800492E-2</v>
      </c>
      <c r="BL36" s="262">
        <f>'retraites SA Nb'!$GH36-'retraites SA Nb'!$GE36</f>
        <v>4.7230490992305363E-2</v>
      </c>
      <c r="BM36" s="262">
        <f>'retraites SA Nb'!$GK36-'retraites SA Nb'!$GH36</f>
        <v>4.4081908867099173E-2</v>
      </c>
      <c r="BN36" s="262">
        <f>'retraites SA Nb'!$GN36-'retraites SA Nb'!$GK36</f>
        <v>2.5594694666494888E-2</v>
      </c>
    </row>
    <row r="37" spans="1:66" x14ac:dyDescent="0.25">
      <c r="A37" s="39" t="s">
        <v>4</v>
      </c>
      <c r="C37" s="73">
        <f>'retraites SA Nb'!$G37-'retraites SA Nb'!$D37</f>
        <v>0.10179999999999723</v>
      </c>
      <c r="D37" s="73">
        <f>'retraites SA Nb'!$J37-'retraites SA Nb'!$G37</f>
        <v>9.8900000000000432E-2</v>
      </c>
      <c r="E37" s="73">
        <f>'retraites SA Nb'!$M37-'retraites SA Nb'!$J37</f>
        <v>7.7100000000001501E-2</v>
      </c>
      <c r="F37" s="73">
        <f>'retraites SA Nb'!$P37-'retraites SA Nb'!$M37</f>
        <v>7.0300000000003138E-2</v>
      </c>
      <c r="G37" s="73">
        <f>'retraites SA Nb'!$S37-'retraites SA Nb'!$P37</f>
        <v>9.5199999999991292E-2</v>
      </c>
      <c r="H37" s="73">
        <f>'retraites SA Nb'!$V37-'retraites SA Nb'!$S37</f>
        <v>9.6699999999998454E-2</v>
      </c>
      <c r="I37" s="73">
        <f>'retraites SA Nb'!$Y37-'retraites SA Nb'!$V37</f>
        <v>8.6800000000010868E-2</v>
      </c>
      <c r="J37" s="73">
        <f>'retraites SA Nb'!$AB37-'retraites SA Nb'!$Y37</f>
        <v>8.6899999999999977E-2</v>
      </c>
      <c r="K37" s="73">
        <f>'retraites SA Nb'!$AE37-'retraites SA Nb'!$AB37</f>
        <v>7.88999999999902E-2</v>
      </c>
      <c r="L37" s="73">
        <f>'retraites SA Nb'!$AH37-'retraites SA Nb'!$AE37</f>
        <v>9.0000000000003411E-2</v>
      </c>
      <c r="M37" s="73">
        <f>'retraites SA Nb'!$AK37-'retraites SA Nb'!$AH37</f>
        <v>0.24630000000000507</v>
      </c>
      <c r="N37" s="73">
        <f>'retraites SA Nb'!$AN37-'retraites SA Nb'!$AK37</f>
        <v>-5.509999999999593E-2</v>
      </c>
      <c r="O37" s="73">
        <f>'retraites SA Nb'!$AQ37-'retraites SA Nb'!$AN37</f>
        <v>8.9499999999986812E-2</v>
      </c>
      <c r="P37" s="73">
        <f>'retraites SA Nb'!$AT37-'retraites SA Nb'!$AQ37</f>
        <v>9.0800000000001546E-2</v>
      </c>
      <c r="Q37" s="73">
        <f>'retraites SA Nb'!$AW37-'retraites SA Nb'!$AT37</f>
        <v>9.4200000000000728E-2</v>
      </c>
      <c r="R37" s="73">
        <f>'retraites SA Nb'!$AZ37-'retraites SA Nb'!$AW37</f>
        <v>9.8100000000002296E-2</v>
      </c>
      <c r="S37" s="73">
        <f>'retraites SA Nb'!$BC37-'retraites SA Nb'!$AZ37</f>
        <v>8.7900000000004752E-2</v>
      </c>
      <c r="T37" s="73">
        <f>'retraites SA Nb'!$BF37-'retraites SA Nb'!$BF37</f>
        <v>0</v>
      </c>
      <c r="U37" s="73">
        <f>'retraites SA Nb'!$BI37-'retraites SA Nb'!$BF37</f>
        <v>5.879999999999086E-2</v>
      </c>
      <c r="V37" s="73">
        <f>'retraites SA Nb'!$BL37-'retraites SA Nb'!$BI37</f>
        <v>6.5300000000007685E-2</v>
      </c>
      <c r="W37" s="73">
        <f>'retraites SA Nb'!$BO37-'retraites SA Nb'!$BL37</f>
        <v>8.5300000000003706E-2</v>
      </c>
      <c r="X37" s="73">
        <f>'retraites SA Nb'!$BR37-'retraites SA Nb'!$BO37</f>
        <v>9.189999999999543E-2</v>
      </c>
      <c r="Y37" s="73">
        <f>'retraites SA Nb'!$BU37-'retraites SA Nb'!$BR37</f>
        <v>7.9300000000003479E-2</v>
      </c>
      <c r="Z37" s="73">
        <f>'retraites SA Nb'!$BX37-'retraites SA Nb'!$BU37</f>
        <v>0.1191999999999922</v>
      </c>
      <c r="AA37" s="73">
        <f>'retraites SA Nb'!$CA37-'retraites SA Nb'!$BX37</f>
        <v>0</v>
      </c>
      <c r="AB37" s="73">
        <f>'retraites SA Nb'!$CG37-'retraites SA Nb'!$CA37</f>
        <v>0.10000000000000853</v>
      </c>
      <c r="AC37" s="73">
        <f>'retraites SA Nb'!$CG37-'retraites SA Nb'!$CG37</f>
        <v>0</v>
      </c>
      <c r="AD37" s="73">
        <f>'retraites SA Nb'!$CJ37-'retraites SA Nb'!$CG37</f>
        <v>8.079999999999643E-2</v>
      </c>
      <c r="AE37" s="73">
        <f>'retraites SA Nb'!$CM37-'retraites SA Nb'!$CJ37</f>
        <v>6.1199999999999477E-2</v>
      </c>
      <c r="AF37" s="73">
        <f>'retraites SA Nb'!$CS37-'retraites SA Nb'!$CM37</f>
        <v>0.11549999999999727</v>
      </c>
      <c r="AG37" s="73">
        <f>'retraites SA Nb'!$CS37-'retraites SA Nb'!$CP37</f>
        <v>6.4999999999997726E-2</v>
      </c>
      <c r="AH37" s="73">
        <f>'retraites SA Nb'!$CV37-'retraites SA Nb'!$CS37</f>
        <v>4.229999999999734E-2</v>
      </c>
      <c r="AI37" s="73">
        <f>'retraites SA Nb'!$CY37-'retraites SA Nb'!$CV37</f>
        <v>4.0100000000009572E-2</v>
      </c>
      <c r="AJ37" s="73">
        <f>'retraites SA Nb'!$DB37-'retraites SA Nb'!$CY37</f>
        <v>5.1999999999992497E-2</v>
      </c>
      <c r="AK37" s="73">
        <f>'retraites SA Nb'!$DE37-'retraites SA Nb'!$DB37</f>
        <v>6.0500000000004661E-2</v>
      </c>
      <c r="AL37" s="73">
        <f>'retraites SA Nb'!$DH37-'retraites SA Nb'!$DE37</f>
        <v>4.3899999999993611E-2</v>
      </c>
      <c r="AM37" s="73">
        <f>'retraites SA Nb'!$DK37-'retraites SA Nb'!$DH37</f>
        <v>4.970000000000141E-2</v>
      </c>
      <c r="AN37" s="73">
        <f>'retraites SA Nb'!$DN37-'retraites SA Nb'!$DK37</f>
        <v>5.519999999999925E-2</v>
      </c>
      <c r="AO37" s="73">
        <f>'retraites SA Nb'!$DQ37-'retraites SA Nb'!$DN37</f>
        <v>6.6900000000003956E-2</v>
      </c>
      <c r="AP37" s="73">
        <f>'retraites SA Nb'!$DT37-'retraites SA Nb'!$DQ37</f>
        <v>4.9899999999993838E-2</v>
      </c>
      <c r="AQ37" s="73">
        <f>'retraites SA Nb'!$DW37-'retraites SA Nb'!$DT37</f>
        <v>5.4000000000002046E-2</v>
      </c>
      <c r="AR37" s="275">
        <f>'retraites SA Nb'!$DZ37-'retraites SA Nb'!$DW37</f>
        <v>6.6100000000005821E-2</v>
      </c>
      <c r="AS37" s="262">
        <f>'retraites SA Nb'!$EC37-'retraites SA Nb'!$DZ37</f>
        <v>5.9499999999999886E-2</v>
      </c>
      <c r="AT37" s="262">
        <f>'retraites SA Nb'!$EF37-'retraites SA Nb'!$EC37</f>
        <v>2.8700000000000614E-2</v>
      </c>
      <c r="AU37" s="262">
        <f>'retraites SA Nb'!$EI37-'retraites SA Nb'!$EF37</f>
        <v>4.8999999999992383E-2</v>
      </c>
      <c r="AV37" s="262">
        <f>'retraites SA Nb'!$EL37-'retraites SA Nb'!$EI37</f>
        <v>5.3800000000009618E-2</v>
      </c>
      <c r="AW37" s="262">
        <f>'retraites SA Nb'!$EO37-'retraites SA Nb'!$EL37</f>
        <v>6.3599999999993884E-2</v>
      </c>
      <c r="AX37" s="262">
        <f>'retraites SA Nb'!$ER37-'retraites SA Nb'!$EO37</f>
        <v>3.6400000000000432E-2</v>
      </c>
      <c r="AY37" s="262">
        <f>'retraites SA Nb'!$EU37-'retraites SA Nb'!$ER37</f>
        <v>2.8900000000007253E-2</v>
      </c>
      <c r="AZ37" s="262">
        <f>'retraites SA Nb'!$EX37-'retraites SA Nb'!$EU37</f>
        <v>2.8099999999994907E-2</v>
      </c>
      <c r="BA37" s="262">
        <f>'retraites SA Nb'!$FA37-'retraites SA Nb'!$EX37</f>
        <v>5.9600000000003206E-2</v>
      </c>
      <c r="BB37" s="262">
        <f>'retraites SA Nb'!$FD37-'retraites SA Nb'!$FA37</f>
        <v>5.7616870620094573E-2</v>
      </c>
      <c r="BC37" s="262">
        <f>'retraites SA Nb'!$FG37-'retraites SA Nb'!$FD37</f>
        <v>3.6637521138999318E-2</v>
      </c>
      <c r="BD37" s="262">
        <f>'retraites SA Nb'!$FJ37-'retraites SA Nb'!$FG37</f>
        <v>2.7865280726700803E-2</v>
      </c>
      <c r="BE37" s="262">
        <f>'retraites SA Nb'!$FM37-'retraites SA Nb'!$FJ37</f>
        <v>6.2460484285907114E-2</v>
      </c>
      <c r="BF37" s="262">
        <f>'retraites SA Nb'!$FP37-'retraites SA Nb'!$FM37</f>
        <v>1.4705804359394392E-2</v>
      </c>
      <c r="BG37" s="262">
        <f>'retraites SA Nb'!$FS37-'retraites SA Nb'!$FP37</f>
        <v>2.6368274829096094E-2</v>
      </c>
      <c r="BH37" s="262">
        <f>'retraites SA Nb'!$FV37-'retraites SA Nb'!$FS37</f>
        <v>2.5797556735000171E-2</v>
      </c>
      <c r="BI37" s="262">
        <f>'retraites SA Nb'!$FY37-'retraites SA Nb'!$FV37</f>
        <v>5.2777136757995891E-2</v>
      </c>
      <c r="BJ37" s="262">
        <f>'retraites SA Nb'!$GB37-'retraites SA Nb'!$FY37</f>
        <v>2.8580172397312253E-2</v>
      </c>
      <c r="BK37" s="262">
        <f>'retraites SA Nb'!$GE37-'retraites SA Nb'!$GB37</f>
        <v>4.3641070866300424E-2</v>
      </c>
      <c r="BL37" s="262">
        <f>'retraites SA Nb'!$GH37-'retraites SA Nb'!$GE37</f>
        <v>3.2053350206695086E-2</v>
      </c>
      <c r="BM37" s="262">
        <f>'retraites SA Nb'!$GK37-'retraites SA Nb'!$GH37</f>
        <v>4.9594373886293397E-2</v>
      </c>
      <c r="BN37" s="262">
        <f>'retraites SA Nb'!$GN37-'retraites SA Nb'!$GK37</f>
        <v>3.1739497748603185E-2</v>
      </c>
    </row>
    <row r="38" spans="1:66" ht="12" thickBot="1" x14ac:dyDescent="0.3">
      <c r="A38" s="40" t="s">
        <v>5</v>
      </c>
      <c r="C38" s="73">
        <f>'retraites SA Nb'!$G38-'retraites SA Nb'!$D38</f>
        <v>5.519999999999925E-2</v>
      </c>
      <c r="D38" s="73">
        <f>'retraites SA Nb'!$J38-'retraites SA Nb'!$G38</f>
        <v>7.8599999999994452E-2</v>
      </c>
      <c r="E38" s="73">
        <f>'retraites SA Nb'!$M38-'retraites SA Nb'!$J38</f>
        <v>4.8900000000003274E-2</v>
      </c>
      <c r="F38" s="73">
        <f>'retraites SA Nb'!$P38-'retraites SA Nb'!$M38</f>
        <v>6.1099999999996157E-2</v>
      </c>
      <c r="G38" s="73">
        <f>'retraites SA Nb'!$S38-'retraites SA Nb'!$P38</f>
        <v>5.2300000000002456E-2</v>
      </c>
      <c r="H38" s="73">
        <f>'retraites SA Nb'!$V38-'retraites SA Nb'!$S38</f>
        <v>4.1600000000002524E-2</v>
      </c>
      <c r="I38" s="73">
        <f>'retraites SA Nb'!$Y38-'retraites SA Nb'!$V38</f>
        <v>4.8900000000003274E-2</v>
      </c>
      <c r="J38" s="73">
        <f>'retraites SA Nb'!$AB38-'retraites SA Nb'!$Y38</f>
        <v>4.9300000000002342E-2</v>
      </c>
      <c r="K38" s="73">
        <f>'retraites SA Nb'!$AE38-'retraites SA Nb'!$AB38</f>
        <v>5.1800000000000068E-2</v>
      </c>
      <c r="L38" s="73">
        <f>'retraites SA Nb'!$AH38-'retraites SA Nb'!$AE38</f>
        <v>6.059999999999377E-2</v>
      </c>
      <c r="M38" s="73">
        <f>'retraites SA Nb'!$AK38-'retraites SA Nb'!$AH38</f>
        <v>0.24170000000000869</v>
      </c>
      <c r="N38" s="73">
        <f>'retraites SA Nb'!$AN38-'retraites SA Nb'!$AK38</f>
        <v>-7.0400000000006457E-2</v>
      </c>
      <c r="O38" s="73">
        <f>'retraites SA Nb'!$AQ38-'retraites SA Nb'!$AN38</f>
        <v>8.4599999999994679E-2</v>
      </c>
      <c r="P38" s="73">
        <f>'retraites SA Nb'!$AT38-'retraites SA Nb'!$AQ38</f>
        <v>6.9100000000005934E-2</v>
      </c>
      <c r="Q38" s="73">
        <f>'retraites SA Nb'!$AW38-'retraites SA Nb'!$AT38</f>
        <v>8.4299999999998931E-2</v>
      </c>
      <c r="R38" s="73">
        <f>'retraites SA Nb'!$AZ38-'retraites SA Nb'!$AW38</f>
        <v>9.0999999999993975E-2</v>
      </c>
      <c r="S38" s="73">
        <f>'retraites SA Nb'!$BC38-'retraites SA Nb'!$AZ38</f>
        <v>6.3700000000011414E-2</v>
      </c>
      <c r="T38" s="73">
        <f>'retraites SA Nb'!$BF38-'retraites SA Nb'!$BC38</f>
        <v>6.4099999999996271E-2</v>
      </c>
      <c r="U38" s="73">
        <f>'retraites SA Nb'!$BI38-'retraites SA Nb'!$BF38</f>
        <v>-1.1999999999972033E-3</v>
      </c>
      <c r="V38" s="73">
        <f>'retraites SA Nb'!$BL38-'retraites SA Nb'!$BI38</f>
        <v>2.2199999999997999E-2</v>
      </c>
      <c r="W38" s="73">
        <f>'retraites SA Nb'!$BO38-'retraites SA Nb'!$BL38</f>
        <v>6.1199999999999477E-2</v>
      </c>
      <c r="X38" s="73">
        <f>'retraites SA Nb'!$BR38-'retraites SA Nb'!$BO38</f>
        <v>4.420000000000357E-2</v>
      </c>
      <c r="Y38" s="73">
        <f>'retraites SA Nb'!$BU38-'retraites SA Nb'!$BR38</f>
        <v>1.7799999999994043E-2</v>
      </c>
      <c r="Z38" s="73">
        <f>'retraites SA Nb'!$BX38-'retraites SA Nb'!$BU38</f>
        <v>-3.5600000000002296E-2</v>
      </c>
      <c r="AA38" s="73">
        <f>'retraites SA Nb'!$CA38-'retraites SA Nb'!$BX38</f>
        <v>0.10000000000000853</v>
      </c>
      <c r="AB38" s="73">
        <f>'retraites SA Nb'!$CG38-'retraites SA Nb'!$CA38</f>
        <v>0</v>
      </c>
      <c r="AC38" s="73">
        <f>'retraites SA Nb'!$CG38-'retraites SA Nb'!$CG38</f>
        <v>0</v>
      </c>
      <c r="AD38" s="73">
        <f>'retraites SA Nb'!$CJ38-'retraites SA Nb'!$CG38</f>
        <v>2.2499999999993747E-2</v>
      </c>
      <c r="AE38" s="73">
        <f>'retraites SA Nb'!$CM38-'retraites SA Nb'!$CJ38</f>
        <v>4.0999999999939973E-3</v>
      </c>
      <c r="AF38" s="73">
        <f>'retraites SA Nb'!$CS38-'retraites SA Nb'!$CM38</f>
        <v>3.0600000000006844E-2</v>
      </c>
      <c r="AG38" s="73">
        <f>'retraites SA Nb'!$CS38-'retraites SA Nb'!$CP38</f>
        <v>1.7300000000005866E-2</v>
      </c>
      <c r="AH38" s="73">
        <f>'retraites SA Nb'!$CV38-'retraites SA Nb'!$CS38</f>
        <v>4.1499999999999204E-2</v>
      </c>
      <c r="AI38" s="73">
        <f>'retraites SA Nb'!$CY38-'retraites SA Nb'!$CV38</f>
        <v>7.40000000000407E-3</v>
      </c>
      <c r="AJ38" s="73">
        <f>'retraites SA Nb'!$DB38-'retraites SA Nb'!$CY38</f>
        <v>1.7200000000002547E-2</v>
      </c>
      <c r="AK38" s="73">
        <f>'retraites SA Nb'!$DE38-'retraites SA Nb'!$DB38</f>
        <v>5.0699999999991974E-2</v>
      </c>
      <c r="AL38" s="73">
        <f>'retraites SA Nb'!$DH38-'retraites SA Nb'!$DE38</f>
        <v>5.7900000000003615E-2</v>
      </c>
      <c r="AM38" s="73">
        <f>'retraites SA Nb'!$DK38-'retraites SA Nb'!$DH38</f>
        <v>7.3300000000003251E-2</v>
      </c>
      <c r="AN38" s="73">
        <f>'retraites SA Nb'!$DN38-'retraites SA Nb'!$DK38</f>
        <v>6.3199999999994816E-2</v>
      </c>
      <c r="AO38" s="73">
        <f>'retraites SA Nb'!$DQ38-'retraites SA Nb'!$DN38</f>
        <v>7.720000000000482E-2</v>
      </c>
      <c r="AP38" s="73">
        <f>'retraites SA Nb'!$DT38-'retraites SA Nb'!$DQ38</f>
        <v>6.1899999999994293E-2</v>
      </c>
      <c r="AQ38" s="73">
        <f>'retraites SA Nb'!$DW38-'retraites SA Nb'!$DT38</f>
        <v>6.8300000000007799E-2</v>
      </c>
      <c r="AR38" s="275">
        <f>'retraites SA Nb'!$DZ38-'retraites SA Nb'!$DW38</f>
        <v>7.9899999999994975E-2</v>
      </c>
      <c r="AS38" s="262">
        <f>'retraites SA Nb'!$EC38-'retraites SA Nb'!$DZ38</f>
        <v>8.639999999999759E-2</v>
      </c>
      <c r="AT38" s="262">
        <f>'retraites SA Nb'!$EF38-'retraites SA Nb'!$EC38</f>
        <v>4.0700000000001069E-2</v>
      </c>
      <c r="AU38" s="262">
        <f>'retraites SA Nb'!$EI38-'retraites SA Nb'!$EF38</f>
        <v>7.3300000000003251E-2</v>
      </c>
      <c r="AV38" s="262">
        <f>'retraites SA Nb'!$EL38-'retraites SA Nb'!$EI38</f>
        <v>6.0000000000002274E-2</v>
      </c>
      <c r="AW38" s="262">
        <f>'retraites SA Nb'!$EO38-'retraites SA Nb'!$EL38</f>
        <v>7.7199999999990609E-2</v>
      </c>
      <c r="AX38" s="262">
        <f>'retraites SA Nb'!$ER38-'retraites SA Nb'!$EO38</f>
        <v>4.0800000000004388E-2</v>
      </c>
      <c r="AY38" s="262">
        <f>'retraites SA Nb'!$EU38-'retraites SA Nb'!$ER38</f>
        <v>5.2899999999993952E-2</v>
      </c>
      <c r="AZ38" s="262">
        <f>'retraites SA Nb'!$EX38-'retraites SA Nb'!$EU38</f>
        <v>6.1100000000010368E-2</v>
      </c>
      <c r="BA38" s="262">
        <f>'retraites SA Nb'!$FA38-'retraites SA Nb'!$EX38</f>
        <v>7.6200000000000045E-2</v>
      </c>
      <c r="BB38" s="262">
        <f>'retraites SA Nb'!$FD38-'retraites SA Nb'!$FA38</f>
        <v>5.6841748098989342E-2</v>
      </c>
      <c r="BC38" s="262">
        <f>'retraites SA Nb'!$FG38-'retraites SA Nb'!$FD38</f>
        <v>5.5844251373500242E-2</v>
      </c>
      <c r="BD38" s="262">
        <f>'retraites SA Nb'!$FJ38-'retraites SA Nb'!$FG38</f>
        <v>5.3655759110611712E-2</v>
      </c>
      <c r="BE38" s="262">
        <f>'retraites SA Nb'!$FM38-'retraites SA Nb'!$FJ38</f>
        <v>6.6647854180587274E-2</v>
      </c>
      <c r="BF38" s="262">
        <f>'retraites SA Nb'!$FP38-'retraites SA Nb'!$FM38</f>
        <v>4.9382035715410666E-2</v>
      </c>
      <c r="BG38" s="262">
        <f>'retraites SA Nb'!$FS38-'retraites SA Nb'!$FP38</f>
        <v>4.0232128189998662E-2</v>
      </c>
      <c r="BH38" s="262">
        <f>'retraites SA Nb'!$FV38-'retraites SA Nb'!$FS38</f>
        <v>5.9981441489000531E-2</v>
      </c>
      <c r="BI38" s="262">
        <f>'retraites SA Nb'!$FY38-'retraites SA Nb'!$FV38</f>
        <v>6.4368134195589732E-2</v>
      </c>
      <c r="BJ38" s="262">
        <f>'retraites SA Nb'!$GB38-'retraites SA Nb'!$FY38</f>
        <v>7.4811005003212472E-2</v>
      </c>
      <c r="BK38" s="262">
        <f>'retraites SA Nb'!$GE38-'retraites SA Nb'!$GB38</f>
        <v>5.5781599539798776E-2</v>
      </c>
      <c r="BL38" s="262">
        <f>'retraites SA Nb'!$GH38-'retraites SA Nb'!$GE38</f>
        <v>7.0335166681502415E-2</v>
      </c>
      <c r="BM38" s="262">
        <f>'retraites SA Nb'!$GK38-'retraites SA Nb'!$GH38</f>
        <v>6.7047026303299617E-2</v>
      </c>
      <c r="BN38" s="262">
        <f>'retraites SA Nb'!$GN38-'retraites SA Nb'!$GK38</f>
        <v>5.0630496740595277E-2</v>
      </c>
    </row>
    <row r="39" spans="1:66" x14ac:dyDescent="0.25">
      <c r="A39" s="3"/>
      <c r="Q39" s="76"/>
      <c r="BJ39" s="126"/>
      <c r="BK39" s="126"/>
      <c r="BL39" s="126"/>
      <c r="BM39" s="126"/>
      <c r="BN39" s="126"/>
    </row>
    <row r="40" spans="1:66" x14ac:dyDescent="0.25">
      <c r="A40" s="3" t="s">
        <v>380</v>
      </c>
      <c r="Q40" s="76"/>
      <c r="BJ40" s="126"/>
      <c r="BK40" s="126"/>
      <c r="BL40" s="126"/>
      <c r="BM40" s="126"/>
      <c r="BN40" s="126"/>
    </row>
    <row r="41" spans="1:66" s="32" customFormat="1" x14ac:dyDescent="0.25">
      <c r="A41" s="3"/>
      <c r="O41" s="95"/>
      <c r="P41" s="99"/>
      <c r="Q41" s="99"/>
      <c r="AR41" s="272"/>
      <c r="AS41" s="260"/>
      <c r="AT41" s="260"/>
      <c r="AU41" s="260"/>
      <c r="AV41" s="260"/>
      <c r="AW41" s="260"/>
      <c r="AX41" s="260"/>
      <c r="AY41" s="260"/>
      <c r="AZ41" s="260"/>
      <c r="BA41" s="260"/>
      <c r="BB41" s="298" t="s">
        <v>373</v>
      </c>
      <c r="BC41" s="298"/>
      <c r="BD41" s="298"/>
      <c r="BE41" s="298"/>
      <c r="BF41" s="298"/>
      <c r="BG41" s="298"/>
      <c r="BH41" s="298"/>
      <c r="BI41" s="298"/>
      <c r="BJ41" s="298"/>
      <c r="BK41" s="298"/>
      <c r="BL41" s="298"/>
      <c r="BM41" s="298"/>
      <c r="BN41" s="298"/>
    </row>
    <row r="42" spans="1:66" ht="12.5" thickBot="1" x14ac:dyDescent="0.35">
      <c r="A42" s="75" t="s">
        <v>50</v>
      </c>
      <c r="B42" s="70" t="str">
        <f>B6</f>
        <v>4 T2008</v>
      </c>
      <c r="C42" s="70" t="str">
        <f>C6</f>
        <v>1 T 2009</v>
      </c>
      <c r="D42" s="70" t="str">
        <f>D6</f>
        <v>2 T 2009</v>
      </c>
      <c r="E42" s="70" t="str">
        <f t="shared" ref="E42:L42" si="66">E6</f>
        <v>3 T 2009</v>
      </c>
      <c r="F42" s="70" t="str">
        <f t="shared" si="66"/>
        <v>4 T 2009</v>
      </c>
      <c r="G42" s="70" t="str">
        <f t="shared" si="66"/>
        <v>1 T 2010</v>
      </c>
      <c r="H42" s="70" t="str">
        <f t="shared" si="66"/>
        <v>2 T 2010</v>
      </c>
      <c r="I42" s="70" t="str">
        <f t="shared" si="66"/>
        <v>3 T 2010</v>
      </c>
      <c r="J42" s="70" t="str">
        <f t="shared" si="66"/>
        <v>4 T 2010</v>
      </c>
      <c r="K42" s="70" t="str">
        <f t="shared" si="66"/>
        <v>1 T 2011</v>
      </c>
      <c r="L42" s="70" t="str">
        <f t="shared" si="66"/>
        <v>2 T 2011</v>
      </c>
      <c r="M42" s="70" t="str">
        <f t="shared" ref="M42:R42" si="67">M6</f>
        <v>3 T 2011</v>
      </c>
      <c r="N42" s="70" t="str">
        <f t="shared" si="67"/>
        <v>4 T 2011</v>
      </c>
      <c r="O42" s="70" t="str">
        <f t="shared" si="67"/>
        <v>1 T 2012</v>
      </c>
      <c r="P42" s="70" t="str">
        <f t="shared" si="67"/>
        <v>2 T 2012</v>
      </c>
      <c r="Q42" s="70" t="str">
        <f t="shared" si="67"/>
        <v>3 T 2012</v>
      </c>
      <c r="R42" s="70" t="str">
        <f t="shared" si="67"/>
        <v>4 T 2012</v>
      </c>
      <c r="S42" s="70" t="str">
        <f t="shared" ref="S42:X42" si="68">S6</f>
        <v>1 T 2013</v>
      </c>
      <c r="T42" s="70" t="str">
        <f t="shared" si="68"/>
        <v>2 T 2013</v>
      </c>
      <c r="U42" s="70" t="str">
        <f t="shared" si="68"/>
        <v>3 T 2013</v>
      </c>
      <c r="V42" s="70" t="str">
        <f t="shared" si="68"/>
        <v>4 T 2013</v>
      </c>
      <c r="W42" s="70" t="str">
        <f t="shared" si="68"/>
        <v>1 T 2014</v>
      </c>
      <c r="X42" s="70" t="str">
        <f t="shared" si="68"/>
        <v>2 T 2014</v>
      </c>
      <c r="Y42" s="70" t="str">
        <f t="shared" ref="Y42:Z42" si="69">Y6</f>
        <v>3 T 2014</v>
      </c>
      <c r="Z42" s="70" t="str">
        <f t="shared" si="69"/>
        <v>4 T 2014</v>
      </c>
      <c r="AA42" s="70" t="str">
        <f t="shared" ref="AA42:AB42" si="70">AA6</f>
        <v>1 T 2015</v>
      </c>
      <c r="AB42" s="70" t="str">
        <f t="shared" si="70"/>
        <v>2 T 2015</v>
      </c>
      <c r="AC42" s="70" t="str">
        <f t="shared" ref="AC42:AD42" si="71">AC6</f>
        <v>3 T 2015</v>
      </c>
      <c r="AD42" s="70" t="str">
        <f t="shared" si="71"/>
        <v>4 T 2015</v>
      </c>
      <c r="AE42" s="70" t="str">
        <f t="shared" ref="AE42:AF42" si="72">AE6</f>
        <v>1 T 2016</v>
      </c>
      <c r="AF42" s="70" t="str">
        <f t="shared" si="72"/>
        <v>2 T 2016</v>
      </c>
      <c r="AG42" s="70" t="str">
        <f t="shared" ref="AG42:AH42" si="73">AG6</f>
        <v>3 T 2016</v>
      </c>
      <c r="AH42" s="70" t="str">
        <f t="shared" si="73"/>
        <v>4 T 2016</v>
      </c>
      <c r="AI42" s="70" t="str">
        <f t="shared" ref="AI42:AJ42" si="74">AI6</f>
        <v>1 T 2017</v>
      </c>
      <c r="AJ42" s="70" t="str">
        <f t="shared" si="74"/>
        <v>2 T 2017</v>
      </c>
      <c r="AK42" s="70" t="str">
        <f t="shared" ref="AK42:AL42" si="75">AK6</f>
        <v>3 T 2017</v>
      </c>
      <c r="AL42" s="70" t="str">
        <f t="shared" si="75"/>
        <v>4 T 2017</v>
      </c>
      <c r="AM42" s="70" t="str">
        <f t="shared" ref="AM42:AR42" si="76">AM6</f>
        <v>1T 2018</v>
      </c>
      <c r="AN42" s="70" t="str">
        <f t="shared" si="76"/>
        <v>2T 2018</v>
      </c>
      <c r="AO42" s="70" t="str">
        <f t="shared" si="76"/>
        <v>3T 2018</v>
      </c>
      <c r="AP42" s="70" t="str">
        <f t="shared" si="76"/>
        <v>4T 2018</v>
      </c>
      <c r="AQ42" s="70" t="str">
        <f t="shared" si="76"/>
        <v>1T 2019</v>
      </c>
      <c r="AR42" s="273" t="str">
        <f t="shared" si="76"/>
        <v>2T 2019</v>
      </c>
      <c r="AS42" s="196" t="str">
        <f t="shared" ref="AS42:AT42" si="77">AS6</f>
        <v>3T 2019</v>
      </c>
      <c r="AT42" s="196" t="str">
        <f t="shared" si="77"/>
        <v>4T 2019</v>
      </c>
      <c r="AU42" s="196" t="str">
        <f t="shared" ref="AU42:AV42" si="78">AU6</f>
        <v>1T 2020</v>
      </c>
      <c r="AV42" s="196" t="str">
        <f t="shared" si="78"/>
        <v>2T 2020</v>
      </c>
      <c r="AW42" s="196" t="str">
        <f t="shared" ref="AW42:AX42" si="79">AW6</f>
        <v>3T 2020</v>
      </c>
      <c r="AX42" s="196" t="str">
        <f t="shared" si="79"/>
        <v>4T 2020</v>
      </c>
      <c r="AY42" s="196" t="str">
        <f t="shared" ref="AY42:AZ42" si="80">AY6</f>
        <v>1T 2021</v>
      </c>
      <c r="AZ42" s="196" t="str">
        <f t="shared" si="80"/>
        <v>2T 2021</v>
      </c>
      <c r="BA42" s="196" t="str">
        <f t="shared" ref="BA42:BB42" si="81">BA6</f>
        <v>3T 2021</v>
      </c>
      <c r="BB42" s="196" t="str">
        <f t="shared" si="81"/>
        <v>4T 2021</v>
      </c>
      <c r="BC42" s="196" t="str">
        <f t="shared" ref="BC42:BD42" si="82">BC6</f>
        <v>1T 2022</v>
      </c>
      <c r="BD42" s="196" t="str">
        <f t="shared" si="82"/>
        <v>2T 2022</v>
      </c>
      <c r="BE42" s="196" t="str">
        <f t="shared" ref="BE42:BF42" si="83">BE6</f>
        <v>3T 2022</v>
      </c>
      <c r="BF42" s="196" t="str">
        <f t="shared" si="83"/>
        <v>4T 2022</v>
      </c>
      <c r="BG42" s="196" t="str">
        <f t="shared" ref="BG42:BH42" si="84">BG6</f>
        <v>1T 2023</v>
      </c>
      <c r="BH42" s="196" t="str">
        <f t="shared" si="84"/>
        <v>2T 2023</v>
      </c>
      <c r="BI42" s="196" t="str">
        <f t="shared" ref="BI42:BJ42" si="85">BI6</f>
        <v>3T 2023</v>
      </c>
      <c r="BJ42" s="196" t="str">
        <f t="shared" si="85"/>
        <v>4T 2023</v>
      </c>
      <c r="BK42" s="196" t="str">
        <f t="shared" ref="BK42:BL42" si="86">BK6</f>
        <v>1T 2024</v>
      </c>
      <c r="BL42" s="196" t="str">
        <f t="shared" si="86"/>
        <v>2T 2024</v>
      </c>
      <c r="BM42" s="196" t="str">
        <f t="shared" ref="BM42:BN42" si="87">BM6</f>
        <v>3T 2024</v>
      </c>
      <c r="BN42" s="196" t="str">
        <f t="shared" si="87"/>
        <v>4T 2024</v>
      </c>
    </row>
    <row r="43" spans="1:66" ht="12" thickBot="1" x14ac:dyDescent="0.3">
      <c r="A43" s="46" t="s">
        <v>381</v>
      </c>
      <c r="C43" s="74">
        <f>'retraites SA Nb'!$G44-'retraites SA Nb'!$D44</f>
        <v>3.3037407253587503E-2</v>
      </c>
      <c r="D43" s="74">
        <f>'retraites SA Nb'!$J44-'retraites SA Nb'!$G44</f>
        <v>0.25281702004096474</v>
      </c>
      <c r="E43" s="74">
        <f>'retraites SA Nb'!$M44-'retraites SA Nb'!$J44</f>
        <v>0.26255453381055815</v>
      </c>
      <c r="F43" s="74">
        <f>'retraites SA Nb'!$P44-'retraites SA Nb'!$M44</f>
        <v>0.21903783675797683</v>
      </c>
      <c r="G43" s="74">
        <f>'retraites SA Nb'!$S44-'retraites SA Nb'!$P44</f>
        <v>0.23762339309656966</v>
      </c>
      <c r="H43" s="74">
        <f>'retraites SA Nb'!$V44-'retraites SA Nb'!$S44</f>
        <v>0.43601465099598613</v>
      </c>
      <c r="I43" s="74">
        <f>'retraites SA Nb'!$Y44-'retraites SA Nb'!$V44</f>
        <v>0.24567235796388331</v>
      </c>
      <c r="J43" s="74">
        <f>'retraites SA Nb'!$AB44-'retraites SA Nb'!$Y44</f>
        <v>7.0583676533971129E-2</v>
      </c>
      <c r="K43" s="74">
        <f>'retraites SA Nb'!$AE44-'retraites SA Nb'!$AB44</f>
        <v>0.23837654537770447</v>
      </c>
      <c r="L43" s="74">
        <f>'retraites SA Nb'!$AH44-'retraites SA Nb'!$AE44</f>
        <v>0.23168234103056307</v>
      </c>
      <c r="M43" s="74">
        <f>'retraites SA Nb'!$AK44-'retraites SA Nb'!$AH44</f>
        <v>2.4947689936993811E-5</v>
      </c>
      <c r="N43" s="74">
        <f>'retraites SA Nb'!$AN44-'retraites SA Nb'!$AK44</f>
        <v>0.36348740666204549</v>
      </c>
      <c r="O43" s="74">
        <f>'retraites SA Nb'!$AQ44-'retraites SA Nb'!$AN44</f>
        <v>0.2147781635945023</v>
      </c>
      <c r="P43" s="74">
        <f>'retraites SA Nb'!$AT44-'retraites SA Nb'!$AQ44</f>
        <v>0.21485151058899987</v>
      </c>
      <c r="Q43" s="74">
        <f>'retraites SA Nb'!$AW44-'retraites SA Nb'!$AT44</f>
        <v>0.18630949845356781</v>
      </c>
      <c r="R43" s="74">
        <f>'retraites SA Nb'!$AZ44-'retraites SA Nb'!$AW44</f>
        <v>0.14290216542700307</v>
      </c>
      <c r="S43" s="74">
        <f>'retraites SA Nb'!$BC44-'retraites SA Nb'!$AZ44</f>
        <v>0.20058300574108046</v>
      </c>
      <c r="T43" s="74">
        <f>'retraites SA Nb'!$BF44-'retraites SA Nb'!$BC44</f>
        <v>0.19714683362903429</v>
      </c>
      <c r="U43" s="74">
        <f>'retraites SA Nb'!$BI44-'retraites SA Nb'!$BF44</f>
        <v>0.22594998773469399</v>
      </c>
      <c r="V43" s="74">
        <f>'retraites SA Nb'!$BL44-'retraites SA Nb'!$BI44</f>
        <v>0.17342279352976675</v>
      </c>
      <c r="W43" s="74">
        <f>'retraites SA Nb'!$BO44-'retraites SA Nb'!$BL44</f>
        <v>0.17334880880301284</v>
      </c>
      <c r="X43" s="74">
        <f>'retraites SA Nb'!$BR44-'retraites SA Nb'!$BO44</f>
        <v>0.17848757409889515</v>
      </c>
      <c r="Y43" s="74">
        <f>'retraites SA Nb'!$BU44-'retraites SA Nb'!$BR44</f>
        <v>0.18894043349172307</v>
      </c>
      <c r="Z43" s="74">
        <f>'retraites SA Nb'!$BX44-'retraites SA Nb'!$BU44</f>
        <v>0.18478762175149654</v>
      </c>
      <c r="AA43" s="74">
        <f>'retraites SA Nb'!$CA44-'retraites SA Nb'!$BX44</f>
        <v>0.18699999999999761</v>
      </c>
      <c r="AB43" s="74">
        <f>'retraites SA Nb'!$CG44-'retraites SA Nb'!$CA44</f>
        <v>0.33800000000000807</v>
      </c>
      <c r="AC43" s="74">
        <f>'retraites SA Nb'!$CG44-'retraites SA Nb'!$CG44</f>
        <v>0</v>
      </c>
      <c r="AD43" s="74">
        <f>'retraites SA Nb'!$CJ44-'retraites SA Nb'!$CG44</f>
        <v>0.16587489350565932</v>
      </c>
      <c r="AE43" s="74">
        <f>'retraites SA Nb'!$CM44-'retraites SA Nb'!$CJ44</f>
        <v>0.17735535555328852</v>
      </c>
      <c r="AF43" s="74">
        <f>'retraites SA Nb'!$CS44-'retraites SA Nb'!$CM44</f>
        <v>0.3228443256628708</v>
      </c>
      <c r="AG43" s="74">
        <f>'retraites SA Nb'!$CS44-'retraites SA Nb'!$CP44</f>
        <v>0</v>
      </c>
      <c r="AH43" s="74">
        <f>'retraites SA Nb'!$CV44-'retraites SA Nb'!$CS44</f>
        <v>0.12582876293987511</v>
      </c>
      <c r="AI43" s="74">
        <f>'retraites SA Nb'!$CY44-'retraites SA Nb'!$CV44</f>
        <v>0.16291636386164043</v>
      </c>
      <c r="AJ43" s="74">
        <f>'retraites SA Nb'!$DB44-'retraites SA Nb'!$CY44</f>
        <v>0.15207373956661741</v>
      </c>
      <c r="AK43" s="74">
        <f>'retraites SA Nb'!$DE44-'retraites SA Nb'!$DB44</f>
        <v>7.9403853028836124E-2</v>
      </c>
      <c r="AL43" s="74">
        <f>'retraites SA Nb'!$DH44-'retraites SA Nb'!$DE44</f>
        <v>5.6629400524911944E-2</v>
      </c>
      <c r="AM43" s="74">
        <f>'retraites SA Nb'!$DH44-'retraites SA Nb'!$DE44</f>
        <v>5.6629400524911944E-2</v>
      </c>
      <c r="AN43" s="74">
        <f>'retraites SA Nb'!DN44-'retraites SA Nb'!DK44</f>
        <v>4.6658848493805749E-2</v>
      </c>
      <c r="AO43" s="74">
        <f>'retraites SA Nb'!$DQ44-'retraites SA Nb'!$DN44</f>
        <v>2.1499094997139423E-2</v>
      </c>
      <c r="AP43" s="74">
        <f>'retraites SA Nb'!$DT44-'retraites SA Nb'!$DQ44</f>
        <v>7.507505142157811E-3</v>
      </c>
      <c r="AQ43" s="74">
        <f>'retraites SA Nb'!$DW44-'retraites SA Nb'!$DT44</f>
        <v>4.7956724845050758E-3</v>
      </c>
      <c r="AR43" s="276">
        <f>'retraites SA Nb'!$DZ44-'retraites SA Nb'!$DW44</f>
        <v>1.6521099845903109E-3</v>
      </c>
      <c r="AS43" s="263">
        <f>'retraites SA Nb'!$EC44-'retraites SA Nb'!$DZ44</f>
        <v>-1.9503857255386947E-2</v>
      </c>
      <c r="AT43" s="263">
        <f>'retraites SA Nb'!$EF44-'retraites SA Nb'!$EC44</f>
        <v>-1.0578498031662775E-2</v>
      </c>
      <c r="AU43" s="263">
        <f>'retraites SA Nb'!$EI44-'retraites SA Nb'!$EF44</f>
        <v>-2.7726411273135909E-2</v>
      </c>
      <c r="AV43" s="263">
        <f>'retraites SA Nb'!$EL44-'retraites SA Nb'!$EI44</f>
        <v>-1.6229135897432911E-2</v>
      </c>
      <c r="AW43" s="263">
        <f>'retraites SA Nb'!$EO44-'retraites SA Nb'!$EL44</f>
        <v>2.9547841647030282E-2</v>
      </c>
      <c r="AX43" s="263">
        <f>'retraites SA Nb'!$ER44-'retraites SA Nb'!$EO44</f>
        <v>4.4659912531585633E-2</v>
      </c>
      <c r="AY43" s="263">
        <f>'retraites SA Nb'!$EU44-'retraites SA Nb'!$ER44</f>
        <v>-4.4026089560816217E-2</v>
      </c>
      <c r="AZ43" s="263">
        <f>'retraites SA Nb'!$EX44-'retraites SA Nb'!$EU44</f>
        <v>-2.9029350418824151E-2</v>
      </c>
      <c r="BA43" s="263">
        <f>'retraites SA Nb'!$FA44-'retraites SA Nb'!$EX44</f>
        <v>-3.3833552248509591E-2</v>
      </c>
      <c r="BB43" s="297">
        <f>'retraites SA Nb'!$FD44-'retraites SA Nb'!$FA44</f>
        <v>-14.909214224407876</v>
      </c>
      <c r="BC43" s="297">
        <f>'retraites SA Nb'!$FG44-'retraites SA Nb'!$FD44</f>
        <v>0.44558270480652595</v>
      </c>
      <c r="BD43" s="297">
        <f>'retraites SA Nb'!$FJ44-'retraites SA Nb'!$FG44</f>
        <v>0.16907191220573736</v>
      </c>
      <c r="BE43" s="297">
        <f>'retraites SA Nb'!$FM44-'retraites SA Nb'!$FJ44</f>
        <v>8.6996219559509314E-2</v>
      </c>
      <c r="BF43" s="297">
        <f>'retraites SA Nb'!$FP44-'retraites SA Nb'!$FM44</f>
        <v>0.1210625020481757</v>
      </c>
      <c r="BG43" s="297">
        <f>'retraites SA Nb'!$FS44-'retraites SA Nb'!$FP44</f>
        <v>-0.97051034180513795</v>
      </c>
      <c r="BH43" s="297">
        <f>'retraites SA Nb'!$FV44-'retraites SA Nb'!$FS44</f>
        <v>1.1696646320807389</v>
      </c>
      <c r="BI43" s="297">
        <f>'retraites SA Nb'!$FY44-'retraites SA Nb'!$FV44</f>
        <v>3.6617846144878285E-2</v>
      </c>
      <c r="BJ43" s="297">
        <f>'retraites SA Nb'!$GB44-'retraites SA Nb'!$FY44</f>
        <v>0.10414257156847384</v>
      </c>
      <c r="BK43" s="297">
        <f>'retraites SA Nb'!$GE44-'retraites SA Nb'!$GB44</f>
        <v>-0.98567415639928413</v>
      </c>
      <c r="BL43" s="297">
        <f>'retraites SA Nb'!$GH44-'retraites SA Nb'!$GE44</f>
        <v>1.1943677878181802</v>
      </c>
      <c r="BM43" s="297">
        <f>'retraites SA Nb'!$GK44-'retraites SA Nb'!$GH44</f>
        <v>4.0324873665156247E-2</v>
      </c>
      <c r="BN43" s="297">
        <f>'retraites SA Nb'!$GN44-'retraites SA Nb'!$GK44</f>
        <v>-0.49768862966041638</v>
      </c>
    </row>
    <row r="44" spans="1:66" x14ac:dyDescent="0.25">
      <c r="A44" s="3"/>
      <c r="BJ44" s="126"/>
      <c r="BK44" s="126"/>
      <c r="BL44" s="126"/>
      <c r="BM44" s="126"/>
      <c r="BN44" s="126"/>
    </row>
    <row r="45" spans="1:66" x14ac:dyDescent="0.25">
      <c r="A45" s="3" t="s">
        <v>13</v>
      </c>
      <c r="BJ45" s="126"/>
      <c r="BK45" s="126"/>
      <c r="BL45" s="126"/>
      <c r="BM45" s="126"/>
      <c r="BN45" s="126"/>
    </row>
    <row r="46" spans="1:66" s="32" customFormat="1" x14ac:dyDescent="0.25">
      <c r="A46" s="3"/>
      <c r="O46" s="95"/>
      <c r="P46" s="99"/>
      <c r="AR46" s="272"/>
      <c r="AS46" s="260"/>
      <c r="AT46" s="260"/>
      <c r="AU46" s="260"/>
      <c r="AV46" s="260"/>
      <c r="AW46" s="260"/>
      <c r="AX46" s="260"/>
      <c r="AY46" s="260"/>
      <c r="AZ46" s="260"/>
      <c r="BA46" s="260"/>
      <c r="BB46" s="260"/>
      <c r="BC46" s="260"/>
      <c r="BD46" s="260"/>
      <c r="BE46" s="260"/>
      <c r="BF46" s="260"/>
      <c r="BG46" s="260"/>
      <c r="BH46" s="260"/>
      <c r="BI46" s="260"/>
      <c r="BJ46" s="260"/>
      <c r="BK46" s="260"/>
      <c r="BL46" s="260"/>
      <c r="BM46" s="260"/>
      <c r="BN46" s="260"/>
    </row>
    <row r="47" spans="1:66" ht="12.5" thickBot="1" x14ac:dyDescent="0.35">
      <c r="A47" s="75" t="s">
        <v>49</v>
      </c>
      <c r="B47" s="70" t="str">
        <f>B6</f>
        <v>4 T2008</v>
      </c>
      <c r="C47" s="70" t="str">
        <f>C6</f>
        <v>1 T 2009</v>
      </c>
      <c r="D47" s="70" t="str">
        <f>D6</f>
        <v>2 T 2009</v>
      </c>
      <c r="E47" s="70" t="str">
        <f t="shared" ref="E47:L47" si="88">E6</f>
        <v>3 T 2009</v>
      </c>
      <c r="F47" s="70" t="str">
        <f t="shared" si="88"/>
        <v>4 T 2009</v>
      </c>
      <c r="G47" s="70" t="str">
        <f t="shared" si="88"/>
        <v>1 T 2010</v>
      </c>
      <c r="H47" s="70" t="str">
        <f t="shared" si="88"/>
        <v>2 T 2010</v>
      </c>
      <c r="I47" s="70" t="str">
        <f t="shared" si="88"/>
        <v>3 T 2010</v>
      </c>
      <c r="J47" s="70" t="str">
        <f t="shared" si="88"/>
        <v>4 T 2010</v>
      </c>
      <c r="K47" s="70" t="str">
        <f t="shared" si="88"/>
        <v>1 T 2011</v>
      </c>
      <c r="L47" s="70" t="str">
        <f t="shared" si="88"/>
        <v>2 T 2011</v>
      </c>
      <c r="M47" s="70" t="str">
        <f t="shared" ref="M47:R47" si="89">M6</f>
        <v>3 T 2011</v>
      </c>
      <c r="N47" s="70" t="str">
        <f t="shared" si="89"/>
        <v>4 T 2011</v>
      </c>
      <c r="O47" s="70" t="str">
        <f t="shared" si="89"/>
        <v>1 T 2012</v>
      </c>
      <c r="P47" s="70" t="str">
        <f t="shared" si="89"/>
        <v>2 T 2012</v>
      </c>
      <c r="Q47" s="70" t="str">
        <f t="shared" si="89"/>
        <v>3 T 2012</v>
      </c>
      <c r="R47" s="70" t="str">
        <f t="shared" si="89"/>
        <v>4 T 2012</v>
      </c>
      <c r="S47" s="70" t="str">
        <f t="shared" ref="S47:X47" si="90">S6</f>
        <v>1 T 2013</v>
      </c>
      <c r="T47" s="70" t="str">
        <f t="shared" si="90"/>
        <v>2 T 2013</v>
      </c>
      <c r="U47" s="70" t="str">
        <f t="shared" si="90"/>
        <v>3 T 2013</v>
      </c>
      <c r="V47" s="70" t="str">
        <f t="shared" si="90"/>
        <v>4 T 2013</v>
      </c>
      <c r="W47" s="70" t="str">
        <f t="shared" si="90"/>
        <v>1 T 2014</v>
      </c>
      <c r="X47" s="70" t="str">
        <f t="shared" si="90"/>
        <v>2 T 2014</v>
      </c>
      <c r="Y47" s="70" t="str">
        <f t="shared" ref="Y47:Z47" si="91">Y6</f>
        <v>3 T 2014</v>
      </c>
      <c r="Z47" s="70" t="str">
        <f t="shared" si="91"/>
        <v>4 T 2014</v>
      </c>
      <c r="AA47" s="70" t="str">
        <f t="shared" ref="AA47:AB47" si="92">AA6</f>
        <v>1 T 2015</v>
      </c>
      <c r="AB47" s="70" t="str">
        <f t="shared" si="92"/>
        <v>2 T 2015</v>
      </c>
      <c r="AC47" s="70" t="str">
        <f t="shared" ref="AC47:AD47" si="93">AC6</f>
        <v>3 T 2015</v>
      </c>
      <c r="AD47" s="70" t="str">
        <f t="shared" si="93"/>
        <v>4 T 2015</v>
      </c>
      <c r="AE47" s="70" t="str">
        <f t="shared" ref="AE47:AF47" si="94">AE6</f>
        <v>1 T 2016</v>
      </c>
      <c r="AF47" s="70" t="str">
        <f t="shared" si="94"/>
        <v>2 T 2016</v>
      </c>
      <c r="AG47" s="70" t="str">
        <f t="shared" ref="AG47:AH47" si="95">AG6</f>
        <v>3 T 2016</v>
      </c>
      <c r="AH47" s="70" t="str">
        <f t="shared" si="95"/>
        <v>4 T 2016</v>
      </c>
      <c r="AI47" s="70" t="str">
        <f t="shared" ref="AI47:AJ47" si="96">AI6</f>
        <v>1 T 2017</v>
      </c>
      <c r="AJ47" s="70" t="str">
        <f t="shared" si="96"/>
        <v>2 T 2017</v>
      </c>
      <c r="AK47" s="70" t="str">
        <f t="shared" ref="AK47:AL47" si="97">AK6</f>
        <v>3 T 2017</v>
      </c>
      <c r="AL47" s="70" t="str">
        <f t="shared" si="97"/>
        <v>4 T 2017</v>
      </c>
      <c r="AM47" s="70" t="str">
        <f t="shared" ref="AM47:AR47" si="98">AM6</f>
        <v>1T 2018</v>
      </c>
      <c r="AN47" s="70" t="str">
        <f t="shared" si="98"/>
        <v>2T 2018</v>
      </c>
      <c r="AO47" s="70" t="str">
        <f t="shared" si="98"/>
        <v>3T 2018</v>
      </c>
      <c r="AP47" s="70" t="str">
        <f t="shared" si="98"/>
        <v>4T 2018</v>
      </c>
      <c r="AQ47" s="70" t="str">
        <f t="shared" si="98"/>
        <v>1T 2019</v>
      </c>
      <c r="AR47" s="273" t="str">
        <f t="shared" si="98"/>
        <v>2T 2019</v>
      </c>
      <c r="AS47" s="196" t="str">
        <f t="shared" ref="AS47:AT47" si="99">AS6</f>
        <v>3T 2019</v>
      </c>
      <c r="AT47" s="196" t="str">
        <f t="shared" si="99"/>
        <v>4T 2019</v>
      </c>
      <c r="AU47" s="196" t="str">
        <f t="shared" ref="AU47:AV47" si="100">AU6</f>
        <v>1T 2020</v>
      </c>
      <c r="AV47" s="196" t="str">
        <f t="shared" si="100"/>
        <v>2T 2020</v>
      </c>
      <c r="AW47" s="196" t="str">
        <f t="shared" ref="AW47:AX47" si="101">AW6</f>
        <v>3T 2020</v>
      </c>
      <c r="AX47" s="196" t="str">
        <f t="shared" si="101"/>
        <v>4T 2020</v>
      </c>
      <c r="AY47" s="196" t="str">
        <f t="shared" ref="AY47:AZ47" si="102">AY6</f>
        <v>1T 2021</v>
      </c>
      <c r="AZ47" s="196" t="str">
        <f t="shared" si="102"/>
        <v>2T 2021</v>
      </c>
      <c r="BA47" s="196" t="str">
        <f t="shared" ref="BA47:BB47" si="103">BA6</f>
        <v>3T 2021</v>
      </c>
      <c r="BB47" s="196" t="str">
        <f t="shared" si="103"/>
        <v>4T 2021</v>
      </c>
      <c r="BC47" s="196" t="str">
        <f t="shared" ref="BC47:BD47" si="104">BC6</f>
        <v>1T 2022</v>
      </c>
      <c r="BD47" s="196" t="str">
        <f t="shared" si="104"/>
        <v>2T 2022</v>
      </c>
      <c r="BE47" s="196" t="str">
        <f t="shared" ref="BE47:BF47" si="105">BE6</f>
        <v>3T 2022</v>
      </c>
      <c r="BF47" s="196" t="str">
        <f t="shared" si="105"/>
        <v>4T 2022</v>
      </c>
      <c r="BG47" s="196" t="str">
        <f t="shared" ref="BG47:BH47" si="106">BG6</f>
        <v>1T 2023</v>
      </c>
      <c r="BH47" s="196" t="str">
        <f t="shared" si="106"/>
        <v>2T 2023</v>
      </c>
      <c r="BI47" s="196" t="str">
        <f t="shared" ref="BI47:BJ47" si="107">BI6</f>
        <v>3T 2023</v>
      </c>
      <c r="BJ47" s="196" t="str">
        <f t="shared" si="107"/>
        <v>4T 2023</v>
      </c>
      <c r="BK47" s="196" t="str">
        <f t="shared" ref="BK47:BL47" si="108">BK6</f>
        <v>1T 2024</v>
      </c>
      <c r="BL47" s="196" t="str">
        <f t="shared" si="108"/>
        <v>2T 2024</v>
      </c>
      <c r="BM47" s="196" t="str">
        <f t="shared" ref="BM47:BN47" si="109">BM6</f>
        <v>3T 2024</v>
      </c>
      <c r="BN47" s="196" t="str">
        <f t="shared" si="109"/>
        <v>4T 2024</v>
      </c>
    </row>
    <row r="48" spans="1:66" ht="12" thickBot="1" x14ac:dyDescent="0.3">
      <c r="A48" s="46" t="s">
        <v>14</v>
      </c>
      <c r="C48" s="73">
        <f>'retraites SA Nb'!$G48-'retraites SA Nb'!$D48</f>
        <v>0.13430000000000319</v>
      </c>
      <c r="D48" s="73">
        <f>'retraites SA Nb'!$J48-'retraites SA Nb'!$G48</f>
        <v>2.0299999999998875E-2</v>
      </c>
      <c r="E48" s="73">
        <f>'retraites SA Nb'!$M48-'retraites SA Nb'!$J48</f>
        <v>-8.9900000000000091E-2</v>
      </c>
      <c r="F48" s="73">
        <f>'retraites SA Nb'!$P48-'retraites SA Nb'!$M48</f>
        <v>-3.7500000000001421E-2</v>
      </c>
      <c r="G48" s="73">
        <f>'retraites SA Nb'!$S48-'retraites SA Nb'!$P48</f>
        <v>-3.9299999999997226E-2</v>
      </c>
      <c r="H48" s="73">
        <f>'retraites SA Nb'!$V48-'retraites SA Nb'!$S48</f>
        <v>0.17099999999999937</v>
      </c>
      <c r="I48" s="73">
        <f>'retraites SA Nb'!$Y48-'retraites SA Nb'!$V48</f>
        <v>-1.9800000000003593E-2</v>
      </c>
      <c r="J48" s="73">
        <f>'retraites SA Nb'!$AB48-'retraites SA Nb'!$Y48</f>
        <v>-0.20409999999999684</v>
      </c>
      <c r="K48" s="73">
        <f>'retraites SA Nb'!$AE48-'retraites SA Nb'!$AB48</f>
        <v>-5.6000000000011596E-3</v>
      </c>
      <c r="L48" s="73">
        <f>'retraites SA Nb'!$AH48-'retraites SA Nb'!$AE48</f>
        <v>-4.3000000000006366E-3</v>
      </c>
      <c r="M48" s="73">
        <f>'retraites SA Nb'!$AK48-'retraites SA Nb'!$AH48</f>
        <v>-1.9999999999953388E-4</v>
      </c>
      <c r="N48" s="73">
        <f>'retraites SA Nb'!$AN48-'retraites SA Nb'!$AK48</f>
        <v>-4.590000000000316E-2</v>
      </c>
      <c r="O48" s="73">
        <f>'retraites SA Nb'!$AQ48-'retraites SA Nb'!$AN48</f>
        <v>6.2300000000000466E-2</v>
      </c>
      <c r="P48" s="73">
        <f>'retraites SA Nb'!$AT48-'retraites SA Nb'!$AQ48</f>
        <v>-8.7999999999937017E-3</v>
      </c>
      <c r="Q48" s="73">
        <f>'retraites SA Nb'!$AW48-'retraites SA Nb'!$AT48</f>
        <v>-6.8600000000003547E-2</v>
      </c>
      <c r="R48" s="73">
        <f>'retraites SA Nb'!$AZ48-'retraites SA Nb'!$AW48</f>
        <v>7.7399999999997249E-2</v>
      </c>
      <c r="S48" s="73">
        <f>'retraites SA Nb'!$BC48-'retraites SA Nb'!$AZ48</f>
        <v>6.8800000000003081E-2</v>
      </c>
      <c r="T48" s="73">
        <f>'retraites SA Nb'!$BF48-'retraites SA Nb'!$BC48</f>
        <v>8.2299999999996487E-2</v>
      </c>
      <c r="U48" s="73">
        <f>'retraites SA Nb'!$BI48-'retraites SA Nb'!$BF48</f>
        <v>-9.469999999999601E-2</v>
      </c>
      <c r="V48" s="73">
        <f>'retraites SA Nb'!$BL48-'retraites SA Nb'!$BI48</f>
        <v>-0.10940000000000083</v>
      </c>
      <c r="W48" s="73">
        <f>'retraites SA Nb'!$BO48-'retraites SA Nb'!$BL48</f>
        <v>-5.6100000000000705E-2</v>
      </c>
      <c r="X48" s="73">
        <f>'retraites SA Nb'!$BR48-'retraites SA Nb'!$BO48</f>
        <v>-1.6300000000001091E-2</v>
      </c>
      <c r="Y48" s="73">
        <f>'retraites SA Nb'!$BU48-'retraites SA Nb'!$BR48</f>
        <v>-5.7600000000000762E-2</v>
      </c>
      <c r="Z48" s="73">
        <f>'retraites SA Nb'!$BX48-'retraites SA Nb'!$BU48</f>
        <v>-7.6599999999999113E-2</v>
      </c>
      <c r="AA48" s="73">
        <f>'retraites SA Nb'!$CA48-'retraites SA Nb'!$BX48</f>
        <v>-4.7299999999999898E-2</v>
      </c>
      <c r="AB48" s="73">
        <f>'retraites SA Nb'!$CG48-'retraites SA Nb'!$CA48</f>
        <v>-0.11990000000000123</v>
      </c>
      <c r="AC48" s="73">
        <f>'retraites SA Nb'!$CG48-'retraites SA Nb'!$CG48</f>
        <v>0</v>
      </c>
      <c r="AD48" s="73">
        <f>'retraites SA Nb'!$CJ48-'retraites SA Nb'!$CG48</f>
        <v>-5.0899999999998613E-2</v>
      </c>
      <c r="AE48" s="73">
        <f>'retraites SA Nb'!$CM48-'retraites SA Nb'!$CJ48</f>
        <v>-7.2099999999998943E-2</v>
      </c>
      <c r="AF48" s="73">
        <f>'retraites SA Nb'!$CS48-'retraites SA Nb'!$CM48</f>
        <v>-9.380000000000166E-2</v>
      </c>
      <c r="AG48" s="73">
        <f>'retraites SA Nb'!$CS48-'retraites SA Nb'!$CP48</f>
        <v>-3.6900000000002819E-2</v>
      </c>
      <c r="AH48" s="73">
        <f>'retraites SA Nb'!$CV48-'retraites SA Nb'!$CS48</f>
        <v>-4.399999999999693E-2</v>
      </c>
      <c r="AI48" s="73">
        <f>'retraites SA Nb'!$CY48-'retraites SA Nb'!$CV48</f>
        <v>-4.1499999999999204E-2</v>
      </c>
      <c r="AJ48" s="73">
        <f>'retraites SA Nb'!$DB48-'retraites SA Nb'!$CY48</f>
        <v>-4.6800000000004616E-2</v>
      </c>
      <c r="AK48" s="73">
        <f>'retraites SA Nb'!$DE48-'retraites SA Nb'!$DB48</f>
        <v>0.18190000000000595</v>
      </c>
      <c r="AL48" s="73">
        <f>'retraites SA Nb'!$DH48-'retraites SA Nb'!$DE48</f>
        <v>0.24489999999999412</v>
      </c>
      <c r="AM48" s="73">
        <f>'retraites SA Nb'!$DK48-'retraites SA Nb'!$DH48</f>
        <v>0.35379999999999967</v>
      </c>
      <c r="AN48" s="73">
        <f>'retraites SA Nb'!$DN48-'retraites SA Nb'!$DK48</f>
        <v>0.28110000000000213</v>
      </c>
      <c r="AO48" s="73">
        <f>'retraites SA Nb'!$DQ48-'retraites SA Nb'!$DN48</f>
        <v>0.31980000000000075</v>
      </c>
      <c r="AP48" s="73">
        <f>'retraites SA Nb'!$DT48-'retraites SA Nb'!$DQ48</f>
        <v>0.32950000000000301</v>
      </c>
      <c r="AQ48" s="73">
        <f>'retraites SA Nb'!$DW48-'retraites SA Nb'!$DT48</f>
        <v>0.4054000000000002</v>
      </c>
      <c r="AR48" s="275">
        <f>'retraites SA Nb'!$DZ48-'retraites SA Nb'!$DW48</f>
        <v>0.36119999999999663</v>
      </c>
      <c r="AS48" s="262">
        <f>'retraites SA Nb'!$EC48-'retraites SA Nb'!$DZ48</f>
        <v>0.45519999999999783</v>
      </c>
      <c r="AT48" s="262">
        <f>'retraites SA Nb'!$EF48-'retraites SA Nb'!$EC48</f>
        <v>0.26970000000000027</v>
      </c>
      <c r="AU48" s="262">
        <f>'retraites SA Nb'!$EI48-'retraites SA Nb'!$EF48</f>
        <v>0.44300000000000495</v>
      </c>
      <c r="AV48" s="262">
        <f>'retraites SA Nb'!$EL48-'retraites SA Nb'!$EI48</f>
        <v>0.38339999999999463</v>
      </c>
      <c r="AW48" s="262">
        <f>'retraites SA Nb'!$EO48-'retraites SA Nb'!$EL48</f>
        <v>0.39300000000000068</v>
      </c>
      <c r="AX48" s="262">
        <f>'retraites SA Nb'!$ER48-'retraites SA Nb'!$EO48</f>
        <v>0.41280000000000427</v>
      </c>
      <c r="AY48" s="262">
        <f>'retraites SA Nb'!$EU48-'retraites SA Nb'!$ER48</f>
        <v>0.48099999999999454</v>
      </c>
      <c r="AZ48" s="262">
        <f>'retraites SA Nb'!$EX48-'retraites SA Nb'!$EU48</f>
        <v>0.38870000000000005</v>
      </c>
      <c r="BA48" s="262">
        <f>'retraites SA Nb'!$FA48-'retraites SA Nb'!$EX48</f>
        <v>0.42690000000000339</v>
      </c>
      <c r="BB48" s="262">
        <f>'retraites SA Nb'!$FD48-'retraites SA Nb'!$FA48</f>
        <v>0.38320761622500044</v>
      </c>
      <c r="BC48" s="262">
        <f>'retraites SA Nb'!$FG48-'retraites SA Nb'!$FD48</f>
        <v>0.51426859217289689</v>
      </c>
      <c r="BD48" s="262">
        <f>'retraites SA Nb'!$FJ48-'retraites SA Nb'!$FG48</f>
        <v>0.42426101453990128</v>
      </c>
      <c r="BE48" s="262">
        <f>'retraites SA Nb'!$FM48-'retraites SA Nb'!$FJ48</f>
        <v>0.44506187255669971</v>
      </c>
      <c r="BF48" s="262">
        <f>'retraites SA Nb'!$FP48-'retraites SA Nb'!$FM48</f>
        <v>0.40242715576950161</v>
      </c>
      <c r="BG48" s="262">
        <f>'retraites SA Nb'!$FS48-'retraites SA Nb'!$FP48</f>
        <v>0.55385509256120002</v>
      </c>
      <c r="BH48" s="262">
        <f>'retraites SA Nb'!$FV48-'retraites SA Nb'!$FS48</f>
        <v>0.49336284829249877</v>
      </c>
      <c r="BI48" s="262">
        <f>'retraites SA Nb'!$FY48-'retraites SA Nb'!$FV48</f>
        <v>0.46365246971100049</v>
      </c>
      <c r="BJ48" s="262">
        <f>'retraites SA Nb'!$GB48-'retraites SA Nb'!$FY48</f>
        <v>0.29620393351559926</v>
      </c>
      <c r="BK48" s="262">
        <f>'retraites SA Nb'!$GE48-'retraites SA Nb'!$GB48</f>
        <v>0.47073678302400168</v>
      </c>
      <c r="BL48" s="262">
        <f>'retraites SA Nb'!$GH48-'retraites SA Nb'!$GE48</f>
        <v>0.3739945629252972</v>
      </c>
      <c r="BM48" s="262">
        <f>'retraites SA Nb'!$GK48-'retraites SA Nb'!$GH48</f>
        <v>0.434949103646602</v>
      </c>
      <c r="BN48" s="262">
        <f>'retraites SA Nb'!$GN48-'retraites SA Nb'!$GK48</f>
        <v>0.39606941453550348</v>
      </c>
    </row>
    <row r="49" spans="1:66" x14ac:dyDescent="0.25">
      <c r="A49" s="3"/>
      <c r="BJ49" s="126"/>
      <c r="BK49" s="126"/>
      <c r="BL49" s="126"/>
      <c r="BM49" s="126"/>
      <c r="BN49" s="126"/>
    </row>
    <row r="50" spans="1:66" x14ac:dyDescent="0.25">
      <c r="A50" s="3" t="s">
        <v>392</v>
      </c>
      <c r="BB50" s="298" t="s">
        <v>373</v>
      </c>
      <c r="BC50" s="298"/>
      <c r="BD50" s="298"/>
      <c r="BE50" s="298"/>
      <c r="BF50" s="298"/>
      <c r="BG50" s="298"/>
      <c r="BH50" s="298"/>
      <c r="BI50" s="298"/>
      <c r="BJ50" s="298"/>
      <c r="BK50" s="298"/>
      <c r="BL50" s="298"/>
      <c r="BM50" s="298"/>
      <c r="BN50" s="298"/>
    </row>
    <row r="51" spans="1:66" s="32" customFormat="1" x14ac:dyDescent="0.25">
      <c r="A51" s="3"/>
      <c r="O51" s="95"/>
      <c r="P51" s="99"/>
      <c r="AR51" s="272"/>
      <c r="AS51" s="260"/>
      <c r="AT51" s="260"/>
      <c r="AU51" s="260"/>
      <c r="AV51" s="260"/>
      <c r="AW51" s="260"/>
      <c r="AX51" s="260"/>
      <c r="AY51" s="260"/>
      <c r="AZ51" s="260"/>
      <c r="BA51" s="260"/>
      <c r="BB51" s="298" t="s">
        <v>376</v>
      </c>
      <c r="BC51" s="298"/>
      <c r="BD51" s="298"/>
      <c r="BE51" s="298"/>
      <c r="BF51" s="298"/>
      <c r="BG51" s="298"/>
      <c r="BH51" s="298"/>
      <c r="BI51" s="298"/>
      <c r="BJ51" s="298"/>
      <c r="BK51" s="298"/>
      <c r="BL51" s="298"/>
      <c r="BM51" s="298"/>
      <c r="BN51" s="298"/>
    </row>
    <row r="52" spans="1:66" ht="12" thickBot="1" x14ac:dyDescent="0.3">
      <c r="A52" s="3"/>
      <c r="B52" s="70" t="str">
        <f>B6</f>
        <v>4 T2008</v>
      </c>
      <c r="C52" s="70" t="str">
        <f>C6</f>
        <v>1 T 2009</v>
      </c>
      <c r="D52" s="70" t="str">
        <f>D6</f>
        <v>2 T 2009</v>
      </c>
      <c r="E52" s="70" t="str">
        <f t="shared" ref="E52:L52" si="110">E6</f>
        <v>3 T 2009</v>
      </c>
      <c r="F52" s="70" t="str">
        <f t="shared" si="110"/>
        <v>4 T 2009</v>
      </c>
      <c r="G52" s="70" t="str">
        <f t="shared" si="110"/>
        <v>1 T 2010</v>
      </c>
      <c r="H52" s="70" t="str">
        <f t="shared" si="110"/>
        <v>2 T 2010</v>
      </c>
      <c r="I52" s="70" t="str">
        <f t="shared" si="110"/>
        <v>3 T 2010</v>
      </c>
      <c r="J52" s="70" t="str">
        <f t="shared" si="110"/>
        <v>4 T 2010</v>
      </c>
      <c r="K52" s="70" t="str">
        <f t="shared" si="110"/>
        <v>1 T 2011</v>
      </c>
      <c r="L52" s="70" t="str">
        <f t="shared" si="110"/>
        <v>2 T 2011</v>
      </c>
      <c r="M52" s="70" t="str">
        <f t="shared" ref="M52:R52" si="111">M6</f>
        <v>3 T 2011</v>
      </c>
      <c r="N52" s="70" t="str">
        <f t="shared" si="111"/>
        <v>4 T 2011</v>
      </c>
      <c r="O52" s="70" t="str">
        <f t="shared" si="111"/>
        <v>1 T 2012</v>
      </c>
      <c r="P52" s="70" t="str">
        <f t="shared" si="111"/>
        <v>2 T 2012</v>
      </c>
      <c r="Q52" s="70" t="str">
        <f t="shared" si="111"/>
        <v>3 T 2012</v>
      </c>
      <c r="R52" s="70" t="str">
        <f t="shared" si="111"/>
        <v>4 T 2012</v>
      </c>
      <c r="S52" s="70" t="str">
        <f t="shared" ref="S52:X52" si="112">S6</f>
        <v>1 T 2013</v>
      </c>
      <c r="T52" s="70" t="str">
        <f t="shared" si="112"/>
        <v>2 T 2013</v>
      </c>
      <c r="U52" s="70" t="str">
        <f t="shared" si="112"/>
        <v>3 T 2013</v>
      </c>
      <c r="V52" s="70" t="str">
        <f t="shared" si="112"/>
        <v>4 T 2013</v>
      </c>
      <c r="W52" s="70" t="str">
        <f t="shared" si="112"/>
        <v>1 T 2014</v>
      </c>
      <c r="X52" s="70" t="str">
        <f t="shared" si="112"/>
        <v>2 T 2014</v>
      </c>
      <c r="Y52" s="70" t="str">
        <f t="shared" ref="Y52:Z52" si="113">Y6</f>
        <v>3 T 2014</v>
      </c>
      <c r="Z52" s="70" t="str">
        <f t="shared" si="113"/>
        <v>4 T 2014</v>
      </c>
      <c r="AA52" s="70" t="str">
        <f t="shared" ref="AA52:AB52" si="114">AA6</f>
        <v>1 T 2015</v>
      </c>
      <c r="AB52" s="70" t="str">
        <f t="shared" si="114"/>
        <v>2 T 2015</v>
      </c>
      <c r="AC52" s="70" t="str">
        <f t="shared" ref="AC52:AD52" si="115">AC6</f>
        <v>3 T 2015</v>
      </c>
      <c r="AD52" s="70" t="str">
        <f t="shared" si="115"/>
        <v>4 T 2015</v>
      </c>
      <c r="AE52" s="70" t="str">
        <f t="shared" ref="AE52:AF52" si="116">AE6</f>
        <v>1 T 2016</v>
      </c>
      <c r="AF52" s="70" t="str">
        <f t="shared" si="116"/>
        <v>2 T 2016</v>
      </c>
      <c r="AG52" s="70" t="str">
        <f t="shared" ref="AG52:AH52" si="117">AG6</f>
        <v>3 T 2016</v>
      </c>
      <c r="AH52" s="70" t="str">
        <f t="shared" si="117"/>
        <v>4 T 2016</v>
      </c>
      <c r="AI52" s="70" t="str">
        <f t="shared" ref="AI52:AJ52" si="118">AI6</f>
        <v>1 T 2017</v>
      </c>
      <c r="AJ52" s="70" t="str">
        <f t="shared" si="118"/>
        <v>2 T 2017</v>
      </c>
      <c r="AK52" s="70" t="str">
        <f t="shared" ref="AK52:AL52" si="119">AK6</f>
        <v>3 T 2017</v>
      </c>
      <c r="AL52" s="70" t="str">
        <f t="shared" si="119"/>
        <v>4 T 2017</v>
      </c>
      <c r="AM52" s="70" t="str">
        <f t="shared" ref="AM52:AR52" si="120">AM6</f>
        <v>1T 2018</v>
      </c>
      <c r="AN52" s="70" t="str">
        <f t="shared" si="120"/>
        <v>2T 2018</v>
      </c>
      <c r="AO52" s="70" t="str">
        <f t="shared" si="120"/>
        <v>3T 2018</v>
      </c>
      <c r="AP52" s="70" t="str">
        <f t="shared" si="120"/>
        <v>4T 2018</v>
      </c>
      <c r="AQ52" s="70" t="str">
        <f t="shared" si="120"/>
        <v>1T 2019</v>
      </c>
      <c r="AR52" s="273" t="str">
        <f t="shared" si="120"/>
        <v>2T 2019</v>
      </c>
      <c r="AS52" s="196" t="str">
        <f t="shared" ref="AS52:AT52" si="121">AS6</f>
        <v>3T 2019</v>
      </c>
      <c r="AT52" s="196" t="str">
        <f t="shared" si="121"/>
        <v>4T 2019</v>
      </c>
      <c r="AU52" s="196" t="str">
        <f t="shared" ref="AU52:AV52" si="122">AU6</f>
        <v>1T 2020</v>
      </c>
      <c r="AV52" s="196" t="str">
        <f t="shared" si="122"/>
        <v>2T 2020</v>
      </c>
      <c r="AW52" s="196" t="str">
        <f t="shared" ref="AW52:AX52" si="123">AW6</f>
        <v>3T 2020</v>
      </c>
      <c r="AX52" s="196" t="str">
        <f t="shared" si="123"/>
        <v>4T 2020</v>
      </c>
      <c r="AY52" s="196" t="str">
        <f t="shared" ref="AY52:AZ52" si="124">AY6</f>
        <v>1T 2021</v>
      </c>
      <c r="AZ52" s="196" t="str">
        <f t="shared" si="124"/>
        <v>2T 2021</v>
      </c>
      <c r="BA52" s="196" t="str">
        <f t="shared" ref="BA52:BB52" si="125">BA6</f>
        <v>3T 2021</v>
      </c>
      <c r="BB52" s="196" t="str">
        <f t="shared" si="125"/>
        <v>4T 2021</v>
      </c>
      <c r="BC52" s="196" t="str">
        <f t="shared" ref="BC52:BD52" si="126">BC6</f>
        <v>1T 2022</v>
      </c>
      <c r="BD52" s="196" t="str">
        <f t="shared" si="126"/>
        <v>2T 2022</v>
      </c>
      <c r="BE52" s="196" t="str">
        <f t="shared" ref="BE52:BF52" si="127">BE6</f>
        <v>3T 2022</v>
      </c>
      <c r="BF52" s="196" t="str">
        <f t="shared" si="127"/>
        <v>4T 2022</v>
      </c>
      <c r="BG52" s="196" t="str">
        <f t="shared" ref="BG52:BH52" si="128">BG6</f>
        <v>1T 2023</v>
      </c>
      <c r="BH52" s="196" t="str">
        <f t="shared" si="128"/>
        <v>2T 2023</v>
      </c>
      <c r="BI52" s="196" t="str">
        <f t="shared" ref="BI52:BJ52" si="129">BI6</f>
        <v>3T 2023</v>
      </c>
      <c r="BJ52" s="196" t="str">
        <f t="shared" si="129"/>
        <v>4T 2023</v>
      </c>
      <c r="BK52" s="196" t="str">
        <f t="shared" ref="BK52:BL52" si="130">BK6</f>
        <v>1T 2024</v>
      </c>
      <c r="BL52" s="196" t="str">
        <f t="shared" si="130"/>
        <v>2T 2024</v>
      </c>
      <c r="BM52" s="196" t="str">
        <f t="shared" ref="BM52:BN52" si="131">BM6</f>
        <v>3T 2024</v>
      </c>
      <c r="BN52" s="196" t="str">
        <f t="shared" si="131"/>
        <v>4T 2024</v>
      </c>
    </row>
    <row r="53" spans="1:66" x14ac:dyDescent="0.25">
      <c r="A53" s="38" t="s">
        <v>2</v>
      </c>
      <c r="C53" s="78">
        <f>'retraites SA Nb'!$G53/'retraites SA Nb'!$D53-1</f>
        <v>-7.941039771595515E-2</v>
      </c>
      <c r="D53" s="72">
        <f>'retraites SA Nb'!$J53/'retraites SA Nb'!$G53-1</f>
        <v>2.740714028128366E-3</v>
      </c>
      <c r="E53" s="72">
        <f>'retraites SA Nb'!$M53/'retraites SA Nb'!$J53-1</f>
        <v>3.3805653456089324E-3</v>
      </c>
      <c r="F53" s="72">
        <f>'retraites SA Nb'!$P53/'retraites SA Nb'!$M53-1</f>
        <v>3.1063321385902398E-3</v>
      </c>
      <c r="G53" s="72">
        <f>'retraites SA Nb'!$S53/'retraites SA Nb'!$P53-1</f>
        <v>4.942829919009073E-3</v>
      </c>
      <c r="H53" s="72">
        <f>'retraites SA Nb'!$V53/'retraites SA Nb'!$S53-1</f>
        <v>5.6651851851852175E-3</v>
      </c>
      <c r="I53" s="72">
        <f>'retraites SA Nb'!$Y53/'retraites SA Nb'!$V53-1</f>
        <v>6.0928900569219291E-3</v>
      </c>
      <c r="J53" s="72">
        <f>'retraites SA Nb'!$AB53/'retraites SA Nb'!$Y53-1</f>
        <v>6.3722619187067675E-3</v>
      </c>
      <c r="K53" s="72">
        <f>'retraites SA Nb'!$AE53/'retraites SA Nb'!$AB53-1</f>
        <v>5.2727145750401938E-3</v>
      </c>
      <c r="L53" s="72">
        <f>'retraites SA Nb'!$AH53/'retraites SA Nb'!$AE53-1</f>
        <v>4.399828638252945E-3</v>
      </c>
      <c r="M53" s="72">
        <f>'retraites SA Nb'!$AK53/'retraites SA Nb'!$AH53-1</f>
        <v>-3.4583328530124469E-5</v>
      </c>
      <c r="N53" s="72">
        <f>'retraites SA Nb'!$AN53/'retraites SA Nb'!$AK53-1</f>
        <v>0</v>
      </c>
      <c r="O53" s="72">
        <f>'retraites SA Nb'!$AQ53/'retraites SA Nb'!$AN53-1</f>
        <v>5.8447846536935355E-3</v>
      </c>
      <c r="P53" s="72">
        <f>'retraites SA Nb'!$AT53/'retraites SA Nb'!$AQ53-1</f>
        <v>2.5329222587706646E-3</v>
      </c>
      <c r="Q53" s="72">
        <f>'retraites SA Nb'!$AW53/'retraites SA Nb'!$AT53-1</f>
        <v>-1.3947320285347953E-3</v>
      </c>
      <c r="R53" s="72">
        <f>'retraites SA Nb'!$AZ53/'retraites SA Nb'!$AW53-1</f>
        <v>6.1820263308529633E-3</v>
      </c>
      <c r="S53" s="72">
        <f>'retraites SA Nb'!$BC53/'retraites SA Nb'!$AZ53-1</f>
        <v>1.2447377403572712E-2</v>
      </c>
      <c r="T53" s="72">
        <f>'retraites SA Nb'!$BF53/'retraites SA Nb'!$BC53-1</f>
        <v>7.169828283736468E-3</v>
      </c>
      <c r="U53" s="72">
        <f>'retraites SA Nb'!$BI53/'retraites SA Nb'!$BF53-1</f>
        <v>1.0376916382138335E-2</v>
      </c>
      <c r="V53" s="72">
        <f>'retraites SA Nb'!$BL53/'retraites SA Nb'!$BI53-1</f>
        <v>4.8259563565686836E-3</v>
      </c>
      <c r="W53" s="72">
        <f>'retraites SA Nb'!$BO53/'retraites SA Nb'!$BL53-1</f>
        <v>7.352537119871716E-3</v>
      </c>
      <c r="X53" s="72">
        <f>'retraites SA Nb'!$BR53/'retraites SA Nb'!$BO53-1</f>
        <v>9.2517838050143464E-3</v>
      </c>
      <c r="Y53" s="72">
        <f>'retraites SA Nb'!$BU53/'retraites SA Nb'!$BR53-1</f>
        <v>1.033446479147293E-2</v>
      </c>
      <c r="Z53" s="72">
        <f>'retraites SA Nb'!$BX53/'retraites SA Nb'!$BU53-1</f>
        <v>7.8534591598724557E-3</v>
      </c>
      <c r="AA53" s="72">
        <f>'retraites SA Nb'!$CA53/'retraites SA Nb'!$BX53-1</f>
        <v>1.1996263110960026E-2</v>
      </c>
      <c r="AB53" s="72">
        <f>'retraites SA Nb'!$CG53/'retraites SA Nb'!$CA53-1</f>
        <v>1.1770136164320322E-2</v>
      </c>
      <c r="AC53" s="72">
        <f>'retraites SA Nb'!$CG53/'retraites SA Nb'!$CG53-1</f>
        <v>0</v>
      </c>
      <c r="AD53" s="72">
        <f>'retraites SA Nb'!$CJ53/'retraites SA Nb'!$CG53-1</f>
        <v>5.9202886529527987E-3</v>
      </c>
      <c r="AE53" s="72">
        <f>'retraites SA Nb'!$CM53/'retraites SA Nb'!$CJ53-1</f>
        <v>1.0162957771158165E-2</v>
      </c>
      <c r="AF53" s="72">
        <f>'retraites SA Nb'!$CS53/'retraites SA Nb'!$CM53-1</f>
        <v>1.7295035967552774E-2</v>
      </c>
      <c r="AG53" s="72">
        <f>'retraites SA Nb'!$CS53/'retraites SA Nb'!$CP53-1</f>
        <v>9.7122775746649737E-3</v>
      </c>
      <c r="AH53" s="72">
        <f>'retraites SA Nb'!$CV53/'retraites SA Nb'!$CS53-1</f>
        <v>3.5506519558676786E-3</v>
      </c>
      <c r="AI53" s="72">
        <f>'retraites SA Nb'!$CY53/'retraites SA Nb'!$CV53-1</f>
        <v>7.5958982149639809E-3</v>
      </c>
      <c r="AJ53" s="72">
        <f>'retraites SA Nb'!$DB53/'retraites SA Nb'!$CY53-1</f>
        <v>7.7370206518936335E-3</v>
      </c>
      <c r="AK53" s="72">
        <f>'retraites SA Nb'!$DE53/'retraites SA Nb'!$DB53-1</f>
        <v>1.309132429080373E-3</v>
      </c>
      <c r="AL53" s="72">
        <f>'retraites SA Nb'!$DH53/'retraites SA Nb'!$DE53-1</f>
        <v>-3.2439765254066444E-4</v>
      </c>
      <c r="AM53" s="72">
        <f>'retraites SA Nb'!$DK53/'retraites SA Nb'!$DH53-1</f>
        <v>-1.2881782602710556E-3</v>
      </c>
      <c r="AN53" s="72">
        <f>'retraites SA Nb'!$DN53/'retraites SA Nb'!$DK53-1</f>
        <v>-2.9735238226519245E-3</v>
      </c>
      <c r="AO53" s="72">
        <f>'retraites SA Nb'!$DQ53/'retraites SA Nb'!$DN53-1</f>
        <v>-1.8467129497041768E-3</v>
      </c>
      <c r="AP53" s="72">
        <f>'retraites SA Nb'!$DT53/'retraites SA Nb'!$DQ53-1</f>
        <v>-9.0033045095672115E-4</v>
      </c>
      <c r="AQ53" s="72">
        <f>'retraites SA Nb'!$DW53/'retraites SA Nb'!$DT53-1</f>
        <v>-2.079557945396715E-3</v>
      </c>
      <c r="AR53" s="274">
        <f>'retraites SA Nb'!$DZ53/'retraites SA Nb'!$DW53-1</f>
        <v>-3.2250702072975646E-3</v>
      </c>
      <c r="AS53" s="261">
        <f>'retraites SA Nb'!$EC53/'retraites SA Nb'!$DZ53-1</f>
        <v>-1.9910799617712804E-3</v>
      </c>
      <c r="AT53" s="261">
        <f>'retraites SA Nb'!$EF53/'retraites SA Nb'!$EC53-1</f>
        <v>-3.0125289282578738E-3</v>
      </c>
      <c r="AU53" s="261">
        <f>'retraites SA Nb'!$EI53/'retraites SA Nb'!$EF53-1</f>
        <v>-1.7209293018229932E-3</v>
      </c>
      <c r="AV53" s="261">
        <f>'retraites SA Nb'!$EL53/'retraites SA Nb'!$EI53-1</f>
        <v>-3.8386754064184681E-3</v>
      </c>
      <c r="AW53" s="261">
        <f>'retraites SA Nb'!$EO53/'retraites SA Nb'!$EL53-1</f>
        <v>-2.3643991910736739E-3</v>
      </c>
      <c r="AX53" s="261">
        <f>'retraites SA Nb'!$ER53/'retraites SA Nb'!$EO53-1</f>
        <v>-3.4995360845536672E-3</v>
      </c>
      <c r="AY53" s="261">
        <f>'retraites SA Nb'!$EU53/'retraites SA Nb'!$ER53-1</f>
        <v>-3.6433928083474676E-3</v>
      </c>
      <c r="AZ53" s="261">
        <f>'retraites SA Nb'!$EX53/'retraites SA Nb'!$EU53-1</f>
        <v>-4.2153805523672538E-3</v>
      </c>
      <c r="BA53" s="261">
        <f>'retraites SA Nb'!$FA53/'retraites SA Nb'!$EX53-1</f>
        <v>-2.5093334965420322E-3</v>
      </c>
      <c r="BB53" s="299">
        <f>'retraites SA Nb'!$FD53/'retraites SA Nb'!$FA53-1</f>
        <v>0.24891602241583843</v>
      </c>
      <c r="BC53" s="299">
        <f>'retraites SA Nb'!$FG53/'retraites SA Nb'!$FD53-1</f>
        <v>0</v>
      </c>
      <c r="BD53" s="299">
        <f>'retraites SA Nb'!$FJ53/'retraites SA Nb'!$FG53-1</f>
        <v>2.2582678970596737E-2</v>
      </c>
      <c r="BE53" s="299">
        <f>'retraites SA Nb'!$FM53/'retraites SA Nb'!$FJ53-1</f>
        <v>2.3076861482780542E-2</v>
      </c>
      <c r="BF53" s="299">
        <f>'retraites SA Nb'!$FP53/'retraites SA Nb'!$FM53-1</f>
        <v>1.6678537047327691E-2</v>
      </c>
      <c r="BG53" s="299">
        <f>'retraites SA Nb'!$FS53/'retraites SA Nb'!$FP53-1</f>
        <v>2.6197074672825282E-2</v>
      </c>
      <c r="BH53" s="299">
        <f>'retraites SA Nb'!$FV53/'retraites SA Nb'!$FS53-1</f>
        <v>2.1169816133170372E-2</v>
      </c>
      <c r="BI53" s="299">
        <f>'retraites SA Nb'!$FY53/'retraites SA Nb'!$FV53-1</f>
        <v>2.132598714416889E-2</v>
      </c>
      <c r="BJ53" s="299">
        <f>'retraites SA Nb'!$GB53/'retraites SA Nb'!$FY53-1</f>
        <v>8.7752107489138531E-3</v>
      </c>
      <c r="BK53" s="299">
        <f>'retraites SA Nb'!$GE53/'retraites SA Nb'!$GB53-1</f>
        <v>1.7633050025668728E-2</v>
      </c>
      <c r="BL53" s="299">
        <f>'retraites SA Nb'!$GH53/'retraites SA Nb'!$GE53-1</f>
        <v>1.3599960762606722E-2</v>
      </c>
      <c r="BM53" s="299">
        <f>'retraites SA Nb'!$GK53/'retraites SA Nb'!$GH53-1</f>
        <v>1.6929117529136839E-2</v>
      </c>
      <c r="BN53" s="299">
        <f>'retraites SA Nb'!$GN53/'retraites SA Nb'!$GK53-1</f>
        <v>1.2963000727342022E-2</v>
      </c>
    </row>
    <row r="54" spans="1:66" x14ac:dyDescent="0.25">
      <c r="A54" s="39" t="s">
        <v>4</v>
      </c>
      <c r="C54" s="78">
        <f>'retraites SA Nb'!$G54/'retraites SA Nb'!$D54-1</f>
        <v>-8.7244094488188928E-2</v>
      </c>
      <c r="D54" s="72">
        <f>'retraites SA Nb'!$J54/'retraites SA Nb'!$G54-1</f>
        <v>0</v>
      </c>
      <c r="E54" s="72">
        <f>'retraites SA Nb'!$M54/'retraites SA Nb'!$J54-1</f>
        <v>3.7957211870254248E-3</v>
      </c>
      <c r="F54" s="72">
        <f>'retraites SA Nb'!$P54/'retraites SA Nb'!$M54-1</f>
        <v>3.4376074252318034E-4</v>
      </c>
      <c r="G54" s="72">
        <f>'retraites SA Nb'!$S54/'retraites SA Nb'!$P54-1</f>
        <v>2.405498281786933E-3</v>
      </c>
      <c r="H54" s="72">
        <f>'retraites SA Nb'!$V54/'retraites SA Nb'!$S54-1</f>
        <v>0</v>
      </c>
      <c r="I54" s="72">
        <f>'retraites SA Nb'!$Y54/'retraites SA Nb'!$V54-1</f>
        <v>-1.028453890983938E-3</v>
      </c>
      <c r="J54" s="72">
        <f>'retraites SA Nb'!$AB54/'retraites SA Nb'!$Y54-1</f>
        <v>-6.8634179821547292E-4</v>
      </c>
      <c r="K54" s="72">
        <f>'retraites SA Nb'!$AE54/'retraites SA Nb'!$AB54-1</f>
        <v>1.0302197802198876E-3</v>
      </c>
      <c r="L54" s="72">
        <f>'retraites SA Nb'!$AH54/'retraites SA Nb'!$AE54-1</f>
        <v>1.7152658662091813E-3</v>
      </c>
      <c r="M54" s="72">
        <f>'retraites SA Nb'!$AK54/'retraites SA Nb'!$AH54-1</f>
        <v>0</v>
      </c>
      <c r="N54" s="72">
        <f>'retraites SA Nb'!$AN54/'retraites SA Nb'!$AK54-1</f>
        <v>-7.8767123287670771E-3</v>
      </c>
      <c r="O54" s="72">
        <f>'retraites SA Nb'!$AQ54/'retraites SA Nb'!$AN54-1</f>
        <v>-1.0355540214014303E-3</v>
      </c>
      <c r="P54" s="72">
        <f>'retraites SA Nb'!$AT54/'retraites SA Nb'!$AQ54-1</f>
        <v>-2.4187975120939509E-3</v>
      </c>
      <c r="Q54" s="72">
        <f>'retraites SA Nb'!$AW54/'retraites SA Nb'!$AT54-1</f>
        <v>-1.0391409767924742E-3</v>
      </c>
      <c r="R54" s="72">
        <f>'retraites SA Nb'!$AZ54/'retraites SA Nb'!$AW54-1</f>
        <v>4.1608876560332853E-3</v>
      </c>
      <c r="S54" s="72">
        <f>'retraites SA Nb'!$BC54/'retraites SA Nb'!$AZ54-1</f>
        <v>-1.1049723756906049E-2</v>
      </c>
      <c r="T54" s="72">
        <f>'retraites SA Nb'!$BF54/'retraites SA Nb'!$BC54-1</f>
        <v>-6.9832402234636382E-3</v>
      </c>
      <c r="U54" s="72">
        <f>'retraites SA Nb'!$BI54/'retraites SA Nb'!$BF54-1</f>
        <v>-3.5161744022504937E-4</v>
      </c>
      <c r="V54" s="72">
        <f>'retraites SA Nb'!$BL54/'retraites SA Nb'!$BI54-1</f>
        <v>2.110446711220515E-3</v>
      </c>
      <c r="W54" s="72">
        <f>'retraites SA Nb'!$BO54/'retraites SA Nb'!$BL54-1</f>
        <v>-7.0200070200070463E-3</v>
      </c>
      <c r="X54" s="72">
        <f>'retraites SA Nb'!$BR54/'retraites SA Nb'!$BO54-1</f>
        <v>-4.9487451396252879E-3</v>
      </c>
      <c r="Y54" s="72">
        <f>'retraites SA Nb'!$BU54/'retraites SA Nb'!$BR54-1</f>
        <v>-5.3285968028419228E-3</v>
      </c>
      <c r="Z54" s="72">
        <f>'retraites SA Nb'!$BX54/'retraites SA Nb'!$BU54-1</f>
        <v>7.1428571428566734E-4</v>
      </c>
      <c r="AA54" s="72">
        <f>'retraites SA Nb'!$CA54/'retraites SA Nb'!$BX54-1</f>
        <v>-9.2790863668807955E-3</v>
      </c>
      <c r="AB54" s="72">
        <f>'retraites SA Nb'!$CG54/'retraites SA Nb'!$CA54-1</f>
        <v>6.4841498559078392E-3</v>
      </c>
      <c r="AC54" s="72">
        <f>'retraites SA Nb'!$CG54/'retraites SA Nb'!$CG54-1</f>
        <v>0</v>
      </c>
      <c r="AD54" s="72">
        <f>'retraites SA Nb'!$CJ54/'retraites SA Nb'!$CG54-1</f>
        <v>-5.7265569076592193E-3</v>
      </c>
      <c r="AE54" s="72">
        <f>'retraites SA Nb'!$CM54/'retraites SA Nb'!$CJ54-1</f>
        <v>1.4398848092151972E-3</v>
      </c>
      <c r="AF54" s="72">
        <f>'retraites SA Nb'!$CS54/'retraites SA Nb'!$CM54-1</f>
        <v>-2.5161754133716796E-3</v>
      </c>
      <c r="AG54" s="72">
        <f>'retraites SA Nb'!$CS54/'retraites SA Nb'!$CP54-1</f>
        <v>-1.4393666786614023E-3</v>
      </c>
      <c r="AH54" s="72">
        <f>'retraites SA Nb'!$CV54/'retraites SA Nb'!$CS54-1</f>
        <v>2.8828828828828534E-3</v>
      </c>
      <c r="AI54" s="72">
        <f>'retraites SA Nb'!$CY54/'retraites SA Nb'!$CV54-1</f>
        <v>-8.6237872799137527E-3</v>
      </c>
      <c r="AJ54" s="72">
        <f>'retraites SA Nb'!$DB54/'retraites SA Nb'!$CY54-1</f>
        <v>-3.2620514679231327E-3</v>
      </c>
      <c r="AK54" s="72">
        <f>'retraites SA Nb'!$DE54/'retraites SA Nb'!$DB54-1</f>
        <v>-9.818181818181837E-3</v>
      </c>
      <c r="AL54" s="72">
        <f>'retraites SA Nb'!$DH54/'retraites SA Nb'!$DE54-1</f>
        <v>-8.81380829966949E-3</v>
      </c>
      <c r="AM54" s="72">
        <f>'retraites SA Nb'!$DK54/'retraites SA Nb'!$DH54-1</f>
        <v>-9.6331974805483611E-3</v>
      </c>
      <c r="AN54" s="72">
        <f>'retraites SA Nb'!$DN54/'retraites SA Nb'!$DK54-1</f>
        <v>-1.3468013468013518E-2</v>
      </c>
      <c r="AO54" s="72">
        <f>'retraites SA Nb'!$DQ54/'retraites SA Nb'!$DN54-1</f>
        <v>-6.0675009480469777E-3</v>
      </c>
      <c r="AP54" s="72">
        <f>'retraites SA Nb'!$DT54/'retraites SA Nb'!$DQ54-1</f>
        <v>-4.1968714231209736E-3</v>
      </c>
      <c r="AQ54" s="72">
        <f>'retraites SA Nb'!$DW54/'retraites SA Nb'!$DT54-1</f>
        <v>-6.1302681992336794E-3</v>
      </c>
      <c r="AR54" s="274">
        <f>'retraites SA Nb'!$DZ54/'retraites SA Nb'!$DW54-1</f>
        <v>-1.0023130300693905E-2</v>
      </c>
      <c r="AS54" s="261">
        <f>'retraites SA Nb'!$EC54/'retraites SA Nb'!$DZ54-1</f>
        <v>-5.4517133956386576E-3</v>
      </c>
      <c r="AT54" s="261">
        <f>'retraites SA Nb'!$EF54/'retraites SA Nb'!$EC54-1</f>
        <v>2.7407987470633444E-3</v>
      </c>
      <c r="AU54" s="261">
        <f>'retraites SA Nb'!$EI54/'retraites SA Nb'!$EF54-1</f>
        <v>-8.1999219055056694E-3</v>
      </c>
      <c r="AV54" s="261">
        <f>'retraites SA Nb'!$EL54/'retraites SA Nb'!$EI54-1</f>
        <v>-1.0236220472440993E-2</v>
      </c>
      <c r="AW54" s="261">
        <f>'retraites SA Nb'!$EO54/'retraites SA Nb'!$EL54-1</f>
        <v>-5.966587112171795E-3</v>
      </c>
      <c r="AX54" s="261">
        <f>'retraites SA Nb'!$ER54/'retraites SA Nb'!$EO54-1</f>
        <v>-4.001600640256564E-4</v>
      </c>
      <c r="AY54" s="261">
        <f>'retraites SA Nb'!$EU54/'retraites SA Nb'!$ER54-1</f>
        <v>-1.5612489991993606E-2</v>
      </c>
      <c r="AZ54" s="261">
        <f>'retraites SA Nb'!$EX54/'retraites SA Nb'!$EU54-1</f>
        <v>-1.0573403822692118E-2</v>
      </c>
      <c r="BA54" s="261">
        <f>'retraites SA Nb'!$FA54/'retraites SA Nb'!$EX54-1</f>
        <v>-1.6440608302507043E-3</v>
      </c>
      <c r="BB54" s="299">
        <f>'retraites SA Nb'!$FD54/'retraites SA Nb'!$FA54-1</f>
        <v>0.29641827912721275</v>
      </c>
      <c r="BC54" s="299">
        <f>'retraites SA Nb'!$FG54/'retraites SA Nb'!$FD54-1</f>
        <v>0</v>
      </c>
      <c r="BD54" s="299">
        <f>'retraites SA Nb'!$FJ54/'retraites SA Nb'!$FG54-1</f>
        <v>1.1749761829152217E-2</v>
      </c>
      <c r="BE54" s="299">
        <f>'retraites SA Nb'!$FM54/'retraites SA Nb'!$FJ54-1</f>
        <v>1.2241054613935987E-2</v>
      </c>
      <c r="BF54" s="299">
        <f>'retraites SA Nb'!$FP54/'retraites SA Nb'!$FM54-1</f>
        <v>1.3643410852713256E-2</v>
      </c>
      <c r="BG54" s="299">
        <f>'retraites SA Nb'!$FS54/'retraites SA Nb'!$FP54-1</f>
        <v>1.0094830223309925E-2</v>
      </c>
      <c r="BH54" s="299">
        <f>'retraites SA Nb'!$FV54/'retraites SA Nb'!$FS54-1</f>
        <v>1.3930950938825015E-2</v>
      </c>
      <c r="BI54" s="299">
        <f>'retraites SA Nb'!$FY54/'retraites SA Nb'!$FV54-1</f>
        <v>1.4934289127837452E-2</v>
      </c>
      <c r="BJ54" s="299">
        <f>'retraites SA Nb'!$GB54/'retraites SA Nb'!$FY54-1</f>
        <v>1.0888758092995943E-2</v>
      </c>
      <c r="BK54" s="299">
        <f>'retraites SA Nb'!$GE54/'retraites SA Nb'!$GB54-1</f>
        <v>1.83406113537119E-2</v>
      </c>
      <c r="BL54" s="299">
        <f>'retraites SA Nb'!$GH54/'retraites SA Nb'!$GE54-1</f>
        <v>1.2578616352201255E-2</v>
      </c>
      <c r="BM54" s="299">
        <f>'retraites SA Nb'!$GK54/'retraites SA Nb'!$GH54-1</f>
        <v>1.7786561264822032E-2</v>
      </c>
      <c r="BN54" s="299">
        <f>'retraites SA Nb'!$GN54/'retraites SA Nb'!$GK54-1</f>
        <v>1.3314840499306424E-2</v>
      </c>
    </row>
    <row r="55" spans="1:66" ht="12" thickBot="1" x14ac:dyDescent="0.3">
      <c r="A55" s="40" t="s">
        <v>5</v>
      </c>
      <c r="C55" s="78">
        <f>'retraites SA Nb'!$G55/'retraites SA Nb'!$D55-1</f>
        <v>-7.9676291679584343E-2</v>
      </c>
      <c r="D55" s="72">
        <f>'retraites SA Nb'!$J55/'retraites SA Nb'!$G55-1</f>
        <v>2.6484527460273188E-3</v>
      </c>
      <c r="E55" s="72">
        <f>'retraites SA Nb'!$M55/'retraites SA Nb'!$J55-1</f>
        <v>3.3945039158440604E-3</v>
      </c>
      <c r="F55" s="72">
        <f>'retraites SA Nb'!$P55/'retraites SA Nb'!$M55-1</f>
        <v>3.0135436271057081E-3</v>
      </c>
      <c r="G55" s="72">
        <f>'retraites SA Nb'!$S55/'retraites SA Nb'!$P55-1</f>
        <v>4.857833544376744E-3</v>
      </c>
      <c r="H55" s="72">
        <f>'retraites SA Nb'!$V55/'retraites SA Nb'!$S55-1</f>
        <v>5.4758740778078074E-3</v>
      </c>
      <c r="I55" s="72">
        <f>'retraites SA Nb'!$Y55/'retraites SA Nb'!$V55-1</f>
        <v>5.8562151076677615E-3</v>
      </c>
      <c r="J55" s="72">
        <f>'retraites SA Nb'!$AB55/'retraites SA Nb'!$Y55-1</f>
        <v>6.1392777853290781E-3</v>
      </c>
      <c r="K55" s="72">
        <f>'retraites SA Nb'!$AE55/'retraites SA Nb'!$AB55-1</f>
        <v>5.1336320446715433E-3</v>
      </c>
      <c r="L55" s="72">
        <f>'retraites SA Nb'!$AH55/'retraites SA Nb'!$AE55-1</f>
        <v>4.3121793866625069E-3</v>
      </c>
      <c r="M55" s="72">
        <f>'retraites SA Nb'!$AK55/'retraites SA Nb'!$AH55-1</f>
        <v>-3.3457124694713514E-5</v>
      </c>
      <c r="N55" s="72">
        <f>'retraites SA Nb'!$AN55/'retraites SA Nb'!$AK55-1</f>
        <v>-2.5651320485364781E-4</v>
      </c>
      <c r="O55" s="72">
        <f>'retraites SA Nb'!$AQ55/'retraites SA Nb'!$AN55-1</f>
        <v>5.6224272375364759E-3</v>
      </c>
      <c r="P55" s="72">
        <f>'retraites SA Nb'!$AT55/'retraites SA Nb'!$AQ55-1</f>
        <v>2.373953075600399E-3</v>
      </c>
      <c r="Q55" s="72">
        <f>'retraites SA Nb'!$AW55/'retraites SA Nb'!$AT55-1</f>
        <v>-1.3833707765690262E-3</v>
      </c>
      <c r="R55" s="72">
        <f>'retraites SA Nb'!$AZ55/'retraites SA Nb'!$AW55-1</f>
        <v>6.1174280204800979E-3</v>
      </c>
      <c r="S55" s="72">
        <f>'retraites SA Nb'!$BC55/'retraites SA Nb'!$AZ55-1</f>
        <v>1.1697838873835131E-2</v>
      </c>
      <c r="T55" s="72">
        <f>'retraites SA Nb'!$BF55/'retraites SA Nb'!$BC55-1</f>
        <v>6.728507969689046E-3</v>
      </c>
      <c r="U55" s="72">
        <f>'retraites SA Nb'!$BI55/'retraites SA Nb'!$BF55-1</f>
        <v>1.0046936171133281E-2</v>
      </c>
      <c r="V55" s="72">
        <f>'retraites SA Nb'!$BL55/'retraites SA Nb'!$BI55-1</f>
        <v>4.7432946089192018E-3</v>
      </c>
      <c r="W55" s="72">
        <f>'retraites SA Nb'!$BO55/'retraites SA Nb'!$BL55-1</f>
        <v>6.9161746840298299E-3</v>
      </c>
      <c r="X55" s="72">
        <f>'retraites SA Nb'!$BR55/'retraites SA Nb'!$BO55-1</f>
        <v>8.8266110681893828E-3</v>
      </c>
      <c r="Y55" s="72">
        <f>'retraites SA Nb'!$BU55/'retraites SA Nb'!$BR55-1</f>
        <v>9.8719065053871624E-3</v>
      </c>
      <c r="Z55" s="72">
        <f>'retraites SA Nb'!$BX55/'retraites SA Nb'!$BU55-1</f>
        <v>7.6458000041552676E-3</v>
      </c>
      <c r="AA55" s="72">
        <f>'retraites SA Nb'!$CA55/'retraites SA Nb'!$BX55-1</f>
        <v>1.138167797274181E-2</v>
      </c>
      <c r="AB55" s="72">
        <f>'retraites SA Nb'!$CG55/'retraites SA Nb'!$CA55-1</f>
        <v>1.1620558194532116E-2</v>
      </c>
      <c r="AC55" s="72">
        <f>'retraites SA Nb'!$CG55/'retraites SA Nb'!$CG55-1</f>
        <v>0</v>
      </c>
      <c r="AD55" s="72">
        <f>'retraites SA Nb'!$CJ55/'retraites SA Nb'!$CG55-1</f>
        <v>5.5923903186150259E-3</v>
      </c>
      <c r="AE55" s="72">
        <f>'retraites SA Nb'!$CM55/'retraites SA Nb'!$CJ55-1</f>
        <v>9.920137879896096E-3</v>
      </c>
      <c r="AF55" s="72">
        <f>'retraites SA Nb'!$CS55/'retraites SA Nb'!$CM55-1</f>
        <v>1.6748191731076334E-2</v>
      </c>
      <c r="AG55" s="72">
        <f>'retraites SA Nb'!$CS55/'retraites SA Nb'!$CP55-1</f>
        <v>9.4070133963750635E-3</v>
      </c>
      <c r="AH55" s="72">
        <f>'retraites SA Nb'!$CV55/'retraites SA Nb'!$CS55-1</f>
        <v>3.5325689192486909E-3</v>
      </c>
      <c r="AI55" s="72">
        <f>'retraites SA Nb'!$CY55/'retraites SA Nb'!$CV55-1</f>
        <v>7.1569571263261356E-3</v>
      </c>
      <c r="AJ55" s="72">
        <f>'retraites SA Nb'!$DB55/'retraites SA Nb'!$CY55-1</f>
        <v>7.4440249872071984E-3</v>
      </c>
      <c r="AK55" s="72">
        <f>'retraites SA Nb'!$DE55/'retraites SA Nb'!$DB55-1</f>
        <v>1.0158705819214298E-3</v>
      </c>
      <c r="AL55" s="72">
        <f>'retraites SA Nb'!$DH55/'retraites SA Nb'!$DE55-1</f>
        <v>-5.4571565342265149E-4</v>
      </c>
      <c r="AM55" s="72">
        <f>'retraites SA Nb'!$DK55/'retraites SA Nb'!$DH55-1</f>
        <v>-1.5039322559942114E-3</v>
      </c>
      <c r="AN55" s="72">
        <f>'retraites SA Nb'!$DN55/'retraites SA Nb'!$DK55-1</f>
        <v>-3.2426416976860661E-3</v>
      </c>
      <c r="AO55" s="72">
        <f>'retraites SA Nb'!$DQ55/'retraites SA Nb'!$DN55-1</f>
        <v>-1.9538393424319844E-3</v>
      </c>
      <c r="AP55" s="72">
        <f>'retraites SA Nb'!$DT55/'retraites SA Nb'!$DQ55-1</f>
        <v>-9.8365398524513648E-4</v>
      </c>
      <c r="AQ55" s="72">
        <f>'retraites SA Nb'!$DW55/'retraites SA Nb'!$DT55-1</f>
        <v>-2.1816145878582605E-3</v>
      </c>
      <c r="AR55" s="274">
        <f>'retraites SA Nb'!$DZ55/'retraites SA Nb'!$DW55-1</f>
        <v>-3.3956678630511217E-3</v>
      </c>
      <c r="AS55" s="261">
        <f>'retraites SA Nb'!$EC55/'retraites SA Nb'!$DZ55-1</f>
        <v>-2.0773472082006306E-3</v>
      </c>
      <c r="AT55" s="261">
        <f>'retraites SA Nb'!$EF55/'retraites SA Nb'!$EC55-1</f>
        <v>-2.86959397677089E-3</v>
      </c>
      <c r="AU55" s="261">
        <f>'retraites SA Nb'!$EI55/'retraites SA Nb'!$EF55-1</f>
        <v>-1.8827982479244776E-3</v>
      </c>
      <c r="AV55" s="261">
        <f>'retraites SA Nb'!$EL55/'retraites SA Nb'!$EI55-1</f>
        <v>-3.9974978986258014E-3</v>
      </c>
      <c r="AW55" s="261">
        <f>'retraites SA Nb'!$EO55/'retraites SA Nb'!$EL55-1</f>
        <v>-2.4532652961091195E-3</v>
      </c>
      <c r="AX55" s="261">
        <f>'retraites SA Nb'!$ER55/'retraites SA Nb'!$EO55-1</f>
        <v>-3.4233436623875013E-3</v>
      </c>
      <c r="AY55" s="261">
        <f>'retraites SA Nb'!$EU55/'retraites SA Nb'!$ER55-1</f>
        <v>-3.9385234978827066E-3</v>
      </c>
      <c r="AZ55" s="261">
        <f>'retraites SA Nb'!$EX55/'retraites SA Nb'!$EU55-1</f>
        <v>-4.370317516946165E-3</v>
      </c>
      <c r="BA55" s="261">
        <f>'retraites SA Nb'!$FA55/'retraites SA Nb'!$EX55-1</f>
        <v>-2.4883792688146222E-3</v>
      </c>
      <c r="BB55" s="299">
        <f>'retraites SA Nb'!$FD55/'retraites SA Nb'!$FA55-1</f>
        <v>0.2500673538421625</v>
      </c>
      <c r="BC55" s="299">
        <f>'retraites SA Nb'!$FG55/'retraites SA Nb'!$FD55-1</f>
        <v>0</v>
      </c>
      <c r="BD55" s="299">
        <f>'retraites SA Nb'!$FJ55/'retraites SA Nb'!$FG55-1</f>
        <v>2.2310381711074578E-2</v>
      </c>
      <c r="BE55" s="299">
        <f>'retraites SA Nb'!$FM55/'retraites SA Nb'!$FJ55-1</f>
        <v>2.2807305208748074E-2</v>
      </c>
      <c r="BF55" s="299">
        <f>'retraites SA Nb'!$FP55/'retraites SA Nb'!$FM55-1</f>
        <v>1.6603813915141208E-2</v>
      </c>
      <c r="BG55" s="299">
        <f>'retraites SA Nb'!$FS55/'retraites SA Nb'!$FP55-1</f>
        <v>2.5801800719386536E-2</v>
      </c>
      <c r="BH55" s="299">
        <f>'retraites SA Nb'!$FV55/'retraites SA Nb'!$FS55-1</f>
        <v>2.0994839134731436E-2</v>
      </c>
      <c r="BI55" s="299">
        <f>'retraites SA Nb'!$FY55/'retraites SA Nb'!$FV55-1</f>
        <v>2.1172556695561173E-2</v>
      </c>
      <c r="BJ55" s="299">
        <f>'retraites SA Nb'!$GB55/'retraites SA Nb'!$FY55-1</f>
        <v>8.825635768750173E-3</v>
      </c>
      <c r="BK55" s="299">
        <f>'retraites SA Nb'!$GE55/'retraites SA Nb'!$GB55-1</f>
        <v>1.7649965549160207E-2</v>
      </c>
      <c r="BL55" s="299">
        <f>'retraites SA Nb'!$GH55/'retraites SA Nb'!$GE55-1</f>
        <v>1.357552712027843E-2</v>
      </c>
      <c r="BM55" s="299">
        <f>'retraites SA Nb'!$GK55/'retraites SA Nb'!$GH55-1</f>
        <v>1.6949609997031212E-2</v>
      </c>
      <c r="BN55" s="299">
        <f>'retraites SA Nb'!$GN55/'retraites SA Nb'!$GK55-1</f>
        <v>1.2971416438865235E-2</v>
      </c>
    </row>
    <row r="56" spans="1:66" x14ac:dyDescent="0.25">
      <c r="A56" s="3"/>
      <c r="Q56" s="76"/>
      <c r="BJ56" s="126"/>
      <c r="BK56" s="126"/>
      <c r="BL56" s="126"/>
      <c r="BM56" s="126"/>
      <c r="BN56" s="126"/>
    </row>
    <row r="57" spans="1:66" x14ac:dyDescent="0.25">
      <c r="A57" s="3" t="s">
        <v>30</v>
      </c>
      <c r="Q57" s="76"/>
      <c r="BJ57" s="126"/>
      <c r="BK57" s="126"/>
      <c r="BL57" s="126"/>
      <c r="BM57" s="126"/>
      <c r="BN57" s="126"/>
    </row>
    <row r="58" spans="1:66" x14ac:dyDescent="0.25">
      <c r="A58" s="14" t="s">
        <v>28</v>
      </c>
      <c r="Q58" s="76"/>
      <c r="BB58" s="298" t="s">
        <v>373</v>
      </c>
      <c r="BC58" s="298"/>
      <c r="BD58" s="298"/>
      <c r="BE58" s="298"/>
      <c r="BF58" s="298"/>
      <c r="BG58" s="298"/>
      <c r="BH58" s="298"/>
      <c r="BI58" s="298"/>
      <c r="BJ58" s="298"/>
      <c r="BK58" s="298"/>
      <c r="BL58" s="298"/>
      <c r="BM58" s="298"/>
      <c r="BN58" s="298"/>
    </row>
    <row r="59" spans="1:66" s="32" customFormat="1" x14ac:dyDescent="0.25">
      <c r="A59" s="3"/>
      <c r="O59" s="95"/>
      <c r="P59" s="99"/>
      <c r="Q59" s="99"/>
      <c r="AR59" s="272"/>
      <c r="AS59" s="260"/>
      <c r="AT59" s="260"/>
      <c r="AU59" s="260"/>
      <c r="AV59" s="260"/>
      <c r="AW59" s="260"/>
      <c r="AX59" s="260"/>
      <c r="AY59" s="260"/>
      <c r="AZ59" s="260"/>
      <c r="BA59" s="260"/>
      <c r="BB59" s="298" t="s">
        <v>376</v>
      </c>
      <c r="BC59" s="298"/>
      <c r="BD59" s="298"/>
      <c r="BE59" s="298"/>
      <c r="BF59" s="298"/>
      <c r="BG59" s="298"/>
      <c r="BH59" s="298"/>
      <c r="BI59" s="298"/>
      <c r="BJ59" s="298"/>
      <c r="BK59" s="298"/>
      <c r="BL59" s="298"/>
      <c r="BM59" s="298"/>
      <c r="BN59" s="298"/>
    </row>
    <row r="60" spans="1:66" ht="12" thickBot="1" x14ac:dyDescent="0.3">
      <c r="A60" s="3"/>
      <c r="B60" s="70" t="str">
        <f>B6</f>
        <v>4 T2008</v>
      </c>
      <c r="C60" s="70" t="str">
        <f>C6</f>
        <v>1 T 2009</v>
      </c>
      <c r="D60" s="70" t="str">
        <f>D6</f>
        <v>2 T 2009</v>
      </c>
      <c r="E60" s="70" t="str">
        <f t="shared" ref="E60:L60" si="132">E6</f>
        <v>3 T 2009</v>
      </c>
      <c r="F60" s="70" t="str">
        <f t="shared" si="132"/>
        <v>4 T 2009</v>
      </c>
      <c r="G60" s="70" t="str">
        <f t="shared" si="132"/>
        <v>1 T 2010</v>
      </c>
      <c r="H60" s="70" t="str">
        <f t="shared" si="132"/>
        <v>2 T 2010</v>
      </c>
      <c r="I60" s="70" t="str">
        <f t="shared" si="132"/>
        <v>3 T 2010</v>
      </c>
      <c r="J60" s="70" t="str">
        <f t="shared" si="132"/>
        <v>4 T 2010</v>
      </c>
      <c r="K60" s="70" t="str">
        <f t="shared" si="132"/>
        <v>1 T 2011</v>
      </c>
      <c r="L60" s="70" t="str">
        <f t="shared" si="132"/>
        <v>2 T 2011</v>
      </c>
      <c r="M60" s="70" t="str">
        <f t="shared" ref="M60:R60" si="133">M6</f>
        <v>3 T 2011</v>
      </c>
      <c r="N60" s="70" t="str">
        <f t="shared" si="133"/>
        <v>4 T 2011</v>
      </c>
      <c r="O60" s="70" t="str">
        <f t="shared" si="133"/>
        <v>1 T 2012</v>
      </c>
      <c r="P60" s="70" t="str">
        <f t="shared" si="133"/>
        <v>2 T 2012</v>
      </c>
      <c r="Q60" s="70" t="str">
        <f t="shared" si="133"/>
        <v>3 T 2012</v>
      </c>
      <c r="R60" s="70" t="str">
        <f t="shared" si="133"/>
        <v>4 T 2012</v>
      </c>
      <c r="S60" s="70" t="str">
        <f t="shared" ref="S60:X60" si="134">S6</f>
        <v>1 T 2013</v>
      </c>
      <c r="T60" s="70" t="str">
        <f t="shared" si="134"/>
        <v>2 T 2013</v>
      </c>
      <c r="U60" s="70" t="str">
        <f t="shared" si="134"/>
        <v>3 T 2013</v>
      </c>
      <c r="V60" s="70" t="str">
        <f t="shared" si="134"/>
        <v>4 T 2013</v>
      </c>
      <c r="W60" s="70" t="str">
        <f t="shared" si="134"/>
        <v>1 T 2014</v>
      </c>
      <c r="X60" s="70" t="str">
        <f t="shared" si="134"/>
        <v>2 T 2014</v>
      </c>
      <c r="Y60" s="70" t="str">
        <f t="shared" ref="Y60:Z60" si="135">Y6</f>
        <v>3 T 2014</v>
      </c>
      <c r="Z60" s="70" t="str">
        <f t="shared" si="135"/>
        <v>4 T 2014</v>
      </c>
      <c r="AA60" s="70" t="str">
        <f t="shared" ref="AA60:AB60" si="136">AA6</f>
        <v>1 T 2015</v>
      </c>
      <c r="AB60" s="70" t="str">
        <f t="shared" si="136"/>
        <v>2 T 2015</v>
      </c>
      <c r="AC60" s="70" t="str">
        <f t="shared" ref="AC60:AD60" si="137">AC6</f>
        <v>3 T 2015</v>
      </c>
      <c r="AD60" s="70" t="str">
        <f t="shared" si="137"/>
        <v>4 T 2015</v>
      </c>
      <c r="AE60" s="70" t="str">
        <f t="shared" ref="AE60:AF60" si="138">AE6</f>
        <v>1 T 2016</v>
      </c>
      <c r="AF60" s="70" t="str">
        <f t="shared" si="138"/>
        <v>2 T 2016</v>
      </c>
      <c r="AG60" s="70" t="str">
        <f t="shared" ref="AG60:AH60" si="139">AG6</f>
        <v>3 T 2016</v>
      </c>
      <c r="AH60" s="70" t="str">
        <f t="shared" si="139"/>
        <v>4 T 2016</v>
      </c>
      <c r="AI60" s="70" t="str">
        <f t="shared" ref="AI60:AJ60" si="140">AI6</f>
        <v>1 T 2017</v>
      </c>
      <c r="AJ60" s="70" t="str">
        <f t="shared" si="140"/>
        <v>2 T 2017</v>
      </c>
      <c r="AK60" s="70" t="str">
        <f t="shared" ref="AK60:AL60" si="141">AK6</f>
        <v>3 T 2017</v>
      </c>
      <c r="AL60" s="70" t="str">
        <f t="shared" si="141"/>
        <v>4 T 2017</v>
      </c>
      <c r="AM60" s="70" t="str">
        <f t="shared" ref="AM60:AR60" si="142">AM6</f>
        <v>1T 2018</v>
      </c>
      <c r="AN60" s="70" t="str">
        <f t="shared" si="142"/>
        <v>2T 2018</v>
      </c>
      <c r="AO60" s="70" t="str">
        <f t="shared" si="142"/>
        <v>3T 2018</v>
      </c>
      <c r="AP60" s="70" t="str">
        <f t="shared" si="142"/>
        <v>4T 2018</v>
      </c>
      <c r="AQ60" s="70" t="str">
        <f t="shared" si="142"/>
        <v>1T 2019</v>
      </c>
      <c r="AR60" s="273" t="str">
        <f t="shared" si="142"/>
        <v>2T 2019</v>
      </c>
      <c r="AS60" s="196" t="str">
        <f t="shared" ref="AS60:AT60" si="143">AS6</f>
        <v>3T 2019</v>
      </c>
      <c r="AT60" s="196" t="str">
        <f t="shared" si="143"/>
        <v>4T 2019</v>
      </c>
      <c r="AU60" s="196" t="str">
        <f t="shared" ref="AU60:AV60" si="144">AU6</f>
        <v>1T 2020</v>
      </c>
      <c r="AV60" s="196" t="str">
        <f t="shared" si="144"/>
        <v>2T 2020</v>
      </c>
      <c r="AW60" s="196" t="str">
        <f t="shared" ref="AW60:AX60" si="145">AW6</f>
        <v>3T 2020</v>
      </c>
      <c r="AX60" s="196" t="str">
        <f t="shared" si="145"/>
        <v>4T 2020</v>
      </c>
      <c r="AY60" s="196" t="str">
        <f t="shared" ref="AY60:AZ60" si="146">AY6</f>
        <v>1T 2021</v>
      </c>
      <c r="AZ60" s="196" t="str">
        <f t="shared" si="146"/>
        <v>2T 2021</v>
      </c>
      <c r="BA60" s="196" t="str">
        <f t="shared" ref="BA60:BB60" si="147">BA6</f>
        <v>3T 2021</v>
      </c>
      <c r="BB60" s="196" t="str">
        <f t="shared" si="147"/>
        <v>4T 2021</v>
      </c>
      <c r="BC60" s="196" t="str">
        <f t="shared" ref="BC60:BD60" si="148">BC6</f>
        <v>1T 2022</v>
      </c>
      <c r="BD60" s="196" t="str">
        <f t="shared" si="148"/>
        <v>2T 2022</v>
      </c>
      <c r="BE60" s="196" t="str">
        <f t="shared" ref="BE60:BF60" si="149">BE6</f>
        <v>3T 2022</v>
      </c>
      <c r="BF60" s="196" t="str">
        <f t="shared" si="149"/>
        <v>4T 2022</v>
      </c>
      <c r="BG60" s="196" t="str">
        <f t="shared" ref="BG60:BH60" si="150">BG6</f>
        <v>1T 2023</v>
      </c>
      <c r="BH60" s="196" t="str">
        <f t="shared" si="150"/>
        <v>2T 2023</v>
      </c>
      <c r="BI60" s="196" t="str">
        <f t="shared" ref="BI60:BJ60" si="151">BI6</f>
        <v>3T 2023</v>
      </c>
      <c r="BJ60" s="196" t="str">
        <f t="shared" si="151"/>
        <v>4T 2023</v>
      </c>
      <c r="BK60" s="196" t="str">
        <f t="shared" ref="BK60:BL60" si="152">BK6</f>
        <v>1T 2024</v>
      </c>
      <c r="BL60" s="196" t="str">
        <f t="shared" si="152"/>
        <v>2T 2024</v>
      </c>
      <c r="BM60" s="196" t="str">
        <f t="shared" ref="BM60:BN60" si="153">BM6</f>
        <v>3T 2024</v>
      </c>
      <c r="BN60" s="196" t="str">
        <f t="shared" si="153"/>
        <v>4T 2024</v>
      </c>
    </row>
    <row r="61" spans="1:66" x14ac:dyDescent="0.25">
      <c r="A61" s="38" t="s">
        <v>2</v>
      </c>
      <c r="C61" s="72">
        <f>'retraites SA Nb'!$G61/'retraites SA Nb'!$D61-1</f>
        <v>2.4155806753545228E-3</v>
      </c>
      <c r="D61" s="72">
        <f>'retraites SA Nb'!$J61/'retraites SA Nb'!$G61-1</f>
        <v>1.3542777723908106E-2</v>
      </c>
      <c r="E61" s="72">
        <f>'retraites SA Nb'!$M61/'retraites SA Nb'!$J61-1</f>
        <v>2.6255926185769773E-3</v>
      </c>
      <c r="F61" s="72">
        <f>'retraites SA Nb'!$P61/'retraites SA Nb'!$M61-1</f>
        <v>1.8942405897590664E-3</v>
      </c>
      <c r="G61" s="72">
        <f>'retraites SA Nb'!$S61/'retraites SA Nb'!$P61-1</f>
        <v>3.0405750990305513E-3</v>
      </c>
      <c r="H61" s="72">
        <f>'retraites SA Nb'!$V61/'retraites SA Nb'!$S61-1</f>
        <v>1.2624797352660977E-2</v>
      </c>
      <c r="I61" s="72">
        <f>'retraites SA Nb'!$Y61/'retraites SA Nb'!$V61-1</f>
        <v>2.5803001205064735E-3</v>
      </c>
      <c r="J61" s="72">
        <f>'retraites SA Nb'!$AB61/'retraites SA Nb'!$Y61-1</f>
        <v>2.8057389485061091E-3</v>
      </c>
      <c r="K61" s="72">
        <f>'retraites SA Nb'!$AE61/'retraites SA Nb'!$AB61-1</f>
        <v>2.9671438045761889E-3</v>
      </c>
      <c r="L61" s="72">
        <f>'retraites SA Nb'!$AH61/'retraites SA Nb'!$AE61-1</f>
        <v>2.4830987419195871E-2</v>
      </c>
      <c r="M61" s="72">
        <f>'retraites SA Nb'!$AK61/'retraites SA Nb'!$AH61-1</f>
        <v>-6.9562762750663421E-4</v>
      </c>
      <c r="N61" s="72">
        <f>'retraites SA Nb'!$AN61/'retraites SA Nb'!$AK61-1</f>
        <v>4.0690596773000909E-3</v>
      </c>
      <c r="O61" s="72">
        <f>'retraites SA Nb'!$AQ61/'retraites SA Nb'!$AN61-1</f>
        <v>2.8234017469588313E-3</v>
      </c>
      <c r="P61" s="72">
        <f>'retraites SA Nb'!$AT61/'retraites SA Nb'!$AQ61-1</f>
        <v>2.4039890588105628E-2</v>
      </c>
      <c r="Q61" s="72">
        <f>'retraites SA Nb'!$AW61/'retraites SA Nb'!$AT61-1</f>
        <v>2.0220666173107471E-3</v>
      </c>
      <c r="R61" s="72">
        <f>'retraites SA Nb'!$AZ61/'retraites SA Nb'!$AW61-1</f>
        <v>2.5127181947488531E-3</v>
      </c>
      <c r="S61" s="72">
        <f>'retraites SA Nb'!$BC61/'retraites SA Nb'!$AZ61-1</f>
        <v>3.4576911713617431E-3</v>
      </c>
      <c r="T61" s="72">
        <f>'retraites SA Nb'!$BF61/'retraites SA Nb'!$BC61-1</f>
        <v>1.637148385176368E-2</v>
      </c>
      <c r="U61" s="72">
        <f>'retraites SA Nb'!$BI61/'retraites SA Nb'!$BF61-1</f>
        <v>3.3584393921064493E-3</v>
      </c>
      <c r="V61" s="72">
        <f>'retraites SA Nb'!$BL61/'retraites SA Nb'!$BI61-1</f>
        <v>2.6365133300971788E-3</v>
      </c>
      <c r="W61" s="72">
        <f>'retraites SA Nb'!$BO61/'retraites SA Nb'!$BL61-1</f>
        <v>2.7181823935193972E-3</v>
      </c>
      <c r="X61" s="72">
        <f>'retraites SA Nb'!$BR61/'retraites SA Nb'!$BO61-1</f>
        <v>2.8843817356152268E-3</v>
      </c>
      <c r="Y61" s="72">
        <f>'retraites SA Nb'!$BU61/'retraites SA Nb'!$BR61-1</f>
        <v>2.8068585525797829E-3</v>
      </c>
      <c r="Z61" s="72">
        <f>'retraites SA Nb'!$BX61/'retraites SA Nb'!$BU61-1</f>
        <v>2.2467326670536636E-3</v>
      </c>
      <c r="AA61" s="72">
        <f>'retraites SA Nb'!$CA61/'retraites SA Nb'!$BX61-1</f>
        <v>2.7927276370454113E-3</v>
      </c>
      <c r="AB61" s="72">
        <f>'retraites SA Nb'!$CG61/'retraites SA Nb'!$CA61-1</f>
        <v>5.1983652468208241E-3</v>
      </c>
      <c r="AC61" s="72">
        <f>'retraites SA Nb'!$CG61/'retraites SA Nb'!$CG61-1</f>
        <v>0</v>
      </c>
      <c r="AD61" s="72">
        <f>'retraites SA Nb'!$CJ61/'retraites SA Nb'!$CG61-1</f>
        <v>2.6991098217781229E-3</v>
      </c>
      <c r="AE61" s="72">
        <f>'retraites SA Nb'!$CM61/'retraites SA Nb'!$CJ61-1</f>
        <v>2.7073324102384611E-3</v>
      </c>
      <c r="AF61" s="72">
        <f>'retraites SA Nb'!$CS61/'retraites SA Nb'!$CM61-1</f>
        <v>4.9490115878543239E-3</v>
      </c>
      <c r="AG61" s="72">
        <f>'retraites SA Nb'!$CS61/'retraites SA Nb'!$CP61-1</f>
        <v>2.4622192638612539E-3</v>
      </c>
      <c r="AH61" s="72">
        <f>'retraites SA Nb'!$CV61/'retraites SA Nb'!$CS61-1</f>
        <v>1.5677691260147508E-3</v>
      </c>
      <c r="AI61" s="72">
        <f>'retraites SA Nb'!$CY61/'retraites SA Nb'!$CV61-1</f>
        <v>2.4830194006990602E-3</v>
      </c>
      <c r="AJ61" s="72">
        <f>'retraites SA Nb'!$DB61/'retraites SA Nb'!$CY61-1</f>
        <v>2.0390543196724398E-3</v>
      </c>
      <c r="AK61" s="72">
        <f>'retraites SA Nb'!$DE61/'retraites SA Nb'!$DB61-1</f>
        <v>1.6865879592284916E-3</v>
      </c>
      <c r="AL61" s="72">
        <f>'retraites SA Nb'!$DH61/'retraites SA Nb'!$DE61-1</f>
        <v>9.1020009760858223E-3</v>
      </c>
      <c r="AM61" s="72">
        <f>'retraites SA Nb'!$DK61/'retraites SA Nb'!$DH61-1</f>
        <v>1.8045849152419358E-3</v>
      </c>
      <c r="AN61" s="72">
        <f>'retraites SA Nb'!$DN61/'retraites SA Nb'!$DK61-1</f>
        <v>1.8767670123498448E-3</v>
      </c>
      <c r="AO61" s="72">
        <f>'retraites SA Nb'!$DQ61/'retraites SA Nb'!$DN61-1</f>
        <v>1.1263601401023671E-3</v>
      </c>
      <c r="AP61" s="72">
        <f>'retraites SA Nb'!$DT61/'retraites SA Nb'!$DQ61-1</f>
        <v>1.3266469524721991E-3</v>
      </c>
      <c r="AQ61" s="72">
        <f>'retraites SA Nb'!$DW61/'retraites SA Nb'!$DT61-1</f>
        <v>4.8729488250245367E-3</v>
      </c>
      <c r="AR61" s="274">
        <f>'retraites SA Nb'!$DZ61/'retraites SA Nb'!$DW61-1</f>
        <v>1.4290839512076658E-3</v>
      </c>
      <c r="AS61" s="261">
        <f>'retraites SA Nb'!$EC61/'retraites SA Nb'!$DZ61-1</f>
        <v>1.1673105284841778E-3</v>
      </c>
      <c r="AT61" s="261">
        <f>'retraites SA Nb'!$EC61/'retraites SA Nb'!$DZ61-1</f>
        <v>1.1673105284841778E-3</v>
      </c>
      <c r="AU61" s="261">
        <f>'retraites SA Nb'!$EF61/'retraites SA Nb'!$EC61-1</f>
        <v>1.0198330694290991E-3</v>
      </c>
      <c r="AV61" s="261">
        <f>'retraites SA Nb'!$EL61/'retraites SA Nb'!$EI61-1</f>
        <v>1.0533323470671707E-3</v>
      </c>
      <c r="AW61" s="261">
        <f>'retraites SA Nb'!$EO61/'retraites SA Nb'!$EL61-1</f>
        <v>1.7320316494793264E-3</v>
      </c>
      <c r="AX61" s="261">
        <f>'retraites SA Nb'!$ER61/'retraites SA Nb'!$EO61-1</f>
        <v>2.7121684660255996E-2</v>
      </c>
      <c r="AY61" s="261">
        <f>'retraites SA Nb'!$EU61/'retraites SA Nb'!$ER61-1</f>
        <v>4.1969612966052949E-3</v>
      </c>
      <c r="AZ61" s="261">
        <f>'retraites SA Nb'!$EX61/'retraites SA Nb'!$EU61-1</f>
        <v>-2.287381640300945E-2</v>
      </c>
      <c r="BA61" s="261">
        <f>'retraites SA Nb'!$FA61/'retraites SA Nb'!$EX61-1</f>
        <v>1.0217405306025551E-3</v>
      </c>
      <c r="BB61" s="299">
        <f>'retraites SA Nb'!$FD61/'retraites SA Nb'!$FA61-1</f>
        <v>-7.4872939453620724E-3</v>
      </c>
      <c r="BC61" s="299">
        <f>'retraites SA Nb'!$FG61/'retraites SA Nb'!$FD61-1</f>
        <v>0</v>
      </c>
      <c r="BD61" s="299">
        <f>'retraites SA Nb'!$FJ61/'retraites SA Nb'!$FG61-1</f>
        <v>1.7261509930694974E-3</v>
      </c>
      <c r="BE61" s="299">
        <f>'retraites SA Nb'!$FM61/'retraites SA Nb'!$FJ61-1</f>
        <v>4.072722889563507E-2</v>
      </c>
      <c r="BF61" s="299">
        <f>'retraites SA Nb'!$FP61/'retraites SA Nb'!$FM61-1</f>
        <v>1.7078622698685209E-3</v>
      </c>
      <c r="BG61" s="299">
        <f>'retraites SA Nb'!$FS61/'retraites SA Nb'!$FP61-1</f>
        <v>9.9669343261652443E-3</v>
      </c>
      <c r="BH61" s="299">
        <f>'retraites SA Nb'!$FV61/'retraites SA Nb'!$FS61-1</f>
        <v>1.0809490893441964E-3</v>
      </c>
      <c r="BI61" s="299">
        <f>'retraites SA Nb'!$FY61/'retraites SA Nb'!$FV61-1</f>
        <v>2.0137698923006209E-3</v>
      </c>
      <c r="BJ61" s="299">
        <f>'retraites SA Nb'!$GB61/'retraites SA Nb'!$FY61-1</f>
        <v>1.7966445539652209E-3</v>
      </c>
      <c r="BK61" s="299">
        <f>'retraites SA Nb'!$GE61/'retraites SA Nb'!$GB61-1</f>
        <v>5.505190738991339E-2</v>
      </c>
      <c r="BL61" s="299">
        <f>'retraites SA Nb'!$GH61/'retraites SA Nb'!$GE61-1</f>
        <v>1.6724880874019465E-3</v>
      </c>
      <c r="BM61" s="299">
        <f>'retraites SA Nb'!$GK61/'retraites SA Nb'!$GH61-1</f>
        <v>7.9366679933956519E-4</v>
      </c>
      <c r="BN61" s="299">
        <f>'retraites SA Nb'!$GN61/'retraites SA Nb'!$GK61-1</f>
        <v>4.1652754810082016E-3</v>
      </c>
    </row>
    <row r="62" spans="1:66" x14ac:dyDescent="0.25">
      <c r="A62" s="39" t="s">
        <v>4</v>
      </c>
      <c r="C62" s="72">
        <f>'retraites SA Nb'!$G62/'retraites SA Nb'!$D62-1</f>
        <v>1.6049823567132471E-3</v>
      </c>
      <c r="D62" s="72">
        <f>'retraites SA Nb'!$J62/'retraites SA Nb'!$G62-1</f>
        <v>1.17458990941397E-2</v>
      </c>
      <c r="E62" s="72">
        <f>'retraites SA Nb'!$M62/'retraites SA Nb'!$J62-1</f>
        <v>1.0609235339362755E-3</v>
      </c>
      <c r="F62" s="72">
        <f>'retraites SA Nb'!$P62/'retraites SA Nb'!$M62-1</f>
        <v>1.6161937312879626E-3</v>
      </c>
      <c r="G62" s="72">
        <f>'retraites SA Nb'!$S62/'retraites SA Nb'!$P62-1</f>
        <v>2.1464092990914896E-3</v>
      </c>
      <c r="H62" s="72">
        <f>'retraites SA Nb'!$V62/'retraites SA Nb'!$S62-1</f>
        <v>8.7293926001901223E-3</v>
      </c>
      <c r="I62" s="72">
        <f>'retraites SA Nb'!$Y62/'retraites SA Nb'!$V62-1</f>
        <v>9.8313714202391544E-4</v>
      </c>
      <c r="J62" s="72">
        <f>'retraites SA Nb'!$AB62/'retraites SA Nb'!$Y62-1</f>
        <v>-1.4191071575275771E-4</v>
      </c>
      <c r="K62" s="72">
        <f>'retraites SA Nb'!$AE62/'retraites SA Nb'!$AB62-1</f>
        <v>3.2868198523905434E-4</v>
      </c>
      <c r="L62" s="72">
        <f>'retraites SA Nb'!$AH62/'retraites SA Nb'!$AE62-1</f>
        <v>2.0337983153115635E-2</v>
      </c>
      <c r="M62" s="72">
        <f>'retraites SA Nb'!$AK62/'retraites SA Nb'!$AH62-1</f>
        <v>0</v>
      </c>
      <c r="N62" s="72">
        <f>'retraites SA Nb'!$AN62/'retraites SA Nb'!$AK62-1</f>
        <v>1.3027361117718961E-3</v>
      </c>
      <c r="O62" s="72">
        <f>'retraites SA Nb'!$AQ62/'retraites SA Nb'!$AN62-1</f>
        <v>9.0268869665632856E-4</v>
      </c>
      <c r="P62" s="72">
        <f>'retraites SA Nb'!$AT62/'retraites SA Nb'!$AQ62-1</f>
        <v>2.1980910929843667E-2</v>
      </c>
      <c r="Q62" s="72">
        <f>'retraites SA Nb'!$AW62/'retraites SA Nb'!$AT62-1</f>
        <v>1.6506248794185829E-3</v>
      </c>
      <c r="R62" s="72">
        <f>'retraites SA Nb'!$AZ62/'retraites SA Nb'!$AW62-1</f>
        <v>8.2038550985186198E-4</v>
      </c>
      <c r="S62" s="72">
        <f>'retraites SA Nb'!$BC62/'retraites SA Nb'!$AZ62-1</f>
        <v>1.7499091187727078E-3</v>
      </c>
      <c r="T62" s="72">
        <f>'retraites SA Nb'!$BF62/'retraites SA Nb'!$BC62-1</f>
        <v>1.3231249799876998E-2</v>
      </c>
      <c r="U62" s="72">
        <f>'retraites SA Nb'!$BI62/'retraites SA Nb'!$BF62-1</f>
        <v>1.96280846641117E-3</v>
      </c>
      <c r="V62" s="72">
        <f>'retraites SA Nb'!$BL62/'retraites SA Nb'!$BI62-1</f>
        <v>8.4105762996955491E-4</v>
      </c>
      <c r="W62" s="72">
        <f>'retraites SA Nb'!$BO62/'retraites SA Nb'!$BL62-1</f>
        <v>1.2570248078573876E-3</v>
      </c>
      <c r="X62" s="72">
        <f>'retraites SA Nb'!$BR62/'retraites SA Nb'!$BO62-1</f>
        <v>1.5387090231295808E-3</v>
      </c>
      <c r="Y62" s="72">
        <f>'retraites SA Nb'!$BU62/'retraites SA Nb'!$BR62-1</f>
        <v>1.6620459925835718E-3</v>
      </c>
      <c r="Z62" s="72">
        <f>'retraites SA Nb'!$BX62/'retraites SA Nb'!$BU62-1</f>
        <v>1.3525290201137352E-3</v>
      </c>
      <c r="AA62" s="72">
        <f>'retraites SA Nb'!$CA62/'retraites SA Nb'!$BX62-1</f>
        <v>1.1209435420425073E-3</v>
      </c>
      <c r="AB62" s="72">
        <f>'retraites SA Nb'!$CG62/'retraites SA Nb'!$CA62-1</f>
        <v>-1.982057166701745E-4</v>
      </c>
      <c r="AC62" s="72">
        <f>'retraites SA Nb'!$CG62/'retraites SA Nb'!$CG62-1</f>
        <v>0</v>
      </c>
      <c r="AD62" s="72">
        <f>'retraites SA Nb'!$CJ62/'retraites SA Nb'!$CG62-1</f>
        <v>3.4710266656927669E-3</v>
      </c>
      <c r="AE62" s="72">
        <f>'retraites SA Nb'!$CM62/'retraites SA Nb'!$CJ62-1</f>
        <v>1.3933127917897803E-3</v>
      </c>
      <c r="AF62" s="72">
        <f>'retraites SA Nb'!$CS62/'retraites SA Nb'!$CM62-1</f>
        <v>1.5575084018926155E-3</v>
      </c>
      <c r="AG62" s="72">
        <f>'retraites SA Nb'!$CS62/'retraites SA Nb'!$CP62-1</f>
        <v>1.3426302403238832E-3</v>
      </c>
      <c r="AH62" s="72">
        <f>'retraites SA Nb'!$CV62/'retraites SA Nb'!$CS62-1</f>
        <v>1.4134006973698376E-3</v>
      </c>
      <c r="AI62" s="72">
        <f>'retraites SA Nb'!$CY62/'retraites SA Nb'!$CV62-1</f>
        <v>-4.8312179500520358E-5</v>
      </c>
      <c r="AJ62" s="72">
        <f>'retraites SA Nb'!$DB62/'retraites SA Nb'!$CY62-1</f>
        <v>-7.9373843902663666E-5</v>
      </c>
      <c r="AK62" s="72">
        <f>'retraites SA Nb'!$DE62/'retraites SA Nb'!$DB62-1</f>
        <v>-7.1442130148913208E-4</v>
      </c>
      <c r="AL62" s="72">
        <f>'retraites SA Nb'!$DH62/'retraites SA Nb'!$DE62-1</f>
        <v>8.8900247981265057E-3</v>
      </c>
      <c r="AM62" s="72">
        <f>'retraites SA Nb'!$DK62/'retraites SA Nb'!$DH62-1</f>
        <v>1.4720381223640722E-3</v>
      </c>
      <c r="AN62" s="72">
        <f>'retraites SA Nb'!$DN62/'retraites SA Nb'!$DK62-1</f>
        <v>-9.7421908649009126E-4</v>
      </c>
      <c r="AO62" s="72">
        <f>'retraites SA Nb'!$DQ62/'retraites SA Nb'!$DN62-1</f>
        <v>2.5662345127752673E-4</v>
      </c>
      <c r="AP62" s="72">
        <f>'retraites SA Nb'!$DT62/'retraites SA Nb'!$DQ62-1</f>
        <v>1.7138048520175531E-3</v>
      </c>
      <c r="AQ62" s="72">
        <f>'retraites SA Nb'!$DW62/'retraites SA Nb'!$DT62-1</f>
        <v>2.5475270888184465E-3</v>
      </c>
      <c r="AR62" s="274">
        <f>'retraites SA Nb'!$DZ62/'retraites SA Nb'!$DW62-1</f>
        <v>-6.1993534959936536E-4</v>
      </c>
      <c r="AS62" s="261">
        <f>'retraites SA Nb'!$EC62/'retraites SA Nb'!$DZ62-1</f>
        <v>1.9291267463539263E-3</v>
      </c>
      <c r="AT62" s="261">
        <f>'retraites SA Nb'!$EC62/'retraites SA Nb'!$DZ62-1</f>
        <v>1.9291267463539263E-3</v>
      </c>
      <c r="AU62" s="261">
        <f>'retraites SA Nb'!$EF62/'retraites SA Nb'!$EC62-1</f>
        <v>2.7214309283873916E-5</v>
      </c>
      <c r="AV62" s="261">
        <f>'retraites SA Nb'!$EL62/'retraites SA Nb'!$EI62-1</f>
        <v>3.1523784746272376E-3</v>
      </c>
      <c r="AW62" s="261">
        <f>'retraites SA Nb'!$EO62/'retraites SA Nb'!$EL62-1</f>
        <v>1.3607275176827915E-3</v>
      </c>
      <c r="AX62" s="261">
        <f>'retraites SA Nb'!$ER62/'retraites SA Nb'!$EO62-1</f>
        <v>3.9747194790517471E-2</v>
      </c>
      <c r="AY62" s="261">
        <f>'retraites SA Nb'!$EU62/'retraites SA Nb'!$ER62-1</f>
        <v>4.1051885831113744E-3</v>
      </c>
      <c r="AZ62" s="261">
        <f>'retraites SA Nb'!$EX62/'retraites SA Nb'!$EU62-1</f>
        <v>-3.4166693514610658E-2</v>
      </c>
      <c r="BA62" s="261">
        <f>'retraites SA Nb'!$FA62/'retraites SA Nb'!$EX62-1</f>
        <v>1.1274746901945853E-3</v>
      </c>
      <c r="BB62" s="299">
        <f>'retraites SA Nb'!$FD62/'retraites SA Nb'!$FA62-1</f>
        <v>-5.522587014860636E-3</v>
      </c>
      <c r="BC62" s="299">
        <f>'retraites SA Nb'!$FG62/'retraites SA Nb'!$FD62-1</f>
        <v>0</v>
      </c>
      <c r="BD62" s="299">
        <f>'retraites SA Nb'!$FJ62/'retraites SA Nb'!$FG62-1</f>
        <v>9.7850863944937139E-4</v>
      </c>
      <c r="BE62" s="299">
        <f>'retraites SA Nb'!$FM62/'retraites SA Nb'!$FJ62-1</f>
        <v>3.9215172409541532E-2</v>
      </c>
      <c r="BF62" s="299">
        <f>'retraites SA Nb'!$FP62/'retraites SA Nb'!$FM62-1</f>
        <v>1.5755344878829458E-3</v>
      </c>
      <c r="BG62" s="299">
        <f>'retraites SA Nb'!$FS62/'retraites SA Nb'!$FP62-1</f>
        <v>7.0315985473401454E-3</v>
      </c>
      <c r="BH62" s="299">
        <f>'retraites SA Nb'!$FV62/'retraites SA Nb'!$FS62-1</f>
        <v>2.6142483166966546E-3</v>
      </c>
      <c r="BI62" s="299">
        <f>'retraites SA Nb'!$FY62/'retraites SA Nb'!$FV62-1</f>
        <v>4.5742527754399909E-4</v>
      </c>
      <c r="BJ62" s="299">
        <f>'retraites SA Nb'!$GB62/'retraites SA Nb'!$FY62-1</f>
        <v>1.2240138130148459E-3</v>
      </c>
      <c r="BK62" s="299">
        <f>'retraites SA Nb'!$GE62/'retraites SA Nb'!$GB62-1</f>
        <v>5.5530306157429932E-2</v>
      </c>
      <c r="BL62" s="299">
        <f>'retraites SA Nb'!$GH62/'retraites SA Nb'!$GE62-1</f>
        <v>9.2512356394136575E-4</v>
      </c>
      <c r="BM62" s="299">
        <f>'retraites SA Nb'!$GK62/'retraites SA Nb'!$GH62-1</f>
        <v>-7.1817228505133279E-5</v>
      </c>
      <c r="BN62" s="299">
        <f>'retraites SA Nb'!$GN62/'retraites SA Nb'!$GK62-1</f>
        <v>1.418361087987785E-2</v>
      </c>
    </row>
    <row r="63" spans="1:66" ht="12" thickBot="1" x14ac:dyDescent="0.3">
      <c r="A63" s="40" t="s">
        <v>5</v>
      </c>
      <c r="C63" s="72">
        <f>'retraites SA Nb'!$G63/'retraites SA Nb'!$D63-1</f>
        <v>2.4098906530154451E-3</v>
      </c>
      <c r="D63" s="72">
        <f>'retraites SA Nb'!$J63/'retraites SA Nb'!$G63-1</f>
        <v>1.3488855858546867E-2</v>
      </c>
      <c r="E63" s="72">
        <f>'retraites SA Nb'!$M63/'retraites SA Nb'!$J63-1</f>
        <v>2.5780609146788258E-3</v>
      </c>
      <c r="F63" s="72">
        <f>'retraites SA Nb'!$P63/'retraites SA Nb'!$M63-1</f>
        <v>1.8913835789653444E-3</v>
      </c>
      <c r="G63" s="72">
        <f>'retraites SA Nb'!$S63/'retraites SA Nb'!$P63-1</f>
        <v>3.0190867085944095E-3</v>
      </c>
      <c r="H63" s="72">
        <f>'retraites SA Nb'!$V63/'retraites SA Nb'!$S63-1</f>
        <v>1.2515816594471207E-2</v>
      </c>
      <c r="I63" s="72">
        <f>'retraites SA Nb'!$Y63/'retraites SA Nb'!$V63-1</f>
        <v>2.544626695257568E-3</v>
      </c>
      <c r="J63" s="72">
        <f>'retraites SA Nb'!$AB63/'retraites SA Nb'!$Y63-1</f>
        <v>2.732610424196924E-3</v>
      </c>
      <c r="K63" s="72">
        <f>'retraites SA Nb'!$AE63/'retraites SA Nb'!$AB63-1</f>
        <v>2.898299802624793E-3</v>
      </c>
      <c r="L63" s="72">
        <f>'retraites SA Nb'!$AH63/'retraites SA Nb'!$AE63-1</f>
        <v>2.4704188490713985E-2</v>
      </c>
      <c r="M63" s="72">
        <f>'retraites SA Nb'!$AK63/'retraites SA Nb'!$AH63-1</f>
        <v>-6.7726479368701575E-4</v>
      </c>
      <c r="N63" s="72">
        <f>'retraites SA Nb'!$AN63/'retraites SA Nb'!$AK63-1</f>
        <v>4.0056510700281489E-3</v>
      </c>
      <c r="O63" s="72">
        <f>'retraites SA Nb'!$AQ63/'retraites SA Nb'!$AN63-1</f>
        <v>2.7873955986015275E-3</v>
      </c>
      <c r="P63" s="72">
        <f>'retraites SA Nb'!$AT63/'retraites SA Nb'!$AQ63-1</f>
        <v>2.3992042840063288E-2</v>
      </c>
      <c r="Q63" s="72">
        <f>'retraites SA Nb'!$AW63/'retraites SA Nb'!$AT63-1</f>
        <v>2.0113617409562856E-3</v>
      </c>
      <c r="R63" s="72">
        <f>'retraites SA Nb'!$AZ63/'retraites SA Nb'!$AW63-1</f>
        <v>2.4675400975264772E-3</v>
      </c>
      <c r="S63" s="72">
        <f>'retraites SA Nb'!$BC63/'retraites SA Nb'!$AZ63-1</f>
        <v>3.4740536703850022E-3</v>
      </c>
      <c r="T63" s="72">
        <f>'retraites SA Nb'!$BF63/'retraites SA Nb'!$BC63-1</f>
        <v>1.6320518103445369E-2</v>
      </c>
      <c r="U63" s="72">
        <f>'retraites SA Nb'!$BI63/'retraites SA Nb'!$BF63-1</f>
        <v>3.3521586305313988E-3</v>
      </c>
      <c r="V63" s="72">
        <f>'retraites SA Nb'!$BL63/'retraites SA Nb'!$BI63-1</f>
        <v>2.5932207164924836E-3</v>
      </c>
      <c r="W63" s="72">
        <f>'retraites SA Nb'!$BO63/'retraites SA Nb'!$BL63-1</f>
        <v>2.7198060273694313E-3</v>
      </c>
      <c r="X63" s="72">
        <f>'retraites SA Nb'!$BR63/'retraites SA Nb'!$BO63-1</f>
        <v>2.889670299063285E-3</v>
      </c>
      <c r="Y63" s="72">
        <f>'retraites SA Nb'!$BU63/'retraites SA Nb'!$BR63-1</f>
        <v>2.8182260008964288E-3</v>
      </c>
      <c r="Z63" s="72">
        <f>'retraites SA Nb'!$BX63/'retraites SA Nb'!$BU63-1</f>
        <v>2.246985923294087E-3</v>
      </c>
      <c r="AA63" s="72">
        <f>'retraites SA Nb'!$CA63/'retraites SA Nb'!$BX63-1</f>
        <v>2.8102853303104691E-3</v>
      </c>
      <c r="AB63" s="72">
        <f>'retraites SA Nb'!$CG63/'retraites SA Nb'!$CA63-1</f>
        <v>5.0756494075798742E-3</v>
      </c>
      <c r="AC63" s="72">
        <f>'retraites SA Nb'!$CG63/'retraites SA Nb'!$CG63-1</f>
        <v>0</v>
      </c>
      <c r="AD63" s="72">
        <f>'retraites SA Nb'!$CJ63/'retraites SA Nb'!$CG63-1</f>
        <v>2.7508730828782468E-3</v>
      </c>
      <c r="AE63" s="72">
        <f>'retraites SA Nb'!$CM63/'retraites SA Nb'!$CJ63-1</f>
        <v>2.6998309887160676E-3</v>
      </c>
      <c r="AF63" s="72">
        <f>'retraites SA Nb'!$CS63/'retraites SA Nb'!$CM63-1</f>
        <v>4.9234525517365402E-3</v>
      </c>
      <c r="AG63" s="72">
        <f>'retraites SA Nb'!$CS63/'retraites SA Nb'!$CP63-1</f>
        <v>2.4696242400266133E-3</v>
      </c>
      <c r="AH63" s="72">
        <f>'retraites SA Nb'!$CV63/'retraites SA Nb'!$CS63-1</f>
        <v>1.5663059229795717E-3</v>
      </c>
      <c r="AI63" s="72">
        <f>'retraites SA Nb'!$CY63/'retraites SA Nb'!$CV63-1</f>
        <v>2.4720014284043135E-3</v>
      </c>
      <c r="AJ63" s="72">
        <f>'retraites SA Nb'!$DB63/'retraites SA Nb'!$CY63-1</f>
        <v>2.0175592139810572E-3</v>
      </c>
      <c r="AK63" s="72">
        <f>'retraites SA Nb'!$DE63/'retraites SA Nb'!$DB63-1</f>
        <v>1.6641229796074963E-3</v>
      </c>
      <c r="AL63" s="72">
        <f>'retraites SA Nb'!$DH63/'retraites SA Nb'!$DE63-1</f>
        <v>9.1267619423511803E-3</v>
      </c>
      <c r="AM63" s="72">
        <f>'retraites SA Nb'!$DK63/'retraites SA Nb'!$DH63-1</f>
        <v>1.8191520325991917E-3</v>
      </c>
      <c r="AN63" s="72">
        <f>'retraites SA Nb'!$DN63/'retraites SA Nb'!$DK63-1</f>
        <v>1.8430864586107543E-3</v>
      </c>
      <c r="AO63" s="72">
        <f>'retraites SA Nb'!$DQ63/'retraites SA Nb'!$DN63-1</f>
        <v>1.1207341866219522E-3</v>
      </c>
      <c r="AP63" s="72">
        <f>'retraites SA Nb'!$DT63/'retraites SA Nb'!$DQ63-1</f>
        <v>1.3457894292163708E-3</v>
      </c>
      <c r="AQ63" s="72">
        <f>'retraites SA Nb'!$DW63/'retraites SA Nb'!$DT63-1</f>
        <v>4.8304957058913356E-3</v>
      </c>
      <c r="AR63" s="274">
        <f>'retraites SA Nb'!$DZ63/'retraites SA Nb'!$DW63-1</f>
        <v>1.4064950682703969E-3</v>
      </c>
      <c r="AS63" s="261">
        <f>'retraites SA Nb'!$EC63/'retraites SA Nb'!$DZ63-1</f>
        <v>1.1948898245699446E-3</v>
      </c>
      <c r="AT63" s="261">
        <f>'retraites SA Nb'!$EC63/'retraites SA Nb'!$DZ63-1</f>
        <v>1.1948898245699446E-3</v>
      </c>
      <c r="AU63" s="261">
        <f>'retraites SA Nb'!$EF63/'retraites SA Nb'!$EC63-1</f>
        <v>9.8109302137761034E-4</v>
      </c>
      <c r="AV63" s="261">
        <f>'retraites SA Nb'!$EL63/'retraites SA Nb'!$EI63-1</f>
        <v>1.1189201381880398E-3</v>
      </c>
      <c r="AW63" s="261">
        <f>'retraites SA Nb'!$EO63/'retraites SA Nb'!$EL63-1</f>
        <v>1.7343148270576592E-3</v>
      </c>
      <c r="AX63" s="261">
        <f>'retraites SA Nb'!$ER63/'retraites SA Nb'!$EO63-1</f>
        <v>1.287385984953815E-3</v>
      </c>
      <c r="AY63" s="261">
        <f>'retraites SA Nb'!$EU63/'retraites SA Nb'!$ER63-1</f>
        <v>5.145878715687946E-3</v>
      </c>
      <c r="AZ63" s="261">
        <f>'retraites SA Nb'!$EX63/'retraites SA Nb'!$EU63-1</f>
        <v>1.4467609609787324E-3</v>
      </c>
      <c r="BA63" s="261">
        <f>'retraites SA Nb'!$FA63/'retraites SA Nb'!$EX63-1</f>
        <v>1.0218403697417333E-3</v>
      </c>
      <c r="BB63" s="299">
        <f>'retraites SA Nb'!$FD63/'retraites SA Nb'!$FA63-1</f>
        <v>-7.5535433559971166E-3</v>
      </c>
      <c r="BC63" s="299">
        <f>'retraites SA Nb'!$FG63/'retraites SA Nb'!$FD63-1</f>
        <v>0</v>
      </c>
      <c r="BD63" s="299">
        <f>'retraites SA Nb'!$FJ63/'retraites SA Nb'!$FG63-1</f>
        <v>1.7411854010165317E-3</v>
      </c>
      <c r="BE63" s="299">
        <f>'retraites SA Nb'!$FM63/'retraites SA Nb'!$FJ63-1</f>
        <v>4.0726919854564558E-2</v>
      </c>
      <c r="BF63" s="299">
        <f>'retraites SA Nb'!$FP63/'retraites SA Nb'!$FM63-1</f>
        <v>1.7138231235673818E-3</v>
      </c>
      <c r="BG63" s="299">
        <f>'retraites SA Nb'!$FS63/'retraites SA Nb'!$FP63-1</f>
        <v>9.9511569446024684E-3</v>
      </c>
      <c r="BH63" s="299">
        <f>'retraites SA Nb'!$FV63/'retraites SA Nb'!$FS63-1</f>
        <v>1.1342575341894978E-3</v>
      </c>
      <c r="BI63" s="299">
        <f>'retraites SA Nb'!$FY63/'retraites SA Nb'!$FV63-1</f>
        <v>1.999378384071937E-3</v>
      </c>
      <c r="BJ63" s="299">
        <f>'retraites SA Nb'!$GB63/'retraites SA Nb'!$FY63-1</f>
        <v>1.7784972909928864E-3</v>
      </c>
      <c r="BK63" s="299">
        <f>'retraites SA Nb'!$GE63/'retraites SA Nb'!$GB63-1</f>
        <v>5.5059787393524795E-2</v>
      </c>
      <c r="BL63" s="299">
        <f>'retraites SA Nb'!$GH63/'retraites SA Nb'!$GE63-1</f>
        <v>1.6597769901143256E-3</v>
      </c>
      <c r="BM63" s="299">
        <f>'retraites SA Nb'!$GK63/'retraites SA Nb'!$GH63-1</f>
        <v>7.7303105621862045E-4</v>
      </c>
      <c r="BN63" s="299">
        <f>'retraites SA Nb'!$GN63/'retraites SA Nb'!$GK63-1</f>
        <v>4.3742304035143675E-3</v>
      </c>
    </row>
    <row r="64" spans="1:66" x14ac:dyDescent="0.25">
      <c r="A64" s="3"/>
      <c r="Q64" s="76"/>
    </row>
    <row r="65" spans="1:17" ht="12" thickBot="1" x14ac:dyDescent="0.3">
      <c r="Q65" s="76"/>
    </row>
    <row r="66" spans="1:17" ht="12" thickBot="1" x14ac:dyDescent="0.3">
      <c r="A66" s="184"/>
      <c r="B66" s="444"/>
      <c r="C66" s="445"/>
      <c r="D66" s="446"/>
      <c r="Q66" s="76"/>
    </row>
    <row r="67" spans="1:17" ht="12" thickBot="1" x14ac:dyDescent="0.3">
      <c r="A67" s="453" t="str">
        <f>'retraites SA Nb'!A67</f>
        <v>Nombre de retraités anticipés</v>
      </c>
      <c r="B67" s="454"/>
      <c r="C67" s="455"/>
      <c r="L67" s="77" t="s">
        <v>113</v>
      </c>
      <c r="M67" s="77"/>
      <c r="Q67" s="76"/>
    </row>
    <row r="68" spans="1:17" x14ac:dyDescent="0.25">
      <c r="B68" s="4" t="s">
        <v>36</v>
      </c>
      <c r="C68" s="4" t="s">
        <v>71</v>
      </c>
      <c r="D68" s="4" t="s">
        <v>72</v>
      </c>
      <c r="Q68" s="76"/>
    </row>
    <row r="69" spans="1:17" ht="12" thickBot="1" x14ac:dyDescent="0.3">
      <c r="B69" s="4">
        <v>39904</v>
      </c>
      <c r="C69" s="4">
        <v>0.01</v>
      </c>
      <c r="D69" s="4">
        <f>($C69-D30)*100</f>
        <v>2.0184565609037385E-2</v>
      </c>
      <c r="E69" s="57">
        <f>($C69-E30)*100</f>
        <v>1.0983051464564566</v>
      </c>
      <c r="F69" s="57">
        <f>($C69-F30)*100</f>
        <v>1.2368934161852798</v>
      </c>
      <c r="G69" s="57">
        <f>($C69-G30)*100</f>
        <v>1.0547975231519615</v>
      </c>
      <c r="H69" s="57"/>
      <c r="I69" s="57"/>
      <c r="J69" s="57"/>
      <c r="K69" s="57"/>
      <c r="L69" s="57"/>
      <c r="M69" s="57"/>
      <c r="N69" s="57"/>
      <c r="O69" s="94"/>
      <c r="P69" s="100"/>
      <c r="Q69" s="100"/>
    </row>
    <row r="70" spans="1:17" ht="12" thickBot="1" x14ac:dyDescent="0.3">
      <c r="A70" s="184"/>
      <c r="B70" s="444">
        <v>40269</v>
      </c>
      <c r="C70" s="445">
        <v>8.9999999999999993E-3</v>
      </c>
      <c r="D70" s="446"/>
      <c r="E70" s="57"/>
      <c r="F70" s="57"/>
      <c r="G70" s="57"/>
      <c r="H70" s="57">
        <f>($C70-H30)*100</f>
        <v>-0.60227534404299155</v>
      </c>
      <c r="I70" s="57">
        <f>($C70-I30)*100</f>
        <v>0.92340697527862803</v>
      </c>
      <c r="J70" s="57">
        <f>($C70-J30)*100</f>
        <v>1.7446493534560286</v>
      </c>
      <c r="K70" s="57">
        <f>($C70-K30)*100</f>
        <v>0.894551101585638</v>
      </c>
      <c r="L70" s="57"/>
      <c r="M70" s="57"/>
      <c r="N70" s="57"/>
      <c r="O70" s="94"/>
      <c r="P70" s="100"/>
      <c r="Q70" s="100"/>
    </row>
    <row r="71" spans="1:17" ht="12" thickBot="1" x14ac:dyDescent="0.3">
      <c r="A71" s="456" t="str">
        <f>'retraites SA Nb'!A71</f>
        <v>Durée moyenne de carrière SA parmi les droits personnels (retraités ayant validés des trimestres dans un autre régime)</v>
      </c>
      <c r="B71" s="457">
        <v>40634</v>
      </c>
      <c r="C71" s="458">
        <v>2.1000000000000001E-2</v>
      </c>
      <c r="E71" s="57"/>
      <c r="F71" s="57"/>
      <c r="G71" s="57"/>
      <c r="H71" s="57"/>
      <c r="I71" s="57"/>
      <c r="J71" s="57"/>
      <c r="K71" s="57"/>
      <c r="L71" s="57">
        <f t="shared" ref="L71:Q71" si="154">($C71-L30)*100</f>
        <v>4.2244823828561581E-2</v>
      </c>
      <c r="M71" s="57">
        <f t="shared" si="154"/>
        <v>2.1177958108661059</v>
      </c>
      <c r="N71" s="57">
        <f t="shared" si="154"/>
        <v>2.5912518021465529</v>
      </c>
      <c r="O71" s="94">
        <f t="shared" si="154"/>
        <v>2.1160981630207392</v>
      </c>
      <c r="P71" s="100">
        <f t="shared" si="154"/>
        <v>-7.3601917778800055E-2</v>
      </c>
      <c r="Q71" s="100">
        <f t="shared" si="154"/>
        <v>2.1822929980915045</v>
      </c>
    </row>
    <row r="72" spans="1:17" ht="12" thickBot="1" x14ac:dyDescent="0.3">
      <c r="A72" s="167"/>
      <c r="B72" s="167">
        <v>41000</v>
      </c>
      <c r="C72" s="167"/>
    </row>
    <row r="73" spans="1:17" ht="12" thickBot="1" x14ac:dyDescent="0.3">
      <c r="A73" s="184"/>
      <c r="B73" s="444"/>
      <c r="C73" s="445"/>
      <c r="D73" s="446"/>
    </row>
    <row r="74" spans="1:17" ht="12" thickBot="1" x14ac:dyDescent="0.3">
      <c r="A74" s="459" t="str">
        <f>'retraites SA Nb'!A74</f>
        <v>Pensions moyennes annuelles des retraités ayant validés des trimestres dans un autre régime</v>
      </c>
      <c r="B74" s="460"/>
      <c r="C74" s="461"/>
    </row>
    <row r="75" spans="1:17" ht="12" thickBot="1" x14ac:dyDescent="0.3">
      <c r="A75" s="447" t="str">
        <f>'retraites SA Nb'!A75</f>
        <v>Pensions moyennes annuelles tous salariés DP</v>
      </c>
      <c r="B75" s="448"/>
      <c r="C75" s="449"/>
    </row>
    <row r="76" spans="1:17" x14ac:dyDescent="0.25">
      <c r="A76" s="3"/>
    </row>
    <row r="78" spans="1:17" x14ac:dyDescent="0.25">
      <c r="A78" s="4" t="str">
        <f>'retraites SA Nb'!A78</f>
        <v>Nombre d'individus</v>
      </c>
    </row>
    <row r="79" spans="1:17" x14ac:dyDescent="0.25">
      <c r="A79" s="4" t="str">
        <f>'retraites SA Nb'!A79</f>
        <v>Attrib DP et DR ( Int 10213)</v>
      </c>
    </row>
    <row r="80" spans="1:17" x14ac:dyDescent="0.25">
      <c r="A80" s="4" t="str">
        <f>'retraites SA Nb'!A80</f>
        <v>Attrib DP hors VFU</v>
      </c>
    </row>
    <row r="81" spans="1:66" x14ac:dyDescent="0.25">
      <c r="A81" s="4" t="str">
        <f>'retraites SA Nb'!A81</f>
        <v>Attrib DP y compris VFU</v>
      </c>
    </row>
    <row r="82" spans="1:66" x14ac:dyDescent="0.25">
      <c r="A82" s="3" t="str">
        <f>'retraites SA Nb'!A82</f>
        <v>Attrib DP+DR 60 ans</v>
      </c>
    </row>
    <row r="83" spans="1:66" x14ac:dyDescent="0.25">
      <c r="A83" s="3" t="str">
        <f>'retraites SA Nb'!A83</f>
        <v>% des 60 ans dans les attributions</v>
      </c>
    </row>
    <row r="84" spans="1:66" x14ac:dyDescent="0.25">
      <c r="A84" s="3"/>
    </row>
    <row r="85" spans="1:66" x14ac:dyDescent="0.25">
      <c r="A85" s="3" t="str">
        <f>'retraites SA Nb'!A85</f>
        <v>Nombre de droits</v>
      </c>
    </row>
    <row r="86" spans="1:66" x14ac:dyDescent="0.25">
      <c r="A86" s="3" t="str">
        <f>'retraites SA Nb'!A86</f>
        <v>Attributions (DP+DR) Int10262</v>
      </c>
    </row>
    <row r="87" spans="1:66" x14ac:dyDescent="0.25">
      <c r="A87" s="3" t="str">
        <f>'retraites SA Nb'!A87</f>
        <v>Attrib DP y c VFU( Int 10262)</v>
      </c>
    </row>
    <row r="88" spans="1:66" x14ac:dyDescent="0.25">
      <c r="A88" s="3" t="str">
        <f>'retraites SA Nb'!A88</f>
        <v>Attrib DP hors VFU (prg VFU et indic fin)</v>
      </c>
    </row>
    <row r="89" spans="1:66" x14ac:dyDescent="0.25">
      <c r="A89" s="4" t="str">
        <f>'retraites SA Nb'!A89</f>
        <v>Attrib DP y c VFU( Int 10262) 60 ans</v>
      </c>
    </row>
    <row r="90" spans="1:66" x14ac:dyDescent="0.25">
      <c r="A90" s="4" t="str">
        <f>'retraites SA Nb'!A90</f>
        <v>% des 60 ans dans les attributions</v>
      </c>
    </row>
    <row r="93" spans="1:66" x14ac:dyDescent="0.25">
      <c r="A93" s="388"/>
    </row>
    <row r="94" spans="1:66" x14ac:dyDescent="0.25">
      <c r="A94" s="3" t="str">
        <f>'retraites SA Nb'!A94</f>
        <v>Toute carrière - Nombre de pensionnés SA par type de droits</v>
      </c>
    </row>
    <row r="95" spans="1:66" x14ac:dyDescent="0.25">
      <c r="A95" s="184"/>
    </row>
    <row r="96" spans="1:66" ht="12" thickBot="1" x14ac:dyDescent="0.3">
      <c r="A96" s="3"/>
      <c r="BB96" s="133" t="str">
        <f t="shared" ref="BB96:BN96" si="155">BB$6</f>
        <v>4T 2021</v>
      </c>
      <c r="BC96" s="133" t="str">
        <f t="shared" si="155"/>
        <v>1T 2022</v>
      </c>
      <c r="BD96" s="133" t="str">
        <f t="shared" si="155"/>
        <v>2T 2022</v>
      </c>
      <c r="BE96" s="133" t="str">
        <f t="shared" si="155"/>
        <v>3T 2022</v>
      </c>
      <c r="BF96" s="133" t="str">
        <f t="shared" si="155"/>
        <v>4T 2022</v>
      </c>
      <c r="BG96" s="133" t="str">
        <f t="shared" si="155"/>
        <v>1T 2023</v>
      </c>
      <c r="BH96" s="133" t="str">
        <f t="shared" si="155"/>
        <v>2T 2023</v>
      </c>
      <c r="BI96" s="133" t="str">
        <f t="shared" si="155"/>
        <v>3T 2023</v>
      </c>
      <c r="BJ96" s="133" t="str">
        <f t="shared" si="155"/>
        <v>4T 2023</v>
      </c>
      <c r="BK96" s="133" t="str">
        <f t="shared" si="155"/>
        <v>1T 2024</v>
      </c>
      <c r="BL96" s="133" t="str">
        <f t="shared" si="155"/>
        <v>2T 2024</v>
      </c>
      <c r="BM96" s="133" t="str">
        <f t="shared" si="155"/>
        <v>3T 2024</v>
      </c>
      <c r="BN96" s="133" t="str">
        <f t="shared" si="155"/>
        <v>4T 2024</v>
      </c>
    </row>
    <row r="97" spans="1:66" x14ac:dyDescent="0.25">
      <c r="A97" s="38" t="str">
        <f>'retraites SA Nb'!A97</f>
        <v>Droits directs (=droits propres)</v>
      </c>
      <c r="BB97" s="261"/>
      <c r="BC97" s="261">
        <f>'retraites SA Nb'!FG97/'retraites SA Nb'!FD97-1</f>
        <v>-5.0601871742034232E-3</v>
      </c>
      <c r="BD97" s="261">
        <f>'retraites SA Nb'!FJ97/'retraites SA Nb'!FG97-1</f>
        <v>-5.1513149438868755E-3</v>
      </c>
      <c r="BE97" s="261">
        <f>'retraites SA Nb'!FM97/'retraites SA Nb'!FJ97-1</f>
        <v>-4.5127489123277797E-3</v>
      </c>
      <c r="BF97" s="261">
        <f>'retraites SA Nb'!FP97/'retraites SA Nb'!FM97-1</f>
        <v>-5.3198574237227625E-3</v>
      </c>
      <c r="BG97" s="261">
        <f>'retraites SA Nb'!FS97/'retraites SA Nb'!FP97-1</f>
        <v>-5.6121199358156737E-3</v>
      </c>
      <c r="BH97" s="261">
        <f>'retraites SA Nb'!FV97/'retraites SA Nb'!FS97-1</f>
        <v>-4.6418720337281227E-3</v>
      </c>
      <c r="BI97" s="261">
        <f>'retraites SA Nb'!FY97/'retraites SA Nb'!FV97-1</f>
        <v>-3.5967957816713803E-3</v>
      </c>
      <c r="BJ97" s="261">
        <f>'retraites SA Nb'!GB97/'retraites SA Nb'!FY97-1</f>
        <v>-4.3670149369783307E-3</v>
      </c>
      <c r="BK97" s="261">
        <f>'retraites SA Nb'!GE97/'retraites SA Nb'!GB97-1</f>
        <v>-6.013935966356021E-3</v>
      </c>
      <c r="BL97" s="261">
        <f>'retraites SA Nb'!GH97/'retraites SA Nb'!GE97-1</f>
        <v>-5.215390650056384E-3</v>
      </c>
      <c r="BM97" s="261">
        <f>'retraites SA Nb'!GK97/'retraites SA Nb'!GH97-1</f>
        <v>-4.406371674739562E-3</v>
      </c>
      <c r="BN97" s="261">
        <f>'retraites SA Nb'!GL97/'retraites SA Nb'!GI97-1</f>
        <v>-5.9359245405756766E-3</v>
      </c>
    </row>
    <row r="98" spans="1:66" x14ac:dyDescent="0.25">
      <c r="A98" s="39" t="str">
        <f>'retraites SA Nb'!A98</f>
        <v>Droits dérivés (=droits de réversion)</v>
      </c>
      <c r="BB98" s="261"/>
      <c r="BC98" s="261">
        <f>'retraites SA Nb'!FG98/'retraites SA Nb'!FD98-1</f>
        <v>-6.992696582663549E-3</v>
      </c>
      <c r="BD98" s="261">
        <f>'retraites SA Nb'!FJ98/'retraites SA Nb'!FG98-1</f>
        <v>-6.930185569836822E-3</v>
      </c>
      <c r="BE98" s="261">
        <f>'retraites SA Nb'!FM98/'retraites SA Nb'!FJ98-1</f>
        <v>-5.5411263205751293E-3</v>
      </c>
      <c r="BF98" s="261">
        <f>'retraites SA Nb'!FP98/'retraites SA Nb'!FM98-1</f>
        <v>-6.2871730805790227E-3</v>
      </c>
      <c r="BG98" s="261">
        <f>'retraites SA Nb'!FS98/'retraites SA Nb'!FP98-1</f>
        <v>-7.1757076635525774E-3</v>
      </c>
      <c r="BH98" s="261">
        <f>'retraites SA Nb'!FV98/'retraites SA Nb'!FS98-1</f>
        <v>-5.682956483173629E-3</v>
      </c>
      <c r="BI98" s="261">
        <f>'retraites SA Nb'!FY98/'retraites SA Nb'!FV98-1</f>
        <v>-3.360664688719428E-3</v>
      </c>
      <c r="BJ98" s="261">
        <f>'retraites SA Nb'!GB98/'retraites SA Nb'!FY98-1</f>
        <v>-1.2191659053309989E-3</v>
      </c>
      <c r="BK98" s="261">
        <f>'retraites SA Nb'!GE98/'retraites SA Nb'!GB98-1</f>
        <v>-8.1907434246918376E-3</v>
      </c>
      <c r="BL98" s="261">
        <f>'retraites SA Nb'!GH98/'retraites SA Nb'!GE98-1</f>
        <v>-7.5324080493166523E-3</v>
      </c>
      <c r="BM98" s="261">
        <f>'retraites SA Nb'!GK98/'retraites SA Nb'!GH98-1</f>
        <v>-6.0748000966944771E-3</v>
      </c>
      <c r="BN98" s="261">
        <f>'retraites SA Nb'!GL98/'retraites SA Nb'!GI98-1</f>
        <v>6.4886911383021939E-4</v>
      </c>
    </row>
    <row r="99" spans="1:66" x14ac:dyDescent="0.25">
      <c r="A99" s="39" t="str">
        <f>'retraites SA Nb'!A99</f>
        <v>Droits directs et droits dérivés</v>
      </c>
      <c r="BB99" s="261"/>
      <c r="BC99" s="261">
        <f>'retraites SA Nb'!FG99/'retraites SA Nb'!FD99-1</f>
        <v>-8.7564557607702209E-3</v>
      </c>
      <c r="BD99" s="261">
        <f>'retraites SA Nb'!FJ99/'retraites SA Nb'!FG99-1</f>
        <v>-8.6479841620389353E-3</v>
      </c>
      <c r="BE99" s="261">
        <f>'retraites SA Nb'!FM99/'retraites SA Nb'!FJ99-1</f>
        <v>-6.5173351020496595E-3</v>
      </c>
      <c r="BF99" s="261">
        <f>'retraites SA Nb'!FP99/'retraites SA Nb'!FM99-1</f>
        <v>-9.9562418815265508E-3</v>
      </c>
      <c r="BG99" s="261">
        <f>'retraites SA Nb'!FS99/'retraites SA Nb'!FP99-1</f>
        <v>-8.1433105379276061E-3</v>
      </c>
      <c r="BH99" s="261">
        <f>'retraites SA Nb'!FV99/'retraites SA Nb'!FS99-1</f>
        <v>-7.3898906296187006E-3</v>
      </c>
      <c r="BI99" s="261">
        <f>'retraites SA Nb'!FY99/'retraites SA Nb'!FV99-1</f>
        <v>-4.6605122096485818E-3</v>
      </c>
      <c r="BJ99" s="261">
        <f>'retraites SA Nb'!GB99/'retraites SA Nb'!FY99-1</f>
        <v>-5.4527503104103703E-3</v>
      </c>
      <c r="BK99" s="261">
        <f>'retraites SA Nb'!GE99/'retraites SA Nb'!GB99-1</f>
        <v>-7.0018425901553494E-3</v>
      </c>
      <c r="BL99" s="261">
        <f>'retraites SA Nb'!GH99/'retraites SA Nb'!GE99-1</f>
        <v>-8.2857445809412233E-3</v>
      </c>
      <c r="BM99" s="261">
        <f>'retraites SA Nb'!GK99/'retraites SA Nb'!GH99-1</f>
        <v>-7.0184817473651906E-3</v>
      </c>
      <c r="BN99" s="261">
        <f>'retraites SA Nb'!GL99/'retraites SA Nb'!GI99-1</f>
        <v>-4.2323219169162485E-3</v>
      </c>
    </row>
    <row r="100" spans="1:66" ht="12" thickBot="1" x14ac:dyDescent="0.3">
      <c r="A100" s="40" t="str">
        <f>'retraites SA Nb'!A100</f>
        <v>Ensemble</v>
      </c>
      <c r="BB100" s="261"/>
      <c r="BC100" s="261">
        <f>'retraites SA Nb'!FG100/'retraites SA Nb'!FD100-1</f>
        <v>-5.3986114281251441E-3</v>
      </c>
      <c r="BD100" s="261">
        <f>'retraites SA Nb'!FJ100/'retraites SA Nb'!FG100-1</f>
        <v>-5.456980349404672E-3</v>
      </c>
      <c r="BE100" s="261">
        <f>'retraites SA Nb'!FM100/'retraites SA Nb'!FJ100-1</f>
        <v>-4.6904266094143221E-3</v>
      </c>
      <c r="BF100" s="261">
        <f>'retraites SA Nb'!FP100/'retraites SA Nb'!FM100-1</f>
        <v>-5.3208250193159667E-3</v>
      </c>
      <c r="BG100" s="261">
        <f>'retraites SA Nb'!FS100/'retraites SA Nb'!FP100-1</f>
        <v>-5.9136923434823796E-3</v>
      </c>
      <c r="BH100" s="261">
        <f>'retraites SA Nb'!FV100/'retraites SA Nb'!FS100-1</f>
        <v>-4.7787765941886828E-3</v>
      </c>
      <c r="BI100" s="261">
        <f>'retraites SA Nb'!FY100/'retraites SA Nb'!FV100-1</f>
        <v>-3.4647935998404211E-3</v>
      </c>
      <c r="BJ100" s="261">
        <f>'retraites SA Nb'!GB100/'retraites SA Nb'!FY100-1</f>
        <v>-3.3905894718778695E-3</v>
      </c>
      <c r="BK100" s="261">
        <f>'retraites SA Nb'!GE100/'retraites SA Nb'!GB100-1</f>
        <v>-6.5867680802053075E-3</v>
      </c>
      <c r="BL100" s="261">
        <f>'retraites SA Nb'!GH100/'retraites SA Nb'!GE100-1</f>
        <v>-5.7037412859508585E-3</v>
      </c>
      <c r="BM100" s="261">
        <f>'retraites SA Nb'!GK100/'retraites SA Nb'!GH100-1</f>
        <v>-4.7336241210994556E-3</v>
      </c>
      <c r="BN100" s="261">
        <f>'retraites SA Nb'!GL100/'retraites SA Nb'!GI100-1</f>
        <v>-5.7536164892797448E-3</v>
      </c>
    </row>
    <row r="101" spans="1:66" x14ac:dyDescent="0.25">
      <c r="A101" s="3"/>
    </row>
    <row r="102" spans="1:66" x14ac:dyDescent="0.25">
      <c r="A102" s="3" t="str">
        <f>'retraites SA Nb'!A102</f>
        <v xml:space="preserve">Toute carrière - Pensions moyennes annuelles par type de droits </v>
      </c>
    </row>
    <row r="103" spans="1:66" x14ac:dyDescent="0.25">
      <c r="A103" s="187" t="str">
        <f>'retraites SA Nb'!A103</f>
        <v>(Montants Droits Propres, Droits Dérivés et avantages complémentaires)</v>
      </c>
    </row>
    <row r="104" spans="1:66" ht="12" thickBot="1" x14ac:dyDescent="0.3">
      <c r="A104" s="3"/>
      <c r="BB104" s="133" t="str">
        <f t="shared" ref="BB104:BN104" si="156">BB$6</f>
        <v>4T 2021</v>
      </c>
      <c r="BC104" s="133" t="str">
        <f t="shared" si="156"/>
        <v>1T 2022</v>
      </c>
      <c r="BD104" s="133" t="str">
        <f t="shared" si="156"/>
        <v>2T 2022</v>
      </c>
      <c r="BE104" s="133" t="str">
        <f t="shared" si="156"/>
        <v>3T 2022</v>
      </c>
      <c r="BF104" s="133" t="str">
        <f t="shared" si="156"/>
        <v>4T 2022</v>
      </c>
      <c r="BG104" s="133" t="str">
        <f t="shared" si="156"/>
        <v>1T 2023</v>
      </c>
      <c r="BH104" s="133" t="str">
        <f t="shared" si="156"/>
        <v>2T 2023</v>
      </c>
      <c r="BI104" s="133" t="str">
        <f t="shared" si="156"/>
        <v>3T 2023</v>
      </c>
      <c r="BJ104" s="133" t="str">
        <f t="shared" si="156"/>
        <v>4T 2023</v>
      </c>
      <c r="BK104" s="133" t="str">
        <f t="shared" si="156"/>
        <v>1T 2024</v>
      </c>
      <c r="BL104" s="133" t="str">
        <f t="shared" si="156"/>
        <v>2T 2024</v>
      </c>
      <c r="BM104" s="133" t="str">
        <f t="shared" si="156"/>
        <v>3T 2024</v>
      </c>
      <c r="BN104" s="133" t="str">
        <f t="shared" si="156"/>
        <v>4T 2024</v>
      </c>
    </row>
    <row r="105" spans="1:66" x14ac:dyDescent="0.25">
      <c r="A105" s="38" t="str">
        <f>'retraites SA Nb'!A105</f>
        <v>Droits directs (=droits propres)</v>
      </c>
      <c r="BB105" s="261"/>
      <c r="BC105" s="261">
        <f>'retraites SA Nb'!FG105/'retraites SA Nb'!FD105-1</f>
        <v>2.3920211635204858E-2</v>
      </c>
      <c r="BD105" s="261">
        <f>'retraites SA Nb'!FJ105/'retraites SA Nb'!FG105-1</f>
        <v>1.0210100415108281E-2</v>
      </c>
      <c r="BE105" s="261">
        <f>'retraites SA Nb'!FM105/'retraites SA Nb'!FJ105-1</f>
        <v>5.0843309157412531E-2</v>
      </c>
      <c r="BF105" s="261">
        <f>'retraites SA Nb'!FP105/'retraites SA Nb'!FM105-1</f>
        <v>9.7725957229846117E-3</v>
      </c>
      <c r="BG105" s="261">
        <f>'retraites SA Nb'!FS105/'retraites SA Nb'!FP105-1</f>
        <v>2.1881947203535423E-2</v>
      </c>
      <c r="BH105" s="261">
        <f>'retraites SA Nb'!FV105/'retraites SA Nb'!FS105-1</f>
        <v>1.0919410243764416E-2</v>
      </c>
      <c r="BI105" s="261">
        <f>'retraites SA Nb'!FY105/'retraites SA Nb'!FV105-1</f>
        <v>1.1781637190962702E-2</v>
      </c>
      <c r="BJ105" s="261">
        <f>'retraites SA Nb'!GB105/'retraites SA Nb'!FY105-1</f>
        <v>8.5274537195807465E-3</v>
      </c>
      <c r="BK105" s="261">
        <f>'retraites SA Nb'!GE105/'retraites SA Nb'!GB105-1</f>
        <v>6.5225911329772623E-2</v>
      </c>
      <c r="BL105" s="261">
        <f>'retraites SA Nb'!GH105/'retraites SA Nb'!GE105-1</f>
        <v>8.595486390571061E-3</v>
      </c>
      <c r="BM105" s="261">
        <f>'retraites SA Nb'!GK105/'retraites SA Nb'!GH105-1</f>
        <v>9.4973493123535757E-3</v>
      </c>
      <c r="BN105" s="261">
        <f>'retraites SA Nb'!GL105/'retraites SA Nb'!GI105-1</f>
        <v>1.6753186873132542E-2</v>
      </c>
    </row>
    <row r="106" spans="1:66" x14ac:dyDescent="0.25">
      <c r="A106" s="39" t="str">
        <f>'retraites SA Nb'!A106</f>
        <v>Droits dérivés (=droits de réversion)</v>
      </c>
      <c r="BB106" s="261"/>
      <c r="BC106" s="261">
        <f>'retraites SA Nb'!FG106/'retraites SA Nb'!FD106-1</f>
        <v>8.0514548478090031E-3</v>
      </c>
      <c r="BD106" s="261">
        <f>'retraites SA Nb'!FJ106/'retraites SA Nb'!FG106-1</f>
        <v>-4.1267856935401914E-3</v>
      </c>
      <c r="BE106" s="261">
        <f>'retraites SA Nb'!FM106/'retraites SA Nb'!FJ106-1</f>
        <v>3.7329616113405129E-2</v>
      </c>
      <c r="BF106" s="261">
        <f>'retraites SA Nb'!FP106/'retraites SA Nb'!FM106-1</f>
        <v>-2.0920841603523366E-3</v>
      </c>
      <c r="BG106" s="261">
        <f>'retraites SA Nb'!FS106/'retraites SA Nb'!FP106-1</f>
        <v>5.6551064367666992E-3</v>
      </c>
      <c r="BH106" s="261">
        <f>'retraites SA Nb'!FV106/'retraites SA Nb'!FS106-1</f>
        <v>-2.2510472620216326E-3</v>
      </c>
      <c r="BI106" s="261">
        <f>'retraites SA Nb'!FY106/'retraites SA Nb'!FV106-1</f>
        <v>-1.657403899299581E-3</v>
      </c>
      <c r="BJ106" s="261">
        <f>'retraites SA Nb'!GB106/'retraites SA Nb'!FY106-1</f>
        <v>-2.7067857600018286E-3</v>
      </c>
      <c r="BK106" s="261">
        <f>'retraites SA Nb'!GE106/'retraites SA Nb'!GB106-1</f>
        <v>5.2564736765866371E-2</v>
      </c>
      <c r="BL106" s="261">
        <f>'retraites SA Nb'!GH106/'retraites SA Nb'!GE106-1</f>
        <v>-1.7795509603588666E-3</v>
      </c>
      <c r="BM106" s="261">
        <f>'retraites SA Nb'!GK106/'retraites SA Nb'!GH106-1</f>
        <v>-6.4249537599714301E-4</v>
      </c>
      <c r="BN106" s="261">
        <f>'retraites SA Nb'!GL106/'retraites SA Nb'!GI106-1</f>
        <v>1.3330501264350758E-2</v>
      </c>
    </row>
    <row r="107" spans="1:66" x14ac:dyDescent="0.25">
      <c r="A107" s="39" t="str">
        <f>'retraites SA Nb'!A107</f>
        <v>Droits directs et droits dérivés</v>
      </c>
      <c r="BB107" s="261"/>
      <c r="BC107" s="261">
        <f>'retraites SA Nb'!FG107/'retraites SA Nb'!FD107-1</f>
        <v>9.936539608583761E-3</v>
      </c>
      <c r="BD107" s="261">
        <f>'retraites SA Nb'!FJ107/'retraites SA Nb'!FG107-1</f>
        <v>-1.6251514270140266E-3</v>
      </c>
      <c r="BE107" s="261">
        <f>'retraites SA Nb'!FM107/'retraites SA Nb'!FJ107-1</f>
        <v>3.9866811749166065E-2</v>
      </c>
      <c r="BF107" s="261">
        <f>'retraites SA Nb'!FP107/'retraites SA Nb'!FM107-1</f>
        <v>1.5177656271185835E-3</v>
      </c>
      <c r="BG107" s="261">
        <f>'retraites SA Nb'!FS107/'retraites SA Nb'!FP107-1</f>
        <v>8.0981809707889596E-3</v>
      </c>
      <c r="BH107" s="261">
        <f>'retraites SA Nb'!FV107/'retraites SA Nb'!FS107-1</f>
        <v>6.00566298887939E-4</v>
      </c>
      <c r="BI107" s="261">
        <f>'retraites SA Nb'!FY107/'retraites SA Nb'!FV107-1</f>
        <v>6.4698938368512593E-4</v>
      </c>
      <c r="BJ107" s="261">
        <f>'retraites SA Nb'!GB107/'retraites SA Nb'!FY107-1</f>
        <v>5.8923310894121173E-4</v>
      </c>
      <c r="BK107" s="261">
        <f>'retraites SA Nb'!GE107/'retraites SA Nb'!GB107-1</f>
        <v>5.424590823711406E-2</v>
      </c>
      <c r="BL107" s="261">
        <f>'retraites SA Nb'!GH107/'retraites SA Nb'!GE107-1</f>
        <v>7.4490701030627271E-4</v>
      </c>
      <c r="BM107" s="261">
        <f>'retraites SA Nb'!GK107/'retraites SA Nb'!GH107-1</f>
        <v>2.3220394816225731E-3</v>
      </c>
      <c r="BN107" s="261">
        <f>'retraites SA Nb'!GL107/'retraites SA Nb'!GI107-1</f>
        <v>1.911203157834529E-2</v>
      </c>
    </row>
    <row r="108" spans="1:66" ht="12" thickBot="1" x14ac:dyDescent="0.3">
      <c r="A108" s="40" t="str">
        <f>'retraites SA Nb'!A108</f>
        <v>Ensemble</v>
      </c>
      <c r="BB108" s="261"/>
      <c r="BC108" s="261">
        <f>'retraites SA Nb'!FG108/'retraites SA Nb'!FD108-1</f>
        <v>2.24161280986519E-2</v>
      </c>
      <c r="BD108" s="261">
        <f>'retraites SA Nb'!FJ108/'retraites SA Nb'!FG108-1</f>
        <v>8.8168190587416539E-3</v>
      </c>
      <c r="BE108" s="261">
        <f>'retraites SA Nb'!FM108/'retraites SA Nb'!FJ108-1</f>
        <v>4.9449406366906645E-2</v>
      </c>
      <c r="BF108" s="261">
        <f>'retraites SA Nb'!FP108/'retraites SA Nb'!FM108-1</f>
        <v>8.5098243681713814E-3</v>
      </c>
      <c r="BG108" s="261">
        <f>'retraites SA Nb'!FS108/'retraites SA Nb'!FP108-1</f>
        <v>2.0337529335621385E-2</v>
      </c>
      <c r="BH108" s="261">
        <f>'retraites SA Nb'!FV108/'retraites SA Nb'!FS108-1</f>
        <v>9.6051437259137007E-3</v>
      </c>
      <c r="BI108" s="261">
        <f>'retraites SA Nb'!FY108/'retraites SA Nb'!FV108-1</f>
        <v>1.0320525907179023E-2</v>
      </c>
      <c r="BJ108" s="261">
        <f>'retraites SA Nb'!GB108/'retraites SA Nb'!FY108-1</f>
        <v>6.8522888928246317E-3</v>
      </c>
      <c r="BK108" s="261">
        <f>'retraites SA Nb'!GE108/'retraites SA Nb'!GB108-1</f>
        <v>6.4230843553927608E-2</v>
      </c>
      <c r="BL108" s="261">
        <f>'retraites SA Nb'!GH108/'retraites SA Nb'!GE108-1</f>
        <v>7.7983044126965773E-3</v>
      </c>
      <c r="BM108" s="261">
        <f>'retraites SA Nb'!GK108/'retraites SA Nb'!GH108-1</f>
        <v>8.6152647711879027E-3</v>
      </c>
      <c r="BN108" s="261">
        <f>'retraites SA Nb'!GL108/'retraites SA Nb'!GI108-1</f>
        <v>1.656516310866496E-2</v>
      </c>
    </row>
    <row r="110" spans="1:66" ht="23" x14ac:dyDescent="0.25">
      <c r="A110" s="186" t="str">
        <f>'retraites SA Nb'!A110</f>
        <v>Carrière complete - Nombre de pensionnés par type de droits avec carrière complète de DP (nombre de trimestres SA &gt;= 150 jusqu'au 3T 2021, ensuite carrière complète)</v>
      </c>
    </row>
    <row r="111" spans="1:66" x14ac:dyDescent="0.25">
      <c r="A111" s="184"/>
    </row>
    <row r="112" spans="1:66" ht="12" thickBot="1" x14ac:dyDescent="0.3">
      <c r="A112" s="3"/>
      <c r="BB112" s="133" t="str">
        <f t="shared" ref="BB112:BN112" si="157">BB$6</f>
        <v>4T 2021</v>
      </c>
      <c r="BC112" s="133" t="str">
        <f t="shared" si="157"/>
        <v>1T 2022</v>
      </c>
      <c r="BD112" s="133" t="str">
        <f t="shared" si="157"/>
        <v>2T 2022</v>
      </c>
      <c r="BE112" s="133" t="str">
        <f t="shared" si="157"/>
        <v>3T 2022</v>
      </c>
      <c r="BF112" s="133" t="str">
        <f t="shared" si="157"/>
        <v>4T 2022</v>
      </c>
      <c r="BG112" s="133" t="str">
        <f t="shared" si="157"/>
        <v>1T 2023</v>
      </c>
      <c r="BH112" s="133" t="str">
        <f t="shared" si="157"/>
        <v>2T 2023</v>
      </c>
      <c r="BI112" s="133" t="str">
        <f t="shared" si="157"/>
        <v>3T 2023</v>
      </c>
      <c r="BJ112" s="133" t="str">
        <f t="shared" si="157"/>
        <v>4T 2023</v>
      </c>
      <c r="BK112" s="133" t="str">
        <f t="shared" si="157"/>
        <v>1T 2024</v>
      </c>
      <c r="BL112" s="133" t="str">
        <f t="shared" si="157"/>
        <v>2T 2024</v>
      </c>
      <c r="BM112" s="133" t="str">
        <f t="shared" si="157"/>
        <v>3T 2024</v>
      </c>
      <c r="BN112" s="133" t="str">
        <f t="shared" si="157"/>
        <v>4T 2024</v>
      </c>
    </row>
    <row r="113" spans="1:66" x14ac:dyDescent="0.25">
      <c r="A113" s="38" t="str">
        <f>'retraites SA Nb'!A113</f>
        <v>Droits directs (=droits propres)</v>
      </c>
      <c r="BB113" s="261"/>
      <c r="BC113" s="261">
        <f>'retraites SA Nb'!FG113/'retraites SA Nb'!FD113-1</f>
        <v>0</v>
      </c>
      <c r="BD113" s="261">
        <f>'retraites SA Nb'!FJ113/'retraites SA Nb'!FG113-1</f>
        <v>2.2310381711074578E-2</v>
      </c>
      <c r="BE113" s="261">
        <f>'retraites SA Nb'!FM113/'retraites SA Nb'!FJ113-1</f>
        <v>2.2807305208748074E-2</v>
      </c>
      <c r="BF113" s="261">
        <f>'retraites SA Nb'!FP113/'retraites SA Nb'!FM113-1</f>
        <v>1.6603813915141208E-2</v>
      </c>
      <c r="BG113" s="261">
        <f>'retraites SA Nb'!FS113/'retraites SA Nb'!FP113-1</f>
        <v>2.5801800719386536E-2</v>
      </c>
      <c r="BH113" s="261">
        <f>'retraites SA Nb'!FV113/'retraites SA Nb'!FS113-1</f>
        <v>2.0994839134731436E-2</v>
      </c>
      <c r="BI113" s="261">
        <f>'retraites SA Nb'!FY113/'retraites SA Nb'!FV113-1</f>
        <v>2.1172556695561173E-2</v>
      </c>
      <c r="BJ113" s="261">
        <f>'retraites SA Nb'!GB113/'retraites SA Nb'!FY113-1</f>
        <v>8.825635768750173E-3</v>
      </c>
      <c r="BK113" s="261">
        <f>'retraites SA Nb'!GE113/'retraites SA Nb'!GB113-1</f>
        <v>1.7649965549160207E-2</v>
      </c>
      <c r="BL113" s="261">
        <f>'retraites SA Nb'!GH113/'retraites SA Nb'!GE113-1</f>
        <v>1.357552712027843E-2</v>
      </c>
      <c r="BM113" s="261">
        <f>'retraites SA Nb'!GK113/'retraites SA Nb'!GH113-1</f>
        <v>1.6949609997031212E-2</v>
      </c>
      <c r="BN113" s="261">
        <f>'retraites SA Nb'!GL113/'retraites SA Nb'!GI113-1</f>
        <v>1.0269793926247273E-2</v>
      </c>
    </row>
    <row r="114" spans="1:66" x14ac:dyDescent="0.25">
      <c r="A114" s="39" t="str">
        <f>'retraites SA Nb'!A114</f>
        <v>Droits directs et droits dérivés</v>
      </c>
      <c r="BB114" s="261"/>
      <c r="BC114" s="261">
        <f>'retraites SA Nb'!FG114/'retraites SA Nb'!FD114-1</f>
        <v>0</v>
      </c>
      <c r="BD114" s="261">
        <f>'retraites SA Nb'!FJ114/'retraites SA Nb'!FG114-1</f>
        <v>1.1749761829152217E-2</v>
      </c>
      <c r="BE114" s="261">
        <f>'retraites SA Nb'!FM114/'retraites SA Nb'!FJ114-1</f>
        <v>1.2241054613935987E-2</v>
      </c>
      <c r="BF114" s="261">
        <f>'retraites SA Nb'!FP114/'retraites SA Nb'!FM114-1</f>
        <v>1.3643410852713256E-2</v>
      </c>
      <c r="BG114" s="261">
        <f>'retraites SA Nb'!FS114/'retraites SA Nb'!FP114-1</f>
        <v>1.0094830223309925E-2</v>
      </c>
      <c r="BH114" s="261">
        <f>'retraites SA Nb'!FV114/'retraites SA Nb'!FS114-1</f>
        <v>1.3930950938825015E-2</v>
      </c>
      <c r="BI114" s="261">
        <f>'retraites SA Nb'!FY114/'retraites SA Nb'!FV114-1</f>
        <v>1.4934289127837452E-2</v>
      </c>
      <c r="BJ114" s="261">
        <f>'retraites SA Nb'!GB114/'retraites SA Nb'!FY114-1</f>
        <v>1.0888758092995943E-2</v>
      </c>
      <c r="BK114" s="261">
        <f>'retraites SA Nb'!GE114/'retraites SA Nb'!GB114-1</f>
        <v>1.83406113537119E-2</v>
      </c>
      <c r="BL114" s="261">
        <f>'retraites SA Nb'!GH114/'retraites SA Nb'!GE114-1</f>
        <v>1.2578616352201255E-2</v>
      </c>
      <c r="BM114" s="261">
        <f>'retraites SA Nb'!GK114/'retraites SA Nb'!GH114-1</f>
        <v>1.7786561264822032E-2</v>
      </c>
      <c r="BN114" s="261">
        <f>'retraites SA Nb'!GL114/'retraites SA Nb'!GI114-1</f>
        <v>-4.5126353790613249E-3</v>
      </c>
    </row>
    <row r="115" spans="1:66" ht="12" thickBot="1" x14ac:dyDescent="0.3">
      <c r="A115" s="40" t="str">
        <f>'retraites SA Nb'!A115</f>
        <v>Ensemble</v>
      </c>
      <c r="BB115" s="261"/>
      <c r="BC115" s="261">
        <f>'retraites SA Nb'!FG115/'retraites SA Nb'!FD115-1</f>
        <v>0</v>
      </c>
      <c r="BD115" s="261">
        <f>'retraites SA Nb'!FJ115/'retraites SA Nb'!FG115-1</f>
        <v>2.2310381711074578E-2</v>
      </c>
      <c r="BE115" s="261">
        <f>'retraites SA Nb'!FM115/'retraites SA Nb'!FJ115-1</f>
        <v>2.2807305208748074E-2</v>
      </c>
      <c r="BF115" s="261">
        <f>'retraites SA Nb'!FP115/'retraites SA Nb'!FM115-1</f>
        <v>1.6603813915141208E-2</v>
      </c>
      <c r="BG115" s="261">
        <f>'retraites SA Nb'!FS115/'retraites SA Nb'!FP115-1</f>
        <v>2.5801800719386536E-2</v>
      </c>
      <c r="BH115" s="261">
        <f>'retraites SA Nb'!FV115/'retraites SA Nb'!FS115-1</f>
        <v>2.0994839134731436E-2</v>
      </c>
      <c r="BI115" s="261">
        <f>'retraites SA Nb'!FY115/'retraites SA Nb'!FV115-1</f>
        <v>2.1172556695561173E-2</v>
      </c>
      <c r="BJ115" s="261">
        <f>'retraites SA Nb'!GB115/'retraites SA Nb'!FY115-1</f>
        <v>8.825635768750173E-3</v>
      </c>
      <c r="BK115" s="261">
        <f>'retraites SA Nb'!GE115/'retraites SA Nb'!GB115-1</f>
        <v>1.7649965549160207E-2</v>
      </c>
      <c r="BL115" s="261">
        <f>'retraites SA Nb'!GH115/'retraites SA Nb'!GE115-1</f>
        <v>1.357552712027843E-2</v>
      </c>
      <c r="BM115" s="261">
        <f>'retraites SA Nb'!GK115/'retraites SA Nb'!GH115-1</f>
        <v>1.6949609997031212E-2</v>
      </c>
      <c r="BN115" s="261">
        <f>'retraites SA Nb'!GL115/'retraites SA Nb'!GI115-1</f>
        <v>1.0269793926247273E-2</v>
      </c>
    </row>
    <row r="117" spans="1:66" ht="23" x14ac:dyDescent="0.25">
      <c r="A117" s="186" t="str">
        <f>'retraites SA Nb'!A117</f>
        <v xml:space="preserve">Carrière complète - Pensions moyennes annuelles par type de droits avec carrière complète de DP </v>
      </c>
    </row>
    <row r="118" spans="1:66" x14ac:dyDescent="0.25">
      <c r="A118" s="14" t="str">
        <f>'retraites SA Nb'!A118</f>
        <v>(Montants DP,DR et avantages complémentaires)</v>
      </c>
    </row>
    <row r="119" spans="1:66" ht="12" thickBot="1" x14ac:dyDescent="0.3">
      <c r="A119" s="3"/>
      <c r="BB119" s="133" t="str">
        <f>BB$6</f>
        <v>4T 2021</v>
      </c>
      <c r="BC119" s="133" t="str">
        <f>BC$6</f>
        <v>1T 2022</v>
      </c>
      <c r="BD119" s="133" t="str">
        <f t="shared" ref="BD119:BN119" si="158">BD$6</f>
        <v>2T 2022</v>
      </c>
      <c r="BE119" s="133" t="str">
        <f t="shared" si="158"/>
        <v>3T 2022</v>
      </c>
      <c r="BF119" s="133" t="str">
        <f t="shared" si="158"/>
        <v>4T 2022</v>
      </c>
      <c r="BG119" s="133" t="str">
        <f t="shared" si="158"/>
        <v>1T 2023</v>
      </c>
      <c r="BH119" s="133" t="str">
        <f t="shared" si="158"/>
        <v>2T 2023</v>
      </c>
      <c r="BI119" s="133" t="str">
        <f t="shared" si="158"/>
        <v>3T 2023</v>
      </c>
      <c r="BJ119" s="133" t="str">
        <f t="shared" si="158"/>
        <v>4T 2023</v>
      </c>
      <c r="BK119" s="133" t="str">
        <f t="shared" si="158"/>
        <v>1T 2024</v>
      </c>
      <c r="BL119" s="133" t="str">
        <f t="shared" si="158"/>
        <v>2T 2024</v>
      </c>
      <c r="BM119" s="133" t="str">
        <f t="shared" si="158"/>
        <v>3T 2024</v>
      </c>
      <c r="BN119" s="133" t="str">
        <f t="shared" si="158"/>
        <v>4T 2024</v>
      </c>
    </row>
    <row r="120" spans="1:66" x14ac:dyDescent="0.25">
      <c r="A120" s="38" t="str">
        <f>'retraites SA Nb'!A120</f>
        <v>Droits directs (=droits propres)</v>
      </c>
      <c r="BB120" s="261"/>
      <c r="BC120" s="261">
        <f>'retraites SA Nb'!FG120/'retraites SA Nb'!FD120-1</f>
        <v>0</v>
      </c>
      <c r="BD120" s="261">
        <f>'retraites SA Nb'!FJ120/'retraites SA Nb'!FG120-1</f>
        <v>1.7411854010134231E-3</v>
      </c>
      <c r="BE120" s="261">
        <f>'retraites SA Nb'!FM120/'retraites SA Nb'!FJ120-1</f>
        <v>4.0726919854567667E-2</v>
      </c>
      <c r="BF120" s="261">
        <f>'retraites SA Nb'!FP120/'retraites SA Nb'!FM120-1</f>
        <v>1.7138231235656054E-3</v>
      </c>
      <c r="BG120" s="261">
        <f>'retraites SA Nb'!FS120/'retraites SA Nb'!FP120-1</f>
        <v>9.9511569446029124E-3</v>
      </c>
      <c r="BH120" s="261">
        <f>'retraites SA Nb'!FV120/'retraites SA Nb'!FS120-1</f>
        <v>1.1342575341888317E-3</v>
      </c>
      <c r="BI120" s="261">
        <f>'retraites SA Nb'!FY120/'retraites SA Nb'!FV120-1</f>
        <v>1.9993783840721591E-3</v>
      </c>
      <c r="BJ120" s="261">
        <f>'retraites SA Nb'!GB120/'retraites SA Nb'!FY120-1</f>
        <v>1.7784972909919983E-3</v>
      </c>
      <c r="BK120" s="261">
        <f>'retraites SA Nb'!GE120/'retraites SA Nb'!GB120-1</f>
        <v>5.5059787393527237E-2</v>
      </c>
      <c r="BL120" s="261">
        <f>'retraites SA Nb'!GH120/'retraites SA Nb'!GE120-1</f>
        <v>1.6597769901125492E-3</v>
      </c>
      <c r="BM120" s="261">
        <f>'retraites SA Nb'!GK120/'retraites SA Nb'!GH120-1</f>
        <v>7.7303105621751023E-4</v>
      </c>
      <c r="BN120" s="261">
        <f>'retraites SA Nb'!GL120/'retraites SA Nb'!GI120-1</f>
        <v>5.0319743130819994E-3</v>
      </c>
    </row>
    <row r="121" spans="1:66" x14ac:dyDescent="0.25">
      <c r="A121" s="39" t="str">
        <f>'retraites SA Nb'!A121</f>
        <v>Droits directs et droits dérivés</v>
      </c>
      <c r="BB121" s="261"/>
      <c r="BC121" s="261">
        <f>'retraites SA Nb'!FG121/'retraites SA Nb'!FD121-1</f>
        <v>0</v>
      </c>
      <c r="BD121" s="261">
        <f>'retraites SA Nb'!FJ121/'retraites SA Nb'!FG121-1</f>
        <v>9.7850863944937139E-4</v>
      </c>
      <c r="BE121" s="261">
        <f>'retraites SA Nb'!FM121/'retraites SA Nb'!FJ121-1</f>
        <v>3.9215172409541532E-2</v>
      </c>
      <c r="BF121" s="261">
        <f>'retraites SA Nb'!FP121/'retraites SA Nb'!FM121-1</f>
        <v>1.5755344878829458E-3</v>
      </c>
      <c r="BG121" s="261">
        <f>'retraites SA Nb'!FS121/'retraites SA Nb'!FP121-1</f>
        <v>7.0315985473401454E-3</v>
      </c>
      <c r="BH121" s="261">
        <f>'retraites SA Nb'!FV121/'retraites SA Nb'!FS121-1</f>
        <v>2.6142483166966546E-3</v>
      </c>
      <c r="BI121" s="261">
        <f>'retraites SA Nb'!FY121/'retraites SA Nb'!FV121-1</f>
        <v>4.5742527754399909E-4</v>
      </c>
      <c r="BJ121" s="261">
        <f>'retraites SA Nb'!GB121/'retraites SA Nb'!FY121-1</f>
        <v>1.2240138130148459E-3</v>
      </c>
      <c r="BK121" s="261">
        <f>'retraites SA Nb'!GE121/'retraites SA Nb'!GB121-1</f>
        <v>5.5530306157429932E-2</v>
      </c>
      <c r="BL121" s="261">
        <f>'retraites SA Nb'!GH121/'retraites SA Nb'!GE121-1</f>
        <v>9.2512356394136575E-4</v>
      </c>
      <c r="BM121" s="261">
        <f>'retraites SA Nb'!GK121/'retraites SA Nb'!GH121-1</f>
        <v>-7.1817228505133279E-5</v>
      </c>
      <c r="BN121" s="261">
        <f>'retraites SA Nb'!GL121/'retraites SA Nb'!GI121-1</f>
        <v>1.7464522028568075E-2</v>
      </c>
    </row>
    <row r="122" spans="1:66" ht="12" thickBot="1" x14ac:dyDescent="0.3">
      <c r="A122" s="40" t="str">
        <f>'retraites SA Nb'!A122</f>
        <v>Ensemble</v>
      </c>
      <c r="BB122" s="261"/>
      <c r="BC122" s="261">
        <f>'retraites SA Nb'!FG122/'retraites SA Nb'!FD122-1</f>
        <v>0</v>
      </c>
      <c r="BD122" s="261">
        <f>'retraites SA Nb'!FJ122/'retraites SA Nb'!FG122-1</f>
        <v>1.7411854010165317E-3</v>
      </c>
      <c r="BE122" s="261">
        <f>'retraites SA Nb'!FM122/'retraites SA Nb'!FJ122-1</f>
        <v>4.0726919854564558E-2</v>
      </c>
      <c r="BF122" s="261">
        <f>'retraites SA Nb'!FP122/'retraites SA Nb'!FM122-1</f>
        <v>1.7138231235673818E-3</v>
      </c>
      <c r="BG122" s="261">
        <f>'retraites SA Nb'!FS122/'retraites SA Nb'!FP122-1</f>
        <v>9.9511569446024684E-3</v>
      </c>
      <c r="BH122" s="261">
        <f>'retraites SA Nb'!FV122/'retraites SA Nb'!FS122-1</f>
        <v>1.1342575341894978E-3</v>
      </c>
      <c r="BI122" s="261">
        <f>'retraites SA Nb'!FY122/'retraites SA Nb'!FV122-1</f>
        <v>1.999378384071937E-3</v>
      </c>
      <c r="BJ122" s="261">
        <f>'retraites SA Nb'!GB122/'retraites SA Nb'!FY122-1</f>
        <v>1.7784972909928864E-3</v>
      </c>
      <c r="BK122" s="261">
        <f>'retraites SA Nb'!GE122/'retraites SA Nb'!GB122-1</f>
        <v>5.5059787393524795E-2</v>
      </c>
      <c r="BL122" s="261">
        <f>'retraites SA Nb'!GH122/'retraites SA Nb'!GE122-1</f>
        <v>1.6597769901143256E-3</v>
      </c>
      <c r="BM122" s="261">
        <f>'retraites SA Nb'!GK122/'retraites SA Nb'!GH122-1</f>
        <v>7.7303105621862045E-4</v>
      </c>
      <c r="BN122" s="261">
        <f>'retraites SA Nb'!GL122/'retraites SA Nb'!GI122-1</f>
        <v>5.0319743130828876E-3</v>
      </c>
    </row>
  </sheetData>
  <mergeCells count="7">
    <mergeCell ref="A75:C75"/>
    <mergeCell ref="B66:D66"/>
    <mergeCell ref="A67:C67"/>
    <mergeCell ref="B70:D70"/>
    <mergeCell ref="A71:C71"/>
    <mergeCell ref="B73:D73"/>
    <mergeCell ref="A74:C74"/>
  </mergeCells>
  <phoneticPr fontId="2" type="noConversion"/>
  <pageMargins left="0.39" right="0.42" top="0.32" bottom="0.2" header="0.2" footer="0.2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BO122"/>
  <sheetViews>
    <sheetView workbookViewId="0">
      <pane xSplit="1" ySplit="6" topLeftCell="BK7" activePane="bottomRight" state="frozen"/>
      <selection pane="topRight" activeCell="B1" sqref="B1"/>
      <selection pane="bottomLeft" activeCell="A7" sqref="A7"/>
      <selection pane="bottomRight" activeCell="BO8" sqref="BO8"/>
    </sheetView>
  </sheetViews>
  <sheetFormatPr baseColWidth="10" defaultColWidth="33" defaultRowHeight="11.5" x14ac:dyDescent="0.25"/>
  <cols>
    <col min="1" max="1" width="87.453125" style="4" customWidth="1"/>
    <col min="2" max="2" width="7.453125" style="4" bestFit="1" customWidth="1"/>
    <col min="3" max="15" width="7.81640625" style="4" bestFit="1" customWidth="1"/>
    <col min="16" max="16" width="7.81640625" style="76" bestFit="1" customWidth="1"/>
    <col min="17" max="34" width="8.1796875" style="4" bestFit="1" customWidth="1"/>
    <col min="35" max="36" width="9.1796875" style="4" bestFit="1" customWidth="1"/>
    <col min="37" max="37" width="10.1796875" style="4" customWidth="1"/>
    <col min="38" max="40" width="10.453125" style="4" customWidth="1"/>
    <col min="41" max="41" width="14.7265625" style="4" customWidth="1"/>
    <col min="42" max="42" width="12.1796875" style="4" customWidth="1"/>
    <col min="43" max="43" width="10.453125" style="4" customWidth="1"/>
    <col min="44" max="44" width="10.453125" style="252" customWidth="1"/>
    <col min="45" max="61" width="10.453125" style="126" customWidth="1"/>
    <col min="62" max="63" width="12.26953125" style="4" bestFit="1" customWidth="1"/>
    <col min="64" max="66" width="12.26953125" style="4" customWidth="1"/>
    <col min="67" max="16384" width="33" style="4"/>
  </cols>
  <sheetData>
    <row r="1" spans="1:67" x14ac:dyDescent="0.25">
      <c r="A1" s="32" t="s">
        <v>17</v>
      </c>
      <c r="D1" s="77" t="s">
        <v>69</v>
      </c>
      <c r="E1" s="98"/>
      <c r="F1" s="98"/>
      <c r="G1" s="98"/>
      <c r="Q1" s="76"/>
      <c r="R1" s="76"/>
      <c r="S1" s="76"/>
      <c r="T1" s="76"/>
      <c r="U1" s="76"/>
      <c r="V1" s="76"/>
      <c r="BO1" s="252" t="s">
        <v>346</v>
      </c>
    </row>
    <row r="2" spans="1:67" ht="12.5" x14ac:dyDescent="0.25">
      <c r="A2" s="32" t="s">
        <v>19</v>
      </c>
      <c r="D2" s="59" t="s">
        <v>68</v>
      </c>
      <c r="E2" s="98"/>
      <c r="F2" s="98"/>
      <c r="G2" s="98"/>
      <c r="Q2" s="76"/>
      <c r="R2" s="76"/>
      <c r="S2" s="76"/>
      <c r="T2" s="76"/>
      <c r="U2" s="76"/>
      <c r="V2" s="76"/>
    </row>
    <row r="3" spans="1:67" x14ac:dyDescent="0.25">
      <c r="A3" s="69" t="s">
        <v>37</v>
      </c>
      <c r="F3" s="76" t="s">
        <v>62</v>
      </c>
      <c r="G3" s="76" t="s">
        <v>55</v>
      </c>
      <c r="H3" s="76" t="s">
        <v>63</v>
      </c>
      <c r="I3" s="76" t="s">
        <v>64</v>
      </c>
      <c r="J3" s="76" t="s">
        <v>65</v>
      </c>
      <c r="K3" s="76" t="s">
        <v>66</v>
      </c>
      <c r="L3" s="76" t="s">
        <v>67</v>
      </c>
      <c r="M3" s="76" t="s">
        <v>75</v>
      </c>
      <c r="N3" s="76" t="s">
        <v>84</v>
      </c>
      <c r="O3" s="76" t="s">
        <v>110</v>
      </c>
      <c r="P3" s="76" t="s">
        <v>112</v>
      </c>
      <c r="Q3" s="76" t="s">
        <v>136</v>
      </c>
      <c r="R3" s="76" t="s">
        <v>140</v>
      </c>
      <c r="S3" s="76" t="s">
        <v>147</v>
      </c>
      <c r="T3" s="76" t="s">
        <v>152</v>
      </c>
      <c r="U3" s="76" t="s">
        <v>161</v>
      </c>
      <c r="V3" s="76" t="s">
        <v>166</v>
      </c>
      <c r="W3" s="111" t="s">
        <v>170</v>
      </c>
      <c r="X3" s="111" t="s">
        <v>175</v>
      </c>
      <c r="Y3" s="111" t="s">
        <v>179</v>
      </c>
      <c r="Z3" s="111" t="s">
        <v>195</v>
      </c>
      <c r="AA3" s="111" t="s">
        <v>200</v>
      </c>
      <c r="AB3" s="111" t="s">
        <v>231</v>
      </c>
      <c r="AC3" s="111" t="s">
        <v>208</v>
      </c>
      <c r="AD3" s="111" t="s">
        <v>212</v>
      </c>
      <c r="AE3" s="111" t="s">
        <v>221</v>
      </c>
      <c r="AF3" s="111" t="s">
        <v>229</v>
      </c>
      <c r="AG3" s="111" t="s">
        <v>229</v>
      </c>
      <c r="AH3" s="111" t="s">
        <v>236</v>
      </c>
      <c r="AI3" s="111" t="s">
        <v>241</v>
      </c>
      <c r="AJ3" s="111" t="s">
        <v>249</v>
      </c>
      <c r="AK3" s="111" t="s">
        <v>252</v>
      </c>
      <c r="AL3" s="111" t="s">
        <v>257</v>
      </c>
      <c r="AM3" s="111" t="s">
        <v>261</v>
      </c>
      <c r="AN3" s="111" t="s">
        <v>270</v>
      </c>
      <c r="AO3" s="4" t="s">
        <v>285</v>
      </c>
      <c r="AP3" s="4" t="s">
        <v>286</v>
      </c>
      <c r="AQ3" s="111" t="s">
        <v>287</v>
      </c>
      <c r="AR3" s="253" t="s">
        <v>313</v>
      </c>
      <c r="AS3" s="259" t="s">
        <v>314</v>
      </c>
      <c r="AT3" s="259" t="s">
        <v>330</v>
      </c>
      <c r="AU3" s="259" t="s">
        <v>322</v>
      </c>
      <c r="AV3" s="259" t="s">
        <v>331</v>
      </c>
      <c r="AW3" s="259" t="s">
        <v>332</v>
      </c>
      <c r="AX3" s="259" t="s">
        <v>342</v>
      </c>
      <c r="AY3" s="259" t="s">
        <v>343</v>
      </c>
      <c r="AZ3" s="259" t="s">
        <v>347</v>
      </c>
      <c r="BA3" s="259" t="s">
        <v>353</v>
      </c>
      <c r="BB3" s="259" t="s">
        <v>362</v>
      </c>
      <c r="BC3" s="259" t="s">
        <v>363</v>
      </c>
      <c r="BD3" s="259" t="s">
        <v>367</v>
      </c>
      <c r="BE3" s="259" t="s">
        <v>369</v>
      </c>
      <c r="BF3" s="259" t="s">
        <v>389</v>
      </c>
      <c r="BG3" s="259" t="s">
        <v>390</v>
      </c>
      <c r="BH3" s="259" t="s">
        <v>396</v>
      </c>
      <c r="BI3" s="259" t="s">
        <v>401</v>
      </c>
      <c r="BJ3" s="259" t="s">
        <v>411</v>
      </c>
      <c r="BK3" s="259" t="s">
        <v>418</v>
      </c>
      <c r="BL3" s="259" t="s">
        <v>422</v>
      </c>
      <c r="BM3" s="259" t="s">
        <v>426</v>
      </c>
      <c r="BN3" s="259" t="s">
        <v>433</v>
      </c>
    </row>
    <row r="4" spans="1:67" x14ac:dyDescent="0.25">
      <c r="A4" s="3" t="s">
        <v>154</v>
      </c>
      <c r="Q4" s="76"/>
      <c r="R4" s="76"/>
      <c r="S4" s="76"/>
      <c r="T4" s="76"/>
      <c r="U4" s="76"/>
      <c r="V4" s="76"/>
      <c r="BJ4" s="126"/>
      <c r="BK4" s="126"/>
      <c r="BL4" s="126"/>
      <c r="BM4" s="126"/>
      <c r="BN4" s="126"/>
    </row>
    <row r="5" spans="1:67" s="32" customFormat="1" x14ac:dyDescent="0.25">
      <c r="A5" s="3"/>
      <c r="P5" s="99"/>
      <c r="Q5" s="99"/>
      <c r="R5" s="99"/>
      <c r="S5" s="99"/>
      <c r="T5" s="99"/>
      <c r="U5" s="99"/>
      <c r="V5" s="99"/>
      <c r="AR5" s="254"/>
      <c r="AS5" s="260"/>
      <c r="AT5" s="260"/>
      <c r="AU5" s="260"/>
      <c r="AV5" s="260"/>
      <c r="AW5" s="260"/>
      <c r="AX5" s="260"/>
      <c r="AY5" s="260"/>
      <c r="AZ5" s="260"/>
      <c r="BA5" s="260"/>
      <c r="BB5" s="260"/>
      <c r="BC5" s="260"/>
      <c r="BD5" s="260"/>
      <c r="BE5" s="260"/>
      <c r="BF5" s="260"/>
      <c r="BG5" s="260"/>
      <c r="BH5" s="260"/>
      <c r="BI5" s="260"/>
      <c r="BJ5" s="260"/>
      <c r="BK5" s="260"/>
      <c r="BL5" s="260"/>
      <c r="BM5" s="260"/>
      <c r="BN5" s="260"/>
    </row>
    <row r="6" spans="1:67" ht="12" thickBot="1" x14ac:dyDescent="0.3">
      <c r="A6" s="3"/>
      <c r="B6" s="70" t="s">
        <v>38</v>
      </c>
      <c r="C6" s="70" t="s">
        <v>39</v>
      </c>
      <c r="D6" s="70" t="s">
        <v>40</v>
      </c>
      <c r="E6" s="70" t="s">
        <v>41</v>
      </c>
      <c r="F6" s="70" t="s">
        <v>42</v>
      </c>
      <c r="G6" s="70" t="s">
        <v>43</v>
      </c>
      <c r="H6" s="70" t="s">
        <v>44</v>
      </c>
      <c r="I6" s="70" t="s">
        <v>45</v>
      </c>
      <c r="J6" s="70" t="s">
        <v>46</v>
      </c>
      <c r="K6" s="70" t="s">
        <v>47</v>
      </c>
      <c r="L6" s="70" t="s">
        <v>48</v>
      </c>
      <c r="M6" s="70" t="s">
        <v>74</v>
      </c>
      <c r="N6" s="70" t="s">
        <v>83</v>
      </c>
      <c r="O6" s="70" t="s">
        <v>106</v>
      </c>
      <c r="P6" s="70" t="s">
        <v>111</v>
      </c>
      <c r="Q6" s="70" t="s">
        <v>135</v>
      </c>
      <c r="R6" s="70" t="s">
        <v>141</v>
      </c>
      <c r="S6" s="70" t="s">
        <v>145</v>
      </c>
      <c r="T6" s="70" t="s">
        <v>150</v>
      </c>
      <c r="U6" s="70" t="s">
        <v>159</v>
      </c>
      <c r="V6" s="70" t="s">
        <v>164</v>
      </c>
      <c r="W6" s="70" t="s">
        <v>168</v>
      </c>
      <c r="X6" s="70" t="s">
        <v>172</v>
      </c>
      <c r="Y6" s="70" t="s">
        <v>178</v>
      </c>
      <c r="Z6" s="70" t="s">
        <v>193</v>
      </c>
      <c r="AA6" s="70" t="s">
        <v>198</v>
      </c>
      <c r="AB6" s="70" t="s">
        <v>203</v>
      </c>
      <c r="AC6" s="70" t="s">
        <v>206</v>
      </c>
      <c r="AD6" s="70" t="s">
        <v>210</v>
      </c>
      <c r="AE6" s="70" t="s">
        <v>219</v>
      </c>
      <c r="AF6" s="70" t="s">
        <v>224</v>
      </c>
      <c r="AG6" s="70" t="s">
        <v>228</v>
      </c>
      <c r="AH6" s="70" t="s">
        <v>235</v>
      </c>
      <c r="AI6" s="70" t="s">
        <v>240</v>
      </c>
      <c r="AJ6" s="70" t="s">
        <v>248</v>
      </c>
      <c r="AK6" s="70" t="s">
        <v>251</v>
      </c>
      <c r="AL6" s="70" t="s">
        <v>256</v>
      </c>
      <c r="AM6" s="70" t="s">
        <v>260</v>
      </c>
      <c r="AN6" s="70" t="s">
        <v>269</v>
      </c>
      <c r="AO6" s="70" t="s">
        <v>274</v>
      </c>
      <c r="AP6" s="70" t="s">
        <v>278</v>
      </c>
      <c r="AQ6" s="70" t="s">
        <v>281</v>
      </c>
      <c r="AR6" s="255" t="s">
        <v>305</v>
      </c>
      <c r="AS6" s="196" t="s">
        <v>310</v>
      </c>
      <c r="AT6" s="196" t="s">
        <v>315</v>
      </c>
      <c r="AU6" s="196" t="s">
        <v>325</v>
      </c>
      <c r="AV6" s="196" t="s">
        <v>326</v>
      </c>
      <c r="AW6" s="196" t="s">
        <v>328</v>
      </c>
      <c r="AX6" s="196" t="s">
        <v>335</v>
      </c>
      <c r="AY6" s="196" t="s">
        <v>348</v>
      </c>
      <c r="AZ6" s="196" t="s">
        <v>349</v>
      </c>
      <c r="BA6" s="196" t="s">
        <v>358</v>
      </c>
      <c r="BB6" s="196" t="s">
        <v>356</v>
      </c>
      <c r="BC6" s="196" t="s">
        <v>360</v>
      </c>
      <c r="BD6" s="196" t="s">
        <v>365</v>
      </c>
      <c r="BE6" s="196" t="s">
        <v>371</v>
      </c>
      <c r="BF6" s="196" t="s">
        <v>375</v>
      </c>
      <c r="BG6" s="196" t="s">
        <v>386</v>
      </c>
      <c r="BH6" s="196" t="s">
        <v>394</v>
      </c>
      <c r="BI6" s="196" t="s">
        <v>399</v>
      </c>
      <c r="BJ6" s="196" t="s">
        <v>408</v>
      </c>
      <c r="BK6" s="196" t="s">
        <v>417</v>
      </c>
      <c r="BL6" s="196" t="s">
        <v>421</v>
      </c>
      <c r="BM6" s="196" t="s">
        <v>424</v>
      </c>
      <c r="BN6" s="196" t="s">
        <v>432</v>
      </c>
    </row>
    <row r="7" spans="1:67" x14ac:dyDescent="0.25">
      <c r="A7" s="38" t="s">
        <v>2</v>
      </c>
      <c r="B7" s="71"/>
      <c r="F7" s="72">
        <f>'retraites SA Nb'!$P7/'retraites SA Nb'!$D7-1</f>
        <v>-6.1643657922250128E-4</v>
      </c>
      <c r="G7" s="72">
        <f>'retraites SA Nb'!$S7/'retraites SA Nb'!$G7-1</f>
        <v>6.3100653429737363E-5</v>
      </c>
      <c r="H7" s="72">
        <f>'retraites SA Nb'!$V7/'retraites SA Nb'!$J7-1</f>
        <v>-4.696641839034843E-3</v>
      </c>
      <c r="I7" s="72">
        <f>'retraites SA Nb'!$Y7/'retraites SA Nb'!$M7-1</f>
        <v>-4.696641839034843E-3</v>
      </c>
      <c r="J7" s="72">
        <f>'retraites SA Nb'!$AB7/'retraites SA Nb'!$P7-1</f>
        <v>3.3837452687668357E-3</v>
      </c>
      <c r="K7" s="72">
        <f>'retraites SA Nb'!$AE7/'retraites SA Nb'!$S7-1</f>
        <v>2.2669732864464276E-3</v>
      </c>
      <c r="L7" s="72">
        <f>'retraites SA Nb'!$AH7/'retraites SA Nb'!$V7-1</f>
        <v>7.7951519754255738E-3</v>
      </c>
      <c r="M7" s="72">
        <f>'retraites SA Nb'!$AK7/'retraites SA Nb'!$Y7-1</f>
        <v>5.65961812029947E-3</v>
      </c>
      <c r="N7" s="72">
        <f>'retraites SA Nb'!$AN7/'retraites SA Nb'!$AB7-1</f>
        <v>-6.2193580754072997E-3</v>
      </c>
      <c r="O7" s="72">
        <f>'retraites SA Nb'!$AQ7/'retraites SA Nb'!$AE7-1</f>
        <v>-9.9798884590782677E-3</v>
      </c>
      <c r="P7" s="72">
        <f>'retraites SA Nb'!$AT7/'retraites SA Nb'!$AH7-1</f>
        <v>-1.2484084886603464E-2</v>
      </c>
      <c r="Q7" s="72">
        <f>'retraites SA Nb'!$AW7/'retraites SA Nb'!$AK7-1</f>
        <v>-1.3770164380844219E-2</v>
      </c>
      <c r="R7" s="72">
        <f>'retraites SA Nb'!$AZ7/'retraites SA Nb'!$AN7-1</f>
        <v>-1.356922904525848E-2</v>
      </c>
      <c r="S7" s="72">
        <f>'retraites SA Nb'!$BC7/'retraites SA Nb'!$AQ7-1</f>
        <v>-1.0505171396728463E-2</v>
      </c>
      <c r="T7" s="72">
        <f>'retraites SA Nb'!$BF7/'retraites SA Nb'!$AT7-1</f>
        <v>-1.125408246653592E-2</v>
      </c>
      <c r="U7" s="72">
        <f>'retraites SA Nb'!$BI7/'retraites SA Nb'!$AW7-1</f>
        <v>-3.685180761859308E-3</v>
      </c>
      <c r="V7" s="72">
        <f>'retraites SA Nb'!$BL7/'retraites SA Nb'!$AZ7-1</f>
        <v>2.6179557454748537E-3</v>
      </c>
      <c r="W7" s="72">
        <f>'retraites SA Nb'!$BO7/'retraites SA Nb'!$BC7-1</f>
        <v>3.3531862154438929E-3</v>
      </c>
      <c r="X7" s="72">
        <f>'retraites SA Nb'!$BR7/'retraites SA Nb'!$BF7-1</f>
        <v>7.61653312967292E-3</v>
      </c>
      <c r="Y7" s="72">
        <f>'retraites SA Nb'!$BU7/'retraites SA Nb'!$BI7-1</f>
        <v>6.3463094762186145E-3</v>
      </c>
      <c r="Z7" s="72">
        <f>'retraites SA Nb'!$BX7/'retraites SA Nb'!$BL7-1</f>
        <v>7.0619836271390568E-3</v>
      </c>
      <c r="AA7" s="72">
        <f>'retraites SA Nb'!$CA7/'retraites SA Nb'!$BO7-1</f>
        <v>1.0107144654433409E-2</v>
      </c>
      <c r="AB7" s="72">
        <f>'retraites SA Nb'!$CG7/'retraites SA Nb'!$BR7-1</f>
        <v>9.0022732897880875E-3</v>
      </c>
      <c r="AC7" s="72">
        <f>'retraites SA Nb'!$CG7/'retraites SA Nb'!$BU7-1</f>
        <v>6.0401299898893424E-3</v>
      </c>
      <c r="AD7" s="72">
        <f>'retraites SA Nb'!$CJ7/'retraites SA Nb'!$BX7-1</f>
        <v>4.4020371994020202E-3</v>
      </c>
      <c r="AE7" s="72">
        <f>'retraites SA Nb'!$CM7/'retraites SA Nb'!$CA7-1</f>
        <v>4.8937406091020819E-3</v>
      </c>
      <c r="AF7" s="72">
        <f>'retraites SA Nb'!$CS7/'retraites SA Nb'!$CG7-1</f>
        <v>1.0147315085690112E-2</v>
      </c>
      <c r="AG7" s="72">
        <f>'retraites SA Nb'!$CS7/'retraites SA Nb'!$CG7-1</f>
        <v>1.0147315085690112E-2</v>
      </c>
      <c r="AH7" s="72">
        <f>'retraites SA Nb'!$CV7/'retraites SA Nb'!$CJ7-1</f>
        <v>7.9621455815579445E-3</v>
      </c>
      <c r="AI7" s="72">
        <f>'retraites SA Nb'!$CY7/'retraites SA Nb'!$CM7-1</f>
        <v>3.7498971820559834E-3</v>
      </c>
      <c r="AJ7" s="72">
        <f>'retraites SA Nb'!$DB7/'retraites SA Nb'!$CP7-1</f>
        <v>3.8017126544005464E-3</v>
      </c>
      <c r="AK7" s="72">
        <f>'retraites SA Nb'!$DE7/'retraites SA Nb'!$CS7-1</f>
        <v>1.77218654170197E-4</v>
      </c>
      <c r="AL7" s="72">
        <f>'retraites SA Nb'!$DH7/'retraites SA Nb'!$CV7-1</f>
        <v>-1.0192581417173274E-3</v>
      </c>
      <c r="AM7" s="72">
        <f>'retraites SA Nb'!$DK7/'retraites SA Nb'!$CY7-1</f>
        <v>-4.4206511086988254E-3</v>
      </c>
      <c r="AN7" s="72">
        <f>'retraites SA Nb'!$DN7/'retraites SA Nb'!DB7-1</f>
        <v>-1.1607858075141309E-2</v>
      </c>
      <c r="AO7" s="72">
        <f>'retraites SA Nb'!DQ7/'retraites SA Nb'!DE7-1</f>
        <v>-1.3541367616450195E-2</v>
      </c>
      <c r="AP7" s="72">
        <f>'retraites SA Nb'!$DT7/'retraites SA Nb'!$DH7-1</f>
        <v>-1.4043706513726884E-2</v>
      </c>
      <c r="AQ7" s="72">
        <f>'retraites SA Nb'!$DW7/'retraites SA Nb'!$DK7-1</f>
        <v>-1.5543798998963743E-2</v>
      </c>
      <c r="AR7" s="122">
        <f>'retraites SA Nb'!$DZ7/'retraites SA Nb'!$DN7-1</f>
        <v>-1.6860797257839288E-2</v>
      </c>
      <c r="AS7" s="261">
        <f>'retraites SA Nb'!$EC7/'retraites SA Nb'!$DQ7-1</f>
        <v>-2.0210041187444405E-2</v>
      </c>
      <c r="AT7" s="261">
        <f>'retraites SA Nb'!$EF7/'retraites SA Nb'!$DT7-1</f>
        <v>-1.8278214529117709E-2</v>
      </c>
      <c r="AU7" s="261">
        <f>'retraites SA Nb'!$EI7/'retraites SA Nb'!$DW7-1</f>
        <v>-1.7317693196219675E-2</v>
      </c>
      <c r="AV7" s="261">
        <f>'retraites SA Nb'!$EL7/'retraites SA Nb'!$DZ7-1</f>
        <v>-1.7620358125737146E-2</v>
      </c>
      <c r="AW7" s="261">
        <f>'retraites SA Nb'!$EO7/'retraites SA Nb'!$EC7-1</f>
        <v>-1.7098494592216018E-2</v>
      </c>
      <c r="AX7" s="261">
        <f>'retraites SA Nb'!$ER7/'retraites SA Nb'!$EF7-1</f>
        <v>-2.4307522637566747E-2</v>
      </c>
      <c r="AY7" s="261">
        <f>'retraites SA Nb'!$EU7/'retraites SA Nb'!$EI7-1</f>
        <v>-2.6594582246229681E-2</v>
      </c>
      <c r="AZ7" s="261">
        <f>'retraites SA Nb'!$EX7/'retraites SA Nb'!$EL7-1</f>
        <v>-2.6373543833458912E-2</v>
      </c>
      <c r="BA7" s="261">
        <f>'retraites SA Nb'!$FA7/'retraites SA Nb'!$EO7-1</f>
        <v>-2.5741244187679979E-2</v>
      </c>
      <c r="BB7" s="261">
        <f>'retraites SA Nb'!$FD7/'retraites SA Nb'!$ER7-1</f>
        <v>-2.3283636430699084E-2</v>
      </c>
      <c r="BC7" s="261">
        <f>'retraites SA Nb'!$FG7/'retraites SA Nb'!$EU7-1</f>
        <v>-2.1742592419637941E-2</v>
      </c>
      <c r="BD7" s="261">
        <f>'retraites SA Nb'!$FJ7/'retraites SA Nb'!$EX7-1</f>
        <v>-1.9959763450555279E-2</v>
      </c>
      <c r="BE7" s="261">
        <f>'retraites SA Nb'!$FM7/'retraites SA Nb'!$FA7-1</f>
        <v>-1.91580931932821E-2</v>
      </c>
      <c r="BF7" s="261">
        <f>'retraites SA Nb'!$FP7/'retraites SA Nb'!$FD7-1</f>
        <v>-1.8728396227277067E-2</v>
      </c>
      <c r="BG7" s="261">
        <f>'retraites SA Nb'!$FS7/'retraites SA Nb'!$FG7-1</f>
        <v>-1.9374552860803473E-2</v>
      </c>
      <c r="BH7" s="261">
        <f>'retraites SA Nb'!$FV7/'retraites SA Nb'!$FJ7-1</f>
        <v>-1.8938902421849924E-2</v>
      </c>
      <c r="BI7" s="261">
        <f>'retraites SA Nb'!$FY7/'retraites SA Nb'!$FM7-1</f>
        <v>-1.8116615637571387E-2</v>
      </c>
      <c r="BJ7" s="261">
        <f>'retraites SA Nb'!$GB7/'retraites SA Nb'!$FP7-1</f>
        <v>-1.7475700433944086E-2</v>
      </c>
      <c r="BK7" s="261">
        <f>'retraites SA Nb'!$GE7/'retraites SA Nb'!$FS7-1</f>
        <v>-1.8002410223541654E-2</v>
      </c>
      <c r="BL7" s="261">
        <f>'retraites SA Nb'!$GH7/'retraites SA Nb'!$FV7-1</f>
        <v>-1.8542884455658104E-2</v>
      </c>
      <c r="BM7" s="261">
        <f>'retraites SA Nb'!$GK7/'retraites SA Nb'!$FY7-1</f>
        <v>-1.9213300790096088E-2</v>
      </c>
      <c r="BN7" s="261">
        <f>'retraites SA Nb'!$GN7/'retraites SA Nb'!$GB7-1</f>
        <v>-1.9714659895898823E-2</v>
      </c>
      <c r="BO7" s="296"/>
    </row>
    <row r="8" spans="1:67" x14ac:dyDescent="0.25">
      <c r="A8" s="39" t="s">
        <v>3</v>
      </c>
      <c r="B8" s="71"/>
      <c r="F8" s="72">
        <f>'retraites SA Nb'!$P8/'retraites SA Nb'!$D8-1</f>
        <v>1.3216900414571686E-2</v>
      </c>
      <c r="G8" s="72">
        <f>'retraites SA Nb'!$S8/'retraites SA Nb'!$G8-1</f>
        <v>1.480288658050144E-2</v>
      </c>
      <c r="H8" s="72">
        <f>'retraites SA Nb'!$V8/'retraites SA Nb'!$J8-1</f>
        <v>-4.3419334084526806E-4</v>
      </c>
      <c r="I8" s="72">
        <f>'retraites SA Nb'!$Y8/'retraites SA Nb'!$M8-1</f>
        <v>-5.4844127217381633E-3</v>
      </c>
      <c r="J8" s="72">
        <f>'retraites SA Nb'!$AB8/'retraites SA Nb'!$P8-1</f>
        <v>8.7021321790849981E-3</v>
      </c>
      <c r="K8" s="72">
        <f>'retraites SA Nb'!$AE8/'retraites SA Nb'!$S8-1</f>
        <v>6.2691625259985173E-3</v>
      </c>
      <c r="L8" s="72">
        <f>'retraites SA Nb'!$AH8/'retraites SA Nb'!$V8-1</f>
        <v>2.0718436084301795E-2</v>
      </c>
      <c r="M8" s="72">
        <f>'retraites SA Nb'!$AK8/'retraites SA Nb'!$Y8-1</f>
        <v>2.3821209002875987E-2</v>
      </c>
      <c r="N8" s="72">
        <f>'retraites SA Nb'!$AN8/'retraites SA Nb'!$AB8-1</f>
        <v>8.293920668346777E-3</v>
      </c>
      <c r="O8" s="72">
        <f>'retraites SA Nb'!$AQ8/'retraites SA Nb'!$AE8-1</f>
        <v>8.6300152690195198E-3</v>
      </c>
      <c r="P8" s="72">
        <f>'retraites SA Nb'!$AT8/'retraites SA Nb'!$AH8-1</f>
        <v>6.6281303572506278E-3</v>
      </c>
      <c r="Q8" s="72">
        <f>'retraites SA Nb'!$AW8/'retraites SA Nb'!$AK8-1</f>
        <v>5.9808221955339747E-3</v>
      </c>
      <c r="R8" s="72">
        <f>'retraites SA Nb'!$AZ8/'retraites SA Nb'!$AN8-1</f>
        <v>4.1308236824761924E-3</v>
      </c>
      <c r="S8" s="72">
        <f>'retraites SA Nb'!$BC8/'retraites SA Nb'!$AQ8-1</f>
        <v>1.0947525431614924E-3</v>
      </c>
      <c r="T8" s="72">
        <f>'retraites SA Nb'!$BF8/'retraites SA Nb'!$AT8-1</f>
        <v>-4.3987868248629436E-4</v>
      </c>
      <c r="U8" s="72">
        <f>'retraites SA Nb'!$BI8/'retraites SA Nb'!$AW8-1</f>
        <v>-2.2032149859608774E-3</v>
      </c>
      <c r="V8" s="72">
        <f>'retraites SA Nb'!$BL8/'retraites SA Nb'!$AZ8-1</f>
        <v>-1.0825868882531342E-3</v>
      </c>
      <c r="W8" s="72">
        <f>'retraites SA Nb'!$BO8/'retraites SA Nb'!$BC8-1</f>
        <v>1.5036386346278796E-3</v>
      </c>
      <c r="X8" s="72">
        <f>'retraites SA Nb'!$BR8/'retraites SA Nb'!$BF8-1</f>
        <v>7.1575955273583958E-4</v>
      </c>
      <c r="Y8" s="72">
        <f>'retraites SA Nb'!$BU8/'retraites SA Nb'!$BI8-1</f>
        <v>-1.2289932867525222E-3</v>
      </c>
      <c r="Z8" s="72">
        <f>'retraites SA Nb'!$BX8/'retraites SA Nb'!$BL8-1</f>
        <v>-4.1404757963077188E-3</v>
      </c>
      <c r="AA8" s="72">
        <f>'retraites SA Nb'!$CA8/'retraites SA Nb'!$BO8-1</f>
        <v>-6.9421814726160491E-3</v>
      </c>
      <c r="AB8" s="72">
        <f>'retraites SA Nb'!$CG8/'retraites SA Nb'!$BR8-1</f>
        <v>-5.5149354993814237E-3</v>
      </c>
      <c r="AC8" s="72">
        <f>'retraites SA Nb'!$CG8/'retraites SA Nb'!$BU8-1</f>
        <v>-3.9588688946015083E-3</v>
      </c>
      <c r="AD8" s="72">
        <f>'retraites SA Nb'!$CJ8/'retraites SA Nb'!$BX8-1</f>
        <v>-3.2905053496419256E-3</v>
      </c>
      <c r="AE8" s="72">
        <f>'retraites SA Nb'!$CM8/'retraites SA Nb'!$CA8-1</f>
        <v>-1.6321397523958447E-3</v>
      </c>
      <c r="AF8" s="72">
        <f>'retraites SA Nb'!$CS8/'retraites SA Nb'!$CG8-1</f>
        <v>-2.7959875428000824E-3</v>
      </c>
      <c r="AG8" s="72">
        <f>'retraites SA Nb'!$CS8/'retraites SA Nb'!$CG8-1</f>
        <v>-2.7959875428000824E-3</v>
      </c>
      <c r="AH8" s="72">
        <f>'retraites SA Nb'!$CV8/'retraites SA Nb'!$CJ8-1</f>
        <v>-2.309238501522537E-3</v>
      </c>
      <c r="AI8" s="72">
        <f>'retraites SA Nb'!$CY8/'retraites SA Nb'!$CM8-1</f>
        <v>-4.9319575707097441E-3</v>
      </c>
      <c r="AJ8" s="72">
        <f>'retraites SA Nb'!$DB8/'retraites SA Nb'!$CP8-1</f>
        <v>-6.2990713526790421E-3</v>
      </c>
      <c r="AK8" s="72">
        <f>'retraites SA Nb'!$DE8/'retraites SA Nb'!$CS8-1</f>
        <v>-8.5684953370199768E-3</v>
      </c>
      <c r="AL8" s="72">
        <f>'retraites SA Nb'!$DH8/'retraites SA Nb'!$CV8-1</f>
        <v>-9.8684323910698257E-3</v>
      </c>
      <c r="AM8" s="72">
        <f>'retraites SA Nb'!$DK8/'retraites SA Nb'!$CY8-1</f>
        <v>-1.1839333704573463E-2</v>
      </c>
      <c r="AN8" s="72">
        <f>'retraites SA Nb'!$DN8/'retraites SA Nb'!$DB8-1</f>
        <v>-1.4823403620104258E-2</v>
      </c>
      <c r="AO8" s="72">
        <f>'retraites SA Nb'!DQ8/'retraites SA Nb'!DE8-1</f>
        <v>-1.4617150395319189E-2</v>
      </c>
      <c r="AP8" s="72">
        <f>'retraites SA Nb'!$DT8/'retraites SA Nb'!$DH8-1</f>
        <v>-1.4826599455534106E-2</v>
      </c>
      <c r="AQ8" s="72">
        <f>'retraites SA Nb'!$DW8/'retraites SA Nb'!$DK8-1</f>
        <v>-1.3430265525134932E-2</v>
      </c>
      <c r="AR8" s="122">
        <f>'retraites SA Nb'!$DZ8/'retraites SA Nb'!$DN8-1</f>
        <v>-1.2590384371432228E-2</v>
      </c>
      <c r="AS8" s="261">
        <f>'retraites SA Nb'!$EC8/'retraites SA Nb'!$DQ8-1</f>
        <v>-1.5513952666902142E-2</v>
      </c>
      <c r="AT8" s="261">
        <f>'retraites SA Nb'!$EF8/'retraites SA Nb'!$DT8-1</f>
        <v>-1.2954292478665752E-2</v>
      </c>
      <c r="AU8" s="261">
        <f>'retraites SA Nb'!$EI8/'retraites SA Nb'!$DW8-1</f>
        <v>-1.3598901586242884E-2</v>
      </c>
      <c r="AV8" s="261">
        <f>'retraites SA Nb'!$EL8/'retraites SA Nb'!$DZ8-1</f>
        <v>-1.4510286744107148E-2</v>
      </c>
      <c r="AW8" s="261">
        <f>'retraites SA Nb'!$EO8/'retraites SA Nb'!$EC8-1</f>
        <v>-1.5516239218106409E-2</v>
      </c>
      <c r="AX8" s="261">
        <f>'retraites SA Nb'!$ER8/'retraites SA Nb'!$EF8-1</f>
        <v>-2.4249182863218643E-2</v>
      </c>
      <c r="AY8" s="261">
        <f>'retraites SA Nb'!$EU8/'retraites SA Nb'!$EI8-1</f>
        <v>-2.7392924453652157E-2</v>
      </c>
      <c r="AZ8" s="261">
        <f>'retraites SA Nb'!$EX8/'retraites SA Nb'!$EL8-1</f>
        <v>-2.5929842222857991E-2</v>
      </c>
      <c r="BA8" s="261">
        <f>'retraites SA Nb'!$FA8/'retraites SA Nb'!$EO8-1</f>
        <v>-2.2160589102478867E-2</v>
      </c>
      <c r="BB8" s="261">
        <f>'retraites SA Nb'!$FD8/'retraites SA Nb'!$ER8-1</f>
        <v>-1.9108034877300173E-2</v>
      </c>
      <c r="BC8" s="261">
        <f>'retraites SA Nb'!$FG8/'retraites SA Nb'!$EU8-1</f>
        <v>-1.7785823114358834E-2</v>
      </c>
      <c r="BD8" s="261">
        <f>'retraites SA Nb'!$FJ8/'retraites SA Nb'!$EX8-1</f>
        <v>-1.8984082962654525E-2</v>
      </c>
      <c r="BE8" s="261">
        <f>'retraites SA Nb'!$FM8/'retraites SA Nb'!$FA8-1</f>
        <v>-2.1675121038527312E-2</v>
      </c>
      <c r="BF8" s="261">
        <f>'retraites SA Nb'!$FP8/'retraites SA Nb'!$FD8-1</f>
        <v>-2.3405866896080929E-2</v>
      </c>
      <c r="BG8" s="261">
        <f>'retraites SA Nb'!$FS8/'retraites SA Nb'!$FG8-1</f>
        <v>-2.3794956749277563E-2</v>
      </c>
      <c r="BH8" s="261">
        <f>'retraites SA Nb'!$FV8/'retraites SA Nb'!$FJ8-1</f>
        <v>-2.2576378835994837E-2</v>
      </c>
      <c r="BI8" s="261">
        <f>'retraites SA Nb'!$FY8/'retraites SA Nb'!$FM8-1</f>
        <v>-2.0353350159531436E-2</v>
      </c>
      <c r="BJ8" s="261">
        <f>'retraites SA Nb'!$GB8/'retraites SA Nb'!$FP8-1</f>
        <v>-1.5226550231720815E-2</v>
      </c>
      <c r="BK8" s="261">
        <f>'retraites SA Nb'!$GE8/'retraites SA Nb'!$FS8-1</f>
        <v>-1.6788637875676193E-2</v>
      </c>
      <c r="BL8" s="261">
        <f>'retraites SA Nb'!$GH8/'retraites SA Nb'!$FV8-1</f>
        <v>-1.8864047424730912E-2</v>
      </c>
      <c r="BM8" s="261">
        <f>'retraites SA Nb'!$GK8/'retraites SA Nb'!$FY8-1</f>
        <v>-2.1627875323261159E-2</v>
      </c>
      <c r="BN8" s="261">
        <f>'retraites SA Nb'!$GN8/'retraites SA Nb'!$GB8-1</f>
        <v>-2.5051095912521415E-2</v>
      </c>
      <c r="BO8" s="296"/>
    </row>
    <row r="9" spans="1:67" x14ac:dyDescent="0.25">
      <c r="A9" s="39" t="s">
        <v>4</v>
      </c>
      <c r="B9" s="71"/>
      <c r="F9" s="72">
        <f>'retraites SA Nb'!$P9/'retraites SA Nb'!$D9-1</f>
        <v>9.1213792762263601E-3</v>
      </c>
      <c r="G9" s="72">
        <f>'retraites SA Nb'!$S9/'retraites SA Nb'!$G9-1</f>
        <v>1.0490375575238797E-2</v>
      </c>
      <c r="H9" s="72">
        <f>'retraites SA Nb'!$V9/'retraites SA Nb'!$J9-1</f>
        <v>8.5321174602586147E-3</v>
      </c>
      <c r="I9" s="72">
        <f>'retraites SA Nb'!$Y9/'retraites SA Nb'!$M9-1</f>
        <v>4.8438652569462448E-3</v>
      </c>
      <c r="J9" s="72">
        <f>'retraites SA Nb'!$AB9/'retraites SA Nb'!$P9-1</f>
        <v>2.7760244633325826E-3</v>
      </c>
      <c r="K9" s="72">
        <f>'retraites SA Nb'!$AE9/'retraites SA Nb'!$S9-1</f>
        <v>2.0138582831399354E-3</v>
      </c>
      <c r="L9" s="72">
        <f>'retraites SA Nb'!$AH9/'retraites SA Nb'!$V9-1</f>
        <v>2.6954177897573484E-3</v>
      </c>
      <c r="M9" s="72">
        <f>'retraites SA Nb'!$AK9/'retraites SA Nb'!$Y9-1</f>
        <v>2.7711845743509933E-3</v>
      </c>
      <c r="N9" s="72">
        <f>'retraites SA Nb'!$AN9/'retraites SA Nb'!$AB9-1</f>
        <v>1.3200029333397811E-3</v>
      </c>
      <c r="O9" s="72">
        <f>'retraites SA Nb'!$AQ9/'retraites SA Nb'!$AE9-1</f>
        <v>-1.7960011484633442E-3</v>
      </c>
      <c r="P9" s="72">
        <f>'retraites SA Nb'!$AT9/'retraites SA Nb'!$AH9-1</f>
        <v>-4.3255131964808902E-3</v>
      </c>
      <c r="Q9" s="72">
        <f>'retraites SA Nb'!$AW9/'retraites SA Nb'!$AK9-1</f>
        <v>-5.7344696530645667E-3</v>
      </c>
      <c r="R9" s="72">
        <f>'retraites SA Nb'!$AZ9/'retraites SA Nb'!$AN9-1</f>
        <v>-5.4988648292361164E-3</v>
      </c>
      <c r="S9" s="72">
        <f>'retraites SA Nb'!$BC9/'retraites SA Nb'!$AQ9-1</f>
        <v>-6.3891115830186918E-3</v>
      </c>
      <c r="T9" s="72">
        <f>'retraites SA Nb'!$BF9/'retraites SA Nb'!$AT9-1</f>
        <v>-8.6395208992955386E-3</v>
      </c>
      <c r="U9" s="72">
        <f>'retraites SA Nb'!$BI9/'retraites SA Nb'!$AW9-1</f>
        <v>-8.6390438149231974E-3</v>
      </c>
      <c r="V9" s="72">
        <f>'retraites SA Nb'!$BL9/'retraites SA Nb'!$AZ9-1</f>
        <v>-7.8183012071113556E-3</v>
      </c>
      <c r="W9" s="72">
        <f>'retraites SA Nb'!$BO9/'retraites SA Nb'!$BC9-1</f>
        <v>-5.838912533336571E-3</v>
      </c>
      <c r="X9" s="72">
        <f>'retraites SA Nb'!$BR9/'retraites SA Nb'!$BF9-1</f>
        <v>-3.8560570424104323E-3</v>
      </c>
      <c r="Y9" s="72">
        <f>'retraites SA Nb'!$BU9/'retraites SA Nb'!$BI9-1</f>
        <v>-6.8204464854895175E-3</v>
      </c>
      <c r="Z9" s="72">
        <f>'retraites SA Nb'!$BX9/'retraites SA Nb'!$BL9-1</f>
        <v>-9.432386795895531E-3</v>
      </c>
      <c r="AA9" s="72">
        <f>'retraites SA Nb'!$CA9/'retraites SA Nb'!$BO9-1</f>
        <v>-1.1802169616692781E-2</v>
      </c>
      <c r="AB9" s="72">
        <f>'retraites SA Nb'!$CG9/'retraites SA Nb'!$BR9-1</f>
        <v>-1.337757314792376E-2</v>
      </c>
      <c r="AC9" s="72">
        <f>'retraites SA Nb'!$CG9/'retraites SA Nb'!$BU9-1</f>
        <v>-1.0487876314100419E-2</v>
      </c>
      <c r="AD9" s="72">
        <f>'retraites SA Nb'!$CJ9/'retraites SA Nb'!$BX9-1</f>
        <v>-1.0027973425245973E-2</v>
      </c>
      <c r="AE9" s="72">
        <f>'retraites SA Nb'!$CM9/'retraites SA Nb'!$CA9-1</f>
        <v>-7.8429651549157819E-3</v>
      </c>
      <c r="AF9" s="72">
        <f>'retraites SA Nb'!$CS9/'retraites SA Nb'!$CG9-1</f>
        <v>-7.7146887674131026E-3</v>
      </c>
      <c r="AG9" s="72">
        <f>'retraites SA Nb'!$CS9/'retraites SA Nb'!$CG9-1</f>
        <v>-7.7146887674131026E-3</v>
      </c>
      <c r="AH9" s="72">
        <f>'retraites SA Nb'!$CV9/'retraites SA Nb'!$CJ9-1</f>
        <v>-6.8812836653084908E-3</v>
      </c>
      <c r="AI9" s="72">
        <f>'retraites SA Nb'!$CY9/'retraites SA Nb'!$CM9-1</f>
        <v>-1.0489400018956707E-2</v>
      </c>
      <c r="AJ9" s="72">
        <f>'retraites SA Nb'!$DB9/'retraites SA Nb'!$CP9-1</f>
        <v>-1.2448658790122247E-2</v>
      </c>
      <c r="AK9" s="72">
        <f>'retraites SA Nb'!$DE9/'retraites SA Nb'!$CS9-1</f>
        <v>-1.4127682260429153E-2</v>
      </c>
      <c r="AL9" s="72">
        <f>'retraites SA Nb'!$DH9/'retraites SA Nb'!$CV9-1</f>
        <v>-1.4937601219396024E-2</v>
      </c>
      <c r="AM9" s="72">
        <f>'retraites SA Nb'!$DK9/'retraites SA Nb'!$CY9-1</f>
        <v>-1.6201028129889217E-2</v>
      </c>
      <c r="AN9" s="72">
        <f>'retraites SA Nb'!$DN9/'retraites SA Nb'!$DB9-1</f>
        <v>-2.0243382711612079E-2</v>
      </c>
      <c r="AO9" s="72">
        <f>'retraites SA Nb'!DQ9/'retraites SA Nb'!DE9-1</f>
        <v>-2.0600372094220942E-2</v>
      </c>
      <c r="AP9" s="72">
        <f>'retraites SA Nb'!$DT9/'retraites SA Nb'!$DH9-1</f>
        <v>-2.1173026956280649E-2</v>
      </c>
      <c r="AQ9" s="72">
        <f>'retraites SA Nb'!$DW9/'retraites SA Nb'!$DK9-1</f>
        <v>-2.0725960352594441E-2</v>
      </c>
      <c r="AR9" s="122">
        <f>'retraites SA Nb'!$DZ9/'retraites SA Nb'!$DN9-1</f>
        <v>-1.9764166393711147E-2</v>
      </c>
      <c r="AS9" s="261">
        <f>'retraites SA Nb'!$EC9/'retraites SA Nb'!$DQ9-1</f>
        <v>-2.1171707079803093E-2</v>
      </c>
      <c r="AT9" s="261">
        <f>'retraites SA Nb'!$EF9/'retraites SA Nb'!$DT9-1</f>
        <v>-2.1446591006395788E-2</v>
      </c>
      <c r="AU9" s="261">
        <f>'retraites SA Nb'!$EI9/'retraites SA Nb'!$DW9-1</f>
        <v>-2.0230006959864766E-2</v>
      </c>
      <c r="AV9" s="261">
        <f>'retraites SA Nb'!$EL9/'retraites SA Nb'!$DZ9-1</f>
        <v>-1.9902026959293773E-2</v>
      </c>
      <c r="AW9" s="261">
        <f>'retraites SA Nb'!$EO9/'retraites SA Nb'!$EC9-1</f>
        <v>-2.1361035751698898E-2</v>
      </c>
      <c r="AX9" s="261">
        <f>'retraites SA Nb'!$ER9/'retraites SA Nb'!$EF9-1</f>
        <v>-2.4932183652726425E-2</v>
      </c>
      <c r="AY9" s="261">
        <f>'retraites SA Nb'!$EU9/'retraites SA Nb'!$EI9-1</f>
        <v>-2.8813433189232351E-2</v>
      </c>
      <c r="AZ9" s="261">
        <f>'retraites SA Nb'!$EX9/'retraites SA Nb'!$EL9-1</f>
        <v>-2.9675087791074306E-2</v>
      </c>
      <c r="BA9" s="261">
        <f>'retraites SA Nb'!$FA9/'retraites SA Nb'!$EO9-1</f>
        <v>-2.7982296634301962E-2</v>
      </c>
      <c r="BB9" s="261">
        <f>'retraites SA Nb'!$FD9/'retraites SA Nb'!$ER9-1</f>
        <v>-2.5583498436410612E-2</v>
      </c>
      <c r="BC9" s="261">
        <f>'retraites SA Nb'!$FG9/'retraites SA Nb'!$EU9-1</f>
        <v>-2.5335413851233723E-2</v>
      </c>
      <c r="BD9" s="261">
        <f>'retraites SA Nb'!$FJ9/'retraites SA Nb'!$EX9-1</f>
        <v>-2.5270022416955418E-2</v>
      </c>
      <c r="BE9" s="261">
        <f>'retraites SA Nb'!$FM9/'retraites SA Nb'!$FA9-1</f>
        <v>-2.720656233013552E-2</v>
      </c>
      <c r="BF9" s="261">
        <f>'retraites SA Nb'!$FP9/'retraites SA Nb'!$FD9-1</f>
        <v>-3.3453061571486309E-2</v>
      </c>
      <c r="BG9" s="261">
        <f>'retraites SA Nb'!$FS9/'retraites SA Nb'!$FG9-1</f>
        <v>-3.285519272139914E-2</v>
      </c>
      <c r="BH9" s="261">
        <f>'retraites SA Nb'!$FV9/'retraites SA Nb'!$FJ9-1</f>
        <v>-3.1627819792800604E-2</v>
      </c>
      <c r="BI9" s="261">
        <f>'retraites SA Nb'!$FY9/'retraites SA Nb'!$FM9-1</f>
        <v>-2.9817928492122836E-2</v>
      </c>
      <c r="BJ9" s="261">
        <f>'retraites SA Nb'!$GB9/'retraites SA Nb'!$FP9-1</f>
        <v>-2.5404783370348349E-2</v>
      </c>
      <c r="BK9" s="261">
        <f>'retraites SA Nb'!$GE9/'retraites SA Nb'!$FS9-1</f>
        <v>-2.428318060892698E-2</v>
      </c>
      <c r="BL9" s="261">
        <f>'retraites SA Nb'!$GH9/'retraites SA Nb'!$FV9-1</f>
        <v>-2.5163787969029183E-2</v>
      </c>
      <c r="BM9" s="261">
        <f>'retraites SA Nb'!$GK9/'retraites SA Nb'!$FY9-1</f>
        <v>-2.7473185034481706E-2</v>
      </c>
      <c r="BN9" s="261">
        <f>'retraites SA Nb'!$GN9/'retraites SA Nb'!$GB9-1</f>
        <v>-2.7082314894897208E-2</v>
      </c>
      <c r="BO9" s="296"/>
    </row>
    <row r="10" spans="1:67" ht="12" thickBot="1" x14ac:dyDescent="0.3">
      <c r="A10" s="40" t="s">
        <v>5</v>
      </c>
      <c r="B10" s="71"/>
      <c r="F10" s="72">
        <f>'retraites SA Nb'!$P10/'retraites SA Nb'!$D10-1</f>
        <v>3.1475201187054491E-3</v>
      </c>
      <c r="G10" s="72">
        <f>'retraites SA Nb'!$S10/'retraites SA Nb'!$G10-1</f>
        <v>4.0771406186232984E-3</v>
      </c>
      <c r="H10" s="72">
        <f>'retraites SA Nb'!$V10/'retraites SA Nb'!$J10-1</f>
        <v>-2.8727941758012188E-3</v>
      </c>
      <c r="I10" s="72">
        <f>'retraites SA Nb'!$Y10/'retraites SA Nb'!$M10-1</f>
        <v>-4.2571845224039784E-3</v>
      </c>
      <c r="J10" s="72">
        <f>'retraites SA Nb'!$AB10/'retraites SA Nb'!$P10-1</f>
        <v>4.5614191684006933E-3</v>
      </c>
      <c r="K10" s="72">
        <f>'retraites SA Nb'!$AE10/'retraites SA Nb'!$S10-1</f>
        <v>3.167335874413757E-3</v>
      </c>
      <c r="L10" s="72">
        <f>'retraites SA Nb'!$AH10/'retraites SA Nb'!$V10-1</f>
        <v>1.0405425002022906E-2</v>
      </c>
      <c r="M10" s="72">
        <f>'retraites SA Nb'!$AK10/'retraites SA Nb'!$Y10-1</f>
        <v>9.6062983925142564E-3</v>
      </c>
      <c r="N10" s="72">
        <f>'retraites SA Nb'!$AN10/'retraites SA Nb'!$AB10-1</f>
        <v>-2.394710296381608E-3</v>
      </c>
      <c r="O10" s="72">
        <f>'retraites SA Nb'!$AQ10/'retraites SA Nb'!$AE10-1</f>
        <v>-5.1724958174422797E-3</v>
      </c>
      <c r="P10" s="72">
        <f>'retraites SA Nb'!$AT10/'retraites SA Nb'!$AH10-1</f>
        <v>-7.5566880455653074E-3</v>
      </c>
      <c r="Q10" s="72">
        <f>'retraites SA Nb'!$AW10/'retraites SA Nb'!$AK10-1</f>
        <v>-8.6864437041633824E-3</v>
      </c>
      <c r="R10" s="72">
        <f>'retraites SA Nb'!$AZ10/'retraites SA Nb'!$AN10-1</f>
        <v>-8.9322352537002381E-3</v>
      </c>
      <c r="S10" s="72">
        <f>'retraites SA Nb'!$BC10/'retraites SA Nb'!$AQ10-1</f>
        <v>-7.5346715641168016E-3</v>
      </c>
      <c r="T10" s="72">
        <f>'retraites SA Nb'!$BF10/'retraites SA Nb'!$AT10-1</f>
        <v>-8.5598126245152173E-3</v>
      </c>
      <c r="U10" s="72">
        <f>'retraites SA Nb'!$BI10/'retraites SA Nb'!$AW10-1</f>
        <v>-3.661039091508389E-3</v>
      </c>
      <c r="V10" s="72">
        <f>'retraites SA Nb'!$BL10/'retraites SA Nb'!$AZ10-1</f>
        <v>1.0648063448657208E-3</v>
      </c>
      <c r="W10" s="72">
        <f>'retraites SA Nb'!$BO10/'retraites SA Nb'!$BC10-1</f>
        <v>2.319281922048777E-3</v>
      </c>
      <c r="X10" s="122">
        <f>'retraites SA Nb'!$BR10/'retraites SA Nb'!$BF10-1</f>
        <v>5.2458273933810862E-3</v>
      </c>
      <c r="Y10" s="122">
        <f>'retraites SA Nb'!$BU10/'retraites SA Nb'!$BI10-1</f>
        <v>3.713859666319097E-3</v>
      </c>
      <c r="Z10" s="122">
        <f>'retraites SA Nb'!$BX10/'retraites SA Nb'!$BL10-1</f>
        <v>3.362555638472875E-3</v>
      </c>
      <c r="AA10" s="122">
        <f>'retraites SA Nb'!$CA10/'retraites SA Nb'!$BO10-1</f>
        <v>4.6871206737275628E-3</v>
      </c>
      <c r="AB10" s="122">
        <f>'retraites SA Nb'!$CG10/'retraites SA Nb'!$BR10-1</f>
        <v>4.1578466579097473E-3</v>
      </c>
      <c r="AC10" s="122">
        <f>'retraites SA Nb'!$CG10/'retraites SA Nb'!$BU10-1</f>
        <v>2.643513146925347E-3</v>
      </c>
      <c r="AD10" s="122">
        <f>'retraites SA Nb'!$CJ10/'retraites SA Nb'!$BX10-1</f>
        <v>1.6860287691391473E-3</v>
      </c>
      <c r="AE10" s="122">
        <f>'retraites SA Nb'!$CM10/'retraites SA Nb'!$CA10-1</f>
        <v>2.5690796530326576E-3</v>
      </c>
      <c r="AF10" s="122">
        <f>'retraites SA Nb'!$CS10/'retraites SA Nb'!$CG10-1</f>
        <v>6.0123568263121818E-3</v>
      </c>
      <c r="AG10" s="122">
        <f>'retraites SA Nb'!$CS10/'retraites SA Nb'!$CG10-1</f>
        <v>6.0123568263121818E-3</v>
      </c>
      <c r="AH10" s="122">
        <f>'retraites SA Nb'!$CV10/'retraites SA Nb'!$CJ10-1</f>
        <v>4.6416350677922491E-3</v>
      </c>
      <c r="AI10" s="122">
        <f>'retraites SA Nb'!$CY10/'retraites SA Nb'!$CM10-1</f>
        <v>8.471391157538477E-4</v>
      </c>
      <c r="AJ10" s="122">
        <f>'retraites SA Nb'!$DB10/'retraites SA Nb'!$CP10-1</f>
        <v>4.5509738885396445E-4</v>
      </c>
      <c r="AK10" s="122">
        <f>'retraites SA Nb'!$DE10/'retraites SA Nb'!$CS10-1</f>
        <v>-2.7283159196201945E-3</v>
      </c>
      <c r="AL10" s="122">
        <f>'retraites SA Nb'!$DH10/'retraites SA Nb'!$CV10-1</f>
        <v>-3.9271613577483988E-3</v>
      </c>
      <c r="AM10" s="122">
        <f>'retraites SA Nb'!$DK10/'retraites SA Nb'!$CY10-1</f>
        <v>-6.8584031234166787E-3</v>
      </c>
      <c r="AN10" s="122">
        <f>'retraites SA Nb'!$DN10/'retraites SA Nb'!$DB10-1</f>
        <v>-1.2878363507065727E-2</v>
      </c>
      <c r="AO10" s="72">
        <f>'retraites SA Nb'!DQ10/'retraites SA Nb'!DE10-1</f>
        <v>-1.4223589139637727E-2</v>
      </c>
      <c r="AP10" s="72">
        <f>'retraites SA Nb'!$DT10/'retraites SA Nb'!$DH10-1</f>
        <v>-1.4663578115492348E-2</v>
      </c>
      <c r="AQ10" s="72">
        <f>'retraites SA Nb'!$DW10/'retraites SA Nb'!$DK10-1</f>
        <v>-1.5380023175267765E-2</v>
      </c>
      <c r="AR10" s="122">
        <f>'retraites SA Nb'!$DZ10/'retraites SA Nb'!$DN10-1</f>
        <v>-1.6063676764034196E-2</v>
      </c>
      <c r="AS10" s="261">
        <f>'retraites SA Nb'!$EC10/'retraites SA Nb'!$DQ10-1</f>
        <v>-1.919591089965289E-2</v>
      </c>
      <c r="AT10" s="261">
        <f>'retraites SA Nb'!$EF10/'retraites SA Nb'!$DT10-1</f>
        <v>-1.7254118498716942E-2</v>
      </c>
      <c r="AU10" s="261">
        <f>'retraites SA Nb'!$EI10/'retraites SA Nb'!$DW10-1</f>
        <v>-1.6644329557562676E-2</v>
      </c>
      <c r="AV10" s="261">
        <f>'retraites SA Nb'!$EL10/'retraites SA Nb'!$DZ10-1</f>
        <v>-1.7047065132338113E-2</v>
      </c>
      <c r="AW10" s="261">
        <f>'retraites SA Nb'!$EO10/'retraites SA Nb'!$EC10-1</f>
        <v>-1.6996762619385319E-2</v>
      </c>
      <c r="AX10" s="261">
        <f>'retraites SA Nb'!$ER10/'retraites SA Nb'!$EF10-1</f>
        <v>-2.4332300008929941E-2</v>
      </c>
      <c r="AY10" s="261">
        <f>'retraites SA Nb'!$EU10/'retraites SA Nb'!$EI10-1</f>
        <v>-2.6913572083874016E-2</v>
      </c>
      <c r="AZ10" s="261">
        <f>'retraites SA Nb'!$EX10/'retraites SA Nb'!$EL10-1</f>
        <v>-2.6473054427954112E-2</v>
      </c>
      <c r="BA10" s="261">
        <f>'retraites SA Nb'!$FA10/'retraites SA Nb'!$EO10-1</f>
        <v>-2.5055384661755831E-2</v>
      </c>
      <c r="BB10" s="261">
        <f>'retraites SA Nb'!$FD10/'retraites SA Nb'!$ER10-1</f>
        <v>-2.246410951485367E-2</v>
      </c>
      <c r="BC10" s="261">
        <f>'retraites SA Nb'!$FG10/'retraites SA Nb'!$EU10-1</f>
        <v>-2.1052841685586299E-2</v>
      </c>
      <c r="BD10" s="261">
        <f>'retraites SA Nb'!$FJ10/'retraites SA Nb'!$EX10-1</f>
        <v>-2.0058406441122556E-2</v>
      </c>
      <c r="BE10" s="261">
        <f>'retraites SA Nb'!$FM10/'retraites SA Nb'!$FA10-1</f>
        <v>-2.0227601306541221E-2</v>
      </c>
      <c r="BF10" s="261">
        <f>'retraites SA Nb'!$FP10/'retraites SA Nb'!$FD10-1</f>
        <v>-2.070431340941381E-2</v>
      </c>
      <c r="BG10" s="261">
        <f>'retraites SA Nb'!$FS10/'retraites SA Nb'!$FG10-1</f>
        <v>-2.1211467857869537E-2</v>
      </c>
      <c r="BH10" s="261">
        <f>'retraites SA Nb'!$FV10/'retraites SA Nb'!$FJ10-1</f>
        <v>-2.0544007481651416E-2</v>
      </c>
      <c r="BI10" s="261">
        <f>'retraites SA Nb'!$FY10/'retraites SA Nb'!$FM10-1</f>
        <v>-1.9337896711746794E-2</v>
      </c>
      <c r="BJ10" s="261">
        <f>'retraites SA Nb'!$GB10/'retraites SA Nb'!$FP10-1</f>
        <v>-1.743486214602441E-2</v>
      </c>
      <c r="BK10" s="261">
        <f>'retraites SA Nb'!$GE10/'retraites SA Nb'!$FS10-1</f>
        <v>-1.8100137131652594E-2</v>
      </c>
      <c r="BL10" s="261">
        <f>'retraites SA Nb'!$GH10/'retraites SA Nb'!$FV10-1</f>
        <v>-1.9012720869458377E-2</v>
      </c>
      <c r="BM10" s="261">
        <f>'retraites SA Nb'!$GK10/'retraites SA Nb'!$FY10-1</f>
        <v>-2.0261755116049551E-2</v>
      </c>
      <c r="BN10" s="261">
        <f>'retraites SA Nb'!$GN10/'retraites SA Nb'!$GB10-1</f>
        <v>-2.1384463406420529E-2</v>
      </c>
      <c r="BO10" s="296"/>
    </row>
    <row r="11" spans="1:67" x14ac:dyDescent="0.25">
      <c r="A11" s="14"/>
      <c r="P11" s="4"/>
      <c r="Q11" s="76"/>
      <c r="R11" s="76"/>
      <c r="S11" s="76"/>
      <c r="T11" s="76"/>
      <c r="U11" s="76"/>
      <c r="V11" s="76"/>
      <c r="BJ11" s="126"/>
      <c r="BK11" s="126"/>
      <c r="BL11" s="126"/>
      <c r="BM11" s="126"/>
      <c r="BN11" s="126"/>
    </row>
    <row r="12" spans="1:67" x14ac:dyDescent="0.25">
      <c r="A12" s="3" t="s">
        <v>16</v>
      </c>
      <c r="P12" s="4"/>
      <c r="Q12" s="76"/>
      <c r="R12" s="76"/>
      <c r="S12" s="76"/>
      <c r="T12" s="76"/>
      <c r="U12" s="76"/>
      <c r="V12" s="76"/>
      <c r="BJ12" s="126"/>
      <c r="BK12" s="126"/>
      <c r="BL12" s="126"/>
      <c r="BM12" s="126"/>
      <c r="BN12" s="126"/>
    </row>
    <row r="13" spans="1:67" s="32" customFormat="1" x14ac:dyDescent="0.25">
      <c r="A13" s="3"/>
      <c r="Q13" s="99"/>
      <c r="R13" s="99"/>
      <c r="S13" s="99"/>
      <c r="T13" s="99"/>
      <c r="U13" s="99"/>
      <c r="V13" s="99"/>
      <c r="AR13" s="254"/>
      <c r="AS13" s="260"/>
      <c r="AT13" s="260"/>
      <c r="AU13" s="260"/>
      <c r="AV13" s="260"/>
      <c r="AW13" s="260"/>
      <c r="AX13" s="260"/>
      <c r="AY13" s="260"/>
      <c r="AZ13" s="260"/>
      <c r="BA13" s="260"/>
      <c r="BB13" s="260"/>
      <c r="BC13" s="260"/>
      <c r="BD13" s="260"/>
      <c r="BE13" s="260"/>
      <c r="BF13" s="260"/>
      <c r="BG13" s="260"/>
      <c r="BH13" s="260"/>
      <c r="BI13" s="260"/>
      <c r="BJ13" s="260"/>
      <c r="BK13" s="260"/>
      <c r="BL13" s="260"/>
      <c r="BM13" s="260"/>
      <c r="BN13" s="260"/>
    </row>
    <row r="14" spans="1:67" ht="12" thickBot="1" x14ac:dyDescent="0.3">
      <c r="A14" s="3"/>
      <c r="B14" s="70" t="str">
        <f>B6</f>
        <v>4 T2008</v>
      </c>
      <c r="C14" s="70" t="str">
        <f t="shared" ref="C14:L14" si="0">C6</f>
        <v>1 T 2009</v>
      </c>
      <c r="D14" s="70" t="str">
        <f t="shared" si="0"/>
        <v>2 T 2009</v>
      </c>
      <c r="E14" s="70" t="str">
        <f t="shared" si="0"/>
        <v>3 T 2009</v>
      </c>
      <c r="F14" s="70" t="str">
        <f t="shared" si="0"/>
        <v>4 T 2009</v>
      </c>
      <c r="G14" s="70" t="str">
        <f t="shared" si="0"/>
        <v>1 T 2010</v>
      </c>
      <c r="H14" s="70" t="str">
        <f t="shared" si="0"/>
        <v>2 T 2010</v>
      </c>
      <c r="I14" s="70" t="str">
        <f t="shared" si="0"/>
        <v>3 T 2010</v>
      </c>
      <c r="J14" s="70" t="str">
        <f t="shared" si="0"/>
        <v>4 T 2010</v>
      </c>
      <c r="K14" s="70" t="str">
        <f t="shared" si="0"/>
        <v>1 T 2011</v>
      </c>
      <c r="L14" s="70" t="str">
        <f t="shared" si="0"/>
        <v>2 T 2011</v>
      </c>
      <c r="M14" s="70" t="str">
        <f>M6</f>
        <v>3 T 2011</v>
      </c>
      <c r="N14" s="70" t="str">
        <f>N6</f>
        <v>4 T 2011</v>
      </c>
      <c r="O14" s="70" t="s">
        <v>106</v>
      </c>
      <c r="P14" s="70" t="s">
        <v>111</v>
      </c>
      <c r="Q14" s="70" t="s">
        <v>135</v>
      </c>
      <c r="R14" s="70" t="s">
        <v>141</v>
      </c>
      <c r="S14" s="70" t="s">
        <v>145</v>
      </c>
      <c r="T14" s="70" t="s">
        <v>150</v>
      </c>
      <c r="U14" s="70" t="s">
        <v>159</v>
      </c>
      <c r="V14" s="70" t="s">
        <v>164</v>
      </c>
      <c r="W14" s="70" t="s">
        <v>168</v>
      </c>
      <c r="X14" s="70" t="s">
        <v>172</v>
      </c>
      <c r="Y14" s="70" t="s">
        <v>178</v>
      </c>
      <c r="Z14" s="70" t="s">
        <v>193</v>
      </c>
      <c r="AA14" s="70" t="s">
        <v>198</v>
      </c>
      <c r="AB14" s="70" t="s">
        <v>203</v>
      </c>
      <c r="AC14" s="70" t="s">
        <v>206</v>
      </c>
      <c r="AD14" s="70" t="s">
        <v>210</v>
      </c>
      <c r="AE14" s="70" t="s">
        <v>219</v>
      </c>
      <c r="AF14" s="70" t="s">
        <v>224</v>
      </c>
      <c r="AG14" s="70" t="s">
        <v>224</v>
      </c>
      <c r="AH14" s="70" t="str">
        <f t="shared" ref="AH14:AL14" si="1">AH6</f>
        <v>4 T 2016</v>
      </c>
      <c r="AI14" s="70" t="str">
        <f t="shared" si="1"/>
        <v>1 T 2017</v>
      </c>
      <c r="AJ14" s="70" t="str">
        <f t="shared" si="1"/>
        <v>2 T 2017</v>
      </c>
      <c r="AK14" s="70" t="str">
        <f t="shared" si="1"/>
        <v>3 T 2017</v>
      </c>
      <c r="AL14" s="70" t="str">
        <f t="shared" si="1"/>
        <v>4 T 2017</v>
      </c>
      <c r="AM14" s="70" t="str">
        <f t="shared" ref="AM14:AR14" si="2">AM6</f>
        <v>1 T 2018</v>
      </c>
      <c r="AN14" s="70" t="str">
        <f t="shared" si="2"/>
        <v>2 T 2018</v>
      </c>
      <c r="AO14" s="70" t="str">
        <f t="shared" si="2"/>
        <v>3 T 2018</v>
      </c>
      <c r="AP14" s="70" t="str">
        <f t="shared" si="2"/>
        <v>4 T 2018</v>
      </c>
      <c r="AQ14" s="70" t="str">
        <f t="shared" si="2"/>
        <v>1 T 2019</v>
      </c>
      <c r="AR14" s="255" t="str">
        <f t="shared" si="2"/>
        <v>2 T 2019</v>
      </c>
      <c r="AS14" s="196" t="str">
        <f t="shared" ref="AS14:AT14" si="3">AS6</f>
        <v>3 T 2019</v>
      </c>
      <c r="AT14" s="196" t="str">
        <f t="shared" si="3"/>
        <v>4 T 2019</v>
      </c>
      <c r="AU14" s="196" t="str">
        <f t="shared" ref="AU14:AV14" si="4">AU6</f>
        <v>1 T 2020</v>
      </c>
      <c r="AV14" s="196" t="str">
        <f t="shared" si="4"/>
        <v>2 T 2020</v>
      </c>
      <c r="AW14" s="196" t="str">
        <f t="shared" ref="AW14" si="5">AW6</f>
        <v>3 T 2020</v>
      </c>
      <c r="AX14" s="196" t="str">
        <f t="shared" ref="AX14" si="6">AX6</f>
        <v>4 T 2020</v>
      </c>
      <c r="AY14" s="196" t="str">
        <f t="shared" ref="AY14:AZ14" si="7">AY6</f>
        <v>1 T 2021</v>
      </c>
      <c r="AZ14" s="196" t="str">
        <f t="shared" si="7"/>
        <v>2 T 2021</v>
      </c>
      <c r="BA14" s="196" t="str">
        <f t="shared" ref="BA14:BB14" si="8">BA6</f>
        <v>3 T 2021</v>
      </c>
      <c r="BB14" s="196" t="str">
        <f t="shared" si="8"/>
        <v>4T 2021</v>
      </c>
      <c r="BC14" s="196" t="str">
        <f t="shared" ref="BC14:BD14" si="9">BC6</f>
        <v>1T 2022</v>
      </c>
      <c r="BD14" s="196" t="str">
        <f t="shared" si="9"/>
        <v>2T 2022</v>
      </c>
      <c r="BE14" s="196" t="str">
        <f t="shared" ref="BE14:BF14" si="10">BE6</f>
        <v>3T 2022</v>
      </c>
      <c r="BF14" s="196" t="str">
        <f t="shared" si="10"/>
        <v>4T 2022</v>
      </c>
      <c r="BG14" s="196" t="str">
        <f t="shared" ref="BG14:BH14" si="11">BG6</f>
        <v>1T 2023</v>
      </c>
      <c r="BH14" s="196" t="str">
        <f t="shared" si="11"/>
        <v>2T 2023</v>
      </c>
      <c r="BI14" s="196" t="str">
        <f t="shared" ref="BI14:BJ14" si="12">BI6</f>
        <v>3T 2023</v>
      </c>
      <c r="BJ14" s="196" t="str">
        <f t="shared" si="12"/>
        <v>4T 2023</v>
      </c>
      <c r="BK14" s="196" t="str">
        <f t="shared" ref="BK14:BL14" si="13">BK6</f>
        <v>1T 2024</v>
      </c>
      <c r="BL14" s="196" t="str">
        <f t="shared" si="13"/>
        <v>2T 2024</v>
      </c>
      <c r="BM14" s="196" t="str">
        <f t="shared" ref="BM14:BN14" si="14">BM6</f>
        <v>3T 2024</v>
      </c>
      <c r="BN14" s="196" t="str">
        <f t="shared" si="14"/>
        <v>4T 2024</v>
      </c>
    </row>
    <row r="15" spans="1:67" x14ac:dyDescent="0.25">
      <c r="A15" s="38" t="s">
        <v>6</v>
      </c>
      <c r="F15" s="72">
        <f>'retraites SA Nb'!$P15/'retraites SA Nb'!$D15-1</f>
        <v>-6.1502938706968879E-2</v>
      </c>
      <c r="G15" s="72">
        <f>'retraites SA Nb'!$S15/'retraites SA Nb'!$G15-1</f>
        <v>-5.3524338963723217E-2</v>
      </c>
      <c r="H15" s="72">
        <f>'retraites SA Nb'!$V15/'retraites SA Nb'!$J15-1</f>
        <v>-7.5909752547307141E-2</v>
      </c>
      <c r="I15" s="72">
        <f>'retraites SA Nb'!$Y15/'retraites SA Nb'!$M15-1</f>
        <v>-8.1500551673409305E-2</v>
      </c>
      <c r="J15" s="72">
        <f>'retraites SA Nb'!$AB15/'retraites SA Nb'!$P15-1</f>
        <v>-6.0687392827853626E-2</v>
      </c>
      <c r="K15" s="72">
        <f>'retraites SA Nb'!$AE15/'retraites SA Nb'!$S15-1</f>
        <v>-7.326807228915666E-2</v>
      </c>
      <c r="L15" s="72">
        <f>'retraites SA Nb'!$AH15/'retraites SA Nb'!$V15-1</f>
        <v>-5.5209892100496205E-2</v>
      </c>
      <c r="M15" s="72">
        <f>'retraites SA Nb'!$AK15/'retraites SA Nb'!$Y15-1</f>
        <v>-5.8540882517818527E-2</v>
      </c>
      <c r="N15" s="72">
        <f>'retraites SA Nb'!$AN15/'retraites SA Nb'!$AB15-1</f>
        <v>-8.9134058258591997E-2</v>
      </c>
      <c r="O15" s="72">
        <f>'retraites SA Nb'!$AQ15/'retraites SA Nb'!$AE15-1</f>
        <v>-9.1411391890793836E-2</v>
      </c>
      <c r="P15" s="72">
        <f>'retraites SA Nb'!$AT15/'retraites SA Nb'!$AH15-1</f>
        <v>-9.7615871957319134E-2</v>
      </c>
      <c r="Q15" s="72">
        <f>'retraites SA Nb'!$AW15/'retraites SA Nb'!$AK15-1</f>
        <v>-0.1077747533174549</v>
      </c>
      <c r="R15" s="72">
        <f>'retraites SA Nb'!$AZ15/'retraites SA Nb'!$AN15-1</f>
        <v>-0.10944579993028924</v>
      </c>
      <c r="S15" s="72">
        <f>'retraites SA Nb'!$BC15/'retraites SA Nb'!$AQ15-1</f>
        <v>-0.11205508853514579</v>
      </c>
      <c r="T15" s="72">
        <f>'retraites SA Nb'!$BF15/'retraites SA Nb'!$AT15-1</f>
        <v>-0.11510392609699771</v>
      </c>
      <c r="U15" s="72">
        <f>'retraites SA Nb'!$BI15/'retraites SA Nb'!$AW15-1</f>
        <v>-0.10468109447993135</v>
      </c>
      <c r="V15" s="72">
        <f>'retraites SA Nb'!$BL15/'retraites SA Nb'!$AZ15-1</f>
        <v>-0.10273972602739723</v>
      </c>
      <c r="W15" s="72">
        <f>'retraites SA Nb'!$BO15/'retraites SA Nb'!$BC15-1</f>
        <v>-0.10081579212408098</v>
      </c>
      <c r="X15" s="72">
        <f>'retraites SA Nb'!$BR15/'retraites SA Nb'!$BF15-1</f>
        <v>-9.9906044472283129E-2</v>
      </c>
      <c r="Y15" s="72">
        <f>'retraites SA Nb'!$BU15/'retraites SA Nb'!$BI15-1</f>
        <v>-0.10584602278777555</v>
      </c>
      <c r="Z15" s="72">
        <f>'retraites SA Nb'!$BX15/'retraites SA Nb'!$BL15-1</f>
        <v>-0.113958560523446</v>
      </c>
      <c r="AA15" s="72">
        <f>'retraites SA Nb'!$CA15/'retraites SA Nb'!$BO15-1</f>
        <v>-0.11592741935483875</v>
      </c>
      <c r="AB15" s="72">
        <f>'retraites SA Nb'!$CG15/'retraites SA Nb'!$BR15-1</f>
        <v>-0.1404546508930643</v>
      </c>
      <c r="AC15" s="72">
        <f>'retraites SA Nb'!$CG15/'retraites SA Nb'!$BU15-1</f>
        <v>-0.11742288912706922</v>
      </c>
      <c r="AD15" s="72">
        <f>'retraites SA Nb'!$CJ15/'retraites SA Nb'!$BX15-1</f>
        <v>-0.11507692307692308</v>
      </c>
      <c r="AE15" s="72">
        <f>'retraites SA Nb'!$CM15/'retraites SA Nb'!$CA15-1</f>
        <v>-0.11529203091346762</v>
      </c>
      <c r="AF15" s="72">
        <f>'retraites SA Nb'!$CS15/'retraites SA Nb'!$CG15-1</f>
        <v>-0.12063149372554316</v>
      </c>
      <c r="AG15" s="72">
        <f>'retraites SA Nb'!$CS15/'retraites SA Nb'!$CG15-1</f>
        <v>-0.12063149372554316</v>
      </c>
      <c r="AH15" s="72">
        <f>'retraites SA Nb'!$CV15/'retraites SA Nb'!$CJ15-1</f>
        <v>-0.11988873435326841</v>
      </c>
      <c r="AI15" s="72">
        <f>'retraites SA Nb'!$CY15/'retraites SA Nb'!$CM15-1</f>
        <v>-0.13003007303451242</v>
      </c>
      <c r="AJ15" s="72">
        <f>'retraites SA Nb'!$DB15/'retraites SA Nb'!$CP15-1</f>
        <v>-0.12973933649289104</v>
      </c>
      <c r="AK15" s="72">
        <f>'retraites SA Nb'!$DE15/'retraites SA Nb'!$CS15-1</f>
        <v>-0.12735921436243669</v>
      </c>
      <c r="AL15" s="72">
        <f>'retraites SA Nb'!$DH15/'retraites SA Nb'!$CV15-1</f>
        <v>-0.14127686472819212</v>
      </c>
      <c r="AM15" s="72">
        <f>'retraites SA Nb'!$DK15/'retraites SA Nb'!$CY15-1</f>
        <v>-0.12362139917695469</v>
      </c>
      <c r="AN15" s="72">
        <f>'retraites SA Nb'!$DN15/'retraites SA Nb'!$DB15-1</f>
        <v>-0.12899931926480601</v>
      </c>
      <c r="AO15" s="72">
        <f>'retraites SA Nb'!$DQ15/'retraites SA Nb'!$DE15-1</f>
        <v>-0.13311060312994549</v>
      </c>
      <c r="AP15" s="72">
        <f>'retraites SA Nb'!$DT15/'retraites SA Nb'!$DH15-1</f>
        <v>-0.1304747883695252</v>
      </c>
      <c r="AQ15" s="72">
        <f>'retraites SA Nb'!$DW15/'retraites SA Nb'!$DK15-1</f>
        <v>-0.13148009015777606</v>
      </c>
      <c r="AR15" s="122">
        <f>'retraites SA Nb'!$DZ15/'retraites SA Nb'!$DN15-1</f>
        <v>-0.1416568972254787</v>
      </c>
      <c r="AS15" s="261">
        <f>'retraites SA Nb'!$EC15/'retraites SA Nb'!$DQ15-1</f>
        <v>-0.13914807302231236</v>
      </c>
      <c r="AT15" s="261">
        <f>'retraites SA Nb'!$EF15/'retraites SA Nb'!$DT15-1</f>
        <v>-0.13015873015873014</v>
      </c>
      <c r="AU15" s="261">
        <f>'retraites SA Nb'!$EI15/'retraites SA Nb'!$DW15-1</f>
        <v>-0.15095155709342556</v>
      </c>
      <c r="AV15" s="261">
        <f>'retraites SA Nb'!$EL15/'retraites SA Nb'!$DZ15-1</f>
        <v>-0.13339403596631005</v>
      </c>
      <c r="AW15" s="261">
        <f>'retraites SA Nb'!$EO15/'retraites SA Nb'!$EC15-1</f>
        <v>-0.14326107445805847</v>
      </c>
      <c r="AX15" s="261">
        <f>'retraites SA Nb'!$ER15/'retraites SA Nb'!$EF15-1</f>
        <v>-0.16569343065693432</v>
      </c>
      <c r="AY15" s="261">
        <f>'retraites SA Nb'!$EU15/'retraites SA Nb'!$EI15-1</f>
        <v>-0.17345899133978604</v>
      </c>
      <c r="AZ15" s="261">
        <f>'retraites SA Nb'!$EX15/'retraites SA Nb'!$EL15-1</f>
        <v>-0.20068295245600209</v>
      </c>
      <c r="BA15" s="261">
        <f>'retraites SA Nb'!$FA15/'retraites SA Nb'!$EO15-1</f>
        <v>-0.20544554455445541</v>
      </c>
      <c r="BB15" s="261">
        <f>'retraites SA Nb'!$FD15/'retraites SA Nb'!$ER15-1</f>
        <v>-0.20268299795858846</v>
      </c>
      <c r="BC15" s="261">
        <f>'retraites SA Nb'!$FG15/'retraites SA Nb'!$EU15-1</f>
        <v>-0.1796610169491526</v>
      </c>
      <c r="BD15" s="261">
        <f>'retraites SA Nb'!$FJ15/'retraites SA Nb'!$EX15-1</f>
        <v>-0.17252711140322052</v>
      </c>
      <c r="BE15" s="261">
        <f>'retraites SA Nb'!$FM15/'retraites SA Nb'!$FA15-1</f>
        <v>-0.1678781585323641</v>
      </c>
      <c r="BF15" s="261">
        <f>'retraites SA Nb'!$FP15/'retraites SA Nb'!$FD15-1</f>
        <v>-0.15764447695683981</v>
      </c>
      <c r="BG15" s="261">
        <f>'retraites SA Nb'!$FS15/'retraites SA Nb'!$FG15-1</f>
        <v>-0.17731029301277235</v>
      </c>
      <c r="BH15" s="261">
        <f>'retraites SA Nb'!$FV15/'retraites SA Nb'!$FJ15-1</f>
        <v>-0.16004765687053213</v>
      </c>
      <c r="BI15" s="261">
        <f>'retraites SA Nb'!$FY15/'retraites SA Nb'!$FM15-1</f>
        <v>-0.15058236272878534</v>
      </c>
      <c r="BJ15" s="261">
        <f>'retraites SA Nb'!$GB15/'retraites SA Nb'!$FP15-1</f>
        <v>-0.14850195397307864</v>
      </c>
      <c r="BK15" s="261">
        <f>'retraites SA Nb'!$GE15/'retraites SA Nb'!$FS15-1</f>
        <v>-0.14383561643835618</v>
      </c>
      <c r="BL15" s="261">
        <f>'retraites SA Nb'!$GH15/'retraites SA Nb'!$FV15-1</f>
        <v>-0.1711583924349882</v>
      </c>
      <c r="BM15" s="261">
        <f>'retraites SA Nb'!$GK15/'retraites SA Nb'!$FY15-1</f>
        <v>-0.18805093046033305</v>
      </c>
      <c r="BN15" s="261">
        <f>'retraites SA Nb'!$GN15/'retraites SA Nb'!$GB15-1</f>
        <v>-0.17440081591024992</v>
      </c>
    </row>
    <row r="16" spans="1:67" x14ac:dyDescent="0.25">
      <c r="A16" s="39" t="s">
        <v>18</v>
      </c>
      <c r="F16" s="72">
        <f>'retraites SA Nb'!$P16/'retraites SA Nb'!$D16-1</f>
        <v>-1.6913480604305864E-3</v>
      </c>
      <c r="G16" s="72">
        <f>'retraites SA Nb'!$S16/'retraites SA Nb'!$G16-1</f>
        <v>-8.3801808722372417E-4</v>
      </c>
      <c r="H16" s="72">
        <f>'retraites SA Nb'!$V16/'retraites SA Nb'!$J16-1</f>
        <v>-5.7375134403022665E-3</v>
      </c>
      <c r="I16" s="72">
        <f>'retraites SA Nb'!$Y16/'retraites SA Nb'!$M16-1</f>
        <v>-8.3710212239335169E-3</v>
      </c>
      <c r="J16" s="72">
        <f>'retraites SA Nb'!$AB16/'retraites SA Nb'!$P16-1</f>
        <v>-1.7755488300328359E-3</v>
      </c>
      <c r="K16" s="72">
        <f>'retraites SA Nb'!$AE16/'retraites SA Nb'!$S16-1</f>
        <v>-3.1411399940671769E-3</v>
      </c>
      <c r="L16" s="72">
        <f>'retraites SA Nb'!$AH16/'retraites SA Nb'!$V16-1</f>
        <v>2.5508951054904472E-3</v>
      </c>
      <c r="M16" s="72">
        <f>'retraites SA Nb'!$AK16/'retraites SA Nb'!$Y16-1</f>
        <v>2.2401834129670561E-3</v>
      </c>
      <c r="N16" s="72">
        <f>'retraites SA Nb'!$AN16/'retraites SA Nb'!$AB16-1</f>
        <v>-7.2655659270460804E-3</v>
      </c>
      <c r="O16" s="72">
        <f>'retraites SA Nb'!$AQ16/'retraites SA Nb'!$AE16-1</f>
        <v>-1.000423942995976E-2</v>
      </c>
      <c r="P16" s="72">
        <f>'retraites SA Nb'!$AT16/'retraites SA Nb'!$AH16-1</f>
        <v>-1.2256583116128095E-2</v>
      </c>
      <c r="Q16" s="72">
        <f>'retraites SA Nb'!$AW16/'retraites SA Nb'!$AK16-1</f>
        <v>-1.3479781554887382E-2</v>
      </c>
      <c r="R16" s="72">
        <f>'retraites SA Nb'!$AZ16/'retraites SA Nb'!$AN16-1</f>
        <v>-1.3391563708829546E-2</v>
      </c>
      <c r="S16" s="72">
        <f>'retraites SA Nb'!$BC16/'retraites SA Nb'!$AQ16-1</f>
        <v>-1.2857518144063773E-2</v>
      </c>
      <c r="T16" s="72">
        <f>'retraites SA Nb'!$BF16/'retraites SA Nb'!$AT16-1</f>
        <v>-1.3935574113908444E-2</v>
      </c>
      <c r="U16" s="72">
        <f>'retraites SA Nb'!$BI16/'retraites SA Nb'!$AW16-1</f>
        <v>-1.0374863472270235E-2</v>
      </c>
      <c r="V16" s="72">
        <f>'retraites SA Nb'!$BL16/'retraites SA Nb'!$AZ16-1</f>
        <v>-7.1177633784584859E-3</v>
      </c>
      <c r="W16" s="72">
        <f>'retraites SA Nb'!$BO16/'retraites SA Nb'!$BC16-1</f>
        <v>-5.9456275819723681E-3</v>
      </c>
      <c r="X16" s="72">
        <f>'retraites SA Nb'!$BR16/'retraites SA Nb'!$BF16-1</f>
        <v>-3.8942605557935606E-3</v>
      </c>
      <c r="Y16" s="72">
        <f>'retraites SA Nb'!$BU16/'retraites SA Nb'!$BI16-1</f>
        <v>-5.3700319034198918E-3</v>
      </c>
      <c r="Z16" s="72">
        <f>'retraites SA Nb'!$BX16/'retraites SA Nb'!$BL16-1</f>
        <v>-6.0720213622542651E-3</v>
      </c>
      <c r="AA16" s="72">
        <f>'retraites SA Nb'!$CA16/'retraites SA Nb'!$BO16-1</f>
        <v>-5.6916552881117743E-3</v>
      </c>
      <c r="AB16" s="72">
        <f>'retraites SA Nb'!$CG16/'retraites SA Nb'!$BR16-1</f>
        <v>-8.7405818862487106E-3</v>
      </c>
      <c r="AC16" s="72">
        <f>'retraites SA Nb'!$CG16/'retraites SA Nb'!$BU16-1</f>
        <v>-7.692430833419639E-3</v>
      </c>
      <c r="AD16" s="72">
        <f>'retraites SA Nb'!$CJ16/'retraites SA Nb'!$BX16-1</f>
        <v>-8.5377573213292202E-3</v>
      </c>
      <c r="AE16" s="72">
        <f>'retraites SA Nb'!$CM16/'retraites SA Nb'!$CA16-1</f>
        <v>-7.7971821095268457E-3</v>
      </c>
      <c r="AF16" s="72">
        <f>'retraites SA Nb'!$CS16/'retraites SA Nb'!$CG16-1</f>
        <v>-5.4459728754210346E-3</v>
      </c>
      <c r="AG16" s="72">
        <f>'retraites SA Nb'!$CS16/'retraites SA Nb'!$CG16-1</f>
        <v>-5.4459728754210346E-3</v>
      </c>
      <c r="AH16" s="72">
        <f>'retraites SA Nb'!$CV16/'retraites SA Nb'!$CJ16-1</f>
        <v>-6.4627099679287481E-3</v>
      </c>
      <c r="AI16" s="72">
        <f>'retraites SA Nb'!$CY16/'retraites SA Nb'!$CM16-1</f>
        <v>-1.0426617690968198E-2</v>
      </c>
      <c r="AJ16" s="72">
        <f>'retraites SA Nb'!$DB16/'retraites SA Nb'!$CP16-1</f>
        <v>-1.083973865929011E-2</v>
      </c>
      <c r="AK16" s="72">
        <f>'retraites SA Nb'!$DE16/'retraites SA Nb'!$CS16-1</f>
        <v>-1.3364215422205561E-2</v>
      </c>
      <c r="AL16" s="72">
        <f>'retraites SA Nb'!$DH16/'retraites SA Nb'!$CV16-1</f>
        <v>-1.4341938724774961E-2</v>
      </c>
      <c r="AM16" s="72">
        <f>'retraites SA Nb'!$DK16/'retraites SA Nb'!$CY16-1</f>
        <v>-1.5846408296455228E-2</v>
      </c>
      <c r="AN16" s="72">
        <f>'retraites SA Nb'!$DN16/'retraites SA Nb'!$DB16-1</f>
        <v>-2.0947233213506777E-2</v>
      </c>
      <c r="AO16" s="72">
        <f>'retraites SA Nb'!$DQ16/'retraites SA Nb'!$DE16-1</f>
        <v>-2.2106408072109729E-2</v>
      </c>
      <c r="AP16" s="72">
        <f>'retraites SA Nb'!$DT16/'retraites SA Nb'!$DH16-1</f>
        <v>-2.2638161024925108E-2</v>
      </c>
      <c r="AQ16" s="72">
        <f>'retraites SA Nb'!$DW16/'retraites SA Nb'!$DK16-1</f>
        <v>-2.3440461611833108E-2</v>
      </c>
      <c r="AR16" s="122">
        <f>'retraites SA Nb'!$DZ16/'retraites SA Nb'!$DN16-1</f>
        <v>-2.344874708442557E-2</v>
      </c>
      <c r="AS16" s="261">
        <f>'retraites SA Nb'!$EC16/'retraites SA Nb'!$DQ16-1</f>
        <v>-2.5768602866029333E-2</v>
      </c>
      <c r="AT16" s="261">
        <f>'retraites SA Nb'!$EF16/'retraites SA Nb'!$DT16-1</f>
        <v>-2.4636270118628567E-2</v>
      </c>
      <c r="AU16" s="261">
        <f>'retraites SA Nb'!$EI16/'retraites SA Nb'!$DW16-1</f>
        <v>-2.4292008565126588E-2</v>
      </c>
      <c r="AV16" s="261">
        <f>'retraites SA Nb'!$EL16/'retraites SA Nb'!$DZ16-1</f>
        <v>-2.5305658744184334E-2</v>
      </c>
      <c r="AW16" s="261">
        <f>'retraites SA Nb'!$EO16/'retraites SA Nb'!$EC16-1</f>
        <v>-2.5653648049568933E-2</v>
      </c>
      <c r="AX16" s="261">
        <f>'retraites SA Nb'!$ER16/'retraites SA Nb'!$EF16-1</f>
        <v>-3.2681369624714796E-2</v>
      </c>
      <c r="AY16" s="261">
        <f>'retraites SA Nb'!$EU16/'retraites SA Nb'!$EI16-1</f>
        <v>-3.5860598443617553E-2</v>
      </c>
      <c r="AZ16" s="261">
        <f>'retraites SA Nb'!$EX16/'retraites SA Nb'!$EL16-1</f>
        <v>-3.5735892412124159E-2</v>
      </c>
      <c r="BA16" s="261">
        <f>'retraites SA Nb'!$FA16/'retraites SA Nb'!$EO16-1</f>
        <v>-3.4823932108340339E-2</v>
      </c>
      <c r="BB16" s="261">
        <f>'retraites SA Nb'!$FD16/'retraites SA Nb'!$ER16-1</f>
        <v>-3.2236682290068042E-2</v>
      </c>
      <c r="BC16" s="261">
        <f>'retraites SA Nb'!$FG16/'retraites SA Nb'!$EU16-1</f>
        <v>-3.0642437703471526E-2</v>
      </c>
      <c r="BD16" s="261">
        <f>'retraites SA Nb'!$FJ16/'retraites SA Nb'!$EX16-1</f>
        <v>-2.9859466242254551E-2</v>
      </c>
      <c r="BE16" s="261">
        <f>'retraites SA Nb'!$FM16/'retraites SA Nb'!$FA16-1</f>
        <v>-3.0160033223553984E-2</v>
      </c>
      <c r="BF16" s="261">
        <f>'retraites SA Nb'!$FP16/'retraites SA Nb'!$FD16-1</f>
        <v>-3.0848066438097566E-2</v>
      </c>
      <c r="BG16" s="261">
        <f>'retraites SA Nb'!$FS16/'retraites SA Nb'!$FG16-1</f>
        <v>-3.1863158596824426E-2</v>
      </c>
      <c r="BH16" s="261">
        <f>'retraites SA Nb'!$FV16/'retraites SA Nb'!$FJ16-1</f>
        <v>-3.0654887279012888E-2</v>
      </c>
      <c r="BI16" s="261">
        <f>'retraites SA Nb'!$FY16/'retraites SA Nb'!$FM16-1</f>
        <v>-2.9608178597106849E-2</v>
      </c>
      <c r="BJ16" s="261">
        <f>'retraites SA Nb'!$GB16/'retraites SA Nb'!$FP16-1</f>
        <v>-2.7248260028490012E-2</v>
      </c>
      <c r="BK16" s="261">
        <f>'retraites SA Nb'!$GE16/'retraites SA Nb'!$FS16-1</f>
        <v>-2.7722533537447136E-2</v>
      </c>
      <c r="BL16" s="261">
        <f>'retraites SA Nb'!$GH16/'retraites SA Nb'!$FV16-1</f>
        <v>-2.9097441693921366E-2</v>
      </c>
      <c r="BM16" s="261">
        <f>'retraites SA Nb'!$GK16/'retraites SA Nb'!$FY16-1</f>
        <v>-3.0607009082046277E-2</v>
      </c>
      <c r="BN16" s="261">
        <f>'retraites SA Nb'!$GN16/'retraites SA Nb'!$GB16-1</f>
        <v>-3.2084821990641887E-2</v>
      </c>
    </row>
    <row r="17" spans="1:66" x14ac:dyDescent="0.25">
      <c r="A17" s="39" t="s">
        <v>7</v>
      </c>
      <c r="F17" s="72">
        <f>'retraites SA Nb'!$P17/'retraites SA Nb'!$D17-1</f>
        <v>2.9585798816567976E-2</v>
      </c>
      <c r="G17" s="72">
        <f>'retraites SA Nb'!$S17/'retraites SA Nb'!$G17-1</f>
        <v>-3.1413612565445059E-2</v>
      </c>
      <c r="H17" s="72">
        <f>'retraites SA Nb'!$V17/'retraites SA Nb'!$J17-1</f>
        <v>-2.4752475247524774E-2</v>
      </c>
      <c r="I17" s="72">
        <f>'retraites SA Nb'!$Y17/'retraites SA Nb'!$M17-1</f>
        <v>-1.4851485148514865E-2</v>
      </c>
      <c r="J17" s="72">
        <f>'retraites SA Nb'!$AB17/'retraites SA Nb'!$P17-1</f>
        <v>-5.7471264367816133E-2</v>
      </c>
      <c r="K17" s="72">
        <f>'retraites SA Nb'!$AE17/'retraites SA Nb'!$S17-1</f>
        <v>-0.10810810810810811</v>
      </c>
      <c r="L17" s="72">
        <f>'retraites SA Nb'!$AH17/'retraites SA Nb'!$V17-1</f>
        <v>-0.15228426395939088</v>
      </c>
      <c r="M17" s="72">
        <f>'retraites SA Nb'!$AK17/'retraites SA Nb'!$Y17-1</f>
        <v>-0.16080402010050254</v>
      </c>
      <c r="N17" s="72">
        <f>'retraites SA Nb'!$AN17/'retraites SA Nb'!$AB17-1</f>
        <v>-0.14634146341463417</v>
      </c>
      <c r="O17" s="72">
        <f>'retraites SA Nb'!$AQ17/'retraites SA Nb'!$AE17-1</f>
        <v>-7.878787878787874E-2</v>
      </c>
      <c r="P17" s="72">
        <f>'retraites SA Nb'!$AT17/'retraites SA Nb'!$AH17-1</f>
        <v>-0.14371257485029942</v>
      </c>
      <c r="Q17" s="72">
        <f>'retraites SA Nb'!$AW17/'retraites SA Nb'!$AK17-1</f>
        <v>-0.11976047904191611</v>
      </c>
      <c r="R17" s="72">
        <f>'retraites SA Nb'!$AZ17/'retraites SA Nb'!$AN17-1</f>
        <v>-9.285714285714286E-2</v>
      </c>
      <c r="S17" s="72">
        <f>'retraites SA Nb'!$BC17/'retraites SA Nb'!$AQ17-1</f>
        <v>-7.8947368421052655E-2</v>
      </c>
      <c r="T17" s="72">
        <f>'retraites SA Nb'!$BF17/'retraites SA Nb'!$AT17-1</f>
        <v>-8.3916083916083961E-2</v>
      </c>
      <c r="U17" s="72">
        <f>'retraites SA Nb'!$BI17/'retraites SA Nb'!$AW17-1</f>
        <v>-8.8435374149659851E-2</v>
      </c>
      <c r="V17" s="72">
        <f>'retraites SA Nb'!$BL17/'retraites SA Nb'!$AZ17-1</f>
        <v>-9.4488188976378007E-2</v>
      </c>
      <c r="W17" s="72">
        <f>'retraites SA Nb'!$BO17/'retraites SA Nb'!$BC17-1</f>
        <v>-8.5714285714285743E-2</v>
      </c>
      <c r="X17" s="72">
        <f>'retraites SA Nb'!$BR17/'retraites SA Nb'!$BF17-1</f>
        <v>7.6335877862595325E-2</v>
      </c>
      <c r="Y17" s="72">
        <f>'retraites SA Nb'!$BU17/'retraites SA Nb'!$BI17-1</f>
        <v>4.4776119402984982E-2</v>
      </c>
      <c r="Z17" s="72">
        <f>'retraites SA Nb'!$BX17/'retraites SA Nb'!$BL17-1</f>
        <v>-2.6086956521739091E-2</v>
      </c>
      <c r="AA17" s="72">
        <f>'retraites SA Nb'!$CA17/'retraites SA Nb'!$BO17-1</f>
        <v>7.8125E-3</v>
      </c>
      <c r="AB17" s="72">
        <f>'retraites SA Nb'!$CG17/'retraites SA Nb'!$BR17-1</f>
        <v>-8.5106382978723416E-2</v>
      </c>
      <c r="AC17" s="72">
        <f>'retraites SA Nb'!$CG17/'retraites SA Nb'!$BU17-1</f>
        <v>-7.8571428571428625E-2</v>
      </c>
      <c r="AD17" s="72">
        <f>'retraites SA Nb'!$CJ17/'retraites SA Nb'!$BX17-1</f>
        <v>8.9285714285713969E-3</v>
      </c>
      <c r="AE17" s="72">
        <f>'retraites SA Nb'!$CM17/'retraites SA Nb'!$CA17-1</f>
        <v>-8.5271317829457405E-2</v>
      </c>
      <c r="AF17" s="72">
        <f>'retraites SA Nb'!$CS17/'retraites SA Nb'!$CG17-1</f>
        <v>-3.1007751937984551E-2</v>
      </c>
      <c r="AG17" s="72">
        <f>'retraites SA Nb'!$CS17/'retraites SA Nb'!$CG17-1</f>
        <v>-3.1007751937984551E-2</v>
      </c>
      <c r="AH17" s="72">
        <f>'retraites SA Nb'!$CV17/'retraites SA Nb'!$CJ17-1</f>
        <v>-0.1415929203539823</v>
      </c>
      <c r="AI17" s="72">
        <f>'retraites SA Nb'!$CY17/'retraites SA Nb'!$CM17-1</f>
        <v>-7.6271186440677985E-2</v>
      </c>
      <c r="AJ17" s="72">
        <f>'retraites SA Nb'!$DB17/'retraites SA Nb'!$CP17-1</f>
        <v>-0.10569105691056913</v>
      </c>
      <c r="AK17" s="72">
        <f>'retraites SA Nb'!$DE17/'retraites SA Nb'!$CS17-1</f>
        <v>-6.3999999999999946E-2</v>
      </c>
      <c r="AL17" s="72">
        <f>'retraites SA Nb'!$DH17/'retraites SA Nb'!$CV17-1</f>
        <v>-0.11340206185567014</v>
      </c>
      <c r="AM17" s="72">
        <f>'retraites SA Nb'!$DK17/'retraites SA Nb'!$CY17-1</f>
        <v>-0.16513761467889909</v>
      </c>
      <c r="AN17" s="72">
        <f>'retraites SA Nb'!$DN17/'retraites SA Nb'!$DB17-1</f>
        <v>-6.3636363636363602E-2</v>
      </c>
      <c r="AO17" s="72">
        <f>'retraites SA Nb'!$DQ17/'retraites SA Nb'!$DE17-1</f>
        <v>-0.11965811965811968</v>
      </c>
      <c r="AP17" s="72">
        <f>'retraites SA Nb'!$DT17/'retraites SA Nb'!$DH17-1</f>
        <v>1.1627906976744207E-2</v>
      </c>
      <c r="AQ17" s="72">
        <f>'retraites SA Nb'!$DW17/'retraites SA Nb'!$DK17-1</f>
        <v>8.7912087912087822E-2</v>
      </c>
      <c r="AR17" s="122">
        <f>'retraites SA Nb'!$DZ17/'retraites SA Nb'!$DN17-1</f>
        <v>-1.9417475728155331E-2</v>
      </c>
      <c r="AS17" s="261">
        <f>'retraites SA Nb'!$EC17/'retraites SA Nb'!$DQ17-1</f>
        <v>-1.9417475728155331E-2</v>
      </c>
      <c r="AT17" s="261">
        <f>'retraites SA Nb'!$EF17/'retraites SA Nb'!$DT17-1</f>
        <v>3.4482758620689724E-2</v>
      </c>
      <c r="AU17" s="261">
        <f>'retraites SA Nb'!$EI17/'retraites SA Nb'!$DW17-1</f>
        <v>8.0808080808080884E-2</v>
      </c>
      <c r="AV17" s="261">
        <f>'retraites SA Nb'!$EL17/'retraites SA Nb'!$DZ17-1</f>
        <v>0.19801980198019797</v>
      </c>
      <c r="AW17" s="261">
        <f>'retraites SA Nb'!$EO17/'retraites SA Nb'!$EC17-1</f>
        <v>0.21782178217821779</v>
      </c>
      <c r="AX17" s="261">
        <f>'retraites SA Nb'!$ER17/'retraites SA Nb'!$EF17-1</f>
        <v>0.16666666666666674</v>
      </c>
      <c r="AY17" s="261">
        <f>'retraites SA Nb'!$EU17/'retraites SA Nb'!$EI17-1</f>
        <v>3.7383177570093462E-2</v>
      </c>
      <c r="AZ17" s="261">
        <f>'retraites SA Nb'!$EX17/'retraites SA Nb'!$EL17-1</f>
        <v>1.6528925619834656E-2</v>
      </c>
      <c r="BA17" s="261">
        <f>'retraites SA Nb'!$FA17/'retraites SA Nb'!$EO17-1</f>
        <v>-2.4390243902439046E-2</v>
      </c>
      <c r="BB17" s="261">
        <f>'retraites SA Nb'!$FD17/'retraites SA Nb'!$ER17-1</f>
        <v>-5.7142857142857162E-2</v>
      </c>
      <c r="BC17" s="261">
        <f>'retraites SA Nb'!$FG17/'retraites SA Nb'!$EU17-1</f>
        <v>-6.3063063063063085E-2</v>
      </c>
      <c r="BD17" s="261">
        <f>'retraites SA Nb'!$FJ17/'retraites SA Nb'!$EX17-1</f>
        <v>-0.15447154471544711</v>
      </c>
      <c r="BE17" s="261">
        <f>'retraites SA Nb'!$FM17/'retraites SA Nb'!$FA17-1</f>
        <v>-0.16666666666666663</v>
      </c>
      <c r="BF17" s="261">
        <f>'retraites SA Nb'!$FP17/'retraites SA Nb'!$FD17-1</f>
        <v>-0.14141414141414144</v>
      </c>
      <c r="BG17" s="261">
        <f>'retraites SA Nb'!$FS17/'retraites SA Nb'!$FG17-1</f>
        <v>-0.18269230769230771</v>
      </c>
      <c r="BH17" s="261">
        <f>'retraites SA Nb'!$FV17/'retraites SA Nb'!$FJ17-1</f>
        <v>-7.6923076923076872E-2</v>
      </c>
      <c r="BI17" s="261">
        <f>'retraites SA Nb'!$FY17/'retraites SA Nb'!$FM17-1</f>
        <v>-4.0000000000000036E-2</v>
      </c>
      <c r="BJ17" s="261">
        <f>'retraites SA Nb'!$GB17/'retraites SA Nb'!$FP17-1</f>
        <v>-0.14117647058823535</v>
      </c>
      <c r="BK17" s="261">
        <f>'retraites SA Nb'!$GE17/'retraites SA Nb'!$FS17-1</f>
        <v>-0.16470588235294115</v>
      </c>
      <c r="BL17" s="261">
        <f>'retraites SA Nb'!$GH17/'retraites SA Nb'!$FV17-1</f>
        <v>-0.23958333333333337</v>
      </c>
      <c r="BM17" s="261">
        <f>'retraites SA Nb'!$GK17/'retraites SA Nb'!$FY17-1</f>
        <v>-0.25</v>
      </c>
      <c r="BN17" s="261">
        <f>'retraites SA Nb'!$GN17/'retraites SA Nb'!$GB17-1</f>
        <v>-0.12328767123287676</v>
      </c>
    </row>
    <row r="18" spans="1:66" x14ac:dyDescent="0.25">
      <c r="A18" s="39" t="s">
        <v>8</v>
      </c>
      <c r="F18" s="72">
        <f>'retraites SA Nb'!$P18/'retraites SA Nb'!$D18-1</f>
        <v>-1.0695187165775444E-2</v>
      </c>
      <c r="G18" s="72">
        <f>'retraites SA Nb'!$S18/'retraites SA Nb'!$G18-1</f>
        <v>0</v>
      </c>
      <c r="H18" s="72">
        <f>'retraites SA Nb'!$V18/'retraites SA Nb'!$J18-1</f>
        <v>1.094091903719896E-3</v>
      </c>
      <c r="I18" s="72">
        <f>'retraites SA Nb'!$Y18/'retraites SA Nb'!$M18-1</f>
        <v>-8.7241003271537609E-3</v>
      </c>
      <c r="J18" s="72">
        <f>'retraites SA Nb'!$AB18/'retraites SA Nb'!$P18-1</f>
        <v>-2.1621621621621623E-2</v>
      </c>
      <c r="K18" s="72">
        <f>'retraites SA Nb'!$AE18/'retraites SA Nb'!$S18-1</f>
        <v>-2.8322440087146017E-2</v>
      </c>
      <c r="L18" s="72">
        <f>'retraites SA Nb'!$AH18/'retraites SA Nb'!$V18-1</f>
        <v>-2.1857923497267784E-2</v>
      </c>
      <c r="M18" s="72">
        <f>'retraites SA Nb'!$AK18/'retraites SA Nb'!$Y18-1</f>
        <v>-3.0803080308030806E-2</v>
      </c>
      <c r="N18" s="72">
        <f>'retraites SA Nb'!$AN18/'retraites SA Nb'!$AB18-1</f>
        <v>-3.3149171270718258E-2</v>
      </c>
      <c r="O18" s="72">
        <f>'retraites SA Nb'!$AQ18/'retraites SA Nb'!$AE18-1</f>
        <v>-2.9147982062780242E-2</v>
      </c>
      <c r="P18" s="72">
        <f>'retraites SA Nb'!$AT18/'retraites SA Nb'!$AH18-1</f>
        <v>-4.4692737430167551E-2</v>
      </c>
      <c r="Q18" s="72">
        <f>'retraites SA Nb'!$AW18/'retraites SA Nb'!$AK18-1</f>
        <v>-3.8592508513053403E-2</v>
      </c>
      <c r="R18" s="72">
        <f>'retraites SA Nb'!$AZ18/'retraites SA Nb'!$AN18-1</f>
        <v>-3.5428571428571476E-2</v>
      </c>
      <c r="S18" s="72">
        <f>'retraites SA Nb'!$BC18/'retraites SA Nb'!$AQ18-1</f>
        <v>-3.2332563510392598E-2</v>
      </c>
      <c r="T18" s="72">
        <f>'retraites SA Nb'!$BF18/'retraites SA Nb'!$AT18-1</f>
        <v>-2.8070175438596467E-2</v>
      </c>
      <c r="U18" s="72">
        <f>'retraites SA Nb'!$BI18/'retraites SA Nb'!$AW18-1</f>
        <v>-1.6528925619834656E-2</v>
      </c>
      <c r="V18" s="72">
        <f>'retraites SA Nb'!$BL18/'retraites SA Nb'!$AZ18-1</f>
        <v>-1.7772511848341277E-2</v>
      </c>
      <c r="W18" s="72">
        <f>'retraites SA Nb'!$BO18/'retraites SA Nb'!$BC18-1</f>
        <v>-2.1479713603818618E-2</v>
      </c>
      <c r="X18" s="72">
        <f>'retraites SA Nb'!$BR18/'retraites SA Nb'!$BF18-1</f>
        <v>-3.6101083032491488E-3</v>
      </c>
      <c r="Y18" s="72">
        <f>'retraites SA Nb'!$BU18/'retraites SA Nb'!$BI18-1</f>
        <v>-8.4033613445377853E-3</v>
      </c>
      <c r="Z18" s="72">
        <f>'retraites SA Nb'!$BX18/'retraites SA Nb'!$BL18-1</f>
        <v>2.4125452352230514E-3</v>
      </c>
      <c r="AA18" s="72">
        <f>'retraites SA Nb'!$CA18/'retraites SA Nb'!$BO18-1</f>
        <v>1.4634146341463428E-2</v>
      </c>
      <c r="AB18" s="72">
        <f>'retraites SA Nb'!$CG18/'retraites SA Nb'!$BR18-1</f>
        <v>-2.1739130434782594E-2</v>
      </c>
      <c r="AC18" s="72">
        <f>'retraites SA Nb'!$CG18/'retraites SA Nb'!$BU18-1</f>
        <v>-1.937046004842613E-2</v>
      </c>
      <c r="AD18" s="72">
        <f>'retraites SA Nb'!$CJ18/'retraites SA Nb'!$BX18-1</f>
        <v>-3.4897713598074587E-2</v>
      </c>
      <c r="AE18" s="72">
        <f>'retraites SA Nb'!$CM18/'retraites SA Nb'!$CA18-1</f>
        <v>-5.0480769230769273E-2</v>
      </c>
      <c r="AF18" s="72">
        <f>'retraites SA Nb'!$CS18/'retraites SA Nb'!$CG18-1</f>
        <v>-4.1975308641975295E-2</v>
      </c>
      <c r="AG18" s="72">
        <f>'retraites SA Nb'!$CS18/'retraites SA Nb'!$CG18-1</f>
        <v>-4.1975308641975295E-2</v>
      </c>
      <c r="AH18" s="72">
        <f>'retraites SA Nb'!$CV18/'retraites SA Nb'!$CJ18-1</f>
        <v>-4.4887780548628409E-2</v>
      </c>
      <c r="AI18" s="72">
        <f>'retraites SA Nb'!$CY18/'retraites SA Nb'!$CM18-1</f>
        <v>-5.3164556962025267E-2</v>
      </c>
      <c r="AJ18" s="72">
        <f>'retraites SA Nb'!$DB18/'retraites SA Nb'!$CP18-1</f>
        <v>-4.5045045045045029E-2</v>
      </c>
      <c r="AK18" s="72">
        <f>'retraites SA Nb'!$DE18/'retraites SA Nb'!$CS18-1</f>
        <v>-4.6391752577319534E-2</v>
      </c>
      <c r="AL18" s="72">
        <f>'retraites SA Nb'!$DH18/'retraites SA Nb'!$CV18-1</f>
        <v>-2.741514360313313E-2</v>
      </c>
      <c r="AM18" s="72">
        <f>'retraites SA Nb'!$DK18/'retraites SA Nb'!$CY18-1</f>
        <v>-1.8716577540106916E-2</v>
      </c>
      <c r="AN18" s="72">
        <f>'retraites SA Nb'!$DN18/'retraites SA Nb'!$DB18-1</f>
        <v>-8.0862533692722671E-3</v>
      </c>
      <c r="AO18" s="72">
        <f>'retraites SA Nb'!$DQ18/'retraites SA Nb'!$DE18-1</f>
        <v>-1.3513513513513487E-2</v>
      </c>
      <c r="AP18" s="72">
        <f>'retraites SA Nb'!$DT18/'retraites SA Nb'!$DH18-1</f>
        <v>-4.0268456375839312E-3</v>
      </c>
      <c r="AQ18" s="72">
        <f>'retraites SA Nb'!$DW18/'retraites SA Nb'!$DK18-1</f>
        <v>4.0871934604904681E-3</v>
      </c>
      <c r="AR18" s="122">
        <f>'retraites SA Nb'!$DZ18/'retraites SA Nb'!$DN18-1</f>
        <v>-4.0760869565217295E-3</v>
      </c>
      <c r="AS18" s="261">
        <f>'retraites SA Nb'!$EC18/'retraites SA Nb'!$DQ18-1</f>
        <v>6.8493150684931781E-3</v>
      </c>
      <c r="AT18" s="261">
        <f>'retraites SA Nb'!$EF18/'retraites SA Nb'!$DT18-1</f>
        <v>-2.0215633423180557E-2</v>
      </c>
      <c r="AU18" s="261">
        <f>'retraites SA Nb'!$EI18/'retraites SA Nb'!$DW18-1</f>
        <v>-1.7639077340569909E-2</v>
      </c>
      <c r="AV18" s="261">
        <f>'retraites SA Nb'!$EL18/'retraites SA Nb'!$DZ18-1</f>
        <v>-8.1855388813096841E-3</v>
      </c>
      <c r="AW18" s="261">
        <f>'retraites SA Nb'!$EO18/'retraites SA Nb'!$EC18-1</f>
        <v>-1.0884353741496544E-2</v>
      </c>
      <c r="AX18" s="261">
        <f>'retraites SA Nb'!$ER18/'retraites SA Nb'!$EF18-1</f>
        <v>8.2530949105914519E-3</v>
      </c>
      <c r="AY18" s="261">
        <f>'retraites SA Nb'!$EU18/'retraites SA Nb'!$EI18-1</f>
        <v>1.3812154696132506E-2</v>
      </c>
      <c r="AZ18" s="261">
        <f>'retraites SA Nb'!$EX18/'retraites SA Nb'!$EL18-1</f>
        <v>1.9257221458046869E-2</v>
      </c>
      <c r="BA18" s="261">
        <f>'retraites SA Nb'!$FA18/'retraites SA Nb'!$EO18-1</f>
        <v>3.7138927097661645E-2</v>
      </c>
      <c r="BB18" s="261">
        <f>'retraites SA Nb'!$FD18/'retraites SA Nb'!$ER18-1</f>
        <v>2.592087312414737E-2</v>
      </c>
      <c r="BC18" s="261">
        <f>'retraites SA Nb'!$FG18/'retraites SA Nb'!$EU18-1</f>
        <v>2.5885558583106372E-2</v>
      </c>
      <c r="BD18" s="261">
        <f>'retraites SA Nb'!$FJ18/'retraites SA Nb'!$EX18-1</f>
        <v>2.1592442645074206E-2</v>
      </c>
      <c r="BE18" s="261">
        <f>'retraites SA Nb'!$FM18/'retraites SA Nb'!$FA18-1</f>
        <v>0</v>
      </c>
      <c r="BF18" s="261">
        <f>'retraites SA Nb'!$FP18/'retraites SA Nb'!$FD18-1</f>
        <v>1.3297872340425343E-3</v>
      </c>
      <c r="BG18" s="261">
        <f>'retraites SA Nb'!$FS18/'retraites SA Nb'!$FG18-1</f>
        <v>-1.0624169986719778E-2</v>
      </c>
      <c r="BH18" s="261">
        <f>'retraites SA Nb'!$FV18/'retraites SA Nb'!$FJ18-1</f>
        <v>-6.6050198150594541E-3</v>
      </c>
      <c r="BI18" s="261">
        <f>'retraites SA Nb'!$FY18/'retraites SA Nb'!$FM18-1</f>
        <v>-1.8567639257294433E-2</v>
      </c>
      <c r="BJ18" s="261">
        <f>'retraites SA Nb'!$GB18/'retraites SA Nb'!$FP18-1</f>
        <v>-2.6560424966799445E-2</v>
      </c>
      <c r="BK18" s="261">
        <f>'retraites SA Nb'!$GE18/'retraites SA Nb'!$FS18-1</f>
        <v>-2.9530201342281903E-2</v>
      </c>
      <c r="BL18" s="261">
        <f>'retraites SA Nb'!$GH18/'retraites SA Nb'!$FV18-1</f>
        <v>-3.4574468085106336E-2</v>
      </c>
      <c r="BM18" s="261">
        <f>'retraites SA Nb'!$GK18/'retraites SA Nb'!$FY18-1</f>
        <v>-3.5135135135135109E-2</v>
      </c>
      <c r="BN18" s="261">
        <f>'retraites SA Nb'!$GN18/'retraites SA Nb'!$GB18-1</f>
        <v>-2.1828103683492528E-2</v>
      </c>
    </row>
    <row r="19" spans="1:66" x14ac:dyDescent="0.25">
      <c r="A19" s="39" t="s">
        <v>10</v>
      </c>
      <c r="F19" s="72">
        <f>'retraites SA Nb'!$P19/'retraites SA Nb'!$D19-1</f>
        <v>-7.597600757655476E-2</v>
      </c>
      <c r="G19" s="72">
        <f>'retraites SA Nb'!$S19/'retraites SA Nb'!$G19-1</f>
        <v>-6.909561280586396E-2</v>
      </c>
      <c r="H19" s="72">
        <f>'retraites SA Nb'!$V19/'retraites SA Nb'!$J19-1</f>
        <v>-7.21467241188819E-2</v>
      </c>
      <c r="I19" s="72">
        <f>'retraites SA Nb'!$Y19/'retraites SA Nb'!$M19-1</f>
        <v>-8.2196376649519176E-2</v>
      </c>
      <c r="J19" s="72">
        <f>'retraites SA Nb'!$AB19/'retraites SA Nb'!$P19-1</f>
        <v>-7.3681813005352481E-2</v>
      </c>
      <c r="K19" s="72">
        <f>'retraites SA Nb'!$AE19/'retraites SA Nb'!$S19-1</f>
        <v>-7.8276980083371916E-2</v>
      </c>
      <c r="L19" s="72">
        <f>'retraites SA Nb'!$AH19/'retraites SA Nb'!$V19-1</f>
        <v>-7.0135746606334815E-2</v>
      </c>
      <c r="M19" s="72">
        <f>'retraites SA Nb'!$AK19/'retraites SA Nb'!$Y19-1</f>
        <v>-6.7381503594492465E-2</v>
      </c>
      <c r="N19" s="72">
        <f>'retraites SA Nb'!$AN19/'retraites SA Nb'!$AB19-1</f>
        <v>-7.40103270223752E-2</v>
      </c>
      <c r="O19" s="72">
        <f>'retraites SA Nb'!$AQ19/'retraites SA Nb'!$AE19-1</f>
        <v>-7.5376884422110546E-2</v>
      </c>
      <c r="P19" s="72">
        <f>'retraites SA Nb'!$AT19/'retraites SA Nb'!$AH19-1</f>
        <v>-7.5169676014854692E-2</v>
      </c>
      <c r="Q19" s="72">
        <f>'retraites SA Nb'!$AW19/'retraites SA Nb'!$AK19-1</f>
        <v>-7.9958191795139744E-2</v>
      </c>
      <c r="R19" s="72">
        <f>'retraites SA Nb'!$AZ19/'retraites SA Nb'!$AN19-1</f>
        <v>-8.4041423260754144E-2</v>
      </c>
      <c r="S19" s="72">
        <f>'retraites SA Nb'!$BC19/'retraites SA Nb'!$AQ19-1</f>
        <v>-8.1657608695652195E-2</v>
      </c>
      <c r="T19" s="72">
        <f>'retraites SA Nb'!$BF19/'retraites SA Nb'!$AT19-1</f>
        <v>-8.4325671559124848E-2</v>
      </c>
      <c r="U19" s="72">
        <f>'retraites SA Nb'!$BI19/'retraites SA Nb'!$AW19-1</f>
        <v>-7.8528827037773308E-2</v>
      </c>
      <c r="V19" s="72">
        <f>'retraites SA Nb'!$BL19/'retraites SA Nb'!$AZ19-1</f>
        <v>-7.3343962893172909E-2</v>
      </c>
      <c r="W19" s="72">
        <f>'retraites SA Nb'!$BO19/'retraites SA Nb'!$BC19-1</f>
        <v>-6.8945110223405881E-2</v>
      </c>
      <c r="X19" s="72">
        <f>'retraites SA Nb'!$BR19/'retraites SA Nb'!$BF19-1</f>
        <v>-7.0920913352487513E-2</v>
      </c>
      <c r="Y19" s="72">
        <f>'retraites SA Nb'!$BU19/'retraites SA Nb'!$BI19-1</f>
        <v>-7.3354908306364597E-2</v>
      </c>
      <c r="Z19" s="72">
        <f>'retraites SA Nb'!$BX19/'retraites SA Nb'!$BL19-1</f>
        <v>-7.993117472235256E-2</v>
      </c>
      <c r="AA19" s="72">
        <f>'retraites SA Nb'!$CA19/'retraites SA Nb'!$BO19-1</f>
        <v>-8.7557603686635899E-2</v>
      </c>
      <c r="AB19" s="72">
        <f>'retraites SA Nb'!$CG19/'retraites SA Nb'!$BR19-1</f>
        <v>-0.11637369791666663</v>
      </c>
      <c r="AC19" s="72">
        <f>'retraites SA Nb'!$CG19/'retraites SA Nb'!$BU19-1</f>
        <v>-9.7122900382504596E-2</v>
      </c>
      <c r="AD19" s="72">
        <f>'retraites SA Nb'!$CJ19/'retraites SA Nb'!$BX19-1</f>
        <v>-9.3675620537232218E-2</v>
      </c>
      <c r="AE19" s="72">
        <f>'retraites SA Nb'!$CM19/'retraites SA Nb'!$CA19-1</f>
        <v>-9.4392197840473702E-2</v>
      </c>
      <c r="AF19" s="72">
        <f>'retraites SA Nb'!$CS19/'retraites SA Nb'!$CG19-1</f>
        <v>-9.5966107938846967E-2</v>
      </c>
      <c r="AG19" s="72">
        <f>'retraites SA Nb'!$CS19/'retraites SA Nb'!$CG19-1</f>
        <v>-9.5966107938846967E-2</v>
      </c>
      <c r="AH19" s="72">
        <f>'retraites SA Nb'!$CV19/'retraites SA Nb'!$CJ19-1</f>
        <v>-9.8668167323203937E-2</v>
      </c>
      <c r="AI19" s="72">
        <f>'retraites SA Nb'!$CY19/'retraites SA Nb'!$CM19-1</f>
        <v>-9.9423076923076947E-2</v>
      </c>
      <c r="AJ19" s="72">
        <f>'retraites SA Nb'!$DB19/'retraites SA Nb'!$CP19-1</f>
        <v>-9.4096671949286836E-2</v>
      </c>
      <c r="AK19" s="72">
        <f>'retraites SA Nb'!$DE19/'retraites SA Nb'!$CS19-1</f>
        <v>-9.8614506927465317E-2</v>
      </c>
      <c r="AL19" s="72">
        <f>'retraites SA Nb'!$DH19/'retraites SA Nb'!$CV19-1</f>
        <v>-0.10468262226847036</v>
      </c>
      <c r="AM19" s="72">
        <f>'retraites SA Nb'!$DK19/'retraites SA Nb'!$CY19-1</f>
        <v>-0.10463378176382665</v>
      </c>
      <c r="AN19" s="72">
        <f>'retraites SA Nb'!$DN19/'retraites SA Nb'!$DB19-1</f>
        <v>-0.10933741526350316</v>
      </c>
      <c r="AO19" s="72">
        <f>'retraites SA Nb'!$DQ19/'retraites SA Nb'!$DE19-1</f>
        <v>-0.10284810126582278</v>
      </c>
      <c r="AP19" s="72">
        <f>'retraites SA Nb'!$DT19/'retraites SA Nb'!$DH19-1</f>
        <v>-0.10599721059972111</v>
      </c>
      <c r="AQ19" s="72">
        <f>'retraites SA Nb'!$DW19/'retraites SA Nb'!$DK19-1</f>
        <v>-9.7066539470546109E-2</v>
      </c>
      <c r="AR19" s="122">
        <f>'retraites SA Nb'!$DZ19/'retraites SA Nb'!$DN19-1</f>
        <v>-0.10090842131107292</v>
      </c>
      <c r="AS19" s="261">
        <f>'retraites SA Nb'!$EC19/'retraites SA Nb'!$DQ19-1</f>
        <v>-0.10582010582010581</v>
      </c>
      <c r="AT19" s="261">
        <f>'retraites SA Nb'!$EF19/'retraites SA Nb'!$DT19-1</f>
        <v>-9.1263650546021813E-2</v>
      </c>
      <c r="AU19" s="261">
        <f>'retraites SA Nb'!$EI19/'retraites SA Nb'!$DW19-1</f>
        <v>-0.10591653460116213</v>
      </c>
      <c r="AV19" s="261">
        <f>'retraites SA Nb'!$EL19/'retraites SA Nb'!$DZ19-1</f>
        <v>-0.10759148006553798</v>
      </c>
      <c r="AW19" s="261">
        <f>'retraites SA Nb'!$EO19/'retraites SA Nb'!$EC19-1</f>
        <v>-0.11693434770357847</v>
      </c>
      <c r="AX19" s="261">
        <f>'retraites SA Nb'!$ER19/'retraites SA Nb'!$EF19-1</f>
        <v>-0.14849785407725324</v>
      </c>
      <c r="AY19" s="261">
        <f>'retraites SA Nb'!$EU19/'retraites SA Nb'!$EI19-1</f>
        <v>-0.15539143279172818</v>
      </c>
      <c r="AZ19" s="261">
        <f>'retraites SA Nb'!$EX19/'retraites SA Nb'!$EL19-1</f>
        <v>-0.15452876376988989</v>
      </c>
      <c r="BA19" s="261">
        <f>'retraites SA Nb'!$FA19/'retraites SA Nb'!$EO19-1</f>
        <v>-0.15092533503509886</v>
      </c>
      <c r="BB19" s="261">
        <f>'retraites SA Nb'!$FD19/'retraites SA Nb'!$ER19-1</f>
        <v>-0.13810483870967738</v>
      </c>
      <c r="BC19" s="261">
        <f>'retraites SA Nb'!$FG19/'retraites SA Nb'!$EU19-1</f>
        <v>-0.12801678908709335</v>
      </c>
      <c r="BD19" s="261">
        <f>'retraites SA Nb'!$FJ19/'retraites SA Nb'!$EX19-1</f>
        <v>-0.14259862468331519</v>
      </c>
      <c r="BE19" s="261">
        <f>'retraites SA Nb'!$FM19/'retraites SA Nb'!$FA19-1</f>
        <v>-0.13228109733183013</v>
      </c>
      <c r="BF19" s="261">
        <f>'retraites SA Nb'!$FP19/'retraites SA Nb'!$FD19-1</f>
        <v>-0.13840155945419108</v>
      </c>
      <c r="BG19" s="261">
        <f>'retraites SA Nb'!$FS19/'retraites SA Nb'!$FG19-1</f>
        <v>-0.1407942238267148</v>
      </c>
      <c r="BH19" s="261">
        <f>'retraites SA Nb'!$FV19/'retraites SA Nb'!$FJ19-1</f>
        <v>-0.1241029970451667</v>
      </c>
      <c r="BI19" s="261">
        <f>'retraites SA Nb'!$FY19/'retraites SA Nb'!$FM19-1</f>
        <v>-0.14075357297531399</v>
      </c>
      <c r="BJ19" s="261">
        <f>'retraites SA Nb'!$GB19/'retraites SA Nb'!$FP19-1</f>
        <v>-0.1253393665158371</v>
      </c>
      <c r="BK19" s="261">
        <f>'retraites SA Nb'!$GE19/'retraites SA Nb'!$FS19-1</f>
        <v>-0.12511671335200747</v>
      </c>
      <c r="BL19" s="261">
        <f>'retraites SA Nb'!$GH19/'retraites SA Nb'!$FV19-1</f>
        <v>-0.13542168674698796</v>
      </c>
      <c r="BM19" s="261">
        <f>'retraites SA Nb'!$GK19/'retraites SA Nb'!$FY19-1</f>
        <v>-0.13911290322580649</v>
      </c>
      <c r="BN19" s="261">
        <f>'retraites SA Nb'!$GN19/'retraites SA Nb'!$GB19-1</f>
        <v>-0.12881531298499738</v>
      </c>
    </row>
    <row r="20" spans="1:66" x14ac:dyDescent="0.25">
      <c r="A20" s="39" t="s">
        <v>9</v>
      </c>
      <c r="F20" s="72">
        <f>'retraites SA Nb'!$P20/'retraites SA Nb'!$D20-1</f>
        <v>-0.10226070226070227</v>
      </c>
      <c r="G20" s="72">
        <f>'retraites SA Nb'!$S20/'retraites SA Nb'!$G20-1</f>
        <v>-9.7044530397699114E-2</v>
      </c>
      <c r="H20" s="72">
        <f>'retraites SA Nb'!$V20/'retraites SA Nb'!$J20-1</f>
        <v>-9.9903105716762752E-2</v>
      </c>
      <c r="I20" s="72">
        <f>'retraites SA Nb'!$Y20/'retraites SA Nb'!$M20-1</f>
        <v>-9.9065225338137775E-2</v>
      </c>
      <c r="J20" s="72">
        <f>'retraites SA Nb'!$AB20/'retraites SA Nb'!$P20-1</f>
        <v>-9.5852978996999516E-2</v>
      </c>
      <c r="K20" s="72">
        <f>'retraites SA Nb'!$AE20/'retraites SA Nb'!$S20-1</f>
        <v>-9.8742380141688124E-2</v>
      </c>
      <c r="L20" s="72">
        <f>'retraites SA Nb'!$AH20/'retraites SA Nb'!$V20-1</f>
        <v>-9.5070821529744998E-2</v>
      </c>
      <c r="M20" s="72">
        <f>'retraites SA Nb'!$AK20/'retraites SA Nb'!$Y20-1</f>
        <v>-0.10172733596104799</v>
      </c>
      <c r="N20" s="72">
        <f>'retraites SA Nb'!$AN20/'retraites SA Nb'!$AB20-1</f>
        <v>-0.10388148148148146</v>
      </c>
      <c r="O20" s="72">
        <f>'retraites SA Nb'!$AQ20/'retraites SA Nb'!$AE20-1</f>
        <v>-0.10206568764852841</v>
      </c>
      <c r="P20" s="72">
        <f>'retraites SA Nb'!$AT20/'retraites SA Nb'!$AH20-1</f>
        <v>-0.10343100425745055</v>
      </c>
      <c r="Q20" s="72">
        <f>'retraites SA Nb'!$AW20/'retraites SA Nb'!$AK20-1</f>
        <v>-9.9567658256436764E-2</v>
      </c>
      <c r="R20" s="72">
        <f>'retraites SA Nb'!$AZ20/'retraites SA Nb'!$AN20-1</f>
        <v>-0.10011903187409077</v>
      </c>
      <c r="S20" s="72">
        <f>'retraites SA Nb'!$BC20/'retraites SA Nb'!$AQ20-1</f>
        <v>-0.10131650380021717</v>
      </c>
      <c r="T20" s="72">
        <f>'retraites SA Nb'!$BF20/'retraites SA Nb'!$AT20-1</f>
        <v>-0.10300279329608941</v>
      </c>
      <c r="U20" s="72">
        <f>'retraites SA Nb'!$BI20/'retraites SA Nb'!$AW20-1</f>
        <v>-0.10111795900816967</v>
      </c>
      <c r="V20" s="72">
        <f>'retraites SA Nb'!$BL20/'retraites SA Nb'!$AZ20-1</f>
        <v>-0.10008818342151671</v>
      </c>
      <c r="W20" s="72">
        <f>'retraites SA Nb'!$BO20/'retraites SA Nb'!$BC20-1</f>
        <v>-9.9599788567545144E-2</v>
      </c>
      <c r="X20" s="72">
        <f>'retraites SA Nb'!$BR20/'retraites SA Nb'!$BF20-1</f>
        <v>-0.10058388478007008</v>
      </c>
      <c r="Y20" s="72">
        <f>'retraites SA Nb'!$BU20/'retraites SA Nb'!$BI20-1</f>
        <v>-0.10212867734991626</v>
      </c>
      <c r="Z20" s="72">
        <f>'retraites SA Nb'!$BX20/'retraites SA Nb'!$BL20-1</f>
        <v>-0.1000326637269312</v>
      </c>
      <c r="AA20" s="72">
        <f>'retraites SA Nb'!$CA20/'retraites SA Nb'!$BO20-1</f>
        <v>-0.1049983227104998</v>
      </c>
      <c r="AB20" s="72">
        <f>'retraites SA Nb'!$CG20/'retraites SA Nb'!$BR20-1</f>
        <v>-0.13416428633255428</v>
      </c>
      <c r="AC20" s="72">
        <f>'retraites SA Nb'!$CG20/'retraites SA Nb'!$BU20-1</f>
        <v>-0.11179186645356065</v>
      </c>
      <c r="AD20" s="72">
        <f>'retraites SA Nb'!$CJ20/'retraites SA Nb'!$BX20-1</f>
        <v>-0.11523455221849199</v>
      </c>
      <c r="AE20" s="72">
        <f>'retraites SA Nb'!$CM20/'retraites SA Nb'!$CA20-1</f>
        <v>-0.11553598200899551</v>
      </c>
      <c r="AF20" s="72">
        <f>'retraites SA Nb'!$CS20/'retraites SA Nb'!$CG20-1</f>
        <v>-0.11236629011296606</v>
      </c>
      <c r="AG20" s="72">
        <f>'retraites SA Nb'!$CS20/'retraites SA Nb'!$CG20-1</f>
        <v>-0.11236629011296606</v>
      </c>
      <c r="AH20" s="72">
        <f>'retraites SA Nb'!$CV20/'retraites SA Nb'!$CJ20-1</f>
        <v>-0.11496256794174953</v>
      </c>
      <c r="AI20" s="72">
        <f>'retraites SA Nb'!$CY20/'retraites SA Nb'!$CM20-1</f>
        <v>-0.11908041106049372</v>
      </c>
      <c r="AJ20" s="72">
        <f>'retraites SA Nb'!$DB20/'retraites SA Nb'!$CP20-1</f>
        <v>-0.11931818181818177</v>
      </c>
      <c r="AK20" s="72">
        <f>'retraites SA Nb'!$DE20/'retraites SA Nb'!$CS20-1</f>
        <v>-0.11341367271089087</v>
      </c>
      <c r="AL20" s="72">
        <f>'retraites SA Nb'!$DH20/'retraites SA Nb'!$CV20-1</f>
        <v>-0.11390498261877169</v>
      </c>
      <c r="AM20" s="72">
        <f>'retraites SA Nb'!$DK20/'retraites SA Nb'!$CY20-1</f>
        <v>-0.11485267588695125</v>
      </c>
      <c r="AN20" s="72">
        <f>'retraites SA Nb'!$DN20/'retraites SA Nb'!$DB20-1</f>
        <v>-0.11612903225806448</v>
      </c>
      <c r="AO20" s="72">
        <f>'retraites SA Nb'!$DQ20/'retraites SA Nb'!$DE20-1</f>
        <v>-0.11712398373983735</v>
      </c>
      <c r="AP20" s="72">
        <f>'retraites SA Nb'!$DT20/'retraites SA Nb'!$DH20-1</f>
        <v>-0.11638551065777425</v>
      </c>
      <c r="AQ20" s="72">
        <f>'retraites SA Nb'!$DW20/'retraites SA Nb'!$DK20-1</f>
        <v>-0.11630434782608701</v>
      </c>
      <c r="AR20" s="122">
        <f>'retraites SA Nb'!$DZ20/'retraites SA Nb'!$DN20-1</f>
        <v>-0.11327905670971361</v>
      </c>
      <c r="AS20" s="261">
        <f>'retraites SA Nb'!$EC20/'retraites SA Nb'!$DQ20-1</f>
        <v>-0.11769784172661868</v>
      </c>
      <c r="AT20" s="261">
        <f>'retraites SA Nb'!$EF20/'retraites SA Nb'!$DT20-1</f>
        <v>-0.11795175373686551</v>
      </c>
      <c r="AU20" s="261">
        <f>'retraites SA Nb'!$EI20/'retraites SA Nb'!$DW20-1</f>
        <v>-0.11331488314883154</v>
      </c>
      <c r="AV20" s="261">
        <f>'retraites SA Nb'!$EL20/'retraites SA Nb'!$DZ20-1</f>
        <v>-0.12870033243628309</v>
      </c>
      <c r="AW20" s="261">
        <f>'retraites SA Nb'!$EO20/'retraites SA Nb'!$EC20-1</f>
        <v>-0.13225701239399867</v>
      </c>
      <c r="AX20" s="261">
        <f>'retraites SA Nb'!$ER20/'retraites SA Nb'!$EF20-1</f>
        <v>-0.14127516778523486</v>
      </c>
      <c r="AY20" s="261">
        <f>'retraites SA Nb'!$EU20/'retraites SA Nb'!$EI20-1</f>
        <v>-0.15051153112536853</v>
      </c>
      <c r="AZ20" s="261">
        <f>'retraites SA Nb'!$EX20/'retraites SA Nb'!$EL20-1</f>
        <v>-0.14226017441860461</v>
      </c>
      <c r="BA20" s="261">
        <f>'retraites SA Nb'!$FA20/'retraites SA Nb'!$EO20-1</f>
        <v>-0.14508551024243566</v>
      </c>
      <c r="BB20" s="261">
        <f>'retraites SA Nb'!$FD20/'retraites SA Nb'!$ER20-1</f>
        <v>-0.13989839781164515</v>
      </c>
      <c r="BC20" s="261">
        <f>'retraites SA Nb'!$FG20/'retraites SA Nb'!$EU20-1</f>
        <v>-0.14390691977954684</v>
      </c>
      <c r="BD20" s="261">
        <f>'retraites SA Nb'!$FJ20/'retraites SA Nb'!$EX20-1</f>
        <v>-0.14933276848125399</v>
      </c>
      <c r="BE20" s="261">
        <f>'retraites SA Nb'!$FM20/'retraites SA Nb'!$FA20-1</f>
        <v>-0.14596614640580352</v>
      </c>
      <c r="BF20" s="261">
        <f>'retraites SA Nb'!$FP20/'retraites SA Nb'!$FD20-1</f>
        <v>-0.14947751022262612</v>
      </c>
      <c r="BG20" s="261">
        <f>'retraites SA Nb'!$FS20/'retraites SA Nb'!$FG20-1</f>
        <v>-0.15212207916070575</v>
      </c>
      <c r="BH20" s="261">
        <f>'retraites SA Nb'!$FV20/'retraites SA Nb'!$FJ20-1</f>
        <v>-0.14118525896414347</v>
      </c>
      <c r="BI20" s="261">
        <f>'retraites SA Nb'!$FY20/'retraites SA Nb'!$FM20-1</f>
        <v>-0.15032175032175032</v>
      </c>
      <c r="BJ20" s="261">
        <f>'retraites SA Nb'!$GB20/'retraites SA Nb'!$FP20-1</f>
        <v>-0.14262820512820518</v>
      </c>
      <c r="BK20" s="261">
        <f>'retraites SA Nb'!$GE20/'retraites SA Nb'!$FS20-1</f>
        <v>-0.13779527559055116</v>
      </c>
      <c r="BL20" s="261">
        <f>'retraites SA Nb'!$GH20/'retraites SA Nb'!$FV20-1</f>
        <v>-0.1577268773557553</v>
      </c>
      <c r="BM20" s="261">
        <f>'retraites SA Nb'!$GK20/'retraites SA Nb'!$FY20-1</f>
        <v>-0.15328688276279911</v>
      </c>
      <c r="BN20" s="261">
        <f>'retraites SA Nb'!$GN20/'retraites SA Nb'!$GB20-1</f>
        <v>-0.16355140186915884</v>
      </c>
    </row>
    <row r="21" spans="1:66" ht="12" thickBot="1" x14ac:dyDescent="0.3">
      <c r="A21" s="40" t="s">
        <v>11</v>
      </c>
      <c r="F21" s="72">
        <f>'retraites SA Nb'!$P21/'retraites SA Nb'!$D21-1</f>
        <v>0.62220566318926984</v>
      </c>
      <c r="G21" s="72">
        <f>'retraites SA Nb'!$S21/'retraites SA Nb'!$G21-1</f>
        <v>0.54487989886219967</v>
      </c>
      <c r="H21" s="72">
        <f>'retraites SA Nb'!$V21/'retraites SA Nb'!$J21-1</f>
        <v>0.44401756311745344</v>
      </c>
      <c r="I21" s="72">
        <f>'retraites SA Nb'!$Y21/'retraites SA Nb'!$M21-1</f>
        <v>0.40211907164480332</v>
      </c>
      <c r="J21" s="72">
        <f>'retraites SA Nb'!$AB21/'retraites SA Nb'!$P21-1</f>
        <v>0.35920992191088663</v>
      </c>
      <c r="K21" s="72">
        <f>'retraites SA Nb'!$AE21/'retraites SA Nb'!$S21-1</f>
        <v>0.31996726677577736</v>
      </c>
      <c r="L21" s="72">
        <f>'retraites SA Nb'!$AH21/'retraites SA Nb'!$V21-1</f>
        <v>0.31546940326871908</v>
      </c>
      <c r="M21" s="72">
        <f>'retraites SA Nb'!$AK21/'retraites SA Nb'!$Y21-1</f>
        <v>0.2925512774379273</v>
      </c>
      <c r="N21" s="72">
        <f>'retraites SA Nb'!$AN21/'retraites SA Nb'!$AB21-1</f>
        <v>0.25380196012166278</v>
      </c>
      <c r="O21" s="72">
        <f>'retraites SA Nb'!$AQ21/'retraites SA Nb'!$AE21-1</f>
        <v>0.18908865468071911</v>
      </c>
      <c r="P21" s="72">
        <f>'retraites SA Nb'!$AT21/'retraites SA Nb'!$AH21-1</f>
        <v>0.13059809303669456</v>
      </c>
      <c r="Q21" s="72">
        <f>'retraites SA Nb'!$AW21/'retraites SA Nb'!$AK21-1</f>
        <v>9.3262806236080076E-2</v>
      </c>
      <c r="R21" s="72">
        <f>'retraites SA Nb'!$AZ21/'retraites SA Nb'!$AN21-1</f>
        <v>8.8409703504043202E-2</v>
      </c>
      <c r="S21" s="72">
        <f>'retraites SA Nb'!$BC21/'retraites SA Nb'!$AQ21-1</f>
        <v>8.7851929092805037E-2</v>
      </c>
      <c r="T21" s="72">
        <f>'retraites SA Nb'!$BF21/'retraites SA Nb'!$AT21-1</f>
        <v>8.5356503961155017E-2</v>
      </c>
      <c r="U21" s="72">
        <f>'retraites SA Nb'!$BI21/'retraites SA Nb'!$AW21-1</f>
        <v>0.10516934046345816</v>
      </c>
      <c r="V21" s="72">
        <f>'retraites SA Nb'!$BL21/'retraites SA Nb'!$AZ21-1</f>
        <v>9.8315998018821293E-2</v>
      </c>
      <c r="W21" s="72">
        <f>'retraites SA Nb'!$BO21/'retraites SA Nb'!$BC21-1</f>
        <v>9.2499400910615925E-2</v>
      </c>
      <c r="X21" s="72">
        <f>'retraites SA Nb'!$BR21/'retraites SA Nb'!$BF21-1</f>
        <v>9.3242288674358464E-2</v>
      </c>
      <c r="Y21" s="72">
        <f>'retraites SA Nb'!$BU21/'retraites SA Nb'!$BI21-1</f>
        <v>8.4792626728110498E-2</v>
      </c>
      <c r="Z21" s="72">
        <f>'retraites SA Nb'!$BX21/'retraites SA Nb'!$BL21-1</f>
        <v>8.1848928974069812E-2</v>
      </c>
      <c r="AA21" s="72">
        <f>'retraites SA Nb'!$CA21/'retraites SA Nb'!$BO21-1</f>
        <v>7.8525992542224143E-2</v>
      </c>
      <c r="AB21" s="72">
        <f>'retraites SA Nb'!$CG21/'retraites SA Nb'!$BR21-1</f>
        <v>0.1059659702778375</v>
      </c>
      <c r="AC21" s="72">
        <f>'retraites SA Nb'!$CG21/'retraites SA Nb'!$BU21-1</f>
        <v>9.0696686491078982E-2</v>
      </c>
      <c r="AD21" s="72">
        <f>'retraites SA Nb'!$CJ21/'retraites SA Nb'!$BX21-1</f>
        <v>9.3789078782826163E-2</v>
      </c>
      <c r="AE21" s="72">
        <f>'retraites SA Nb'!$CM21/'retraites SA Nb'!$CA21-1</f>
        <v>9.2332723205206468E-2</v>
      </c>
      <c r="AF21" s="72">
        <f>'retraites SA Nb'!$CS21/'retraites SA Nb'!$CG21-1</f>
        <v>9.4839337877312468E-2</v>
      </c>
      <c r="AG21" s="72">
        <f>'retraites SA Nb'!$CS21/'retraites SA Nb'!$CG21-1</f>
        <v>9.4839337877312468E-2</v>
      </c>
      <c r="AH21" s="72">
        <f>'retraites SA Nb'!$CV21/'retraites SA Nb'!$CJ21-1</f>
        <v>9.26067073170731E-2</v>
      </c>
      <c r="AI21" s="72">
        <f>'retraites SA Nb'!$CY21/'retraites SA Nb'!$CM21-1</f>
        <v>7.279836157140207E-2</v>
      </c>
      <c r="AJ21" s="72">
        <f>'retraites SA Nb'!$DB21/'retraites SA Nb'!$CP21-1</f>
        <v>5.5030875408645041E-2</v>
      </c>
      <c r="AK21" s="72">
        <f>'retraites SA Nb'!$DE21/'retraites SA Nb'!$CS21-1</f>
        <v>4.0021344717182439E-2</v>
      </c>
      <c r="AL21" s="72">
        <f>'retraites SA Nb'!$DH21/'retraites SA Nb'!$CV21-1</f>
        <v>4.4297174747122359E-2</v>
      </c>
      <c r="AM21" s="72">
        <f>'retraites SA Nb'!$DK21/'retraites SA Nb'!$CY21-1</f>
        <v>7.0635196112460941E-2</v>
      </c>
      <c r="AN21" s="72">
        <f>'retraites SA Nb'!$DN21/'retraites SA Nb'!$DB21-1</f>
        <v>9.7779307970390805E-2</v>
      </c>
      <c r="AO21" s="72">
        <f>'retraites SA Nb'!$DQ21/'retraites SA Nb'!$DE21-1</f>
        <v>0.13596716264751163</v>
      </c>
      <c r="AP21" s="72">
        <f>'retraites SA Nb'!$DT21/'retraites SA Nb'!$DH21-1</f>
        <v>0.16282565130260518</v>
      </c>
      <c r="AQ21" s="72">
        <f>'retraites SA Nb'!$DW21/'retraites SA Nb'!$DK21-1</f>
        <v>0.18722645485491984</v>
      </c>
      <c r="AR21" s="122">
        <f>'retraites SA Nb'!$DZ21/'retraites SA Nb'!$DN21-1</f>
        <v>0.22173435784851803</v>
      </c>
      <c r="AS21" s="261">
        <f>'retraites SA Nb'!$EC21/'retraites SA Nb'!$DQ21-1</f>
        <v>0.23501957241794647</v>
      </c>
      <c r="AT21" s="261">
        <f>'retraites SA Nb'!$EF21/'retraites SA Nb'!$DT21-1</f>
        <v>0.25750394944707744</v>
      </c>
      <c r="AU21" s="261">
        <f>'retraites SA Nb'!$EI21/'retraites SA Nb'!$DW21-1</f>
        <v>0.2760786455488804</v>
      </c>
      <c r="AV21" s="261">
        <f>'retraites SA Nb'!$EL21/'retraites SA Nb'!$DZ21-1</f>
        <v>0.27005519188807603</v>
      </c>
      <c r="AW21" s="261">
        <f>'retraites SA Nb'!$EO21/'retraites SA Nb'!$EC21-1</f>
        <v>0.26465927099841524</v>
      </c>
      <c r="AX21" s="261">
        <f>'retraites SA Nb'!$ER21/'retraites SA Nb'!$EF21-1</f>
        <v>0.24703060758337148</v>
      </c>
      <c r="AY21" s="261">
        <f>'retraites SA Nb'!$EU21/'retraites SA Nb'!$EI21-1</f>
        <v>0.2256580355232185</v>
      </c>
      <c r="AZ21" s="261">
        <f>'retraites SA Nb'!$EX21/'retraites SA Nb'!$EL21-1</f>
        <v>0.20596260737746341</v>
      </c>
      <c r="BA21" s="261">
        <f>'retraites SA Nb'!$FA21/'retraites SA Nb'!$EO21-1</f>
        <v>0.19963369963369959</v>
      </c>
      <c r="BB21" s="261">
        <f>'retraites SA Nb'!$FD21/'retraites SA Nb'!$ER21-1</f>
        <v>0.1899441340782122</v>
      </c>
      <c r="BC21" s="261">
        <f>'retraites SA Nb'!$FG21/'retraites SA Nb'!$EU21-1</f>
        <v>0.18341335661283287</v>
      </c>
      <c r="BD21" s="261">
        <f>'retraites SA Nb'!$FJ21/'retraites SA Nb'!$EX21-1</f>
        <v>0.17891561216793761</v>
      </c>
      <c r="BE21" s="261">
        <f>'retraites SA Nb'!$FM21/'retraites SA Nb'!$FA21-1</f>
        <v>0.16922458818802721</v>
      </c>
      <c r="BF21" s="261">
        <f>'retraites SA Nb'!$FP21/'retraites SA Nb'!$FD21-1</f>
        <v>0.16308781651658588</v>
      </c>
      <c r="BG21" s="261">
        <f>'retraites SA Nb'!$FS21/'retraites SA Nb'!$FG21-1</f>
        <v>0.16317497786957813</v>
      </c>
      <c r="BH21" s="261">
        <f>'retraites SA Nb'!$FV21/'retraites SA Nb'!$FJ21-1</f>
        <v>0.16079044640318463</v>
      </c>
      <c r="BI21" s="261">
        <f>'retraites SA Nb'!$FY21/'retraites SA Nb'!$FM21-1</f>
        <v>0.15724005223008719</v>
      </c>
      <c r="BJ21" s="261">
        <f>'retraites SA Nb'!$GB21/'retraites SA Nb'!$FP21-1</f>
        <v>0.15696135521439913</v>
      </c>
      <c r="BK21" s="261">
        <f>'retraites SA Nb'!$GE21/'retraites SA Nb'!$FS21-1</f>
        <v>0.14117199391171997</v>
      </c>
      <c r="BL21" s="261">
        <f>'retraites SA Nb'!$GH21/'retraites SA Nb'!$FV21-1</f>
        <v>0.13496631965707295</v>
      </c>
      <c r="BM21" s="261">
        <f>'retraites SA Nb'!$GK21/'retraites SA Nb'!$FY21-1</f>
        <v>0.13195557930993518</v>
      </c>
      <c r="BN21" s="261">
        <f>'retraites SA Nb'!$GN21/'retraites SA Nb'!$GB21-1</f>
        <v>0.12377030427819724</v>
      </c>
    </row>
    <row r="22" spans="1:66" x14ac:dyDescent="0.25">
      <c r="A22" s="14"/>
      <c r="P22" s="4"/>
      <c r="Q22" s="76"/>
      <c r="R22" s="76"/>
      <c r="S22" s="76"/>
      <c r="T22" s="76"/>
      <c r="U22" s="76"/>
      <c r="V22" s="76"/>
      <c r="BJ22" s="126"/>
      <c r="BK22" s="126"/>
      <c r="BL22" s="126"/>
      <c r="BM22" s="126"/>
      <c r="BN22" s="126"/>
    </row>
    <row r="23" spans="1:66" x14ac:dyDescent="0.25">
      <c r="A23" s="3" t="s">
        <v>31</v>
      </c>
      <c r="P23" s="4"/>
      <c r="Q23" s="76"/>
      <c r="R23" s="76"/>
      <c r="S23" s="76"/>
      <c r="T23" s="76"/>
      <c r="U23" s="76"/>
      <c r="V23" s="76"/>
      <c r="BJ23" s="126"/>
      <c r="BK23" s="126"/>
      <c r="BL23" s="126"/>
      <c r="BM23" s="126"/>
      <c r="BN23" s="126"/>
    </row>
    <row r="24" spans="1:66" x14ac:dyDescent="0.25">
      <c r="A24" s="14" t="s">
        <v>29</v>
      </c>
      <c r="P24" s="4"/>
      <c r="Q24" s="76"/>
      <c r="R24" s="76"/>
      <c r="S24" s="76"/>
      <c r="T24" s="76"/>
      <c r="U24" s="76"/>
      <c r="V24" s="76"/>
      <c r="BJ24" s="126"/>
      <c r="BK24" s="126"/>
      <c r="BL24" s="126"/>
      <c r="BM24" s="126"/>
      <c r="BN24" s="126"/>
    </row>
    <row r="25" spans="1:66" s="32" customFormat="1" x14ac:dyDescent="0.25">
      <c r="A25" s="3"/>
      <c r="Q25" s="99"/>
      <c r="R25" s="99"/>
      <c r="S25" s="99"/>
      <c r="T25" s="99"/>
      <c r="U25" s="99"/>
      <c r="V25" s="99"/>
      <c r="AR25" s="254"/>
      <c r="AS25" s="260"/>
      <c r="AT25" s="260"/>
      <c r="AU25" s="260"/>
      <c r="AV25" s="260"/>
      <c r="AW25" s="260"/>
      <c r="AX25" s="260"/>
      <c r="AY25" s="260"/>
      <c r="AZ25" s="260"/>
      <c r="BA25" s="260"/>
      <c r="BB25" s="260"/>
      <c r="BC25" s="260"/>
      <c r="BD25" s="260"/>
      <c r="BE25" s="260"/>
      <c r="BF25" s="260"/>
      <c r="BG25" s="260"/>
      <c r="BH25" s="260"/>
      <c r="BI25" s="260"/>
      <c r="BJ25" s="260"/>
      <c r="BK25" s="260"/>
      <c r="BL25" s="260"/>
      <c r="BM25" s="260"/>
      <c r="BN25" s="260"/>
    </row>
    <row r="26" spans="1:66" ht="12" thickBot="1" x14ac:dyDescent="0.3">
      <c r="A26" s="3"/>
      <c r="B26" s="70" t="str">
        <f>B6</f>
        <v>4 T2008</v>
      </c>
      <c r="C26" s="70" t="str">
        <f t="shared" ref="C26:L26" si="15">C6</f>
        <v>1 T 2009</v>
      </c>
      <c r="D26" s="70" t="str">
        <f t="shared" si="15"/>
        <v>2 T 2009</v>
      </c>
      <c r="E26" s="70" t="str">
        <f t="shared" si="15"/>
        <v>3 T 2009</v>
      </c>
      <c r="F26" s="70" t="str">
        <f t="shared" si="15"/>
        <v>4 T 2009</v>
      </c>
      <c r="G26" s="70" t="str">
        <f t="shared" si="15"/>
        <v>1 T 2010</v>
      </c>
      <c r="H26" s="70" t="str">
        <f t="shared" si="15"/>
        <v>2 T 2010</v>
      </c>
      <c r="I26" s="70" t="str">
        <f t="shared" si="15"/>
        <v>3 T 2010</v>
      </c>
      <c r="J26" s="70" t="str">
        <f t="shared" si="15"/>
        <v>4 T 2010</v>
      </c>
      <c r="K26" s="70" t="str">
        <f t="shared" si="15"/>
        <v>1 T 2011</v>
      </c>
      <c r="L26" s="70" t="str">
        <f t="shared" si="15"/>
        <v>2 T 2011</v>
      </c>
      <c r="M26" s="70" t="str">
        <f>M6</f>
        <v>3 T 2011</v>
      </c>
      <c r="N26" s="70" t="str">
        <f>N6</f>
        <v>4 T 2011</v>
      </c>
      <c r="O26" s="70" t="s">
        <v>106</v>
      </c>
      <c r="P26" s="70" t="s">
        <v>111</v>
      </c>
      <c r="Q26" s="70" t="s">
        <v>135</v>
      </c>
      <c r="R26" s="70" t="s">
        <v>141</v>
      </c>
      <c r="S26" s="70" t="s">
        <v>145</v>
      </c>
      <c r="T26" s="70" t="s">
        <v>150</v>
      </c>
      <c r="U26" s="70" t="s">
        <v>159</v>
      </c>
      <c r="V26" s="70" t="s">
        <v>164</v>
      </c>
      <c r="W26" s="70" t="s">
        <v>168</v>
      </c>
      <c r="X26" s="70" t="s">
        <v>172</v>
      </c>
      <c r="Y26" s="70" t="s">
        <v>178</v>
      </c>
      <c r="Z26" s="70" t="s">
        <v>193</v>
      </c>
      <c r="AA26" s="70" t="s">
        <v>198</v>
      </c>
      <c r="AB26" s="70" t="s">
        <v>203</v>
      </c>
      <c r="AC26" s="70" t="s">
        <v>206</v>
      </c>
      <c r="AD26" s="70" t="s">
        <v>210</v>
      </c>
      <c r="AE26" s="70" t="s">
        <v>219</v>
      </c>
      <c r="AF26" s="70" t="s">
        <v>224</v>
      </c>
      <c r="AG26" s="70" t="s">
        <v>224</v>
      </c>
      <c r="AH26" s="70" t="str">
        <f t="shared" ref="AH26:AL26" si="16">AH14</f>
        <v>4 T 2016</v>
      </c>
      <c r="AI26" s="70" t="str">
        <f t="shared" si="16"/>
        <v>1 T 2017</v>
      </c>
      <c r="AJ26" s="70" t="str">
        <f t="shared" si="16"/>
        <v>2 T 2017</v>
      </c>
      <c r="AK26" s="70" t="str">
        <f t="shared" si="16"/>
        <v>3 T 2017</v>
      </c>
      <c r="AL26" s="70" t="str">
        <f t="shared" si="16"/>
        <v>4 T 2017</v>
      </c>
      <c r="AM26" s="70" t="str">
        <f t="shared" ref="AM26:AR26" si="17">AM14</f>
        <v>1 T 2018</v>
      </c>
      <c r="AN26" s="70" t="str">
        <f t="shared" si="17"/>
        <v>2 T 2018</v>
      </c>
      <c r="AO26" s="70" t="str">
        <f t="shared" si="17"/>
        <v>3 T 2018</v>
      </c>
      <c r="AP26" s="70" t="str">
        <f t="shared" si="17"/>
        <v>4 T 2018</v>
      </c>
      <c r="AQ26" s="70" t="str">
        <f t="shared" si="17"/>
        <v>1 T 2019</v>
      </c>
      <c r="AR26" s="255" t="str">
        <f t="shared" si="17"/>
        <v>2 T 2019</v>
      </c>
      <c r="AS26" s="196" t="str">
        <f t="shared" ref="AS26:AT26" si="18">AS14</f>
        <v>3 T 2019</v>
      </c>
      <c r="AT26" s="196" t="str">
        <f t="shared" si="18"/>
        <v>4 T 2019</v>
      </c>
      <c r="AU26" s="196" t="str">
        <f t="shared" ref="AU26:AV26" si="19">AU14</f>
        <v>1 T 2020</v>
      </c>
      <c r="AV26" s="196" t="str">
        <f t="shared" si="19"/>
        <v>2 T 2020</v>
      </c>
      <c r="AW26" s="196" t="str">
        <f t="shared" ref="AW26" si="20">AW14</f>
        <v>3 T 2020</v>
      </c>
      <c r="AX26" s="196" t="str">
        <f t="shared" ref="AX26" si="21">AX14</f>
        <v>4 T 2020</v>
      </c>
      <c r="AY26" s="196" t="str">
        <f t="shared" ref="AY26:AZ26" si="22">AY14</f>
        <v>1 T 2021</v>
      </c>
      <c r="AZ26" s="196" t="str">
        <f t="shared" si="22"/>
        <v>2 T 2021</v>
      </c>
      <c r="BA26" s="196" t="str">
        <f t="shared" ref="BA26:BB26" si="23">BA14</f>
        <v>3 T 2021</v>
      </c>
      <c r="BB26" s="196" t="str">
        <f t="shared" si="23"/>
        <v>4T 2021</v>
      </c>
      <c r="BC26" s="196" t="str">
        <f t="shared" ref="BC26:BD26" si="24">BC14</f>
        <v>1T 2022</v>
      </c>
      <c r="BD26" s="196" t="str">
        <f t="shared" si="24"/>
        <v>2T 2022</v>
      </c>
      <c r="BE26" s="196" t="str">
        <f t="shared" ref="BE26:BF26" si="25">BE14</f>
        <v>3T 2022</v>
      </c>
      <c r="BF26" s="196" t="str">
        <f t="shared" si="25"/>
        <v>4T 2022</v>
      </c>
      <c r="BG26" s="196" t="str">
        <f t="shared" ref="BG26:BH26" si="26">BG14</f>
        <v>1T 2023</v>
      </c>
      <c r="BH26" s="196" t="str">
        <f t="shared" si="26"/>
        <v>2T 2023</v>
      </c>
      <c r="BI26" s="196" t="str">
        <f t="shared" ref="BI26:BJ26" si="27">BI14</f>
        <v>3T 2023</v>
      </c>
      <c r="BJ26" s="196" t="str">
        <f t="shared" si="27"/>
        <v>4T 2023</v>
      </c>
      <c r="BK26" s="196" t="str">
        <f t="shared" ref="BK26:BL26" si="28">BK14</f>
        <v>1T 2024</v>
      </c>
      <c r="BL26" s="196" t="str">
        <f t="shared" si="28"/>
        <v>2T 2024</v>
      </c>
      <c r="BM26" s="196" t="str">
        <f t="shared" ref="BM26:BN26" si="29">BM14</f>
        <v>3T 2024</v>
      </c>
      <c r="BN26" s="196" t="str">
        <f t="shared" si="29"/>
        <v>4T 2024</v>
      </c>
    </row>
    <row r="27" spans="1:66" x14ac:dyDescent="0.25">
      <c r="A27" s="38" t="s">
        <v>2</v>
      </c>
      <c r="F27" s="72">
        <f>'retraites SA Nb'!$P27/'retraites SA Nb'!$D27-1</f>
        <v>1.5089572403628626E-2</v>
      </c>
      <c r="G27" s="72">
        <f>'retraites SA Nb'!$S27/'retraites SA Nb'!$G27-1</f>
        <v>1.1652894005835135E-2</v>
      </c>
      <c r="H27" s="72">
        <f>'retraites SA Nb'!$V27/'retraites SA Nb'!$J27-1</f>
        <v>1.6101724197505218E-2</v>
      </c>
      <c r="I27" s="72">
        <f>'retraites SA Nb'!$Y27/'retraites SA Nb'!$M27-1</f>
        <v>1.6127361259798967E-2</v>
      </c>
      <c r="J27" s="72">
        <f>'retraites SA Nb'!$AB27/'retraites SA Nb'!$P27-1</f>
        <v>1.1546505799180817E-2</v>
      </c>
      <c r="K27" s="72">
        <f>'retraites SA Nb'!$AE27/'retraites SA Nb'!$S27-1</f>
        <v>1.2243981625392975E-2</v>
      </c>
      <c r="L27" s="72">
        <f>'retraites SA Nb'!$AH27/'retraites SA Nb'!$V27-1</f>
        <v>1.8515999591933952E-2</v>
      </c>
      <c r="M27" s="72">
        <f>'retraites SA Nb'!$AK27/'retraites SA Nb'!$Y27-1</f>
        <v>1.7689641109298382E-2</v>
      </c>
      <c r="N27" s="72">
        <f>'retraites SA Nb'!$AN27/'retraites SA Nb'!$AB27-1</f>
        <v>2.1325677961757439E-2</v>
      </c>
      <c r="O27" s="79">
        <f>'retraites SA Nb'!$AQ27/'retraites SA Nb'!$AE27-1</f>
        <v>2.1462083084534678E-2</v>
      </c>
      <c r="P27" s="72">
        <f>'retraites SA Nb'!$AT27/'retraites SA Nb'!$AH27-1</f>
        <v>2.3220873745889214E-2</v>
      </c>
      <c r="Q27" s="72">
        <f>'retraites SA Nb'!$AW27/'retraites SA Nb'!$AK27-1</f>
        <v>2.4411828549483205E-2</v>
      </c>
      <c r="R27" s="72">
        <f>'retraites SA Nb'!$AZ27/'retraites SA Nb'!$AN27-1</f>
        <v>2.8375913935317465E-2</v>
      </c>
      <c r="S27" s="72">
        <f>'retraites SA Nb'!$BC27/'retraites SA Nb'!$AQ27-1</f>
        <v>3.0414377098191281E-2</v>
      </c>
      <c r="T27" s="72">
        <f>'retraites SA Nb'!$BF27/'retraites SA Nb'!$AT27-1</f>
        <v>2.2449179365027661E-2</v>
      </c>
      <c r="U27" s="72">
        <f>'retraites SA Nb'!$BI27/'retraites SA Nb'!$AW27-1</f>
        <v>1.4783785105377367E-2</v>
      </c>
      <c r="V27" s="72">
        <f>'retraites SA Nb'!$BL27/'retraites SA Nb'!$AZ27-1</f>
        <v>9.582689335394079E-3</v>
      </c>
      <c r="W27" s="72">
        <f>'retraites SA Nb'!$BO27/'retraites SA Nb'!$BC27-1</f>
        <v>5.1544720718383896E-3</v>
      </c>
      <c r="X27" s="72">
        <f>'retraites SA Nb'!$BR27/'retraites SA Nb'!$BF27-1</f>
        <v>-9.9888303813626678E-3</v>
      </c>
      <c r="Y27" s="72">
        <f>'retraites SA Nb'!$BU27/'retraites SA Nb'!$BI27-1</f>
        <v>-4.1922323235568104E-3</v>
      </c>
      <c r="Z27" s="72">
        <f>'retraites SA Nb'!$BX27/'retraites SA Nb'!$BL27-1</f>
        <v>-1.9579720888257546E-3</v>
      </c>
      <c r="AA27" s="72">
        <f>'retraites SA Nb'!$CA27/'retraites SA Nb'!$BO27-1</f>
        <v>-1.6851577114106453E-3</v>
      </c>
      <c r="AB27" s="72">
        <f>'retraites SA Nb'!$CG27/'retraites SA Nb'!$BR27-1</f>
        <v>-3.1671072142350765E-3</v>
      </c>
      <c r="AC27" s="72">
        <f>'retraites SA Nb'!$CG27/'retraites SA Nb'!$BU27-1</f>
        <v>-2.4114070035646806E-3</v>
      </c>
      <c r="AD27" s="72">
        <f>'retraites SA Nb'!$CJ27/'retraites SA Nb'!$BX27-1</f>
        <v>-1.913373430751264E-3</v>
      </c>
      <c r="AE27" s="72">
        <f>'retraites SA Nb'!$CM27/'retraites SA Nb'!$CA27-1</f>
        <v>-2.479505714170438E-3</v>
      </c>
      <c r="AF27" s="72">
        <f>'retraites SA Nb'!$CS27/'retraites SA Nb'!$CG27-1</f>
        <v>-2.8052871983508254E-3</v>
      </c>
      <c r="AG27" s="72">
        <f>'retraites SA Nb'!$CS27/'retraites SA Nb'!$CG27-1</f>
        <v>-2.8052871983508254E-3</v>
      </c>
      <c r="AH27" s="72">
        <f>'retraites SA Nb'!$CV27/'retraites SA Nb'!$CJ27-1</f>
        <v>-2.653120652279406E-3</v>
      </c>
      <c r="AI27" s="72">
        <f>'retraites SA Nb'!$CY27/'retraites SA Nb'!$CM27-1</f>
        <v>-2.0273990348802506E-3</v>
      </c>
      <c r="AJ27" s="72">
        <f>'retraites SA Nb'!$DB27/'retraites SA Nb'!$CP27-1</f>
        <v>-1.1332684824901795E-3</v>
      </c>
      <c r="AK27" s="72">
        <f>'retraites SA Nb'!$DE27/'retraites SA Nb'!$CS27-1</f>
        <v>5.9911794273113106E-3</v>
      </c>
      <c r="AL27" s="72">
        <f>'retraites SA Nb'!$DH27/'retraites SA Nb'!$CV27-1</f>
        <v>2.1819951338199584E-2</v>
      </c>
      <c r="AM27" s="72">
        <f>'retraites SA Nb'!$DK27/'retraites SA Nb'!$CY27-1</f>
        <v>3.3338309361856666E-2</v>
      </c>
      <c r="AN27" s="72">
        <f>'retraites SA Nb'!$DN27/'retraites SA Nb'!$DB27-1</f>
        <v>4.4101535300218764E-2</v>
      </c>
      <c r="AO27" s="72">
        <f>'retraites SA Nb'!$DQ27/'retraites SA Nb'!$DE27-1</f>
        <v>4.6620516250695188E-2</v>
      </c>
      <c r="AP27" s="72">
        <f>'retraites SA Nb'!$DT27/'retraites SA Nb'!$DH27-1</f>
        <v>4.1226950624809522E-2</v>
      </c>
      <c r="AQ27" s="72">
        <f>'retraites SA Nb'!$DW27/'retraites SA Nb'!$DK27-1</f>
        <v>4.6757867827408761E-2</v>
      </c>
      <c r="AR27" s="122">
        <f>'retraites SA Nb'!$DZ27/'retraites SA Nb'!$DN27-1</f>
        <v>4.7678120608389607E-2</v>
      </c>
      <c r="AS27" s="261">
        <f>'retraites SA Nb'!$EC27/'retraites SA Nb'!$DQ27-1</f>
        <v>5.1526118023900391E-2</v>
      </c>
      <c r="AT27" s="261">
        <f>'retraites SA Nb'!$EF27/'retraites SA Nb'!$DT27-1</f>
        <v>4.9020997891520812E-2</v>
      </c>
      <c r="AU27" s="261">
        <f>'retraites SA Nb'!$EI27/'retraites SA Nb'!$DW27-1</f>
        <v>5.3434461777558395E-2</v>
      </c>
      <c r="AV27" s="261">
        <f>'retraites SA Nb'!$EL27/'retraites SA Nb'!$DZ27-1</f>
        <v>5.3476411916752342E-2</v>
      </c>
      <c r="AW27" s="261">
        <f>'retraites SA Nb'!$EO27/'retraites SA Nb'!$EC27-1</f>
        <v>5.2910068407586941E-2</v>
      </c>
      <c r="AX27" s="261">
        <f>'retraites SA Nb'!$ER27/'retraites SA Nb'!$EF27-1</f>
        <v>5.7766790635350507E-2</v>
      </c>
      <c r="AY27" s="261">
        <f>'retraites SA Nb'!$EU27/'retraites SA Nb'!$EI27-1</f>
        <v>5.4453591482005237E-2</v>
      </c>
      <c r="AZ27" s="261">
        <f>'retraites SA Nb'!$EX27/'retraites SA Nb'!$EL27-1</f>
        <v>5.5078861154226555E-2</v>
      </c>
      <c r="BA27" s="261">
        <f>'retraites SA Nb'!$FA27/'retraites SA Nb'!$EO27-1</f>
        <v>5.4832970997862107E-2</v>
      </c>
      <c r="BB27" s="261">
        <f>'retraites SA Nb'!$FD27/'retraites SA Nb'!$ER27-1</f>
        <v>5.2682208084393833E-2</v>
      </c>
      <c r="BC27" s="261">
        <f>'retraites SA Nb'!$FG27/'retraites SA Nb'!$EU27-1</f>
        <v>6.0921524781040404E-2</v>
      </c>
      <c r="BD27" s="261">
        <f>'retraites SA Nb'!$FJ27/'retraites SA Nb'!$EX27-1</f>
        <v>6.0657916342392815E-2</v>
      </c>
      <c r="BE27" s="261">
        <f>'retraites SA Nb'!$FM27/'retraites SA Nb'!$FA27-1</f>
        <v>0.10205302785749693</v>
      </c>
      <c r="BF27" s="261">
        <f>'retraites SA Nb'!$FP27/'retraites SA Nb'!$FD27-1</f>
        <v>0.10237630256559505</v>
      </c>
      <c r="BG27" s="261">
        <f>'retraites SA Nb'!$FS27/'retraites SA Nb'!$FG27-1</f>
        <v>0.10004666487113223</v>
      </c>
      <c r="BH27" s="261">
        <f>'retraites SA Nb'!$FV27/'retraites SA Nb'!$FJ27-1</f>
        <v>0.10057250186662836</v>
      </c>
      <c r="BI27" s="261">
        <f>'retraites SA Nb'!$FY27/'retraites SA Nb'!$FM27-1</f>
        <v>5.9641155720999262E-2</v>
      </c>
      <c r="BJ27" s="261">
        <f>'retraites SA Nb'!$GB27/'retraites SA Nb'!$FP27-1</f>
        <v>5.8226075567705093E-2</v>
      </c>
      <c r="BK27" s="261">
        <f>'retraites SA Nb'!$GE27/'retraites SA Nb'!$FS27-1</f>
        <v>0.10271755419656725</v>
      </c>
      <c r="BL27" s="261">
        <f>'retraites SA Nb'!$GH27/'retraites SA Nb'!$FV27-1</f>
        <v>9.989340094039223E-2</v>
      </c>
      <c r="BM27" s="261">
        <f>'retraites SA Nb'!$GK27/'retraites SA Nb'!$FY27-1</f>
        <v>9.6994217685086204E-2</v>
      </c>
      <c r="BN27" s="261">
        <f>'retraites SA Nb'!$GN27/'retraites SA Nb'!$GB27-1</f>
        <v>0.105819063777566</v>
      </c>
    </row>
    <row r="28" spans="1:66" x14ac:dyDescent="0.25">
      <c r="A28" s="39" t="s">
        <v>3</v>
      </c>
      <c r="F28" s="72">
        <f>'retraites SA Nb'!$P28/'retraites SA Nb'!$D28-1</f>
        <v>-5.4409111411818367E-3</v>
      </c>
      <c r="G28" s="72">
        <f>'retraites SA Nb'!$S28/'retraites SA Nb'!$G28-1</f>
        <v>-1.5394555720987801E-2</v>
      </c>
      <c r="H28" s="72">
        <f>'retraites SA Nb'!$V28/'retraites SA Nb'!$J28-1</f>
        <v>-7.825163490022935E-3</v>
      </c>
      <c r="I28" s="72">
        <f>'retraites SA Nb'!$Y28/'retraites SA Nb'!$M28-1</f>
        <v>-4.2781952770977183E-3</v>
      </c>
      <c r="J28" s="72">
        <f>'retraites SA Nb'!$AB28/'retraites SA Nb'!$P28-1</f>
        <v>-1.6355338870149505E-2</v>
      </c>
      <c r="K28" s="72">
        <f>'retraites SA Nb'!$AE28/'retraites SA Nb'!$S28-1</f>
        <v>-1.6063225769636813E-2</v>
      </c>
      <c r="L28" s="72">
        <f>'retraites SA Nb'!$AH28/'retraites SA Nb'!$V28-1</f>
        <v>-1.3464030195481813E-2</v>
      </c>
      <c r="M28" s="72">
        <f>'retraites SA Nb'!$AK28/'retraites SA Nb'!$Y28-1</f>
        <v>-9.9782344461090133E-3</v>
      </c>
      <c r="N28" s="72">
        <f>'retraites SA Nb'!$AN28/'retraites SA Nb'!$AB28-1</f>
        <v>-4.5242349144141158E-3</v>
      </c>
      <c r="O28" s="79">
        <f>'retraites SA Nb'!$AQ28/'retraites SA Nb'!$AE28-1</f>
        <v>-4.1176129443832865E-3</v>
      </c>
      <c r="P28" s="72">
        <f>'retraites SA Nb'!$AT28/'retraites SA Nb'!$AH28-1</f>
        <v>-4.7396071265418671E-3</v>
      </c>
      <c r="Q28" s="72">
        <f>'retraites SA Nb'!$AW28/'retraites SA Nb'!$AK28-1</f>
        <v>-1.0706943809958847E-2</v>
      </c>
      <c r="R28" s="72">
        <f>'retraites SA Nb'!$AZ28/'retraites SA Nb'!$AN28-1</f>
        <v>-2.3158199449992978E-3</v>
      </c>
      <c r="S28" s="72">
        <f>'retraites SA Nb'!$BC28/'retraites SA Nb'!$AQ28-1</f>
        <v>-1.9508502212904899E-3</v>
      </c>
      <c r="T28" s="72">
        <f>'retraites SA Nb'!$BF28/'retraites SA Nb'!$AT28-1</f>
        <v>-1.0270239256411684E-2</v>
      </c>
      <c r="U28" s="72">
        <f>'retraites SA Nb'!$BI28/'retraites SA Nb'!$AW28-1</f>
        <v>-1.0072440763081225E-2</v>
      </c>
      <c r="V28" s="72">
        <f>'retraites SA Nb'!$BL28/'retraites SA Nb'!$AZ28-1</f>
        <v>-1.1054693166981044E-2</v>
      </c>
      <c r="W28" s="72">
        <f>'retraites SA Nb'!$BO28/'retraites SA Nb'!$BC28-1</f>
        <v>-1.2078069842751615E-2</v>
      </c>
      <c r="X28" s="72">
        <f>'retraites SA Nb'!$BR28/'retraites SA Nb'!$BF28-1</f>
        <v>-2.3884057971014561E-2</v>
      </c>
      <c r="Y28" s="72">
        <f>'retraites SA Nb'!$BU28/'retraites SA Nb'!$BI28-1</f>
        <v>-2.3119533527696801E-2</v>
      </c>
      <c r="Z28" s="72">
        <f>'retraites SA Nb'!$BX28/'retraites SA Nb'!$BL28-1</f>
        <v>-2.234186128388671E-2</v>
      </c>
      <c r="AA28" s="72">
        <f>'retraites SA Nb'!$CA28/'retraites SA Nb'!$BO28-1</f>
        <v>-2.1646044355195904E-2</v>
      </c>
      <c r="AB28" s="72">
        <f>'retraites SA Nb'!$CG28/'retraites SA Nb'!$BR28-1</f>
        <v>-2.883359068773006E-2</v>
      </c>
      <c r="AC28" s="72">
        <f>'retraites SA Nb'!$CG28/'retraites SA Nb'!$BU28-1</f>
        <v>-2.3935297102097963E-2</v>
      </c>
      <c r="AD28" s="72">
        <f>'retraites SA Nb'!$CJ28/'retraites SA Nb'!$BX28-1</f>
        <v>-2.3992797659239229E-2</v>
      </c>
      <c r="AE28" s="72">
        <f>'retraites SA Nb'!$CM28/'retraites SA Nb'!$CA28-1</f>
        <v>-2.4720796860851157E-2</v>
      </c>
      <c r="AF28" s="72">
        <f>'retraites SA Nb'!$CS28/'retraites SA Nb'!$CG28-1</f>
        <v>-2.3941293380216999E-2</v>
      </c>
      <c r="AG28" s="72">
        <f>'retraites SA Nb'!$CS28/'retraites SA Nb'!$CG28-1</f>
        <v>-2.3941293380216999E-2</v>
      </c>
      <c r="AH28" s="72">
        <f>'retraites SA Nb'!$CV28/'retraites SA Nb'!$CJ28-1</f>
        <v>-2.4813209113550339E-2</v>
      </c>
      <c r="AI28" s="72">
        <f>'retraites SA Nb'!$CY28/'retraites SA Nb'!$CM28-1</f>
        <v>-2.4821268298721888E-2</v>
      </c>
      <c r="AJ28" s="72">
        <f>'retraites SA Nb'!$DB28/'retraites SA Nb'!$CP28-1</f>
        <v>-2.4278464460288363E-2</v>
      </c>
      <c r="AK28" s="72">
        <f>'retraites SA Nb'!$DE28/'retraites SA Nb'!$CS28-1</f>
        <v>-2.2564375665685255E-2</v>
      </c>
      <c r="AL28" s="72">
        <f>'retraites SA Nb'!$DH28/'retraites SA Nb'!$CV28-1</f>
        <v>-1.4043385042250001E-2</v>
      </c>
      <c r="AM28" s="72">
        <f>'retraites SA Nb'!$DK28/'retraites SA Nb'!$CY28-1</f>
        <v>-1.161255514297499E-2</v>
      </c>
      <c r="AN28" s="72">
        <f>'retraites SA Nb'!$DN28/'retraites SA Nb'!$DB28-1</f>
        <v>-1.1062822280083706E-2</v>
      </c>
      <c r="AO28" s="72">
        <f>'retraites SA Nb'!$DQ28/'retraites SA Nb'!$DE28-1</f>
        <v>-1.1316691077729812E-2</v>
      </c>
      <c r="AP28" s="72">
        <f>'retraites SA Nb'!$DT28/'retraites SA Nb'!$DH28-1</f>
        <v>-1.7911392809859761E-2</v>
      </c>
      <c r="AQ28" s="72">
        <f>'retraites SA Nb'!$DW28/'retraites SA Nb'!$DK28-1</f>
        <v>-1.4998506892377472E-2</v>
      </c>
      <c r="AR28" s="122">
        <f>'retraites SA Nb'!$DZ28/'retraites SA Nb'!$DN28-1</f>
        <v>-1.3990481568121327E-2</v>
      </c>
      <c r="AS28" s="261">
        <f>'retraites SA Nb'!$EC28/'retraites SA Nb'!$DQ28-1</f>
        <v>-1.0720097508476911E-2</v>
      </c>
      <c r="AT28" s="261">
        <f>'retraites SA Nb'!$EF28/'retraites SA Nb'!$DT28-1</f>
        <v>-1.3386301102228826E-2</v>
      </c>
      <c r="AU28" s="261">
        <f>'retraites SA Nb'!$EI28/'retraites SA Nb'!$DW28-1</f>
        <v>-7.2043291172251278E-3</v>
      </c>
      <c r="AV28" s="261">
        <f>'retraites SA Nb'!$EL28/'retraites SA Nb'!$DZ28-1</f>
        <v>-8.3772648884613554E-3</v>
      </c>
      <c r="AW28" s="261">
        <f>'retraites SA Nb'!$EO28/'retraites SA Nb'!$EC28-1</f>
        <v>-8.5032063149822479E-3</v>
      </c>
      <c r="AX28" s="261">
        <f>'retraites SA Nb'!$ER28/'retraites SA Nb'!$EF28-1</f>
        <v>-5.0793085011585637E-3</v>
      </c>
      <c r="AY28" s="261">
        <f>'retraites SA Nb'!$EU28/'retraites SA Nb'!$EI28-1</f>
        <v>-1.0211787883762979E-2</v>
      </c>
      <c r="AZ28" s="261">
        <f>'retraites SA Nb'!$EX28/'retraites SA Nb'!$EL28-1</f>
        <v>-9.5931412505073643E-3</v>
      </c>
      <c r="BA28" s="261">
        <f>'retraites SA Nb'!$FA28/'retraites SA Nb'!$EO28-1</f>
        <v>-1.1048171747349511E-2</v>
      </c>
      <c r="BB28" s="261">
        <f>'retraites SA Nb'!$FD28/'retraites SA Nb'!$ER28-1</f>
        <v>-1.0516533850508325E-2</v>
      </c>
      <c r="BC28" s="261">
        <f>'retraites SA Nb'!$FG28/'retraites SA Nb'!$EU28-1</f>
        <v>-3.0376124550558492E-3</v>
      </c>
      <c r="BD28" s="261">
        <f>'retraites SA Nb'!$FJ28/'retraites SA Nb'!$EX28-1</f>
        <v>-3.8472410194521078E-3</v>
      </c>
      <c r="BE28" s="261">
        <f>'retraites SA Nb'!$FM28/'retraites SA Nb'!$FA28-1</f>
        <v>3.4937295986138261E-2</v>
      </c>
      <c r="BF28" s="261">
        <f>'retraites SA Nb'!$FP28/'retraites SA Nb'!$FD28-1</f>
        <v>3.515095871975582E-2</v>
      </c>
      <c r="BG28" s="261">
        <f>'retraites SA Nb'!$FS28/'retraites SA Nb'!$FG28-1</f>
        <v>3.1815799315159099E-2</v>
      </c>
      <c r="BH28" s="261">
        <f>'retraites SA Nb'!$FV28/'retraites SA Nb'!$FJ28-1</f>
        <v>3.3473588027570722E-2</v>
      </c>
      <c r="BI28" s="261">
        <f>'retraites SA Nb'!$FY28/'retraites SA Nb'!$FM28-1</f>
        <v>-5.0987142578390321E-3</v>
      </c>
      <c r="BJ28" s="261">
        <f>'retraites SA Nb'!$GB28/'retraites SA Nb'!$FP28-1</f>
        <v>-5.1733579489959824E-3</v>
      </c>
      <c r="BK28" s="261">
        <f>'retraites SA Nb'!$GE28/'retraites SA Nb'!$FS28-1</f>
        <v>4.0715888824250035E-2</v>
      </c>
      <c r="BL28" s="261">
        <f>'retraites SA Nb'!$GH28/'retraites SA Nb'!$FV28-1</f>
        <v>4.0945269097279802E-2</v>
      </c>
      <c r="BM28" s="261">
        <f>'retraites SA Nb'!$GK28/'retraites SA Nb'!$FY28-1</f>
        <v>4.126126223461668E-2</v>
      </c>
      <c r="BN28" s="261">
        <f>'retraites SA Nb'!$GN28/'retraites SA Nb'!$GB28-1</f>
        <v>4.2242775733768001E-2</v>
      </c>
    </row>
    <row r="29" spans="1:66" x14ac:dyDescent="0.25">
      <c r="A29" s="39" t="s">
        <v>4</v>
      </c>
      <c r="F29" s="72">
        <f>'retraites SA Nb'!$P29/'retraites SA Nb'!$D29-1</f>
        <v>4.2618096989817111E-3</v>
      </c>
      <c r="G29" s="72">
        <f>'retraites SA Nb'!$S29/'retraites SA Nb'!$G29-1</f>
        <v>2.4549367769706176E-3</v>
      </c>
      <c r="H29" s="72">
        <f>'retraites SA Nb'!$V29/'retraites SA Nb'!$J29-1</f>
        <v>-1.667296534245688E-4</v>
      </c>
      <c r="I29" s="72">
        <f>'retraites SA Nb'!$Y29/'retraites SA Nb'!$M29-1</f>
        <v>-4.1216442018487953E-4</v>
      </c>
      <c r="J29" s="72">
        <f>'retraites SA Nb'!$AB29/'retraites SA Nb'!$P29-1</f>
        <v>-7.259001161441514E-4</v>
      </c>
      <c r="K29" s="72">
        <f>'retraites SA Nb'!$AE29/'retraites SA Nb'!$S29-1</f>
        <v>-1.6661634629362432E-3</v>
      </c>
      <c r="L29" s="72">
        <f>'retraites SA Nb'!$AH29/'retraites SA Nb'!$V29-1</f>
        <v>1.1117163789174045E-2</v>
      </c>
      <c r="M29" s="72">
        <f>'retraites SA Nb'!$AK29/'retraites SA Nb'!$Y29-1</f>
        <v>1.3573601684998771E-2</v>
      </c>
      <c r="N29" s="72">
        <f>'retraites SA Nb'!$AN29/'retraites SA Nb'!$AB29-1</f>
        <v>1.0538785636853509E-2</v>
      </c>
      <c r="O29" s="79">
        <f>'retraites SA Nb'!$AQ29/'retraites SA Nb'!$AE29-1</f>
        <v>9.8344496964537509E-3</v>
      </c>
      <c r="P29" s="72">
        <f>'retraites SA Nb'!$AT29/'retraites SA Nb'!$AH29-1</f>
        <v>9.9614077910084031E-3</v>
      </c>
      <c r="Q29" s="72">
        <f>'retraites SA Nb'!$AW29/'retraites SA Nb'!$AK29-1</f>
        <v>7.1247155061517908E-3</v>
      </c>
      <c r="R29" s="72">
        <f>'retraites SA Nb'!$AZ29/'retraites SA Nb'!$AN29-1</f>
        <v>1.1678573798411751E-2</v>
      </c>
      <c r="S29" s="72">
        <f>'retraites SA Nb'!$BC29/'retraites SA Nb'!$AQ29-1</f>
        <v>1.0870047473268585E-2</v>
      </c>
      <c r="T29" s="72">
        <f>'retraites SA Nb'!$BF29/'retraites SA Nb'!$AT29-1</f>
        <v>2.1664108342314137E-3</v>
      </c>
      <c r="U29" s="72">
        <f>'retraites SA Nb'!$BI29/'retraites SA Nb'!$AW29-1</f>
        <v>1.6812410615836271E-3</v>
      </c>
      <c r="V29" s="72">
        <f>'retraites SA Nb'!$BL29/'retraites SA Nb'!$AZ29-1</f>
        <v>-3.1701611316381495E-4</v>
      </c>
      <c r="W29" s="72">
        <f>'retraites SA Nb'!$BO29/'retraites SA Nb'!$BC29-1</f>
        <v>5.2668539325839703E-4</v>
      </c>
      <c r="X29" s="72">
        <f>'retraites SA Nb'!$BR29/'retraites SA Nb'!$BF29-1</f>
        <v>-1.2057877813504758E-2</v>
      </c>
      <c r="Y29" s="72">
        <f>'retraites SA Nb'!$BU29/'retraites SA Nb'!$BI29-1</f>
        <v>-1.1639946377775101E-2</v>
      </c>
      <c r="Z29" s="72">
        <f>'retraites SA Nb'!$BX29/'retraites SA Nb'!$BL29-1</f>
        <v>-1.0896783999825077E-2</v>
      </c>
      <c r="AA29" s="72">
        <f>'retraites SA Nb'!$CA29/'retraites SA Nb'!$BO29-1</f>
        <v>-1.1367125811545864E-2</v>
      </c>
      <c r="AB29" s="72">
        <f>'retraites SA Nb'!$CG29/'retraites SA Nb'!$BR29-1</f>
        <v>-1.5184834957007509E-2</v>
      </c>
      <c r="AC29" s="72">
        <f>'retraites SA Nb'!$CG29/'retraites SA Nb'!$BU29-1</f>
        <v>-1.2350443844075687E-2</v>
      </c>
      <c r="AD29" s="72">
        <f>'retraites SA Nb'!$CJ29/'retraites SA Nb'!$BX29-1</f>
        <v>-1.2332439678284124E-2</v>
      </c>
      <c r="AE29" s="72">
        <f>'retraites SA Nb'!$CM29/'retraites SA Nb'!$CA29-1</f>
        <v>-1.2462908011869445E-2</v>
      </c>
      <c r="AF29" s="72">
        <f>'retraites SA Nb'!$CS29/'retraites SA Nb'!$CG29-1</f>
        <v>-1.3230614637414151E-2</v>
      </c>
      <c r="AG29" s="72">
        <f>'retraites SA Nb'!$CS29/'retraites SA Nb'!$CG29-1</f>
        <v>-1.3230614637414151E-2</v>
      </c>
      <c r="AH29" s="72">
        <f>'retraites SA Nb'!$CV29/'retraites SA Nb'!$CJ29-1</f>
        <v>-1.3465865207025085E-2</v>
      </c>
      <c r="AI29" s="72">
        <f>'retraites SA Nb'!$CY29/'retraites SA Nb'!$CM29-1</f>
        <v>-1.4118664629762745E-2</v>
      </c>
      <c r="AJ29" s="72">
        <f>'retraites SA Nb'!$DB29/'retraites SA Nb'!$CP29-1</f>
        <v>-1.3956399643618389E-2</v>
      </c>
      <c r="AK29" s="72">
        <f>'retraites SA Nb'!$DE29/'retraites SA Nb'!$CS29-1</f>
        <v>-1.3796107716677941E-2</v>
      </c>
      <c r="AL29" s="72">
        <f>'retraites SA Nb'!$DH29/'retraites SA Nb'!$CV29-1</f>
        <v>-6.1792270860281384E-3</v>
      </c>
      <c r="AM29" s="72">
        <f>'retraites SA Nb'!$DK29/'retraites SA Nb'!$CY29-1</f>
        <v>-4.8002041767359893E-3</v>
      </c>
      <c r="AN29" s="72">
        <f>'retraites SA Nb'!$DN29/'retraites SA Nb'!$DB29-1</f>
        <v>-3.2699885052870359E-3</v>
      </c>
      <c r="AO29" s="72">
        <f>'retraites SA Nb'!$DQ29/'retraites SA Nb'!$DE29-1</f>
        <v>-1.407744545420142E-3</v>
      </c>
      <c r="AP29" s="72">
        <f>'retraites SA Nb'!$DT29/'retraites SA Nb'!$DH29-1</f>
        <v>-8.1984806380681619E-3</v>
      </c>
      <c r="AQ29" s="72">
        <f>'retraites SA Nb'!$DW29/'retraites SA Nb'!$DK29-1</f>
        <v>-4.0436975790477669E-3</v>
      </c>
      <c r="AR29" s="122">
        <f>'retraites SA Nb'!$DZ29/'retraites SA Nb'!$DN29-1</f>
        <v>-2.4246777806338216E-3</v>
      </c>
      <c r="AS29" s="261">
        <f>'retraites SA Nb'!$EC29/'retraites SA Nb'!$DQ29-1</f>
        <v>-2.8596704887521307E-3</v>
      </c>
      <c r="AT29" s="261">
        <f>'retraites SA Nb'!$EF29/'retraites SA Nb'!$DT29-1</f>
        <v>-2.2849894038652341E-3</v>
      </c>
      <c r="AU29" s="261">
        <f>'retraites SA Nb'!$EI29/'retraites SA Nb'!$DW29-1</f>
        <v>5.1257233373873667E-3</v>
      </c>
      <c r="AV29" s="261">
        <f>'retraites SA Nb'!$EL29/'retraites SA Nb'!$DZ29-1</f>
        <v>4.4090767395608133E-3</v>
      </c>
      <c r="AW29" s="261">
        <f>'retraites SA Nb'!$EO29/'retraites SA Nb'!$EC29-1</f>
        <v>6.5296218073467305E-3</v>
      </c>
      <c r="AX29" s="261">
        <f>'retraites SA Nb'!$ER29/'retraites SA Nb'!$EF29-1</f>
        <v>7.76137381046893E-3</v>
      </c>
      <c r="AY29" s="261">
        <f>'retraites SA Nb'!$EU29/'retraites SA Nb'!$EI29-1</f>
        <v>2.2015473732965862E-3</v>
      </c>
      <c r="AZ29" s="261">
        <f>'retraites SA Nb'!$EX29/'retraites SA Nb'!$EL29-1</f>
        <v>3.4907051957451252E-3</v>
      </c>
      <c r="BA29" s="261">
        <f>'retraites SA Nb'!$FA29/'retraites SA Nb'!$EO29-1</f>
        <v>3.4307968102862407E-3</v>
      </c>
      <c r="BB29" s="261">
        <f>'retraites SA Nb'!$FD29/'retraites SA Nb'!$ER29-1</f>
        <v>3.2066712068750114E-3</v>
      </c>
      <c r="BC29" s="261">
        <f>'retraites SA Nb'!$FG29/'retraites SA Nb'!$EU29-1</f>
        <v>9.8741704279023956E-3</v>
      </c>
      <c r="BD29" s="261">
        <f>'retraites SA Nb'!$FJ29/'retraites SA Nb'!$EX29-1</f>
        <v>8.331928450576509E-3</v>
      </c>
      <c r="BE29" s="261">
        <f>'retraites SA Nb'!$FM29/'retraites SA Nb'!$FA29-1</f>
        <v>4.8134967002493978E-2</v>
      </c>
      <c r="BF29" s="261">
        <f>'retraites SA Nb'!$FP29/'retraites SA Nb'!$FD29-1</f>
        <v>5.008412257854844E-2</v>
      </c>
      <c r="BG29" s="261">
        <f>'retraites SA Nb'!$FS29/'retraites SA Nb'!$FG29-1</f>
        <v>4.817268444214684E-2</v>
      </c>
      <c r="BH29" s="261">
        <f>'retraites SA Nb'!$FV29/'retraites SA Nb'!$FJ29-1</f>
        <v>5.0509418512424853E-2</v>
      </c>
      <c r="BI29" s="261">
        <f>'retraites SA Nb'!$FY29/'retraites SA Nb'!$FM29-1</f>
        <v>1.0888197485072304E-2</v>
      </c>
      <c r="BJ29" s="261">
        <f>'retraites SA Nb'!$GB29/'retraites SA Nb'!$FP29-1</f>
        <v>9.9509774018928798E-3</v>
      </c>
      <c r="BK29" s="261">
        <f>'retraites SA Nb'!$GE29/'retraites SA Nb'!$FS29-1</f>
        <v>5.6183520161387612E-2</v>
      </c>
      <c r="BL29" s="261">
        <f>'retraites SA Nb'!$GH29/'retraites SA Nb'!$FV29-1</f>
        <v>5.6335878940527939E-2</v>
      </c>
      <c r="BM29" s="261">
        <f>'retraites SA Nb'!$GK29/'retraites SA Nb'!$FY29-1</f>
        <v>5.8104150405137167E-2</v>
      </c>
      <c r="BN29" s="261">
        <f>'retraites SA Nb'!$GN29/'retraites SA Nb'!$GB29-1</f>
        <v>7.0383423972272041E-2</v>
      </c>
    </row>
    <row r="30" spans="1:66" ht="12" thickBot="1" x14ac:dyDescent="0.3">
      <c r="A30" s="40" t="s">
        <v>5</v>
      </c>
      <c r="F30" s="79">
        <f>'retraites SA Nb'!$P30/'retraites SA Nb'!$D30-1</f>
        <v>1.1118293471234608E-2</v>
      </c>
      <c r="G30" s="79">
        <f>'retraites SA Nb'!$S30/'retraites SA Nb'!$G30-1</f>
        <v>5.8641861833155229E-3</v>
      </c>
      <c r="H30" s="79">
        <f>'retraites SA Nb'!$V30/'retraites SA Nb'!$J30-1</f>
        <v>1.1068431304727788E-2</v>
      </c>
      <c r="I30" s="79">
        <f>'retraites SA Nb'!$Y30/'retraites SA Nb'!$M30-1</f>
        <v>1.1826448238788645E-2</v>
      </c>
      <c r="J30" s="79">
        <f>'retraites SA Nb'!$AB30/'retraites SA Nb'!$P30-1</f>
        <v>5.6624107257019496E-3</v>
      </c>
      <c r="K30" s="79">
        <f>'retraites SA Nb'!$AE30/'retraites SA Nb'!$S30-1</f>
        <v>6.2686185280627083E-3</v>
      </c>
      <c r="L30" s="79">
        <f>'retraites SA Nb'!$AH30/'retraites SA Nb'!$V30-1</f>
        <v>1.1775509101712212E-2</v>
      </c>
      <c r="M30" s="79">
        <f>'retraites SA Nb'!$AK30/'retraites SA Nb'!$Y30-1</f>
        <v>1.1832294780823593E-2</v>
      </c>
      <c r="N30" s="79">
        <f>'retraites SA Nb'!$AN30/'retraites SA Nb'!$AB30-1</f>
        <v>1.5438545507383328E-2</v>
      </c>
      <c r="O30" s="79">
        <f>'retraites SA Nb'!$AQ30/'retraites SA Nb'!$AE30-1</f>
        <v>1.5219760261532933E-2</v>
      </c>
      <c r="P30" s="72">
        <f>'retraites SA Nb'!$AT30/'retraites SA Nb'!$AH30-1</f>
        <v>1.6372145996832455E-2</v>
      </c>
      <c r="Q30" s="72">
        <f>'retraites SA Nb'!$AW30/'retraites SA Nb'!$AK30-1</f>
        <v>1.5716497873021984E-2</v>
      </c>
      <c r="R30" s="72">
        <f>'retraites SA Nb'!$AZ30/'retraites SA Nb'!$AN30-1</f>
        <v>2.0856064535746732E-2</v>
      </c>
      <c r="S30" s="72">
        <f>'retraites SA Nb'!$BC30/'retraites SA Nb'!$AQ30-1</f>
        <v>2.2755733657733757E-2</v>
      </c>
      <c r="T30" s="72">
        <f>'retraites SA Nb'!$BF30/'retraites SA Nb'!$AT30-1</f>
        <v>1.4742703062349927E-2</v>
      </c>
      <c r="U30" s="72">
        <f>'retraites SA Nb'!$BI30/'retraites SA Nb'!$AW30-1</f>
        <v>9.550345214313305E-3</v>
      </c>
      <c r="V30" s="72">
        <f>'retraites SA Nb'!$BL30/'retraites SA Nb'!$AZ30-1</f>
        <v>5.5718115396070633E-3</v>
      </c>
      <c r="W30" s="72">
        <f>'retraites SA Nb'!$BO30/'retraites SA Nb'!$BC30-1</f>
        <v>2.0815112821408466E-3</v>
      </c>
      <c r="X30" s="122">
        <f>'retraites SA Nb'!$BR30/'retraites SA Nb'!$BF30-1</f>
        <v>-1.1940298507462588E-2</v>
      </c>
      <c r="Y30" s="122">
        <f>'retraites SA Nb'!$BU30/'retraites SA Nb'!$BI30-1</f>
        <v>-7.3770634080296826E-3</v>
      </c>
      <c r="Z30" s="122">
        <f>'retraites SA Nb'!$BX30/'retraites SA Nb'!$BL30-1</f>
        <v>-5.2447247826313825E-3</v>
      </c>
      <c r="AA30" s="122">
        <f>'retraites SA Nb'!$CA30/'retraites SA Nb'!$BO30-1</f>
        <v>-4.6082144914381118E-3</v>
      </c>
      <c r="AB30" s="122">
        <f>'retraites SA Nb'!$CG30/'retraites SA Nb'!$BR30-1</f>
        <v>-7.3433106892758504E-3</v>
      </c>
      <c r="AC30" s="122">
        <f>'retraites SA Nb'!$CG30/'retraites SA Nb'!$BU30-1</f>
        <v>-6.0067149302277523E-3</v>
      </c>
      <c r="AD30" s="122">
        <f>'retraites SA Nb'!$CJ30/'retraites SA Nb'!$BX30-1</f>
        <v>-5.7628306183218347E-3</v>
      </c>
      <c r="AE30" s="122">
        <f>'retraites SA Nb'!$CM30/'retraites SA Nb'!$CA30-1</f>
        <v>-6.2954844366506224E-3</v>
      </c>
      <c r="AF30" s="122">
        <f>'retraites SA Nb'!$CS30/'retraites SA Nb'!$CG30-1</f>
        <v>-5.9902361789153646E-3</v>
      </c>
      <c r="AG30" s="122">
        <f>'retraites SA Nb'!$CS30/'retraites SA Nb'!$CG30-1</f>
        <v>-5.9902361789153646E-3</v>
      </c>
      <c r="AH30" s="122">
        <f>'retraites SA Nb'!$CV30/'retraites SA Nb'!$CJ30-1</f>
        <v>-6.1662056693856382E-3</v>
      </c>
      <c r="AI30" s="122">
        <f>'retraites SA Nb'!$CY30/'retraites SA Nb'!$CM30-1</f>
        <v>-5.858892457558218E-3</v>
      </c>
      <c r="AJ30" s="122">
        <f>'retraites SA Nb'!$DB30/'retraites SA Nb'!$CP30-1</f>
        <v>-4.9575671852899461E-3</v>
      </c>
      <c r="AK30" s="122">
        <f>'retraites SA Nb'!$DE30/'retraites SA Nb'!$CS30-1</f>
        <v>7.5395561219071539E-4</v>
      </c>
      <c r="AL30" s="122">
        <f>'retraites SA Nb'!$DH30/'retraites SA Nb'!$CV30-1</f>
        <v>1.4910212547198043E-2</v>
      </c>
      <c r="AM30" s="122">
        <f>'retraites SA Nb'!$DK30/'retraites SA Nb'!$CY30-1</f>
        <v>2.428373628714442E-2</v>
      </c>
      <c r="AN30" s="122">
        <f>'retraites SA Nb'!$DN30/'retraites SA Nb'!$DB30-1</f>
        <v>3.2596180498795091E-2</v>
      </c>
      <c r="AO30" s="122">
        <f>'retraites SA Nb'!$DQ30/'retraites SA Nb'!$DE30-1</f>
        <v>3.4634607018176666E-2</v>
      </c>
      <c r="AP30" s="72">
        <f>'retraites SA Nb'!$DT30/'retraites SA Nb'!$DH30-1</f>
        <v>2.9029502847930377E-2</v>
      </c>
      <c r="AQ30" s="72">
        <f>'retraites SA Nb'!$DW30/'retraites SA Nb'!$DK30-1</f>
        <v>3.3997088489133853E-2</v>
      </c>
      <c r="AR30" s="122">
        <f>'retraites SA Nb'!$DZ30/'retraites SA Nb'!$DN30-1</f>
        <v>3.4958813781853282E-2</v>
      </c>
      <c r="AS30" s="261">
        <f>'retraites SA Nb'!$EC30/'retraites SA Nb'!$DQ30-1</f>
        <v>3.8461275490145663E-2</v>
      </c>
      <c r="AT30" s="261">
        <f>'retraites SA Nb'!$EF30/'retraites SA Nb'!$DT30-1</f>
        <v>3.6196767836562227E-2</v>
      </c>
      <c r="AU30" s="261">
        <f>'retraites SA Nb'!$EI30/'retraites SA Nb'!$DW30-1</f>
        <v>4.1435579757876484E-2</v>
      </c>
      <c r="AV30" s="261">
        <f>'retraites SA Nb'!$EL30/'retraites SA Nb'!$DZ30-1</f>
        <v>4.1485925012095581E-2</v>
      </c>
      <c r="AW30" s="261">
        <f>'retraites SA Nb'!$EO30/'retraites SA Nb'!$EC30-1</f>
        <v>4.1471134806289722E-2</v>
      </c>
      <c r="AX30" s="261">
        <f>'retraites SA Nb'!$ER30/'retraites SA Nb'!$EF30-1</f>
        <v>4.6233533071456945E-2</v>
      </c>
      <c r="AY30" s="261">
        <f>'retraites SA Nb'!$EU30/'retraites SA Nb'!$EI30-1</f>
        <v>4.2730530981284431E-2</v>
      </c>
      <c r="AZ30" s="261">
        <f>'retraites SA Nb'!$EX30/'retraites SA Nb'!$EL30-1</f>
        <v>4.3366235159456368E-2</v>
      </c>
      <c r="BA30" s="261">
        <f>'retraites SA Nb'!$FA30/'retraites SA Nb'!$EO30-1</f>
        <v>4.27372986095087E-2</v>
      </c>
      <c r="BB30" s="261">
        <f>'retraites SA Nb'!$FD30/'retraites SA Nb'!$ER30-1</f>
        <v>4.1077444149600018E-2</v>
      </c>
      <c r="BC30" s="261">
        <f>'retraites SA Nb'!$FG30/'retraites SA Nb'!$EU30-1</f>
        <v>4.9267357588018479E-2</v>
      </c>
      <c r="BD30" s="261">
        <f>'retraites SA Nb'!$FJ30/'retraites SA Nb'!$EX30-1</f>
        <v>4.9345229353378484E-2</v>
      </c>
      <c r="BE30" s="261">
        <f>'retraites SA Nb'!$FM30/'retraites SA Nb'!$FA30-1</f>
        <v>9.0897826248040436E-2</v>
      </c>
      <c r="BF30" s="261">
        <f>'retraites SA Nb'!$FP30/'retraites SA Nb'!$FD30-1</f>
        <v>9.1645541365056538E-2</v>
      </c>
      <c r="BG30" s="261">
        <f>'retraites SA Nb'!$FS30/'retraites SA Nb'!$FG30-1</f>
        <v>8.9426197391904605E-2</v>
      </c>
      <c r="BH30" s="261">
        <f>'retraites SA Nb'!$FV30/'retraites SA Nb'!$FJ30-1</f>
        <v>9.0277513040337931E-2</v>
      </c>
      <c r="BI30" s="261">
        <f>'retraites SA Nb'!$FY30/'retraites SA Nb'!$FM30-1</f>
        <v>4.9626350424148535E-2</v>
      </c>
      <c r="BJ30" s="261">
        <f>'retraites SA Nb'!$GB30/'retraites SA Nb'!$FP30-1</f>
        <v>4.7901237916913697E-2</v>
      </c>
      <c r="BK30" s="261">
        <f>'retraites SA Nb'!$GE30/'retraites SA Nb'!$FS30-1</f>
        <v>9.2980299485479811E-2</v>
      </c>
      <c r="BL30" s="261">
        <f>'retraites SA Nb'!$GH30/'retraites SA Nb'!$FV30-1</f>
        <v>9.1024247868711772E-2</v>
      </c>
      <c r="BM30" s="261">
        <f>'retraites SA Nb'!$GK30/'retraites SA Nb'!$FY30-1</f>
        <v>8.9182771623691481E-2</v>
      </c>
      <c r="BN30" s="261">
        <f>'retraites SA Nb'!$GN30/'retraites SA Nb'!$GB30-1</f>
        <v>9.8073416896344634E-2</v>
      </c>
    </row>
    <row r="31" spans="1:66" x14ac:dyDescent="0.25">
      <c r="A31" s="14"/>
      <c r="P31" s="4"/>
      <c r="Q31" s="76"/>
      <c r="R31" s="76"/>
      <c r="S31" s="76"/>
      <c r="T31" s="76"/>
      <c r="U31" s="76"/>
      <c r="V31" s="76"/>
      <c r="BJ31" s="126"/>
      <c r="BK31" s="126"/>
      <c r="BL31" s="126"/>
      <c r="BM31" s="126"/>
      <c r="BN31" s="126"/>
    </row>
    <row r="32" spans="1:66" x14ac:dyDescent="0.25">
      <c r="A32" s="3" t="s">
        <v>12</v>
      </c>
      <c r="P32" s="4"/>
      <c r="Q32" s="76"/>
      <c r="R32" s="76"/>
      <c r="S32" s="76"/>
      <c r="T32" s="76"/>
      <c r="U32" s="76"/>
      <c r="V32" s="76"/>
      <c r="BJ32" s="126"/>
      <c r="BK32" s="126"/>
      <c r="BL32" s="126"/>
      <c r="BM32" s="126"/>
      <c r="BN32" s="126"/>
    </row>
    <row r="33" spans="1:66" s="32" customFormat="1" x14ac:dyDescent="0.25">
      <c r="A33" s="3"/>
      <c r="Q33" s="99"/>
      <c r="R33" s="99"/>
      <c r="S33" s="99"/>
      <c r="T33" s="99"/>
      <c r="U33" s="99"/>
      <c r="V33" s="99"/>
      <c r="AR33" s="254"/>
      <c r="AS33" s="260"/>
      <c r="AT33" s="260"/>
      <c r="AU33" s="260"/>
      <c r="AV33" s="260"/>
      <c r="AW33" s="260"/>
      <c r="AX33" s="260"/>
      <c r="AY33" s="260"/>
      <c r="AZ33" s="260"/>
      <c r="BA33" s="260"/>
      <c r="BB33" s="260"/>
      <c r="BC33" s="260"/>
      <c r="BD33" s="260"/>
      <c r="BE33" s="260"/>
      <c r="BF33" s="260"/>
      <c r="BG33" s="260"/>
      <c r="BH33" s="260"/>
      <c r="BI33" s="260"/>
      <c r="BJ33" s="260"/>
      <c r="BK33" s="260"/>
      <c r="BL33" s="260"/>
      <c r="BM33" s="260"/>
      <c r="BN33" s="260"/>
    </row>
    <row r="34" spans="1:66" ht="12.5" thickBot="1" x14ac:dyDescent="0.35">
      <c r="A34" s="75" t="s">
        <v>49</v>
      </c>
      <c r="B34" s="70" t="str">
        <f>B6</f>
        <v>4 T2008</v>
      </c>
      <c r="C34" s="70" t="str">
        <f t="shared" ref="C34:L34" si="30">C6</f>
        <v>1 T 2009</v>
      </c>
      <c r="D34" s="70" t="str">
        <f t="shared" si="30"/>
        <v>2 T 2009</v>
      </c>
      <c r="E34" s="70" t="str">
        <f t="shared" si="30"/>
        <v>3 T 2009</v>
      </c>
      <c r="F34" s="70" t="str">
        <f t="shared" si="30"/>
        <v>4 T 2009</v>
      </c>
      <c r="G34" s="70" t="str">
        <f t="shared" si="30"/>
        <v>1 T 2010</v>
      </c>
      <c r="H34" s="70" t="str">
        <f t="shared" si="30"/>
        <v>2 T 2010</v>
      </c>
      <c r="I34" s="70" t="str">
        <f t="shared" si="30"/>
        <v>3 T 2010</v>
      </c>
      <c r="J34" s="70" t="str">
        <f t="shared" si="30"/>
        <v>4 T 2010</v>
      </c>
      <c r="K34" s="70" t="str">
        <f t="shared" si="30"/>
        <v>1 T 2011</v>
      </c>
      <c r="L34" s="70" t="str">
        <f t="shared" si="30"/>
        <v>2 T 2011</v>
      </c>
      <c r="M34" s="70" t="str">
        <f>M6</f>
        <v>3 T 2011</v>
      </c>
      <c r="N34" s="70" t="str">
        <f>N6</f>
        <v>4 T 2011</v>
      </c>
      <c r="O34" s="70" t="s">
        <v>106</v>
      </c>
      <c r="P34" s="70" t="s">
        <v>111</v>
      </c>
      <c r="Q34" s="70" t="s">
        <v>135</v>
      </c>
      <c r="R34" s="70" t="s">
        <v>142</v>
      </c>
      <c r="S34" s="70" t="s">
        <v>146</v>
      </c>
      <c r="T34" s="70" t="s">
        <v>151</v>
      </c>
      <c r="U34" s="70" t="s">
        <v>160</v>
      </c>
      <c r="V34" s="70" t="s">
        <v>165</v>
      </c>
      <c r="W34" s="70" t="s">
        <v>169</v>
      </c>
      <c r="X34" s="70" t="s">
        <v>173</v>
      </c>
      <c r="Y34" s="70" t="s">
        <v>192</v>
      </c>
      <c r="Z34" s="70" t="s">
        <v>194</v>
      </c>
      <c r="AA34" s="70" t="s">
        <v>199</v>
      </c>
      <c r="AB34" s="70" t="s">
        <v>204</v>
      </c>
      <c r="AC34" s="70" t="s">
        <v>207</v>
      </c>
      <c r="AD34" s="70" t="s">
        <v>211</v>
      </c>
      <c r="AE34" s="70" t="s">
        <v>220</v>
      </c>
      <c r="AF34" s="70" t="s">
        <v>225</v>
      </c>
      <c r="AG34" s="70" t="s">
        <v>225</v>
      </c>
      <c r="AH34" s="70" t="str">
        <f t="shared" ref="AH34:AL34" si="31">AH26</f>
        <v>4 T 2016</v>
      </c>
      <c r="AI34" s="70" t="str">
        <f t="shared" si="31"/>
        <v>1 T 2017</v>
      </c>
      <c r="AJ34" s="70" t="str">
        <f t="shared" si="31"/>
        <v>2 T 2017</v>
      </c>
      <c r="AK34" s="70" t="str">
        <f t="shared" si="31"/>
        <v>3 T 2017</v>
      </c>
      <c r="AL34" s="70" t="str">
        <f t="shared" si="31"/>
        <v>4 T 2017</v>
      </c>
      <c r="AM34" s="70" t="str">
        <f t="shared" ref="AM34:AR34" si="32">AM26</f>
        <v>1 T 2018</v>
      </c>
      <c r="AN34" s="70" t="str">
        <f t="shared" si="32"/>
        <v>2 T 2018</v>
      </c>
      <c r="AO34" s="70" t="str">
        <f t="shared" si="32"/>
        <v>3 T 2018</v>
      </c>
      <c r="AP34" s="70" t="str">
        <f t="shared" si="32"/>
        <v>4 T 2018</v>
      </c>
      <c r="AQ34" s="70" t="str">
        <f t="shared" si="32"/>
        <v>1 T 2019</v>
      </c>
      <c r="AR34" s="255" t="str">
        <f t="shared" si="32"/>
        <v>2 T 2019</v>
      </c>
      <c r="AS34" s="196" t="str">
        <f t="shared" ref="AS34:AT34" si="33">AS26</f>
        <v>3 T 2019</v>
      </c>
      <c r="AT34" s="196" t="str">
        <f t="shared" si="33"/>
        <v>4 T 2019</v>
      </c>
      <c r="AU34" s="196" t="str">
        <f t="shared" ref="AU34:AV34" si="34">AU26</f>
        <v>1 T 2020</v>
      </c>
      <c r="AV34" s="196" t="str">
        <f t="shared" si="34"/>
        <v>2 T 2020</v>
      </c>
      <c r="AW34" s="196" t="str">
        <f t="shared" ref="AW34" si="35">AW26</f>
        <v>3 T 2020</v>
      </c>
      <c r="AX34" s="196" t="str">
        <f t="shared" ref="AX34" si="36">AX26</f>
        <v>4 T 2020</v>
      </c>
      <c r="AY34" s="196" t="str">
        <f t="shared" ref="AY34:AZ34" si="37">AY26</f>
        <v>1 T 2021</v>
      </c>
      <c r="AZ34" s="196" t="str">
        <f t="shared" si="37"/>
        <v>2 T 2021</v>
      </c>
      <c r="BA34" s="196" t="str">
        <f t="shared" ref="BA34:BB34" si="38">BA26</f>
        <v>3 T 2021</v>
      </c>
      <c r="BB34" s="196" t="str">
        <f t="shared" si="38"/>
        <v>4T 2021</v>
      </c>
      <c r="BC34" s="196" t="str">
        <f t="shared" ref="BC34:BD34" si="39">BC26</f>
        <v>1T 2022</v>
      </c>
      <c r="BD34" s="196" t="str">
        <f t="shared" si="39"/>
        <v>2T 2022</v>
      </c>
      <c r="BE34" s="196" t="str">
        <f t="shared" ref="BE34:BF34" si="40">BE26</f>
        <v>3T 2022</v>
      </c>
      <c r="BF34" s="196" t="str">
        <f t="shared" si="40"/>
        <v>4T 2022</v>
      </c>
      <c r="BG34" s="196" t="str">
        <f t="shared" ref="BG34:BH34" si="41">BG26</f>
        <v>1T 2023</v>
      </c>
      <c r="BH34" s="196" t="str">
        <f t="shared" si="41"/>
        <v>2T 2023</v>
      </c>
      <c r="BI34" s="196" t="str">
        <f t="shared" ref="BI34:BJ34" si="42">BI26</f>
        <v>3T 2023</v>
      </c>
      <c r="BJ34" s="196" t="str">
        <f t="shared" si="42"/>
        <v>4T 2023</v>
      </c>
      <c r="BK34" s="196" t="str">
        <f t="shared" ref="BK34:BL34" si="43">BK26</f>
        <v>1T 2024</v>
      </c>
      <c r="BL34" s="196" t="str">
        <f t="shared" si="43"/>
        <v>2T 2024</v>
      </c>
      <c r="BM34" s="196" t="str">
        <f t="shared" ref="BM34:BN34" si="44">BM26</f>
        <v>3T 2024</v>
      </c>
      <c r="BN34" s="196" t="str">
        <f t="shared" si="44"/>
        <v>4T 2024</v>
      </c>
    </row>
    <row r="35" spans="1:66" x14ac:dyDescent="0.25">
      <c r="A35" s="38" t="s">
        <v>2</v>
      </c>
      <c r="F35" s="73">
        <f>'retraites SA Nb'!$P35-'retraites SA Nb'!$D35</f>
        <v>0.20260000000000389</v>
      </c>
      <c r="G35" s="73">
        <f>'retraites SA Nb'!$S35-'retraites SA Nb'!$G35</f>
        <v>0.19069999999999254</v>
      </c>
      <c r="H35" s="73">
        <f>'retraites SA Nb'!$V35-'retraites SA Nb'!$J35</f>
        <v>0.12859999999999161</v>
      </c>
      <c r="I35" s="73">
        <f>'retraites SA Nb'!$Y35-'retraites SA Nb'!$M35</f>
        <v>0.12520000000000664</v>
      </c>
      <c r="J35" s="73">
        <f>'retraites SA Nb'!$AB35-'retraites SA Nb'!$P35</f>
        <v>0.12319999999999709</v>
      </c>
      <c r="K35" s="73">
        <f>'retraites SA Nb'!$AE35-'retraites SA Nb'!$S35</f>
        <v>0.12069999999999936</v>
      </c>
      <c r="L35" s="73">
        <f>'retraites SA Nb'!$AH35-'retraites SA Nb'!$V35</f>
        <v>0.15890000000000271</v>
      </c>
      <c r="M35" s="73">
        <f>'retraites SA Nb'!$AK35-'retraites SA Nb'!$Y35</f>
        <v>0.37120000000000175</v>
      </c>
      <c r="N35" s="73">
        <f>'retraites SA Nb'!$AN35-'retraites SA Nb'!$AB35</f>
        <v>0.23909999999999343</v>
      </c>
      <c r="O35" s="73">
        <f>'retraites SA Nb'!$AQ35-'retraites SA Nb'!$AE35</f>
        <v>0.283299999999997</v>
      </c>
      <c r="P35" s="73">
        <f>'retraites SA Nb'!$AT35-'retraites SA Nb'!$AH35</f>
        <v>0.29840000000000089</v>
      </c>
      <c r="Q35" s="73">
        <f>'retraites SA Nb'!$AW35-'retraites SA Nb'!$AK35</f>
        <v>0.13339999999999463</v>
      </c>
      <c r="R35" s="73">
        <f>'retraites SA Nb'!$AZ35-'retraites SA Nb'!$AN35</f>
        <v>0.30250000000000909</v>
      </c>
      <c r="S35" s="73">
        <f>'retraites SA Nb'!$BC35-'retraites SA Nb'!$AQ35</f>
        <v>0.27649999999999864</v>
      </c>
      <c r="T35" s="73">
        <f>'retraites SA Nb'!$BF35-'retraites SA Nb'!$AT35</f>
        <v>0.27120000000000744</v>
      </c>
      <c r="U35" s="73">
        <f>'retraites SA Nb'!$BI35-'retraites SA Nb'!$AW35</f>
        <v>0.16899999999999693</v>
      </c>
      <c r="V35" s="73">
        <f>'retraites SA Nb'!$BL35-'retraites SA Nb'!$AZ35</f>
        <v>8.7599999999994793E-2</v>
      </c>
      <c r="W35" s="73">
        <f>'retraites SA Nb'!$BO35-'retraites SA Nb'!$BC35</f>
        <v>8.8000000000008072E-2</v>
      </c>
      <c r="X35" s="73">
        <f>'retraites SA Nb'!$BR35-'retraites SA Nb'!$BF35</f>
        <v>6.3599999999993884E-2</v>
      </c>
      <c r="Y35" s="73">
        <f>'retraites SA Nb'!$BU35-'retraites SA Nb'!$BI35</f>
        <v>8.5900000000009413E-2</v>
      </c>
      <c r="Z35" s="73">
        <f>'retraites SA Nb'!$BX35-'retraites SA Nb'!$BL35</f>
        <v>0.10899999999999466</v>
      </c>
      <c r="AA35" s="73">
        <f>'retraites SA Nb'!$CA35-'retraites SA Nb'!$BO35</f>
        <v>5.6699999999992201E-2</v>
      </c>
      <c r="AB35" s="73">
        <f>'retraites SA Nb'!$CG35-'retraites SA Nb'!$BR35</f>
        <v>2.4699999999995725E-2</v>
      </c>
      <c r="AC35" s="73">
        <f>'retraites SA Nb'!$CG35-'retraites SA Nb'!$BU35</f>
        <v>2.8799999999989723E-2</v>
      </c>
      <c r="AD35" s="73">
        <f>'retraites SA Nb'!$CJ35-'retraites SA Nb'!$BX35</f>
        <v>-4.8999999999921329E-3</v>
      </c>
      <c r="AE35" s="73">
        <f>'retraites SA Nb'!$CM35-'retraites SA Nb'!$CA35</f>
        <v>-2.1399999999999864E-2</v>
      </c>
      <c r="AF35" s="73">
        <f>'retraites SA Nb'!$CS35-'retraites SA Nb'!$CG35</f>
        <v>-1.8799999999998818E-2</v>
      </c>
      <c r="AG35" s="73">
        <f>'retraites SA Nb'!$CS35-'retraites SA Nb'!$CG35</f>
        <v>-1.8799999999998818E-2</v>
      </c>
      <c r="AH35" s="73">
        <f>'retraites SA Nb'!$CV35-'retraites SA Nb'!$CJ35</f>
        <v>2.389999999999759E-2</v>
      </c>
      <c r="AI35" s="73">
        <f>'retraites SA Nb'!$CY35-'retraites SA Nb'!$CM35</f>
        <v>4.2500000000003979E-2</v>
      </c>
      <c r="AJ35" s="73">
        <f>'retraites SA Nb'!$DB35-'retraites SA Nb'!$CP35</f>
        <v>5.1499999999990109E-2</v>
      </c>
      <c r="AK35" s="73">
        <f>'retraites SA Nb'!$DE35-'retraites SA Nb'!$CS35</f>
        <v>9.5300000000008822E-2</v>
      </c>
      <c r="AL35" s="73">
        <f>'retraites SA Nb'!$DH35-'retraites SA Nb'!$CV35</f>
        <v>0.11520000000000152</v>
      </c>
      <c r="AM35" s="73">
        <f>'retraites SA Nb'!$DK35-'retraites SA Nb'!$CY35</f>
        <v>0.18940000000000623</v>
      </c>
      <c r="AN35" s="73">
        <f>'retraites SA Nb'!$DN35-'retraites SA Nb'!$DB35</f>
        <v>0.25300000000000011</v>
      </c>
      <c r="AO35" s="73">
        <f>'retraites SA Nb'!$DQ35-'retraites SA Nb'!$DE35</f>
        <v>0.2844999999999942</v>
      </c>
      <c r="AP35" s="73">
        <f>'retraites SA Nb'!$DT35-'retraites SA Nb'!$DH35</f>
        <v>0.28999999999999204</v>
      </c>
      <c r="AQ35" s="73">
        <f>'retraites SA Nb'!$DW35-'retraites SA Nb'!$DK35</f>
        <v>0.28600000000000136</v>
      </c>
      <c r="AR35" s="256">
        <f>'retraites SA Nb'!$DZ35-'retraites SA Nb'!$DN35</f>
        <v>0.3002000000000038</v>
      </c>
      <c r="AS35" s="262">
        <f>'retraites SA Nb'!$EC35-'retraites SA Nb'!$DQ35</f>
        <v>0.31310000000000571</v>
      </c>
      <c r="AT35" s="262">
        <f>'retraites SA Nb'!$EF35-'retraites SA Nb'!$DT35</f>
        <v>0.29400000000001114</v>
      </c>
      <c r="AU35" s="262">
        <f>'retraites SA Nb'!$EI35-'retraites SA Nb'!$DW35</f>
        <v>0.29749999999999943</v>
      </c>
      <c r="AV35" s="262">
        <f>'retraites SA Nb'!$EL35-'retraites SA Nb'!$DZ35</f>
        <v>0.27989999999999782</v>
      </c>
      <c r="AW35" s="262">
        <f>'retraites SA Nb'!$EO35-'retraites SA Nb'!$EC35</f>
        <v>0.27039999999999509</v>
      </c>
      <c r="AX35" s="262">
        <f>'retraites SA Nb'!$ER35-'retraites SA Nb'!$EF35</f>
        <v>0.26720000000000255</v>
      </c>
      <c r="AY35" s="262">
        <f>'retraites SA Nb'!$EU35-'retraites SA Nb'!$EI35</f>
        <v>0.25499999999999545</v>
      </c>
      <c r="AZ35" s="262">
        <f>'retraites SA Nb'!$EX35-'retraites SA Nb'!$EL35</f>
        <v>0.25620000000000687</v>
      </c>
      <c r="BA35" s="262">
        <f>'retraites SA Nb'!$FA35-'retraites SA Nb'!$EO35</f>
        <v>0.25289999999999679</v>
      </c>
      <c r="BB35" s="262">
        <f>'retraites SA Nb'!$FD35-'retraites SA Nb'!$ER35</f>
        <v>0.26986794258078817</v>
      </c>
      <c r="BC35" s="262">
        <f>'retraites SA Nb'!$FG35-'retraites SA Nb'!$EU35</f>
        <v>0.26904011089560242</v>
      </c>
      <c r="BD35" s="262">
        <f>'retraites SA Nb'!$FJ35-'retraites SA Nb'!$EX35</f>
        <v>0.26727905094590199</v>
      </c>
      <c r="BE35" s="262">
        <f>'retraites SA Nb'!$FM35-'retraites SA Nb'!$FA35</f>
        <v>0.26143021480800144</v>
      </c>
      <c r="BF35" s="262">
        <f>'retraites SA Nb'!$FP35-'retraites SA Nb'!$FD35</f>
        <v>0.26709162653320107</v>
      </c>
      <c r="BG35" s="262">
        <f>'retraites SA Nb'!$FS35-'retraites SA Nb'!$FG35</f>
        <v>0.25153537154758965</v>
      </c>
      <c r="BH35" s="262">
        <f>'retraites SA Nb'!$FV35-'retraites SA Nb'!$FJ35</f>
        <v>0.25574628028789448</v>
      </c>
      <c r="BI35" s="262">
        <f>'retraites SA Nb'!$FY35-'retraites SA Nb'!$FM35</f>
        <v>0.25309253548300603</v>
      </c>
      <c r="BJ35" s="262">
        <f>'retraites SA Nb'!$GB35-'retraites SA Nb'!$FP35</f>
        <v>0.27759696504080011</v>
      </c>
      <c r="BK35" s="262">
        <f>'retraites SA Nb'!$GE35-'retraites SA Nb'!$FS35</f>
        <v>0.2951205415498066</v>
      </c>
      <c r="BL35" s="262">
        <f>'retraites SA Nb'!$GH35-'retraites SA Nb'!$FV35</f>
        <v>0.30799929121100433</v>
      </c>
      <c r="BM35" s="262">
        <f>'retraites SA Nb'!$GK35-'retraites SA Nb'!$FY35</f>
        <v>0.31774305862029451</v>
      </c>
      <c r="BN35" s="262">
        <f>'retraites SA Nb'!$GN35-'retraites SA Nb'!$GB35</f>
        <v>0.28868781218619688</v>
      </c>
    </row>
    <row r="36" spans="1:66" x14ac:dyDescent="0.25">
      <c r="A36" s="39" t="s">
        <v>3</v>
      </c>
      <c r="F36" s="73">
        <f>'retraites SA Nb'!$P36-'retraites SA Nb'!$D36</f>
        <v>0.33970000000000766</v>
      </c>
      <c r="G36" s="73">
        <f>'retraites SA Nb'!$S36-'retraites SA Nb'!$G36</f>
        <v>0.30729999999999791</v>
      </c>
      <c r="H36" s="73">
        <f>'retraites SA Nb'!$V36-'retraites SA Nb'!$J36</f>
        <v>0.37020000000001119</v>
      </c>
      <c r="I36" s="73">
        <f>'retraites SA Nb'!$Y36-'retraites SA Nb'!$M36</f>
        <v>0.3948999999999927</v>
      </c>
      <c r="J36" s="73">
        <f>'retraites SA Nb'!$AB36-'retraites SA Nb'!$P36</f>
        <v>0.33889999999999532</v>
      </c>
      <c r="K36" s="73">
        <f>'retraites SA Nb'!$AE36-'retraites SA Nb'!$S36</f>
        <v>0.34960000000000946</v>
      </c>
      <c r="L36" s="73">
        <f>'retraites SA Nb'!$AH36-'retraites SA Nb'!$V36</f>
        <v>0.29889999999998906</v>
      </c>
      <c r="M36" s="73">
        <f>'retraites SA Nb'!$AK36-'retraites SA Nb'!$Y36</f>
        <v>0.4398000000000053</v>
      </c>
      <c r="N36" s="73">
        <f>'retraites SA Nb'!$AN36-'retraites SA Nb'!$AB36</f>
        <v>0.33720000000000994</v>
      </c>
      <c r="O36" s="73">
        <f>'retraites SA Nb'!$AQ36-'retraites SA Nb'!$AE36</f>
        <v>0.32669999999998822</v>
      </c>
      <c r="P36" s="73">
        <f>'retraites SA Nb'!$AT36-'retraites SA Nb'!$AH36</f>
        <v>0.31470000000000198</v>
      </c>
      <c r="Q36" s="73">
        <f>'retraites SA Nb'!$AW36-'retraites SA Nb'!$AK36</f>
        <v>0.15389999999999304</v>
      </c>
      <c r="R36" s="73">
        <f>'retraites SA Nb'!$AZ36-'retraites SA Nb'!$AN36</f>
        <v>0.32289999999998997</v>
      </c>
      <c r="S36" s="73">
        <f>'retraites SA Nb'!$BC36-'retraites SA Nb'!$AQ36</f>
        <v>0.33910000000000196</v>
      </c>
      <c r="T36" s="73">
        <f>'retraites SA Nb'!$BF36-'retraites SA Nb'!$AT36</f>
        <v>0.33930000000000859</v>
      </c>
      <c r="U36" s="73">
        <f>'retraites SA Nb'!$BI36-'retraites SA Nb'!$AW36</f>
        <v>0.33380000000001075</v>
      </c>
      <c r="V36" s="73">
        <f>'retraites SA Nb'!$BL36-'retraites SA Nb'!$AZ36</f>
        <v>0.31880000000001019</v>
      </c>
      <c r="W36" s="73">
        <f>'retraites SA Nb'!$BO36-'retraites SA Nb'!$BC36</f>
        <v>0.29940000000000566</v>
      </c>
      <c r="X36" s="73">
        <f>'retraites SA Nb'!$BR36-'retraites SA Nb'!$BF36</f>
        <v>0.3078999999999894</v>
      </c>
      <c r="Y36" s="73">
        <f>'retraites SA Nb'!$BU36-'retraites SA Nb'!$BI36</f>
        <v>0.32349999999999568</v>
      </c>
      <c r="Z36" s="73">
        <f>'retraites SA Nb'!$BX36-'retraites SA Nb'!$BL36</f>
        <v>0.32969999999998834</v>
      </c>
      <c r="AA36" s="73">
        <f>'retraites SA Nb'!$CA36-'retraites SA Nb'!$BO36</f>
        <v>0.34380000000000166</v>
      </c>
      <c r="AB36" s="73">
        <f>'retraites SA Nb'!$CG36-'retraites SA Nb'!$BR36</f>
        <v>0.35880000000000223</v>
      </c>
      <c r="AC36" s="73">
        <f>'retraites SA Nb'!$CG36-'retraites SA Nb'!$BU36</f>
        <v>0.26609999999999445</v>
      </c>
      <c r="AD36" s="73">
        <f>'retraites SA Nb'!$CJ36-'retraites SA Nb'!$BX36</f>
        <v>0.22490000000000521</v>
      </c>
      <c r="AE36" s="73">
        <f>'retraites SA Nb'!$CM36-'retraites SA Nb'!$CA36</f>
        <v>0.20589999999999975</v>
      </c>
      <c r="AF36" s="73">
        <f>'retraites SA Nb'!$CS36-'retraites SA Nb'!$CG36</f>
        <v>0.24330000000000496</v>
      </c>
      <c r="AG36" s="73">
        <f>'retraites SA Nb'!$CS36-'retraites SA Nb'!$CG36</f>
        <v>0.24330000000000496</v>
      </c>
      <c r="AH36" s="73">
        <f>'retraites SA Nb'!$CV36-'retraites SA Nb'!$CJ36</f>
        <v>0.26279999999999859</v>
      </c>
      <c r="AI36" s="73">
        <f>'retraites SA Nb'!$CY36-'retraites SA Nb'!$CM36</f>
        <v>0.22010000000000218</v>
      </c>
      <c r="AJ36" s="73">
        <f>'retraites SA Nb'!$DB36-'retraites SA Nb'!$CP36</f>
        <v>0.21930000000000405</v>
      </c>
      <c r="AK36" s="73">
        <f>'retraites SA Nb'!$DE36-'retraites SA Nb'!$CS36</f>
        <v>0.2231000000000023</v>
      </c>
      <c r="AL36" s="73">
        <f>'retraites SA Nb'!$DH36-'retraites SA Nb'!$CV36</f>
        <v>0.23220000000000596</v>
      </c>
      <c r="AM36" s="73">
        <f>'retraites SA Nb'!$DK36-'retraites SA Nb'!$CY36</f>
        <v>0.27830000000000155</v>
      </c>
      <c r="AN36" s="73">
        <f>'retraites SA Nb'!$DN36-'retraites SA Nb'!$DB36</f>
        <v>0.25839999999999463</v>
      </c>
      <c r="AO36" s="73">
        <f>'retraites SA Nb'!$DQ36-'retraites SA Nb'!$DE36</f>
        <v>0.26319999999999766</v>
      </c>
      <c r="AP36" s="73">
        <f>'retraites SA Nb'!$DT36-'retraites SA Nb'!$DH36</f>
        <v>0.26129999999999143</v>
      </c>
      <c r="AQ36" s="73">
        <f>'retraites SA Nb'!$DW36-'retraites SA Nb'!$DK36</f>
        <v>0.23469999999998947</v>
      </c>
      <c r="AR36" s="256">
        <f>'retraites SA Nb'!$DZ36-'retraites SA Nb'!$DN36</f>
        <v>0.24830000000000041</v>
      </c>
      <c r="AS36" s="262">
        <f>'retraites SA Nb'!$EC36-'retraites SA Nb'!$DQ36</f>
        <v>0.24459999999999127</v>
      </c>
      <c r="AT36" s="262">
        <f>'retraites SA Nb'!$EF36-'retraites SA Nb'!$DT36</f>
        <v>0.21810000000000684</v>
      </c>
      <c r="AU36" s="262">
        <f>'retraites SA Nb'!$EI36-'retraites SA Nb'!$DW36</f>
        <v>0.23730000000000473</v>
      </c>
      <c r="AV36" s="262">
        <f>'retraites SA Nb'!$EL36-'retraites SA Nb'!$DZ36</f>
        <v>0.20920000000000982</v>
      </c>
      <c r="AW36" s="262">
        <f>'retraites SA Nb'!$EO36-'retraites SA Nb'!$EC36</f>
        <v>0.20730000000000359</v>
      </c>
      <c r="AX36" s="262">
        <f>'retraites SA Nb'!$ER36-'retraites SA Nb'!$EF36</f>
        <v>0.21609999999999729</v>
      </c>
      <c r="AY36" s="262">
        <f>'retraites SA Nb'!$EU36-'retraites SA Nb'!$EI36</f>
        <v>0.17669999999999675</v>
      </c>
      <c r="AZ36" s="262">
        <f>'retraites SA Nb'!$EX36-'retraites SA Nb'!$EL36</f>
        <v>0.18059999999999832</v>
      </c>
      <c r="BA36" s="262">
        <f>'retraites SA Nb'!$FA36-'retraites SA Nb'!$EO36</f>
        <v>0.17300000000000182</v>
      </c>
      <c r="BB36" s="262">
        <f>'retraites SA Nb'!$FD36-'retraites SA Nb'!$ER36</f>
        <v>0.1825264659401995</v>
      </c>
      <c r="BC36" s="262">
        <f>'retraites SA Nb'!$FG36-'retraites SA Nb'!$EU36</f>
        <v>0.19823635398410033</v>
      </c>
      <c r="BD36" s="262">
        <f>'retraites SA Nb'!$FJ36-'retraites SA Nb'!$EX36</f>
        <v>0.18705042756099033</v>
      </c>
      <c r="BE36" s="262">
        <f>'retraites SA Nb'!$FM36-'retraites SA Nb'!$FA36</f>
        <v>0.18150268204780673</v>
      </c>
      <c r="BF36" s="262">
        <f>'retraites SA Nb'!$FP36-'retraites SA Nb'!$FD36</f>
        <v>0.16241181080940237</v>
      </c>
      <c r="BG36" s="262">
        <f>'retraites SA Nb'!$FS36-'retraites SA Nb'!$FG36</f>
        <v>0.14176755491000392</v>
      </c>
      <c r="BH36" s="262">
        <f>'retraites SA Nb'!$FV36-'retraites SA Nb'!$FJ36</f>
        <v>0.15194091851640223</v>
      </c>
      <c r="BI36" s="262">
        <f>'retraites SA Nb'!$FY36-'retraites SA Nb'!$FM36</f>
        <v>0.14535792010629223</v>
      </c>
      <c r="BJ36" s="262">
        <f>'retraites SA Nb'!$GB36-'retraites SA Nb'!$FP36</f>
        <v>0.15264242236069947</v>
      </c>
      <c r="BK36" s="262">
        <f>'retraites SA Nb'!$GE36-'retraites SA Nb'!$FS36</f>
        <v>0.16289215608099994</v>
      </c>
      <c r="BL36" s="262">
        <f>'retraites SA Nb'!$GH36-'retraites SA Nb'!$FV36</f>
        <v>0.17283520989001033</v>
      </c>
      <c r="BM36" s="262">
        <f>'retraites SA Nb'!$GK36-'retraites SA Nb'!$FY36</f>
        <v>0.1658478626804083</v>
      </c>
      <c r="BN36" s="262">
        <f>'retraites SA Nb'!$GN36-'retraites SA Nb'!$GB36</f>
        <v>0.15982246039069992</v>
      </c>
    </row>
    <row r="37" spans="1:66" x14ac:dyDescent="0.25">
      <c r="A37" s="39" t="s">
        <v>4</v>
      </c>
      <c r="F37" s="73">
        <f>'retraites SA Nb'!$P37-'retraites SA Nb'!$D37</f>
        <v>0.3481000000000023</v>
      </c>
      <c r="G37" s="73">
        <f>'retraites SA Nb'!$S37-'retraites SA Nb'!$G37</f>
        <v>0.34149999999999636</v>
      </c>
      <c r="H37" s="73">
        <f>'retraites SA Nb'!$V37-'retraites SA Nb'!$J37</f>
        <v>0.33929999999999438</v>
      </c>
      <c r="I37" s="73">
        <f>'retraites SA Nb'!$Y37-'retraites SA Nb'!$M37</f>
        <v>0.34900000000000375</v>
      </c>
      <c r="J37" s="73">
        <f>'retraites SA Nb'!$AB37-'retraites SA Nb'!$P37</f>
        <v>0.36560000000000059</v>
      </c>
      <c r="K37" s="73">
        <f>'retraites SA Nb'!$AE37-'retraites SA Nb'!$S37</f>
        <v>0.3492999999999995</v>
      </c>
      <c r="L37" s="73">
        <f>'retraites SA Nb'!$AH37-'retraites SA Nb'!$V37</f>
        <v>0.34260000000000446</v>
      </c>
      <c r="M37" s="73">
        <f>'retraites SA Nb'!$AK37-'retraites SA Nb'!$Y37</f>
        <v>0.50209999999999866</v>
      </c>
      <c r="N37" s="73">
        <f>'retraites SA Nb'!$AN37-'retraites SA Nb'!$AB37</f>
        <v>0.36010000000000275</v>
      </c>
      <c r="O37" s="73">
        <f>'retraites SA Nb'!$AQ37-'retraites SA Nb'!$AE37</f>
        <v>0.37069999999999936</v>
      </c>
      <c r="P37" s="73">
        <f>'retraites SA Nb'!$AT37-'retraites SA Nb'!$AH37</f>
        <v>0.3714999999999975</v>
      </c>
      <c r="Q37" s="73">
        <f>'retraites SA Nb'!$AW37-'retraites SA Nb'!$AK37</f>
        <v>0.21939999999999316</v>
      </c>
      <c r="R37" s="73">
        <f>'retraites SA Nb'!$AZ37-'retraites SA Nb'!$AN37</f>
        <v>0.37259999999999138</v>
      </c>
      <c r="S37" s="73">
        <f>'retraites SA Nb'!$BC37-'retraites SA Nb'!$AQ37</f>
        <v>0.37100000000000932</v>
      </c>
      <c r="T37" s="73">
        <f>'retraites SA Nb'!$BF37-'retraites SA Nb'!$AT37</f>
        <v>0.36670000000000869</v>
      </c>
      <c r="U37" s="73">
        <f>'retraites SA Nb'!$BI37-'retraites SA Nb'!$AW37</f>
        <v>0.33129999999999882</v>
      </c>
      <c r="V37" s="73">
        <f>'retraites SA Nb'!$BL37-'retraites SA Nb'!$AZ37</f>
        <v>0.29850000000000421</v>
      </c>
      <c r="W37" s="73">
        <f>'retraites SA Nb'!$BO37-'retraites SA Nb'!$BC37</f>
        <v>0.29590000000000316</v>
      </c>
      <c r="X37" s="73">
        <f>'retraites SA Nb'!$BR37-'retraites SA Nb'!$BF37</f>
        <v>0.30129999999999768</v>
      </c>
      <c r="Y37" s="73">
        <f>'retraites SA Nb'!$BU37-'retraites SA Nb'!$BI37</f>
        <v>0.3218000000000103</v>
      </c>
      <c r="Z37" s="73">
        <f>'retraites SA Nb'!$BX37-'retraites SA Nb'!$BL37</f>
        <v>0.37569999999999482</v>
      </c>
      <c r="AA37" s="73">
        <f>'retraites SA Nb'!$CA37-'retraites SA Nb'!$BO37</f>
        <v>0.29039999999999111</v>
      </c>
      <c r="AB37" s="73">
        <f>'retraites SA Nb'!$CG37-'retraites SA Nb'!$BR37</f>
        <v>0.29850000000000421</v>
      </c>
      <c r="AC37" s="73">
        <f>'retraites SA Nb'!$CG37-'retraites SA Nb'!$BU37</f>
        <v>0.21920000000000073</v>
      </c>
      <c r="AD37" s="73">
        <f>'retraites SA Nb'!$CJ37-'retraites SA Nb'!$BX37</f>
        <v>0.18080000000000496</v>
      </c>
      <c r="AE37" s="73">
        <f>'retraites SA Nb'!$CM37-'retraites SA Nb'!$CA37</f>
        <v>0.24200000000000443</v>
      </c>
      <c r="AF37" s="73">
        <f>'retraites SA Nb'!$CS37-'retraites SA Nb'!$CG37</f>
        <v>0.25749999999999318</v>
      </c>
      <c r="AG37" s="73">
        <f>'retraites SA Nb'!$CS37-'retraites SA Nb'!$CG37</f>
        <v>0.25749999999999318</v>
      </c>
      <c r="AH37" s="73">
        <f>'retraites SA Nb'!$CV37-'retraites SA Nb'!$CJ37</f>
        <v>0.21899999999999409</v>
      </c>
      <c r="AI37" s="73">
        <f>'retraites SA Nb'!$CY37-'retraites SA Nb'!$CM37</f>
        <v>0.19790000000000418</v>
      </c>
      <c r="AJ37" s="73">
        <f>'retraites SA Nb'!$DB37-'retraites SA Nb'!$CP37</f>
        <v>0.19939999999999714</v>
      </c>
      <c r="AK37" s="73">
        <f>'retraites SA Nb'!$DE37-'retraites SA Nb'!$CS37</f>
        <v>0.19490000000000407</v>
      </c>
      <c r="AL37" s="73">
        <f>'retraites SA Nb'!$DH37-'retraites SA Nb'!$CV37</f>
        <v>0.19650000000000034</v>
      </c>
      <c r="AM37" s="73">
        <f>'retraites SA Nb'!$DK37-'retraites SA Nb'!$CY37</f>
        <v>0.20609999999999218</v>
      </c>
      <c r="AN37" s="73">
        <f>'retraites SA Nb'!$DN37-'retraites SA Nb'!$DB37</f>
        <v>0.20929999999999893</v>
      </c>
      <c r="AO37" s="73">
        <f>'retraites SA Nb'!$DQ37-'retraites SA Nb'!$DE37</f>
        <v>0.21569999999999823</v>
      </c>
      <c r="AP37" s="73">
        <f>'retraites SA Nb'!$DT37-'retraites SA Nb'!$DH37</f>
        <v>0.22169999999999845</v>
      </c>
      <c r="AQ37" s="73">
        <f>'retraites SA Nb'!$DW37-'retraites SA Nb'!$DK37</f>
        <v>0.22599999999999909</v>
      </c>
      <c r="AR37" s="256">
        <f>'retraites SA Nb'!$DZ37-'retraites SA Nb'!$DN37</f>
        <v>0.23690000000000566</v>
      </c>
      <c r="AS37" s="262">
        <f>'retraites SA Nb'!$EC37-'retraites SA Nb'!$DQ37</f>
        <v>0.22950000000000159</v>
      </c>
      <c r="AT37" s="262">
        <f>'retraites SA Nb'!$EF37-'retraites SA Nb'!$DT37</f>
        <v>0.20830000000000837</v>
      </c>
      <c r="AU37" s="262">
        <f>'retraites SA Nb'!$EI37-'retraites SA Nb'!$DW37</f>
        <v>0.2032999999999987</v>
      </c>
      <c r="AV37" s="262">
        <f>'retraites SA Nb'!$EL37-'retraites SA Nb'!$DZ37</f>
        <v>0.1910000000000025</v>
      </c>
      <c r="AW37" s="262">
        <f>'retraites SA Nb'!$EO37-'retraites SA Nb'!$EC37</f>
        <v>0.1950999999999965</v>
      </c>
      <c r="AX37" s="262">
        <f>'retraites SA Nb'!$ER37-'retraites SA Nb'!$EF37</f>
        <v>0.20279999999999632</v>
      </c>
      <c r="AY37" s="262">
        <f>'retraites SA Nb'!$EU37-'retraites SA Nb'!$EI37</f>
        <v>0.18270000000001119</v>
      </c>
      <c r="AZ37" s="262">
        <f>'retraites SA Nb'!$EX37-'retraites SA Nb'!$EL37</f>
        <v>0.15699999999999648</v>
      </c>
      <c r="BA37" s="262">
        <f>'retraites SA Nb'!$FA37-'retraites SA Nb'!$EO37</f>
        <v>0.1530000000000058</v>
      </c>
      <c r="BB37" s="262">
        <f>'retraites SA Nb'!$FD37-'retraites SA Nb'!$ER37</f>
        <v>0.17421687062009994</v>
      </c>
      <c r="BC37" s="262">
        <f>'retraites SA Nb'!$FG37-'retraites SA Nb'!$EU37</f>
        <v>0.181954391759092</v>
      </c>
      <c r="BD37" s="262">
        <f>'retraites SA Nb'!$FJ37-'retraites SA Nb'!$EX37</f>
        <v>0.1817196724857979</v>
      </c>
      <c r="BE37" s="262">
        <f>'retraites SA Nb'!$FM37-'retraites SA Nb'!$FA37</f>
        <v>0.18458015677170181</v>
      </c>
      <c r="BF37" s="262">
        <f>'retraites SA Nb'!$FP37-'retraites SA Nb'!$FD37</f>
        <v>0.14166909051100163</v>
      </c>
      <c r="BG37" s="262">
        <f>'retraites SA Nb'!$FS37-'retraites SA Nb'!$FG37</f>
        <v>0.1313998442010984</v>
      </c>
      <c r="BH37" s="262">
        <f>'retraites SA Nb'!$FV37-'retraites SA Nb'!$FJ37</f>
        <v>0.12933212020939777</v>
      </c>
      <c r="BI37" s="262">
        <f>'retraites SA Nb'!$FY37-'retraites SA Nb'!$FM37</f>
        <v>0.11964877268148655</v>
      </c>
      <c r="BJ37" s="262">
        <f>'retraites SA Nb'!$GB37-'retraites SA Nb'!$FP37</f>
        <v>0.13352314071940441</v>
      </c>
      <c r="BK37" s="262">
        <f>'retraites SA Nb'!$GE37-'retraites SA Nb'!$FS37</f>
        <v>0.15079593675660874</v>
      </c>
      <c r="BL37" s="262">
        <f>'retraites SA Nb'!$GH37-'retraites SA Nb'!$FV37</f>
        <v>0.15705173022830365</v>
      </c>
      <c r="BM37" s="262">
        <f>'retraites SA Nb'!$GK37-'retraites SA Nb'!$FY37</f>
        <v>0.15386896735660116</v>
      </c>
      <c r="BN37" s="262">
        <f>'retraites SA Nb'!$GN37-'retraites SA Nb'!$GB37</f>
        <v>0.15702829270789209</v>
      </c>
    </row>
    <row r="38" spans="1:66" ht="12" thickBot="1" x14ac:dyDescent="0.3">
      <c r="A38" s="40" t="s">
        <v>5</v>
      </c>
      <c r="F38" s="73">
        <f>'retraites SA Nb'!$P38-'retraites SA Nb'!$D38</f>
        <v>0.24379999999999313</v>
      </c>
      <c r="G38" s="73">
        <f>'retraites SA Nb'!$S38-'retraites SA Nb'!$G38</f>
        <v>0.24089999999999634</v>
      </c>
      <c r="H38" s="73">
        <f>'retraites SA Nb'!$V38-'retraites SA Nb'!$J38</f>
        <v>0.20390000000000441</v>
      </c>
      <c r="I38" s="73">
        <f>'retraites SA Nb'!$Y38-'retraites SA Nb'!$M38</f>
        <v>0.20390000000000441</v>
      </c>
      <c r="J38" s="73">
        <f>'retraites SA Nb'!$AB38-'retraites SA Nb'!$P38</f>
        <v>0.1921000000000106</v>
      </c>
      <c r="K38" s="73">
        <f>'retraites SA Nb'!$AE38-'retraites SA Nb'!$S38</f>
        <v>0.19160000000000821</v>
      </c>
      <c r="L38" s="73">
        <f>'retraites SA Nb'!$AH38-'retraites SA Nb'!$V38</f>
        <v>0.21059999999999945</v>
      </c>
      <c r="M38" s="73">
        <f>'retraites SA Nb'!$AK38-'retraites SA Nb'!$Y38</f>
        <v>0.40340000000000487</v>
      </c>
      <c r="N38" s="73">
        <f>'retraites SA Nb'!$AN38-'retraites SA Nb'!$AB38</f>
        <v>0.28369999999999607</v>
      </c>
      <c r="O38" s="73">
        <f>'retraites SA Nb'!$AQ38-'retraites SA Nb'!$AE38</f>
        <v>0.31649999999999068</v>
      </c>
      <c r="P38" s="73">
        <f>'retraites SA Nb'!$AT38-'retraites SA Nb'!$AH38</f>
        <v>0.32500000000000284</v>
      </c>
      <c r="Q38" s="73">
        <f>'retraites SA Nb'!$AW38-'retraites SA Nb'!$AK38</f>
        <v>0.16759999999999309</v>
      </c>
      <c r="R38" s="73">
        <f>'retraites SA Nb'!$AZ38-'retraites SA Nb'!$AN38</f>
        <v>0.32899999999999352</v>
      </c>
      <c r="S38" s="73">
        <f>'retraites SA Nb'!$BC38-'retraites SA Nb'!$AQ38</f>
        <v>0.30810000000001025</v>
      </c>
      <c r="T38" s="73">
        <f>'retraites SA Nb'!$BF38-'retraites SA Nb'!$AT38</f>
        <v>0.30310000000000059</v>
      </c>
      <c r="U38" s="73">
        <f>'retraites SA Nb'!$BI38-'retraites SA Nb'!$AW38</f>
        <v>0.21760000000000446</v>
      </c>
      <c r="V38" s="73">
        <f>'retraites SA Nb'!$BL38-'retraites SA Nb'!$AZ38</f>
        <v>0.14880000000000848</v>
      </c>
      <c r="W38" s="73">
        <f>'retraites SA Nb'!$BO38-'retraites SA Nb'!$BC38</f>
        <v>0.14629999999999654</v>
      </c>
      <c r="X38" s="73">
        <f>'retraites SA Nb'!$BR38-'retraites SA Nb'!$BF38</f>
        <v>0.12640000000000384</v>
      </c>
      <c r="Y38" s="73">
        <f>'retraites SA Nb'!$BU38-'retraites SA Nb'!$BI38</f>
        <v>0.14539999999999509</v>
      </c>
      <c r="Z38" s="73">
        <f>'retraites SA Nb'!$BX38-'retraites SA Nb'!$BL38</f>
        <v>8.7599999999994793E-2</v>
      </c>
      <c r="AA38" s="73">
        <f>'retraites SA Nb'!$CA38-'retraites SA Nb'!$BO38</f>
        <v>0.12640000000000384</v>
      </c>
      <c r="AB38" s="73">
        <f>'retraites SA Nb'!$CG38-'retraites SA Nb'!$BR38</f>
        <v>8.2200000000000273E-2</v>
      </c>
      <c r="AC38" s="73">
        <f>'retraites SA Nb'!$CG38-'retraites SA Nb'!$BU38</f>
        <v>6.440000000000623E-2</v>
      </c>
      <c r="AD38" s="73">
        <f>'retraites SA Nb'!$CJ38-'retraites SA Nb'!$BX38</f>
        <v>0.12250000000000227</v>
      </c>
      <c r="AE38" s="73">
        <f>'retraites SA Nb'!$CM38-'retraites SA Nb'!$CA38</f>
        <v>2.6599999999987745E-2</v>
      </c>
      <c r="AF38" s="73">
        <f>'retraites SA Nb'!$CS38-'retraites SA Nb'!$CG38</f>
        <v>5.7199999999994589E-2</v>
      </c>
      <c r="AG38" s="73">
        <f>'retraites SA Nb'!$CS38-'retraites SA Nb'!$CG38</f>
        <v>5.7199999999994589E-2</v>
      </c>
      <c r="AH38" s="73">
        <f>'retraites SA Nb'!$CV38-'retraites SA Nb'!$CJ38</f>
        <v>7.6200000000000045E-2</v>
      </c>
      <c r="AI38" s="73">
        <f>'retraites SA Nb'!$CY38-'retraites SA Nb'!$CM38</f>
        <v>7.9500000000010118E-2</v>
      </c>
      <c r="AJ38" s="73">
        <f>'retraites SA Nb'!$DB38-'retraites SA Nb'!$CP38</f>
        <v>8.3400000000011687E-2</v>
      </c>
      <c r="AK38" s="73">
        <f>'retraites SA Nb'!$DE38-'retraites SA Nb'!$CS38</f>
        <v>0.11679999999999779</v>
      </c>
      <c r="AL38" s="73">
        <f>'retraites SA Nb'!$DH38-'retraites SA Nb'!$CV38</f>
        <v>0.13320000000000221</v>
      </c>
      <c r="AM38" s="73">
        <f>'retraites SA Nb'!$DK38-'retraites SA Nb'!$CY38</f>
        <v>0.19910000000000139</v>
      </c>
      <c r="AN38" s="73">
        <f>'retraites SA Nb'!$DN38-'retraites SA Nb'!$DB38</f>
        <v>0.24509999999999366</v>
      </c>
      <c r="AO38" s="73">
        <f>'retraites SA Nb'!$DQ38-'retraites SA Nb'!$DE38</f>
        <v>0.2716000000000065</v>
      </c>
      <c r="AP38" s="73">
        <f>'retraites SA Nb'!$DT38-'retraites SA Nb'!$DH38</f>
        <v>0.27559999999999718</v>
      </c>
      <c r="AQ38" s="73">
        <f>'retraites SA Nb'!$DW38-'retraites SA Nb'!$DK38</f>
        <v>0.27060000000000173</v>
      </c>
      <c r="AR38" s="256">
        <f>'retraites SA Nb'!$DZ38-'retraites SA Nb'!$DN38</f>
        <v>0.28730000000000189</v>
      </c>
      <c r="AS38" s="262">
        <f>'retraites SA Nb'!$EC38-'retraites SA Nb'!$DQ38</f>
        <v>0.29649999999999466</v>
      </c>
      <c r="AT38" s="262">
        <f>'retraites SA Nb'!$EF38-'retraites SA Nb'!$DT38</f>
        <v>0.27530000000000143</v>
      </c>
      <c r="AU38" s="262">
        <f>'retraites SA Nb'!$EI38-'retraites SA Nb'!$DW38</f>
        <v>0.28029999999999688</v>
      </c>
      <c r="AV38" s="262">
        <f>'retraites SA Nb'!$EL38-'retraites SA Nb'!$DZ38</f>
        <v>0.26040000000000418</v>
      </c>
      <c r="AW38" s="262">
        <f>'retraites SA Nb'!$EO38-'retraites SA Nb'!$EC38</f>
        <v>0.2511999999999972</v>
      </c>
      <c r="AX38" s="262">
        <f>'retraites SA Nb'!$ER38-'retraites SA Nb'!$EF38</f>
        <v>0.25130000000000052</v>
      </c>
      <c r="AY38" s="262">
        <f>'retraites SA Nb'!$EU38-'retraites SA Nb'!$EI38</f>
        <v>0.23089999999999122</v>
      </c>
      <c r="AZ38" s="262">
        <f>'retraites SA Nb'!$EX38-'retraites SA Nb'!$EL38</f>
        <v>0.23199999999999932</v>
      </c>
      <c r="BA38" s="262">
        <f>'retraites SA Nb'!$FA38-'retraites SA Nb'!$EO38</f>
        <v>0.23100000000000875</v>
      </c>
      <c r="BB38" s="262">
        <f>'retraites SA Nb'!$FD38-'retraites SA Nb'!$ER38</f>
        <v>0.24704174809899371</v>
      </c>
      <c r="BC38" s="262">
        <f>'retraites SA Nb'!$FG38-'retraites SA Nb'!$EU38</f>
        <v>0.2499859994725</v>
      </c>
      <c r="BD38" s="262">
        <f>'retraites SA Nb'!$FJ38-'retraites SA Nb'!$EX38</f>
        <v>0.24254175858310134</v>
      </c>
      <c r="BE38" s="262">
        <f>'retraites SA Nb'!$FM38-'retraites SA Nb'!$FA38</f>
        <v>0.23298961276368857</v>
      </c>
      <c r="BF38" s="262">
        <f>'retraites SA Nb'!$FP38-'retraites SA Nb'!$FD38</f>
        <v>0.22552990038010989</v>
      </c>
      <c r="BG38" s="262">
        <f>'retraites SA Nb'!$FS38-'retraites SA Nb'!$FG38</f>
        <v>0.20991777719660831</v>
      </c>
      <c r="BH38" s="262">
        <f>'retraites SA Nb'!$FV38-'retraites SA Nb'!$FJ38</f>
        <v>0.21624345957499713</v>
      </c>
      <c r="BI38" s="262">
        <f>'retraites SA Nb'!$FY38-'retraites SA Nb'!$FM38</f>
        <v>0.21396373958999959</v>
      </c>
      <c r="BJ38" s="262">
        <f>'retraites SA Nb'!$GB38-'retraites SA Nb'!$FP38</f>
        <v>0.2393927088778014</v>
      </c>
      <c r="BK38" s="262">
        <f>'retraites SA Nb'!$GE38-'retraites SA Nb'!$FS38</f>
        <v>0.25494218022760151</v>
      </c>
      <c r="BL38" s="262">
        <f>'retraites SA Nb'!$GH38-'retraites SA Nb'!$FV38</f>
        <v>0.2652959054201034</v>
      </c>
      <c r="BM38" s="262">
        <f>'retraites SA Nb'!$GK38-'retraites SA Nb'!$FY38</f>
        <v>0.26797479752781328</v>
      </c>
      <c r="BN38" s="262">
        <f>'retraites SA Nb'!$GN38-'retraites SA Nb'!$GB38</f>
        <v>0.24379428926519608</v>
      </c>
    </row>
    <row r="39" spans="1:66" x14ac:dyDescent="0.25">
      <c r="A39" s="3"/>
      <c r="P39" s="4"/>
      <c r="Q39" s="76"/>
      <c r="BJ39" s="126"/>
      <c r="BK39" s="126"/>
      <c r="BL39" s="126"/>
      <c r="BM39" s="126"/>
      <c r="BN39" s="126"/>
    </row>
    <row r="40" spans="1:66" x14ac:dyDescent="0.25">
      <c r="A40" s="3" t="s">
        <v>377</v>
      </c>
      <c r="P40" s="4"/>
      <c r="Q40" s="76"/>
      <c r="BJ40" s="126"/>
      <c r="BK40" s="126"/>
      <c r="BL40" s="126"/>
      <c r="BM40" s="126"/>
      <c r="BN40" s="126"/>
    </row>
    <row r="41" spans="1:66" s="32" customFormat="1" x14ac:dyDescent="0.25">
      <c r="A41" s="3"/>
      <c r="Q41" s="99"/>
      <c r="AR41" s="254"/>
      <c r="AS41" s="260"/>
      <c r="AT41" s="260"/>
      <c r="AU41" s="260"/>
      <c r="AV41" s="260"/>
      <c r="AW41" s="260"/>
      <c r="AX41" s="260"/>
      <c r="AY41" s="260"/>
      <c r="AZ41" s="260"/>
      <c r="BA41" s="260"/>
      <c r="BB41" s="298" t="s">
        <v>373</v>
      </c>
      <c r="BC41" s="298"/>
      <c r="BD41" s="298"/>
      <c r="BE41" s="298"/>
      <c r="BF41" s="298"/>
      <c r="BG41" s="298"/>
      <c r="BH41" s="298"/>
      <c r="BI41" s="298"/>
      <c r="BJ41" s="298"/>
      <c r="BK41" s="298"/>
      <c r="BL41" s="298"/>
      <c r="BM41" s="298"/>
      <c r="BN41" s="298"/>
    </row>
    <row r="42" spans="1:66" ht="12.5" thickBot="1" x14ac:dyDescent="0.35">
      <c r="A42" s="75" t="s">
        <v>50</v>
      </c>
      <c r="B42" s="70" t="str">
        <f>B6</f>
        <v>4 T2008</v>
      </c>
      <c r="C42" s="70" t="str">
        <f t="shared" ref="C42:L42" si="45">C6</f>
        <v>1 T 2009</v>
      </c>
      <c r="D42" s="70" t="str">
        <f t="shared" si="45"/>
        <v>2 T 2009</v>
      </c>
      <c r="E42" s="70" t="str">
        <f t="shared" si="45"/>
        <v>3 T 2009</v>
      </c>
      <c r="F42" s="70" t="str">
        <f t="shared" si="45"/>
        <v>4 T 2009</v>
      </c>
      <c r="G42" s="70" t="str">
        <f t="shared" si="45"/>
        <v>1 T 2010</v>
      </c>
      <c r="H42" s="70" t="str">
        <f t="shared" si="45"/>
        <v>2 T 2010</v>
      </c>
      <c r="I42" s="70" t="str">
        <f t="shared" si="45"/>
        <v>3 T 2010</v>
      </c>
      <c r="J42" s="70" t="str">
        <f t="shared" si="45"/>
        <v>4 T 2010</v>
      </c>
      <c r="K42" s="70" t="str">
        <f t="shared" si="45"/>
        <v>1 T 2011</v>
      </c>
      <c r="L42" s="70" t="str">
        <f t="shared" si="45"/>
        <v>2 T 2011</v>
      </c>
      <c r="M42" s="70" t="str">
        <f>M6</f>
        <v>3 T 2011</v>
      </c>
      <c r="N42" s="70" t="str">
        <f>N6</f>
        <v>4 T 2011</v>
      </c>
      <c r="O42" s="70" t="s">
        <v>106</v>
      </c>
      <c r="P42" s="70" t="s">
        <v>111</v>
      </c>
      <c r="Q42" s="70" t="s">
        <v>135</v>
      </c>
      <c r="R42" s="70" t="s">
        <v>141</v>
      </c>
      <c r="S42" s="70" t="s">
        <v>145</v>
      </c>
      <c r="T42" s="70" t="s">
        <v>150</v>
      </c>
      <c r="U42" s="70" t="s">
        <v>159</v>
      </c>
      <c r="V42" s="70" t="s">
        <v>164</v>
      </c>
      <c r="W42" s="70" t="s">
        <v>168</v>
      </c>
      <c r="X42" s="70" t="s">
        <v>172</v>
      </c>
      <c r="Y42" s="70" t="s">
        <v>178</v>
      </c>
      <c r="Z42" s="70" t="s">
        <v>193</v>
      </c>
      <c r="AA42" s="70" t="s">
        <v>198</v>
      </c>
      <c r="AB42" s="70" t="s">
        <v>203</v>
      </c>
      <c r="AC42" s="70" t="s">
        <v>206</v>
      </c>
      <c r="AD42" s="70" t="s">
        <v>210</v>
      </c>
      <c r="AE42" s="70" t="s">
        <v>219</v>
      </c>
      <c r="AF42" s="70" t="s">
        <v>224</v>
      </c>
      <c r="AG42" s="70" t="s">
        <v>224</v>
      </c>
      <c r="AH42" s="70" t="str">
        <f t="shared" ref="AH42:AL42" si="46">AH34</f>
        <v>4 T 2016</v>
      </c>
      <c r="AI42" s="70" t="str">
        <f t="shared" si="46"/>
        <v>1 T 2017</v>
      </c>
      <c r="AJ42" s="70" t="str">
        <f t="shared" si="46"/>
        <v>2 T 2017</v>
      </c>
      <c r="AK42" s="70" t="str">
        <f t="shared" si="46"/>
        <v>3 T 2017</v>
      </c>
      <c r="AL42" s="70" t="str">
        <f t="shared" si="46"/>
        <v>4 T 2017</v>
      </c>
      <c r="AM42" s="70" t="str">
        <f t="shared" ref="AM42:AR42" si="47">AM34</f>
        <v>1 T 2018</v>
      </c>
      <c r="AN42" s="70" t="str">
        <f t="shared" si="47"/>
        <v>2 T 2018</v>
      </c>
      <c r="AO42" s="70" t="str">
        <f t="shared" si="47"/>
        <v>3 T 2018</v>
      </c>
      <c r="AP42" s="70" t="str">
        <f t="shared" si="47"/>
        <v>4 T 2018</v>
      </c>
      <c r="AQ42" s="70" t="str">
        <f t="shared" si="47"/>
        <v>1 T 2019</v>
      </c>
      <c r="AR42" s="255" t="str">
        <f t="shared" si="47"/>
        <v>2 T 2019</v>
      </c>
      <c r="AS42" s="196" t="str">
        <f t="shared" ref="AS42:AT42" si="48">AS34</f>
        <v>3 T 2019</v>
      </c>
      <c r="AT42" s="196" t="str">
        <f t="shared" si="48"/>
        <v>4 T 2019</v>
      </c>
      <c r="AU42" s="196" t="str">
        <f t="shared" ref="AU42:AV42" si="49">AU34</f>
        <v>1 T 2020</v>
      </c>
      <c r="AV42" s="196" t="str">
        <f t="shared" si="49"/>
        <v>2 T 2020</v>
      </c>
      <c r="AW42" s="196" t="str">
        <f t="shared" ref="AW42" si="50">AW34</f>
        <v>3 T 2020</v>
      </c>
      <c r="AX42" s="196" t="str">
        <f t="shared" ref="AX42" si="51">AX34</f>
        <v>4 T 2020</v>
      </c>
      <c r="AY42" s="196" t="str">
        <f t="shared" ref="AY42:AZ42" si="52">AY34</f>
        <v>1 T 2021</v>
      </c>
      <c r="AZ42" s="196" t="str">
        <f t="shared" si="52"/>
        <v>2 T 2021</v>
      </c>
      <c r="BA42" s="196" t="str">
        <f t="shared" ref="BA42:BB42" si="53">BA34</f>
        <v>3 T 2021</v>
      </c>
      <c r="BB42" s="196" t="str">
        <f t="shared" si="53"/>
        <v>4T 2021</v>
      </c>
      <c r="BC42" s="196" t="str">
        <f t="shared" ref="BC42:BD42" si="54">BC34</f>
        <v>1T 2022</v>
      </c>
      <c r="BD42" s="196" t="str">
        <f t="shared" si="54"/>
        <v>2T 2022</v>
      </c>
      <c r="BE42" s="196" t="str">
        <f t="shared" ref="BE42:BF42" si="55">BE34</f>
        <v>3T 2022</v>
      </c>
      <c r="BF42" s="196" t="str">
        <f t="shared" si="55"/>
        <v>4T 2022</v>
      </c>
      <c r="BG42" s="196" t="str">
        <f t="shared" ref="BG42:BH42" si="56">BG34</f>
        <v>1T 2023</v>
      </c>
      <c r="BH42" s="196" t="str">
        <f t="shared" si="56"/>
        <v>2T 2023</v>
      </c>
      <c r="BI42" s="196" t="str">
        <f t="shared" ref="BI42:BJ42" si="57">BI34</f>
        <v>3T 2023</v>
      </c>
      <c r="BJ42" s="196" t="str">
        <f t="shared" si="57"/>
        <v>4T 2023</v>
      </c>
      <c r="BK42" s="196" t="str">
        <f t="shared" ref="BK42:BL42" si="58">BK34</f>
        <v>1T 2024</v>
      </c>
      <c r="BL42" s="196" t="str">
        <f t="shared" si="58"/>
        <v>2T 2024</v>
      </c>
      <c r="BM42" s="196" t="str">
        <f t="shared" ref="BM42:BN42" si="59">BM34</f>
        <v>3T 2024</v>
      </c>
      <c r="BN42" s="196" t="str">
        <f t="shared" si="59"/>
        <v>4T 2024</v>
      </c>
    </row>
    <row r="43" spans="1:66" ht="12" thickBot="1" x14ac:dyDescent="0.3">
      <c r="A43" s="46" t="s">
        <v>381</v>
      </c>
      <c r="F43" s="74">
        <f>'retraites SA Nb'!$P44-'retraites SA Nb'!$D44</f>
        <v>0.76744679786308723</v>
      </c>
      <c r="G43" s="74">
        <f>'retraites SA Nb'!$S44-'retraites SA Nb'!$G44</f>
        <v>0.97203278370606938</v>
      </c>
      <c r="H43" s="74">
        <f>'retraites SA Nb'!$V44-'retraites SA Nb'!$J44</f>
        <v>1.1552304146610908</v>
      </c>
      <c r="I43" s="74">
        <f>'retraites SA Nb'!$Y44-'retraites SA Nb'!$M44</f>
        <v>1.1383482388144159</v>
      </c>
      <c r="J43" s="74">
        <f>'retraites SA Nb'!$AB44-'retraites SA Nb'!$P44</f>
        <v>0.98989407859041023</v>
      </c>
      <c r="K43" s="74">
        <f>'retraites SA Nb'!$AE44-'retraites SA Nb'!$S44</f>
        <v>0.99064723087154505</v>
      </c>
      <c r="L43" s="74">
        <f>'retraites SA Nb'!$AH44-'retraites SA Nb'!$V44</f>
        <v>0.78631492090612198</v>
      </c>
      <c r="M43" s="74">
        <f>'retraites SA Nb'!$AK44-'retraites SA Nb'!$Y44</f>
        <v>0.54066751063217566</v>
      </c>
      <c r="N43" s="74">
        <f>'retraites SA Nb'!$AN44-'retraites SA Nb'!$AB44</f>
        <v>0.83357124076025002</v>
      </c>
      <c r="O43" s="74">
        <f>'retraites SA Nb'!$AQ44-'retraites SA Nb'!$AE44</f>
        <v>0.80997285897704785</v>
      </c>
      <c r="P43" s="74">
        <f>'retraites SA Nb'!$AT44-'retraites SA Nb'!$AH44</f>
        <v>0.79314202853548466</v>
      </c>
      <c r="Q43" s="74">
        <f>'retraites SA Nb'!$AW44-'retraites SA Nb'!$AK44</f>
        <v>0.97942657929911547</v>
      </c>
      <c r="R43" s="74">
        <f>'retraites SA Nb'!$AZ44-'retraites SA Nb'!$AN44</f>
        <v>0.75884133806407306</v>
      </c>
      <c r="S43" s="74">
        <f>'retraites SA Nb'!$BC44-'retraites SA Nb'!$AQ44</f>
        <v>0.74464618021065121</v>
      </c>
      <c r="T43" s="74">
        <f>'retraites SA Nb'!$BF44-'retraites SA Nb'!$AT44</f>
        <v>0.72694150325068563</v>
      </c>
      <c r="U43" s="74">
        <f>'retraites SA Nb'!$BI44-'retraites SA Nb'!$AW44</f>
        <v>0.76658199253181181</v>
      </c>
      <c r="V43" s="74">
        <f>'retraites SA Nb'!$BL44-'retraites SA Nb'!$AZ44</f>
        <v>0.79710262063457549</v>
      </c>
      <c r="W43" s="74">
        <f>'retraites SA Nb'!$BO44-'retraites SA Nb'!$BC44</f>
        <v>0.76986842369650788</v>
      </c>
      <c r="X43" s="74">
        <f>'retraites SA Nb'!$BR44-'retraites SA Nb'!$BF44</f>
        <v>0.75120916416636874</v>
      </c>
      <c r="Y43" s="74">
        <f>'retraites SA Nb'!$BU44-'retraites SA Nb'!$BI44</f>
        <v>0.71419960992339782</v>
      </c>
      <c r="Z43" s="74">
        <f>'retraites SA Nb'!$BX44-'retraites SA Nb'!$BL44</f>
        <v>0.72556443814512761</v>
      </c>
      <c r="AA43" s="74">
        <f>'retraites SA Nb'!$CA44-'retraites SA Nb'!$BO44</f>
        <v>0.73921562934211238</v>
      </c>
      <c r="AB43" s="74">
        <f>'retraites SA Nb'!$CG44-'retraites SA Nb'!$BR44</f>
        <v>0.8987280552432253</v>
      </c>
      <c r="AC43" s="74">
        <f>'retraites SA Nb'!$CG44-'retraites SA Nb'!$BU44</f>
        <v>0.70978762175150223</v>
      </c>
      <c r="AD43" s="74">
        <f>'retraites SA Nb'!$CJ44-'retraites SA Nb'!$BX44</f>
        <v>0.690874893505665</v>
      </c>
      <c r="AE43" s="74">
        <f>'retraites SA Nb'!$CM44-'retraites SA Nb'!$CA44</f>
        <v>0.68123024905895591</v>
      </c>
      <c r="AF43" s="74">
        <f>'retraites SA Nb'!$CS44-'retraites SA Nb'!$CG44</f>
        <v>0.66607457472181864</v>
      </c>
      <c r="AG43" s="74">
        <f>'retraites SA Nb'!$CS44-'retraites SA Nb'!$CG44</f>
        <v>0.66607457472181864</v>
      </c>
      <c r="AH43" s="74">
        <f>'retraites SA Nb'!$CV44-'retraites SA Nb'!$CJ44</f>
        <v>0.62602844415603442</v>
      </c>
      <c r="AI43" s="74">
        <f>'retraites SA Nb'!$CY44-'retraites SA Nb'!$CM44</f>
        <v>0.61158945246438634</v>
      </c>
      <c r="AJ43" s="74">
        <f>'retraites SA Nb'!$DB44-'retraites SA Nb'!$CP44</f>
        <v>0.44081886636813294</v>
      </c>
      <c r="AK43" s="74">
        <f>'retraites SA Nb'!$DE44-'retraites SA Nb'!$CS44</f>
        <v>0.52022271939696907</v>
      </c>
      <c r="AL43" s="74">
        <f>'retraites SA Nb'!$DH44-'retraites SA Nb'!$CV44</f>
        <v>0.45102335698200591</v>
      </c>
      <c r="AM43" s="74">
        <f>'retraites SA Nb'!$DK44-'retraites SA Nb'!$CY44</f>
        <v>0.33343195467263342</v>
      </c>
      <c r="AN43" s="74">
        <f>'retraites SA Nb'!$DN44-'retraites SA Nb'!$DB44</f>
        <v>0.22801706359982177</v>
      </c>
      <c r="AO43" s="74">
        <f>'retraites SA Nb'!$DQ44-'retraites SA Nb'!$DE44</f>
        <v>0.17011230556812507</v>
      </c>
      <c r="AP43" s="74">
        <f>'retraites SA Nb'!$DT44-'retraites SA Nb'!$DH44</f>
        <v>0.12099041018537093</v>
      </c>
      <c r="AQ43" s="74">
        <f>'retraites SA Nb'!DU44-'retraites SA Nb'!DI44</f>
        <v>3.1108707194817953E-3</v>
      </c>
      <c r="AR43" s="257">
        <f>'retraites SA Nb'!$DZ44-'retraites SA Nb'!$DN44</f>
        <v>3.5454382608392621E-2</v>
      </c>
      <c r="AS43" s="263">
        <f>'retraites SA Nb'!$EC44-'retraites SA Nb'!$DQ44</f>
        <v>-5.5485696441337495E-3</v>
      </c>
      <c r="AT43" s="263">
        <f>'retraites SA Nb'!$EF44-'retraites SA Nb'!$DT44</f>
        <v>-2.3634572817954336E-2</v>
      </c>
      <c r="AU43" s="263">
        <f>'retraites SA Nb'!$EI44-'retraites SA Nb'!$DW44</f>
        <v>-5.6156656575595321E-2</v>
      </c>
      <c r="AV43" s="263">
        <f>'retraites SA Nb'!$EL44-'retraites SA Nb'!$DZ44</f>
        <v>-7.4037902457618543E-2</v>
      </c>
      <c r="AW43" s="263">
        <f>'retraites SA Nb'!$EO44-'retraites SA Nb'!$EC44</f>
        <v>-2.4986203555201314E-2</v>
      </c>
      <c r="AX43" s="263">
        <f>'retraites SA Nb'!$ER44-'retraites SA Nb'!$EF44</f>
        <v>3.0252207008047094E-2</v>
      </c>
      <c r="AY43" s="263">
        <f>'retraites SA Nb'!$EU44-'retraites SA Nb'!$EI44</f>
        <v>1.3952528720366786E-2</v>
      </c>
      <c r="AZ43" s="263">
        <f>'retraites SA Nb'!$EX44-'retraites SA Nb'!$EL44</f>
        <v>1.1523141989755459E-3</v>
      </c>
      <c r="BA43" s="263">
        <f>'retraites SA Nb'!$FA44-'retraites SA Nb'!$EO44</f>
        <v>-6.2229079696564327E-2</v>
      </c>
      <c r="BB43" s="263">
        <f>'retraites SA Nb'!$FD44-'retraites SA Nb'!$ER44</f>
        <v>-15.016103216636026</v>
      </c>
      <c r="BC43" s="263">
        <f>'retraites SA Nb'!$FG44-'retraites SA Nb'!$EU44</f>
        <v>-14.526494422268684</v>
      </c>
      <c r="BD43" s="263">
        <f>'retraites SA Nb'!$FJ44-'retraites SA Nb'!$EX44</f>
        <v>-14.328393159644122</v>
      </c>
      <c r="BE43" s="263">
        <f>'retraites SA Nb'!$FM44-'retraites SA Nb'!$FA44</f>
        <v>-14.207563387836103</v>
      </c>
      <c r="BF43" s="297">
        <f>'retraites SA Nb'!$FP44-'retraites SA Nb'!$FD44</f>
        <v>0.82271333861994833</v>
      </c>
      <c r="BG43" s="297">
        <f>'retraites SA Nb'!$FS44-'retraites SA Nb'!$FG44</f>
        <v>-0.59337970799171558</v>
      </c>
      <c r="BH43" s="297">
        <f>'retraites SA Nb'!$FV44-'retraites SA Nb'!$FJ44</f>
        <v>0.40721301188328596</v>
      </c>
      <c r="BI43" s="297">
        <f>'retraites SA Nb'!$FY44-'retraites SA Nb'!$FM44</f>
        <v>0.35683463846865493</v>
      </c>
      <c r="BJ43" s="297">
        <f>'retraites SA Nb'!$GB44-'retraites SA Nb'!$FP44</f>
        <v>0.33991470798895307</v>
      </c>
      <c r="BK43" s="297">
        <f>'retraites SA Nb'!$GE44-'retraites SA Nb'!$FS44</f>
        <v>0.32475089339480689</v>
      </c>
      <c r="BL43" s="297">
        <f>'retraites SA Nb'!$GH44-'retraites SA Nb'!$FV44</f>
        <v>0.3494540491322482</v>
      </c>
      <c r="BM43" s="297">
        <f>'retraites SA Nb'!$GK44-'retraites SA Nb'!$FY44</f>
        <v>0.35316107665252616</v>
      </c>
      <c r="BN43" s="297">
        <f>'retraites SA Nb'!$GN44-'retraites SA Nb'!$GB44</f>
        <v>-0.24867012457636406</v>
      </c>
    </row>
    <row r="44" spans="1:66" x14ac:dyDescent="0.25">
      <c r="A44" s="3"/>
      <c r="P44" s="4"/>
      <c r="BJ44" s="126"/>
      <c r="BK44" s="126"/>
      <c r="BL44" s="126"/>
      <c r="BM44" s="126"/>
      <c r="BN44" s="126"/>
    </row>
    <row r="45" spans="1:66" x14ac:dyDescent="0.25">
      <c r="A45" s="3" t="s">
        <v>13</v>
      </c>
      <c r="P45" s="4"/>
      <c r="BJ45" s="126"/>
      <c r="BK45" s="126"/>
      <c r="BL45" s="126"/>
      <c r="BM45" s="126"/>
      <c r="BN45" s="126"/>
    </row>
    <row r="46" spans="1:66" s="32" customFormat="1" x14ac:dyDescent="0.25">
      <c r="A46" s="3"/>
      <c r="AR46" s="254"/>
      <c r="AS46" s="260"/>
      <c r="AT46" s="260"/>
      <c r="AU46" s="260"/>
      <c r="AV46" s="260"/>
      <c r="AW46" s="260"/>
      <c r="AX46" s="260"/>
      <c r="AY46" s="260"/>
      <c r="AZ46" s="260"/>
      <c r="BA46" s="260"/>
      <c r="BB46" s="260"/>
      <c r="BC46" s="260"/>
      <c r="BD46" s="260"/>
      <c r="BE46" s="260"/>
      <c r="BF46" s="260"/>
      <c r="BG46" s="260"/>
      <c r="BH46" s="260"/>
      <c r="BI46" s="260"/>
      <c r="BJ46" s="260"/>
      <c r="BK46" s="260"/>
      <c r="BL46" s="260"/>
      <c r="BM46" s="260"/>
      <c r="BN46" s="260"/>
    </row>
    <row r="47" spans="1:66" ht="12.5" thickBot="1" x14ac:dyDescent="0.35">
      <c r="A47" s="75" t="s">
        <v>49</v>
      </c>
      <c r="B47" s="70" t="str">
        <f>B6</f>
        <v>4 T2008</v>
      </c>
      <c r="C47" s="70" t="str">
        <f t="shared" ref="C47:L47" si="60">C6</f>
        <v>1 T 2009</v>
      </c>
      <c r="D47" s="70" t="str">
        <f t="shared" si="60"/>
        <v>2 T 2009</v>
      </c>
      <c r="E47" s="70" t="str">
        <f t="shared" si="60"/>
        <v>3 T 2009</v>
      </c>
      <c r="F47" s="70" t="str">
        <f t="shared" si="60"/>
        <v>4 T 2009</v>
      </c>
      <c r="G47" s="70" t="str">
        <f t="shared" si="60"/>
        <v>1 T 2010</v>
      </c>
      <c r="H47" s="70" t="str">
        <f t="shared" si="60"/>
        <v>2 T 2010</v>
      </c>
      <c r="I47" s="70" t="str">
        <f t="shared" si="60"/>
        <v>3 T 2010</v>
      </c>
      <c r="J47" s="70" t="str">
        <f t="shared" si="60"/>
        <v>4 T 2010</v>
      </c>
      <c r="K47" s="70" t="str">
        <f t="shared" si="60"/>
        <v>1 T 2011</v>
      </c>
      <c r="L47" s="70" t="str">
        <f t="shared" si="60"/>
        <v>2 T 2011</v>
      </c>
      <c r="M47" s="70" t="str">
        <f>M6</f>
        <v>3 T 2011</v>
      </c>
      <c r="N47" s="70" t="str">
        <f>N6</f>
        <v>4 T 2011</v>
      </c>
      <c r="O47" s="70" t="s">
        <v>106</v>
      </c>
      <c r="P47" s="70" t="s">
        <v>111</v>
      </c>
      <c r="Q47" s="70" t="s">
        <v>135</v>
      </c>
      <c r="R47" s="70" t="s">
        <v>141</v>
      </c>
      <c r="S47" s="70" t="s">
        <v>145</v>
      </c>
      <c r="T47" s="70" t="s">
        <v>150</v>
      </c>
      <c r="U47" s="70" t="s">
        <v>159</v>
      </c>
      <c r="V47" s="70" t="s">
        <v>164</v>
      </c>
      <c r="W47" s="70" t="s">
        <v>168</v>
      </c>
      <c r="X47" s="70" t="s">
        <v>172</v>
      </c>
      <c r="Y47" s="70" t="s">
        <v>178</v>
      </c>
      <c r="Z47" s="70" t="s">
        <v>193</v>
      </c>
      <c r="AA47" s="70" t="s">
        <v>198</v>
      </c>
      <c r="AB47" s="70" t="s">
        <v>203</v>
      </c>
      <c r="AC47" s="70" t="s">
        <v>206</v>
      </c>
      <c r="AD47" s="70" t="s">
        <v>210</v>
      </c>
      <c r="AE47" s="70" t="s">
        <v>219</v>
      </c>
      <c r="AF47" s="70" t="s">
        <v>224</v>
      </c>
      <c r="AG47" s="70" t="s">
        <v>224</v>
      </c>
      <c r="AH47" s="70" t="str">
        <f t="shared" ref="AH47:AL47" si="61">AH42</f>
        <v>4 T 2016</v>
      </c>
      <c r="AI47" s="70" t="str">
        <f t="shared" si="61"/>
        <v>1 T 2017</v>
      </c>
      <c r="AJ47" s="70" t="str">
        <f t="shared" si="61"/>
        <v>2 T 2017</v>
      </c>
      <c r="AK47" s="70" t="str">
        <f t="shared" si="61"/>
        <v>3 T 2017</v>
      </c>
      <c r="AL47" s="70" t="str">
        <f t="shared" si="61"/>
        <v>4 T 2017</v>
      </c>
      <c r="AM47" s="70" t="str">
        <f t="shared" ref="AM47:AR47" si="62">AM42</f>
        <v>1 T 2018</v>
      </c>
      <c r="AN47" s="70" t="str">
        <f t="shared" si="62"/>
        <v>2 T 2018</v>
      </c>
      <c r="AO47" s="70" t="str">
        <f t="shared" si="62"/>
        <v>3 T 2018</v>
      </c>
      <c r="AP47" s="70" t="str">
        <f t="shared" si="62"/>
        <v>4 T 2018</v>
      </c>
      <c r="AQ47" s="70" t="str">
        <f t="shared" si="62"/>
        <v>1 T 2019</v>
      </c>
      <c r="AR47" s="255" t="str">
        <f t="shared" si="62"/>
        <v>2 T 2019</v>
      </c>
      <c r="AS47" s="196" t="str">
        <f t="shared" ref="AS47:AT47" si="63">AS42</f>
        <v>3 T 2019</v>
      </c>
      <c r="AT47" s="196" t="str">
        <f t="shared" si="63"/>
        <v>4 T 2019</v>
      </c>
      <c r="AU47" s="196" t="str">
        <f t="shared" ref="AU47:AV47" si="64">AU42</f>
        <v>1 T 2020</v>
      </c>
      <c r="AV47" s="196" t="str">
        <f t="shared" si="64"/>
        <v>2 T 2020</v>
      </c>
      <c r="AW47" s="196" t="str">
        <f t="shared" ref="AW47" si="65">AW42</f>
        <v>3 T 2020</v>
      </c>
      <c r="AX47" s="196" t="str">
        <f t="shared" ref="AX47" si="66">AX42</f>
        <v>4 T 2020</v>
      </c>
      <c r="AY47" s="196" t="str">
        <f t="shared" ref="AY47:AZ47" si="67">AY42</f>
        <v>1 T 2021</v>
      </c>
      <c r="AZ47" s="196" t="str">
        <f t="shared" si="67"/>
        <v>2 T 2021</v>
      </c>
      <c r="BA47" s="196" t="str">
        <f t="shared" ref="BA47:BB47" si="68">BA42</f>
        <v>3 T 2021</v>
      </c>
      <c r="BB47" s="196" t="str">
        <f t="shared" si="68"/>
        <v>4T 2021</v>
      </c>
      <c r="BC47" s="196" t="str">
        <f t="shared" ref="BC47:BD47" si="69">BC42</f>
        <v>1T 2022</v>
      </c>
      <c r="BD47" s="196" t="str">
        <f t="shared" si="69"/>
        <v>2T 2022</v>
      </c>
      <c r="BE47" s="196" t="str">
        <f t="shared" ref="BE47:BF47" si="70">BE42</f>
        <v>3T 2022</v>
      </c>
      <c r="BF47" s="196" t="str">
        <f t="shared" si="70"/>
        <v>4T 2022</v>
      </c>
      <c r="BG47" s="196" t="str">
        <f t="shared" ref="BG47:BH47" si="71">BG42</f>
        <v>1T 2023</v>
      </c>
      <c r="BH47" s="196" t="str">
        <f t="shared" si="71"/>
        <v>2T 2023</v>
      </c>
      <c r="BI47" s="196" t="str">
        <f t="shared" ref="BI47:BJ47" si="72">BI42</f>
        <v>3T 2023</v>
      </c>
      <c r="BJ47" s="196" t="str">
        <f t="shared" si="72"/>
        <v>4T 2023</v>
      </c>
      <c r="BK47" s="196" t="str">
        <f t="shared" ref="BK47:BL47" si="73">BK42</f>
        <v>1T 2024</v>
      </c>
      <c r="BL47" s="196" t="str">
        <f t="shared" si="73"/>
        <v>2T 2024</v>
      </c>
      <c r="BM47" s="196" t="str">
        <f t="shared" ref="BM47:BN47" si="74">BM42</f>
        <v>3T 2024</v>
      </c>
      <c r="BN47" s="196" t="str">
        <f t="shared" si="74"/>
        <v>4T 2024</v>
      </c>
    </row>
    <row r="48" spans="1:66" ht="12" thickBot="1" x14ac:dyDescent="0.3">
      <c r="A48" s="46" t="s">
        <v>14</v>
      </c>
      <c r="F48" s="73">
        <f>'retraites SA Nb'!$P48-'retraites SA Nb'!$D48</f>
        <v>2.7200000000000557E-2</v>
      </c>
      <c r="G48" s="73">
        <f>'retraites SA Nb'!$S48-'retraites SA Nb'!$G48</f>
        <v>-0.14639999999999986</v>
      </c>
      <c r="H48" s="73">
        <f>'retraites SA Nb'!$V48-'retraites SA Nb'!$J48</f>
        <v>4.3000000000006366E-3</v>
      </c>
      <c r="I48" s="73">
        <f>'retraites SA Nb'!$Y48-'retraites SA Nb'!$M48</f>
        <v>7.4399999999997135E-2</v>
      </c>
      <c r="J48" s="73">
        <f>'retraites SA Nb'!$AB48-'retraites SA Nb'!$P48</f>
        <v>-9.2199999999998283E-2</v>
      </c>
      <c r="K48" s="73">
        <f>'retraites SA Nb'!$AE48-'retraites SA Nb'!$S48</f>
        <v>-5.8500000000002217E-2</v>
      </c>
      <c r="L48" s="73">
        <f>'retraites SA Nb'!$AH48-'retraites SA Nb'!$V48</f>
        <v>-0.23380000000000223</v>
      </c>
      <c r="M48" s="73">
        <f>'retraites SA Nb'!$AK48-'retraites SA Nb'!$Y48</f>
        <v>-0.21419999999999817</v>
      </c>
      <c r="N48" s="73">
        <f>'retraites SA Nb'!$AN48-'retraites SA Nb'!$AB48</f>
        <v>-5.6000000000004491E-2</v>
      </c>
      <c r="O48" s="73">
        <f>'retraites SA Nb'!$AQ48-'retraites SA Nb'!$AE48</f>
        <v>1.1899999999997135E-2</v>
      </c>
      <c r="P48" s="73">
        <f>'retraites SA Nb'!$AT48-'retraites SA Nb'!$AH48</f>
        <v>7.40000000000407E-3</v>
      </c>
      <c r="Q48" s="73">
        <f>'retraites SA Nb'!$AW48-'retraites SA Nb'!$AK48</f>
        <v>-6.0999999999999943E-2</v>
      </c>
      <c r="R48" s="73">
        <f>'retraites SA Nb'!$AZ48-'retraites SA Nb'!$AN48</f>
        <v>6.2300000000000466E-2</v>
      </c>
      <c r="S48" s="73">
        <f>'retraites SA Nb'!$BC48-'retraites SA Nb'!$AQ48</f>
        <v>6.8800000000003081E-2</v>
      </c>
      <c r="T48" s="73">
        <f>'retraites SA Nb'!$BF48-'retraites SA Nb'!$AT48</f>
        <v>0.15989999999999327</v>
      </c>
      <c r="U48" s="73">
        <f>'retraites SA Nb'!$BI48-'retraites SA Nb'!$AW48</f>
        <v>0.13380000000000081</v>
      </c>
      <c r="V48" s="73">
        <f>'retraites SA Nb'!$BL48-'retraites SA Nb'!$AZ48</f>
        <v>-5.2999999999997272E-2</v>
      </c>
      <c r="W48" s="73">
        <f>'retraites SA Nb'!$BO48-'retraites SA Nb'!$BC48</f>
        <v>-0.17790000000000106</v>
      </c>
      <c r="X48" s="73">
        <f>'retraites SA Nb'!$BR48-'retraites SA Nb'!$BF48</f>
        <v>-0.27649999999999864</v>
      </c>
      <c r="Y48" s="73">
        <f>'retraites SA Nb'!$BU48-'retraites SA Nb'!$BI48</f>
        <v>-0.23940000000000339</v>
      </c>
      <c r="Z48" s="73">
        <f>'retraites SA Nb'!$BX48-'retraites SA Nb'!$BL48</f>
        <v>-0.20660000000000167</v>
      </c>
      <c r="AA48" s="73">
        <f>'retraites SA Nb'!$CA48-'retraites SA Nb'!$BO48</f>
        <v>-0.19780000000000086</v>
      </c>
      <c r="AB48" s="73">
        <f>'retraites SA Nb'!$CG48-'retraites SA Nb'!$BR48</f>
        <v>-0.301400000000001</v>
      </c>
      <c r="AC48" s="73">
        <f>'retraites SA Nb'!$CG48-'retraites SA Nb'!$BU48</f>
        <v>-0.24380000000000024</v>
      </c>
      <c r="AD48" s="73">
        <f>'retraites SA Nb'!$CJ48-'retraites SA Nb'!$BX48</f>
        <v>-0.21809999999999974</v>
      </c>
      <c r="AE48" s="73">
        <f>'retraites SA Nb'!$CM48-'retraites SA Nb'!$CA48</f>
        <v>-0.24289999999999878</v>
      </c>
      <c r="AF48" s="73">
        <f>'retraites SA Nb'!$CS48-'retraites SA Nb'!$CG48</f>
        <v>-0.21679999999999922</v>
      </c>
      <c r="AG48" s="73">
        <f>'retraites SA Nb'!$CS48-'retraites SA Nb'!$CG48</f>
        <v>-0.21679999999999922</v>
      </c>
      <c r="AH48" s="73">
        <f>'retraites SA Nb'!$CV48-'retraites SA Nb'!$CJ48</f>
        <v>-0.20989999999999753</v>
      </c>
      <c r="AI48" s="73">
        <f>'retraites SA Nb'!$CY48-'retraites SA Nb'!$CM48</f>
        <v>-0.17929999999999779</v>
      </c>
      <c r="AJ48" s="73">
        <f>'retraites SA Nb'!$DB48-'retraites SA Nb'!$CP48</f>
        <v>-0.16920000000000357</v>
      </c>
      <c r="AK48" s="73">
        <f>'retraites SA Nb'!$DE48-'retraites SA Nb'!$CS48</f>
        <v>4.9600000000005195E-2</v>
      </c>
      <c r="AL48" s="73">
        <f>'retraites SA Nb'!$DH48-'retraites SA Nb'!$CV48</f>
        <v>0.33849999999999625</v>
      </c>
      <c r="AM48" s="73">
        <f>'retraites SA Nb'!$DK48-'retraites SA Nb'!$CY48</f>
        <v>0.73379999999999512</v>
      </c>
      <c r="AN48" s="73">
        <f>'retraites SA Nb'!$DN48-'retraites SA Nb'!$DB48</f>
        <v>1.0617000000000019</v>
      </c>
      <c r="AO48" s="73">
        <f>'retraites SA Nb'!$DQ48-'retraites SA Nb'!$DE48</f>
        <v>1.1995999999999967</v>
      </c>
      <c r="AP48" s="73">
        <f>'retraites SA Nb'!$DT48-'retraites SA Nb'!$DH48</f>
        <v>1.2842000000000056</v>
      </c>
      <c r="AQ48" s="73">
        <f>'retraites SA Nb'!$DW48-'retraites SA Nb'!$DK48</f>
        <v>1.3358000000000061</v>
      </c>
      <c r="AR48" s="256">
        <f>'retraites SA Nb'!$DZ48-'retraites SA Nb'!$DN48</f>
        <v>1.4159000000000006</v>
      </c>
      <c r="AS48" s="262">
        <f>'retraites SA Nb'!$EC48-'retraites SA Nb'!$DQ48</f>
        <v>1.5512999999999977</v>
      </c>
      <c r="AT48" s="262">
        <f>'retraites SA Nb'!$EF48-'retraites SA Nb'!$DT48</f>
        <v>1.4914999999999949</v>
      </c>
      <c r="AU48" s="262">
        <f>'retraites SA Nb'!$EI48-'retraites SA Nb'!$DW48</f>
        <v>1.5290999999999997</v>
      </c>
      <c r="AV48" s="262">
        <f>'retraites SA Nb'!$EL48-'retraites SA Nb'!$DZ48</f>
        <v>1.5512999999999977</v>
      </c>
      <c r="AW48" s="262">
        <f>'retraites SA Nb'!$EO48-'retraites SA Nb'!$EC48</f>
        <v>1.4891000000000005</v>
      </c>
      <c r="AX48" s="262">
        <f>'retraites SA Nb'!$ER48-'retraites SA Nb'!$EF48</f>
        <v>1.6322000000000045</v>
      </c>
      <c r="AY48" s="262">
        <f>'retraites SA Nb'!$EU48-'retraites SA Nb'!$EI48</f>
        <v>1.6701999999999941</v>
      </c>
      <c r="AZ48" s="262">
        <f>'retraites SA Nb'!$EX48-'retraites SA Nb'!$EL48</f>
        <v>1.6754999999999995</v>
      </c>
      <c r="BA48" s="262">
        <f>'retraites SA Nb'!$FA48-'retraites SA Nb'!$EO48</f>
        <v>1.7094000000000023</v>
      </c>
      <c r="BB48" s="262">
        <f>'retraites SA Nb'!$FD48-'retraites SA Nb'!$ER48</f>
        <v>1.6798076162249984</v>
      </c>
      <c r="BC48" s="262">
        <f>'retraites SA Nb'!$FG48-'retraites SA Nb'!$EU48</f>
        <v>1.7130762083979008</v>
      </c>
      <c r="BD48" s="262">
        <f>'retraites SA Nb'!$FJ48-'retraites SA Nb'!$EX48</f>
        <v>1.748637222937802</v>
      </c>
      <c r="BE48" s="262">
        <f>'retraites SA Nb'!$FM48-'retraites SA Nb'!$FA48</f>
        <v>1.7667990954944983</v>
      </c>
      <c r="BF48" s="262">
        <f>'retraites SA Nb'!$FP48-'retraites SA Nb'!$FD48</f>
        <v>1.7860186350389995</v>
      </c>
      <c r="BG48" s="262">
        <f>'retraites SA Nb'!$FS48-'retraites SA Nb'!$FG48</f>
        <v>1.8256051354273026</v>
      </c>
      <c r="BH48" s="262">
        <f>'retraites SA Nb'!$FV48-'retraites SA Nb'!$FJ48</f>
        <v>1.8947069691799001</v>
      </c>
      <c r="BI48" s="262">
        <f>'retraites SA Nb'!$FY48-'retraites SA Nb'!$FM48</f>
        <v>1.9132975663342009</v>
      </c>
      <c r="BJ48" s="262">
        <f>'retraites SA Nb'!$GB48-'retraites SA Nb'!$FP48</f>
        <v>1.8070743440802985</v>
      </c>
      <c r="BK48" s="262">
        <f>'retraites SA Nb'!$GE48-'retraites SA Nb'!$FS48</f>
        <v>1.7239560345431002</v>
      </c>
      <c r="BL48" s="262">
        <f>'retraites SA Nb'!$GH48-'retraites SA Nb'!$FV48</f>
        <v>1.6045877491758986</v>
      </c>
      <c r="BM48" s="262">
        <f>'retraites SA Nb'!$GK48-'retraites SA Nb'!$FY48</f>
        <v>1.5758843831115001</v>
      </c>
      <c r="BN48" s="262">
        <f>'retraites SA Nb'!$GN48-'retraites SA Nb'!$GB48</f>
        <v>1.6757498641314044</v>
      </c>
    </row>
    <row r="49" spans="1:66" x14ac:dyDescent="0.25">
      <c r="A49" s="3"/>
      <c r="P49" s="4"/>
      <c r="Q49" s="76"/>
      <c r="BJ49" s="126"/>
      <c r="BK49" s="126"/>
      <c r="BL49" s="126"/>
      <c r="BM49" s="126"/>
      <c r="BN49" s="126"/>
    </row>
    <row r="50" spans="1:66" x14ac:dyDescent="0.25">
      <c r="A50" s="3" t="s">
        <v>392</v>
      </c>
      <c r="P50" s="4"/>
      <c r="Q50" s="76"/>
      <c r="BB50" s="298" t="s">
        <v>373</v>
      </c>
      <c r="BC50" s="298"/>
      <c r="BD50" s="298"/>
      <c r="BE50" s="298"/>
      <c r="BF50" s="298"/>
      <c r="BG50" s="298"/>
      <c r="BH50" s="298"/>
      <c r="BI50" s="298"/>
      <c r="BJ50" s="298"/>
      <c r="BK50" s="298"/>
      <c r="BL50" s="298"/>
      <c r="BM50" s="298"/>
      <c r="BN50" s="298"/>
    </row>
    <row r="51" spans="1:66" s="32" customFormat="1" x14ac:dyDescent="0.25">
      <c r="A51" s="3"/>
      <c r="Q51" s="99"/>
      <c r="AR51" s="254"/>
      <c r="AS51" s="260"/>
      <c r="AT51" s="260"/>
      <c r="AU51" s="260"/>
      <c r="AV51" s="260"/>
      <c r="AW51" s="260"/>
      <c r="AX51" s="260"/>
      <c r="AY51" s="260"/>
      <c r="AZ51" s="260"/>
      <c r="BA51" s="260"/>
      <c r="BB51" s="298" t="s">
        <v>376</v>
      </c>
      <c r="BC51" s="298"/>
      <c r="BD51" s="298"/>
      <c r="BE51" s="298"/>
      <c r="BF51" s="298"/>
      <c r="BG51" s="298"/>
      <c r="BH51" s="298"/>
      <c r="BI51" s="298"/>
      <c r="BJ51" s="298"/>
      <c r="BK51" s="298"/>
      <c r="BL51" s="298"/>
      <c r="BM51" s="298"/>
      <c r="BN51" s="298"/>
    </row>
    <row r="52" spans="1:66" ht="12" thickBot="1" x14ac:dyDescent="0.3">
      <c r="A52" s="3"/>
      <c r="B52" s="70" t="str">
        <f>B6</f>
        <v>4 T2008</v>
      </c>
      <c r="C52" s="70" t="str">
        <f t="shared" ref="C52:L52" si="75">C6</f>
        <v>1 T 2009</v>
      </c>
      <c r="D52" s="70" t="str">
        <f t="shared" si="75"/>
        <v>2 T 2009</v>
      </c>
      <c r="E52" s="70" t="str">
        <f t="shared" si="75"/>
        <v>3 T 2009</v>
      </c>
      <c r="F52" s="70" t="str">
        <f t="shared" si="75"/>
        <v>4 T 2009</v>
      </c>
      <c r="G52" s="70" t="str">
        <f t="shared" si="75"/>
        <v>1 T 2010</v>
      </c>
      <c r="H52" s="70" t="str">
        <f t="shared" si="75"/>
        <v>2 T 2010</v>
      </c>
      <c r="I52" s="70" t="str">
        <f t="shared" si="75"/>
        <v>3 T 2010</v>
      </c>
      <c r="J52" s="70" t="str">
        <f t="shared" si="75"/>
        <v>4 T 2010</v>
      </c>
      <c r="K52" s="70" t="str">
        <f t="shared" si="75"/>
        <v>1 T 2011</v>
      </c>
      <c r="L52" s="70" t="str">
        <f t="shared" si="75"/>
        <v>2 T 2011</v>
      </c>
      <c r="M52" s="70" t="str">
        <f>M6</f>
        <v>3 T 2011</v>
      </c>
      <c r="N52" s="70" t="str">
        <f>N6</f>
        <v>4 T 2011</v>
      </c>
      <c r="O52" s="70" t="s">
        <v>106</v>
      </c>
      <c r="P52" s="70" t="s">
        <v>111</v>
      </c>
      <c r="Q52" s="70" t="s">
        <v>135</v>
      </c>
      <c r="R52" s="70" t="s">
        <v>142</v>
      </c>
      <c r="S52" s="70" t="s">
        <v>146</v>
      </c>
      <c r="T52" s="70" t="s">
        <v>151</v>
      </c>
      <c r="U52" s="70" t="s">
        <v>160</v>
      </c>
      <c r="V52" s="70" t="s">
        <v>165</v>
      </c>
      <c r="W52" s="70" t="s">
        <v>169</v>
      </c>
      <c r="X52" s="70" t="s">
        <v>173</v>
      </c>
      <c r="Y52" s="70" t="s">
        <v>192</v>
      </c>
      <c r="Z52" s="70" t="s">
        <v>194</v>
      </c>
      <c r="AA52" s="70" t="s">
        <v>199</v>
      </c>
      <c r="AB52" s="70" t="s">
        <v>204</v>
      </c>
      <c r="AC52" s="70" t="s">
        <v>207</v>
      </c>
      <c r="AD52" s="70" t="s">
        <v>211</v>
      </c>
      <c r="AE52" s="70" t="s">
        <v>220</v>
      </c>
      <c r="AF52" s="70" t="s">
        <v>225</v>
      </c>
      <c r="AG52" s="70" t="s">
        <v>225</v>
      </c>
      <c r="AH52" s="70" t="str">
        <f t="shared" ref="AH52:AL52" si="76">AH47</f>
        <v>4 T 2016</v>
      </c>
      <c r="AI52" s="70" t="str">
        <f t="shared" si="76"/>
        <v>1 T 2017</v>
      </c>
      <c r="AJ52" s="70" t="str">
        <f t="shared" si="76"/>
        <v>2 T 2017</v>
      </c>
      <c r="AK52" s="70" t="str">
        <f t="shared" si="76"/>
        <v>3 T 2017</v>
      </c>
      <c r="AL52" s="70" t="str">
        <f t="shared" si="76"/>
        <v>4 T 2017</v>
      </c>
      <c r="AM52" s="70" t="str">
        <f t="shared" ref="AM52:AR52" si="77">AM47</f>
        <v>1 T 2018</v>
      </c>
      <c r="AN52" s="70" t="str">
        <f t="shared" si="77"/>
        <v>2 T 2018</v>
      </c>
      <c r="AO52" s="70" t="str">
        <f t="shared" si="77"/>
        <v>3 T 2018</v>
      </c>
      <c r="AP52" s="70" t="str">
        <f t="shared" si="77"/>
        <v>4 T 2018</v>
      </c>
      <c r="AQ52" s="70" t="str">
        <f t="shared" si="77"/>
        <v>1 T 2019</v>
      </c>
      <c r="AR52" s="255" t="str">
        <f t="shared" si="77"/>
        <v>2 T 2019</v>
      </c>
      <c r="AS52" s="196" t="str">
        <f t="shared" ref="AS52:AT52" si="78">AS47</f>
        <v>3 T 2019</v>
      </c>
      <c r="AT52" s="196" t="str">
        <f t="shared" si="78"/>
        <v>4 T 2019</v>
      </c>
      <c r="AU52" s="196" t="str">
        <f t="shared" ref="AU52:AV52" si="79">AU47</f>
        <v>1 T 2020</v>
      </c>
      <c r="AV52" s="196" t="str">
        <f t="shared" si="79"/>
        <v>2 T 2020</v>
      </c>
      <c r="AW52" s="196" t="str">
        <f t="shared" ref="AW52" si="80">AW47</f>
        <v>3 T 2020</v>
      </c>
      <c r="AX52" s="196" t="str">
        <f t="shared" ref="AX52" si="81">AX47</f>
        <v>4 T 2020</v>
      </c>
      <c r="AY52" s="196" t="str">
        <f t="shared" ref="AY52:AZ52" si="82">AY47</f>
        <v>1 T 2021</v>
      </c>
      <c r="AZ52" s="196" t="str">
        <f t="shared" si="82"/>
        <v>2 T 2021</v>
      </c>
      <c r="BA52" s="196" t="str">
        <f t="shared" ref="BA52:BB52" si="83">BA47</f>
        <v>3 T 2021</v>
      </c>
      <c r="BB52" s="196" t="str">
        <f t="shared" si="83"/>
        <v>4T 2021</v>
      </c>
      <c r="BC52" s="196" t="str">
        <f t="shared" ref="BC52:BD52" si="84">BC47</f>
        <v>1T 2022</v>
      </c>
      <c r="BD52" s="196" t="str">
        <f t="shared" si="84"/>
        <v>2T 2022</v>
      </c>
      <c r="BE52" s="196" t="str">
        <f t="shared" ref="BE52:BF52" si="85">BE47</f>
        <v>3T 2022</v>
      </c>
      <c r="BF52" s="196" t="str">
        <f t="shared" si="85"/>
        <v>4T 2022</v>
      </c>
      <c r="BG52" s="196" t="str">
        <f t="shared" ref="BG52:BH52" si="86">BG47</f>
        <v>1T 2023</v>
      </c>
      <c r="BH52" s="196" t="str">
        <f t="shared" si="86"/>
        <v>2T 2023</v>
      </c>
      <c r="BI52" s="196" t="str">
        <f t="shared" ref="BI52:BJ52" si="87">BI47</f>
        <v>3T 2023</v>
      </c>
      <c r="BJ52" s="196" t="str">
        <f t="shared" si="87"/>
        <v>4T 2023</v>
      </c>
      <c r="BK52" s="196" t="str">
        <f t="shared" ref="BK52:BL52" si="88">BK47</f>
        <v>1T 2024</v>
      </c>
      <c r="BL52" s="196" t="str">
        <f t="shared" si="88"/>
        <v>2T 2024</v>
      </c>
      <c r="BM52" s="196" t="str">
        <f t="shared" ref="BM52:BN52" si="89">BM47</f>
        <v>3T 2024</v>
      </c>
      <c r="BN52" s="196" t="str">
        <f t="shared" si="89"/>
        <v>4T 2024</v>
      </c>
    </row>
    <row r="53" spans="1:66" x14ac:dyDescent="0.25">
      <c r="A53" s="38" t="s">
        <v>2</v>
      </c>
      <c r="F53" s="72">
        <f>'retraites SA Nb'!$P53/'retraites SA Nb'!$D53-1</f>
        <v>-7.0889493836177375E-2</v>
      </c>
      <c r="G53" s="72">
        <f>'retraites SA Nb'!$S53/'retraites SA Nb'!$G53-1</f>
        <v>1.4244500540930405E-2</v>
      </c>
      <c r="H53" s="72">
        <f>'retraites SA Nb'!$V53/'retraites SA Nb'!$J53-1</f>
        <v>1.7202522237406814E-2</v>
      </c>
      <c r="I53" s="72">
        <f>'retraites SA Nb'!$Y53/'retraites SA Nb'!$M53-1</f>
        <v>1.9952210274790882E-2</v>
      </c>
      <c r="J53" s="72">
        <f>'retraites SA Nb'!$AB53/'retraites SA Nb'!$P53-1</f>
        <v>2.3272987136731871E-2</v>
      </c>
      <c r="K53" s="72">
        <f>'retraites SA Nb'!$AE53/'retraites SA Nb'!$S53-1</f>
        <v>2.360888888888879E-2</v>
      </c>
      <c r="L53" s="72">
        <f>'retraites SA Nb'!$AH53/'retraites SA Nb'!$V53-1</f>
        <v>2.2320955063462655E-2</v>
      </c>
      <c r="M53" s="72">
        <f>'retraites SA Nb'!$AK53/'retraites SA Nb'!$Y53-1</f>
        <v>1.6094646831439574E-2</v>
      </c>
      <c r="N53" s="72">
        <f>'retraites SA Nb'!$AN53/'retraites SA Nb'!$AB53-1</f>
        <v>9.6608236143120862E-3</v>
      </c>
      <c r="O53" s="72">
        <f>'retraites SA Nb'!$AQ53/'retraites SA Nb'!$AE53-1</f>
        <v>1.023539083214664E-2</v>
      </c>
      <c r="P53" s="72">
        <f>'retraites SA Nb'!$AT53/'retraites SA Nb'!$AH53-1</f>
        <v>8.3576377281058267E-3</v>
      </c>
      <c r="Q53" s="72">
        <f>'retraites SA Nb'!$AW53/'retraites SA Nb'!$AK53-1</f>
        <v>6.9860739647698011E-3</v>
      </c>
      <c r="R53" s="72">
        <f>'retraites SA Nb'!$AZ53/'retraites SA Nb'!$AN53-1</f>
        <v>1.321128838882224E-2</v>
      </c>
      <c r="S53" s="72">
        <f>'retraites SA Nb'!$BC53/'retraites SA Nb'!$AQ53-1</f>
        <v>1.9862236535970856E-2</v>
      </c>
      <c r="T53" s="72">
        <f>'retraites SA Nb'!$BF53/'retraites SA Nb'!$AT53-1</f>
        <v>2.4579293945491187E-2</v>
      </c>
      <c r="U53" s="72">
        <f>'retraites SA Nb'!$BI53/'retraites SA Nb'!$AW53-1</f>
        <v>3.665712650257591E-2</v>
      </c>
      <c r="V53" s="72">
        <f>'retraites SA Nb'!$BL53/'retraites SA Nb'!$AZ53-1</f>
        <v>3.525998407099773E-2</v>
      </c>
      <c r="W53" s="72">
        <f>'retraites SA Nb'!$BO53/'retraites SA Nb'!$BC53-1</f>
        <v>3.0050346129641303E-2</v>
      </c>
      <c r="X53" s="72">
        <f>'retraites SA Nb'!$BR53/'retraites SA Nb'!$BF53-1</f>
        <v>3.2179598759233263E-2</v>
      </c>
      <c r="Y53" s="72">
        <f>'retraites SA Nb'!$BU53/'retraites SA Nb'!$BI53-1</f>
        <v>3.2136231115822866E-2</v>
      </c>
      <c r="Z53" s="72">
        <f>'retraites SA Nb'!$BX53/'retraites SA Nb'!$BL53-1</f>
        <v>3.5246018749519159E-2</v>
      </c>
      <c r="AA53" s="72">
        <f>'retraites SA Nb'!$CA53/'retraites SA Nb'!$BO53-1</f>
        <v>4.0018329005651498E-2</v>
      </c>
      <c r="AB53" s="72">
        <f>'retraites SA Nb'!$CG53/'retraites SA Nb'!$BR53-1</f>
        <v>4.2613452100404237E-2</v>
      </c>
      <c r="AC53" s="72">
        <f>'retraites SA Nb'!$CG53/'retraites SA Nb'!$BU53-1</f>
        <v>3.1948813421497579E-2</v>
      </c>
      <c r="AD53" s="72">
        <f>'retraites SA Nb'!$CJ53/'retraites SA Nb'!$BX53-1</f>
        <v>2.996942545331005E-2</v>
      </c>
      <c r="AE53" s="72">
        <f>'retraites SA Nb'!$CM53/'retraites SA Nb'!$CA53-1</f>
        <v>2.8103560413738071E-2</v>
      </c>
      <c r="AF53" s="72">
        <f>'retraites SA Nb'!$CS53/'retraites SA Nb'!$CG53-1</f>
        <v>3.3717650962176604E-2</v>
      </c>
      <c r="AG53" s="72">
        <f>'retraites SA Nb'!$CS53/'retraites SA Nb'!$CG53-1</f>
        <v>3.3717650962176604E-2</v>
      </c>
      <c r="AH53" s="72">
        <f>'retraites SA Nb'!$CV53/'retraites SA Nb'!$CJ53-1</f>
        <v>3.1282532287490117E-2</v>
      </c>
      <c r="AI53" s="72">
        <f>'retraites SA Nb'!$CY53/'retraites SA Nb'!$CM53-1</f>
        <v>2.8661802969236261E-2</v>
      </c>
      <c r="AJ53" s="72">
        <f>'retraites SA Nb'!$DB53/'retraites SA Nb'!$CP53-1</f>
        <v>2.8893772596996214E-2</v>
      </c>
      <c r="AK53" s="72">
        <f>'retraites SA Nb'!$DE53/'retraites SA Nb'!$CS53-1</f>
        <v>2.0330992978936813E-2</v>
      </c>
      <c r="AL53" s="72">
        <f>'retraites SA Nb'!$DH53/'retraites SA Nb'!$CV53-1</f>
        <v>1.6391148779659082E-2</v>
      </c>
      <c r="AM53" s="72">
        <f>'retraites SA Nb'!$DK53/'retraites SA Nb'!$CY53-1</f>
        <v>7.4295236772670137E-3</v>
      </c>
      <c r="AN53" s="72">
        <f>'retraites SA Nb'!$DN53/'retraites SA Nb'!$DB53-1</f>
        <v>-3.277752623186414E-3</v>
      </c>
      <c r="AO53" s="72">
        <f>'retraites SA Nb'!$DQ53/'retraites SA Nb'!$DE53-1</f>
        <v>-6.4191414275462932E-3</v>
      </c>
      <c r="AP53" s="72">
        <f>'retraites SA Nb'!$DT53/'retraites SA Nb'!$DH53-1</f>
        <v>-6.9915629240663302E-3</v>
      </c>
      <c r="AQ53" s="72">
        <f>'retraites SA Nb'!$DW53/'retraites SA Nb'!$DK53-1</f>
        <v>-7.7784232446855839E-3</v>
      </c>
      <c r="AR53" s="122">
        <f>'retraites SA Nb'!$DZ53/'retraites SA Nb'!$DN53-1</f>
        <v>-8.0287573695697612E-3</v>
      </c>
      <c r="AS53" s="261">
        <f>'retraites SA Nb'!$EC53/'retraites SA Nb'!$DQ53-1</f>
        <v>-8.1722302471456398E-3</v>
      </c>
      <c r="AT53" s="261">
        <f>'retraites SA Nb'!$EF53/'retraites SA Nb'!$DT53-1</f>
        <v>-1.0269055187506759E-2</v>
      </c>
      <c r="AU53" s="261">
        <f>'retraites SA Nb'!$EI53/'retraites SA Nb'!$DW53-1</f>
        <v>-9.9133696525854909E-3</v>
      </c>
      <c r="AV53" s="261">
        <f>'retraites SA Nb'!$EL53/'retraites SA Nb'!$DZ53-1</f>
        <v>-1.0522857597961122E-2</v>
      </c>
      <c r="AW53" s="261">
        <f>'retraites SA Nb'!$EO53/'retraites SA Nb'!$EC53-1</f>
        <v>-1.0892985396217414E-2</v>
      </c>
      <c r="AX53" s="261">
        <f>'retraites SA Nb'!$ER53/'retraites SA Nb'!$EF53-1</f>
        <v>-1.1376143117283299E-2</v>
      </c>
      <c r="AY53" s="261">
        <f>'retraites SA Nb'!$EU53/'retraites SA Nb'!$EI53-1</f>
        <v>-1.3280012828993493E-2</v>
      </c>
      <c r="AZ53" s="261">
        <f>'retraites SA Nb'!$EX53/'retraites SA Nb'!$EL53-1</f>
        <v>-1.3653147669306032E-2</v>
      </c>
      <c r="BA53" s="261">
        <f>'retraites SA Nb'!$FA53/'retraites SA Nb'!$EO53-1</f>
        <v>-1.3796441970228779E-2</v>
      </c>
      <c r="BB53" s="299">
        <f>'retraites SA Nb'!$FD53/'retraites SA Nb'!$ER53-1</f>
        <v>0.2360108896962827</v>
      </c>
      <c r="BC53" s="299">
        <f>'retraites SA Nb'!$FG53/'retraites SA Nb'!$EU53-1</f>
        <v>0.24053063007242326</v>
      </c>
      <c r="BD53" s="299">
        <f>'retraites SA Nb'!$FJ53/'retraites SA Nb'!$EX53-1</f>
        <v>0.27391517228716578</v>
      </c>
      <c r="BE53" s="299">
        <f>'retraites SA Nb'!$FM53/'retraites SA Nb'!$FA53-1</f>
        <v>0.30659181085613785</v>
      </c>
      <c r="BF53" s="299">
        <f>'retraites SA Nb'!$FP53/'retraites SA Nb'!$FD53-1</f>
        <v>6.3629441000908837E-2</v>
      </c>
      <c r="BG53" s="299">
        <f>'retraites SA Nb'!$FS53/'retraites SA Nb'!$FG53-1</f>
        <v>9.1493420891024968E-2</v>
      </c>
      <c r="BH53" s="299">
        <f>'retraites SA Nb'!$FV53/'retraites SA Nb'!$FJ53-1</f>
        <v>8.9985346753465034E-2</v>
      </c>
      <c r="BI53" s="299">
        <f>'retraites SA Nb'!$FY53/'retraites SA Nb'!$FM53-1</f>
        <v>8.8119966502046676E-2</v>
      </c>
      <c r="BJ53" s="299">
        <f>'retraites SA Nb'!$GB53/'retraites SA Nb'!$FP53-1</f>
        <v>7.9661277906081684E-2</v>
      </c>
      <c r="BK53" s="299">
        <f>'retraites SA Nb'!$GE53/'retraites SA Nb'!$FS53-1</f>
        <v>7.0651073119134544E-2</v>
      </c>
      <c r="BL53" s="299">
        <f>'retraites SA Nb'!$GH53/'retraites SA Nb'!$FV53-1</f>
        <v>6.2714416896235026E-2</v>
      </c>
      <c r="BM53" s="299">
        <f>'retraites SA Nb'!$GK53/'retraites SA Nb'!$FY53-1</f>
        <v>5.8139367609402415E-2</v>
      </c>
      <c r="BN53" s="299">
        <f>'retraites SA Nb'!$GN53/'retraites SA Nb'!$GB53-1</f>
        <v>6.2532086019051913E-2</v>
      </c>
    </row>
    <row r="54" spans="1:66" x14ac:dyDescent="0.25">
      <c r="A54" s="39" t="s">
        <v>4</v>
      </c>
      <c r="F54" s="72">
        <f>'retraites SA Nb'!$P54/'retraites SA Nb'!$D54-1</f>
        <v>-8.3464566929133843E-2</v>
      </c>
      <c r="G54" s="72">
        <f>'retraites SA Nb'!$S54/'retraites SA Nb'!$G54-1</f>
        <v>6.5562456866805618E-3</v>
      </c>
      <c r="H54" s="72">
        <f>'retraites SA Nb'!$V54/'retraites SA Nb'!$J54-1</f>
        <v>6.5562456866805618E-3</v>
      </c>
      <c r="I54" s="72">
        <f>'retraites SA Nb'!$Y54/'retraites SA Nb'!$M54-1</f>
        <v>1.7188037126161237E-3</v>
      </c>
      <c r="J54" s="72">
        <f>'retraites SA Nb'!$AB54/'retraites SA Nb'!$P54-1</f>
        <v>6.8728522336769515E-4</v>
      </c>
      <c r="K54" s="72">
        <f>'retraites SA Nb'!$AE54/'retraites SA Nb'!$S54-1</f>
        <v>-6.8563592732262535E-4</v>
      </c>
      <c r="L54" s="72">
        <f>'retraites SA Nb'!$AH54/'retraites SA Nb'!$V54-1</f>
        <v>1.028453890983938E-3</v>
      </c>
      <c r="M54" s="72">
        <f>'retraites SA Nb'!$AK54/'retraites SA Nb'!$Y54-1</f>
        <v>2.0590253946466408E-3</v>
      </c>
      <c r="N54" s="72">
        <f>'retraites SA Nb'!$AN54/'retraites SA Nb'!$AB54-1</f>
        <v>-5.1510989010988828E-3</v>
      </c>
      <c r="O54" s="72">
        <f>'retraites SA Nb'!$AQ54/'retraites SA Nb'!$AE54-1</f>
        <v>-7.2041166380788502E-3</v>
      </c>
      <c r="P54" s="72">
        <f>'retraites SA Nb'!$AT54/'retraites SA Nb'!$AH54-1</f>
        <v>-1.1301369863013666E-2</v>
      </c>
      <c r="Q54" s="72">
        <f>'retraites SA Nb'!$AW54/'retraites SA Nb'!$AK54-1</f>
        <v>-1.2328767123287676E-2</v>
      </c>
      <c r="R54" s="72">
        <f>'retraites SA Nb'!$AZ54/'retraites SA Nb'!$AN54-1</f>
        <v>-3.4518467380051376E-4</v>
      </c>
      <c r="S54" s="72">
        <f>'retraites SA Nb'!$BC54/'retraites SA Nb'!$AQ54-1</f>
        <v>-1.0366275051831408E-2</v>
      </c>
      <c r="T54" s="72">
        <f>'retraites SA Nb'!$BF54/'retraites SA Nb'!$AT54-1</f>
        <v>-1.4894354000692722E-2</v>
      </c>
      <c r="U54" s="72">
        <f>'retraites SA Nb'!$BI54/'retraites SA Nb'!$AW54-1</f>
        <v>-1.4216366158113725E-2</v>
      </c>
      <c r="V54" s="72">
        <f>'retraites SA Nb'!$BL54/'retraites SA Nb'!$AZ54-1</f>
        <v>-1.6229281767955794E-2</v>
      </c>
      <c r="W54" s="72">
        <f>'retraites SA Nb'!$BO54/'retraites SA Nb'!$BC54-1</f>
        <v>-1.222067039106145E-2</v>
      </c>
      <c r="X54" s="72">
        <f>'retraites SA Nb'!$BR54/'retraites SA Nb'!$BF54-1</f>
        <v>-1.0196905766525988E-2</v>
      </c>
      <c r="Y54" s="72">
        <f>'retraites SA Nb'!$BU54/'retraites SA Nb'!$BI54-1</f>
        <v>-1.5124868097080579E-2</v>
      </c>
      <c r="Z54" s="72">
        <f>'retraites SA Nb'!$BX54/'retraites SA Nb'!$BL54-1</f>
        <v>-1.6497016497016515E-2</v>
      </c>
      <c r="AA54" s="72">
        <f>'retraites SA Nb'!$CA54/'retraites SA Nb'!$BO54-1</f>
        <v>-1.8734535171438638E-2</v>
      </c>
      <c r="AB54" s="72">
        <f>'retraites SA Nb'!$CG54/'retraites SA Nb'!$BR54-1</f>
        <v>-7.4600355239786698E-3</v>
      </c>
      <c r="AC54" s="72">
        <f>'retraites SA Nb'!$CG54/'retraites SA Nb'!$BU54-1</f>
        <v>-2.142857142857113E-3</v>
      </c>
      <c r="AD54" s="72">
        <f>'retraites SA Nb'!$CJ54/'retraites SA Nb'!$BX54-1</f>
        <v>-8.565310492505307E-3</v>
      </c>
      <c r="AE54" s="72">
        <f>'retraites SA Nb'!$CM54/'retraites SA Nb'!$CA54-1</f>
        <v>2.1613832853026871E-3</v>
      </c>
      <c r="AF54" s="72">
        <f>'retraites SA Nb'!$CS54/'retraites SA Nb'!$CG54-1</f>
        <v>-6.8002863278453507E-3</v>
      </c>
      <c r="AG54" s="72">
        <f>'retraites SA Nb'!$CS54/'retraites SA Nb'!$CG54-1</f>
        <v>-6.8002863278453507E-3</v>
      </c>
      <c r="AH54" s="72">
        <f>'retraites SA Nb'!$CV54/'retraites SA Nb'!$CJ54-1</f>
        <v>1.7998560115191076E-3</v>
      </c>
      <c r="AI54" s="72">
        <f>'retraites SA Nb'!$CY54/'retraites SA Nb'!$CM54-1</f>
        <v>-8.2674335010783917E-3</v>
      </c>
      <c r="AJ54" s="72">
        <f>'retraites SA Nb'!$DB54/'retraites SA Nb'!$CP54-1</f>
        <v>-1.0435408420295111E-2</v>
      </c>
      <c r="AK54" s="72">
        <f>'retraites SA Nb'!$DE54/'retraites SA Nb'!$CS54-1</f>
        <v>-1.8738738738738769E-2</v>
      </c>
      <c r="AL54" s="72">
        <f>'retraites SA Nb'!$DH54/'retraites SA Nb'!$CV54-1</f>
        <v>-3.0183255479698134E-2</v>
      </c>
      <c r="AM54" s="72">
        <f>'retraites SA Nb'!$DK54/'retraites SA Nb'!$CY54-1</f>
        <v>-3.1170714026821367E-2</v>
      </c>
      <c r="AN54" s="72">
        <f>'retraites SA Nb'!$DN54/'retraites SA Nb'!$DB54-1</f>
        <v>-4.1090909090909067E-2</v>
      </c>
      <c r="AO54" s="72">
        <f>'retraites SA Nb'!$DQ54/'retraites SA Nb'!$DE54-1</f>
        <v>-3.7458685273595305E-2</v>
      </c>
      <c r="AP54" s="72">
        <f>'retraites SA Nb'!$DT54/'retraites SA Nb'!$DH54-1</f>
        <v>-3.2975175991107775E-2</v>
      </c>
      <c r="AQ54" s="72">
        <f>'retraites SA Nb'!$DW54/'retraites SA Nb'!$DK54-1</f>
        <v>-2.9554807332585087E-2</v>
      </c>
      <c r="AR54" s="122">
        <f>'retraites SA Nb'!$DZ54/'retraites SA Nb'!$DN54-1</f>
        <v>-2.6166097838452806E-2</v>
      </c>
      <c r="AS54" s="261">
        <f>'retraites SA Nb'!$EC54/'retraites SA Nb'!$DQ54-1</f>
        <v>-2.5562762304463971E-2</v>
      </c>
      <c r="AT54" s="261">
        <f>'retraites SA Nb'!$EF54/'retraites SA Nb'!$DT54-1</f>
        <v>-1.8773946360153282E-2</v>
      </c>
      <c r="AU54" s="261">
        <f>'retraites SA Nb'!$EI54/'retraites SA Nb'!$DW54-1</f>
        <v>-2.0817270624518103E-2</v>
      </c>
      <c r="AV54" s="261">
        <f>'retraites SA Nb'!$EL54/'retraites SA Nb'!$DZ54-1</f>
        <v>-2.10280373831776E-2</v>
      </c>
      <c r="AW54" s="261">
        <f>'retraites SA Nb'!$EO54/'retraites SA Nb'!$EC54-1</f>
        <v>-2.1534847298355531E-2</v>
      </c>
      <c r="AX54" s="261">
        <f>'retraites SA Nb'!$ER54/'retraites SA Nb'!$EF54-1</f>
        <v>-2.4599765716517008E-2</v>
      </c>
      <c r="AY54" s="261">
        <f>'retraites SA Nb'!$EU54/'retraites SA Nb'!$EI54-1</f>
        <v>-3.1889763779527569E-2</v>
      </c>
      <c r="AZ54" s="261">
        <f>'retraites SA Nb'!$EX54/'retraites SA Nb'!$EL54-1</f>
        <v>-3.2219570405727871E-2</v>
      </c>
      <c r="BA54" s="261">
        <f>'retraites SA Nb'!$FA54/'retraites SA Nb'!$EO54-1</f>
        <v>-2.8011204481792729E-2</v>
      </c>
      <c r="BB54" s="299">
        <f>'retraites SA Nb'!$FD54/'retraites SA Nb'!$ER54-1</f>
        <v>0.2606084867894316</v>
      </c>
      <c r="BC54" s="299">
        <f>'retraites SA Nb'!$FG54/'retraites SA Nb'!$EU54-1</f>
        <v>0.28060187067913778</v>
      </c>
      <c r="BD54" s="299">
        <f>'retraites SA Nb'!$FJ54/'retraites SA Nb'!$EX54-1</f>
        <v>0.30949445129469799</v>
      </c>
      <c r="BE54" s="299">
        <f>'retraites SA Nb'!$FM54/'retraites SA Nb'!$FA54-1</f>
        <v>0.32770687525730757</v>
      </c>
      <c r="BF54" s="299">
        <f>'retraites SA Nb'!$FP54/'retraites SA Nb'!$FD54-1</f>
        <v>3.8107335662114883E-2</v>
      </c>
      <c r="BG54" s="299">
        <f>'retraites SA Nb'!$FS54/'retraites SA Nb'!$FG54-1</f>
        <v>4.8586852969196626E-2</v>
      </c>
      <c r="BH54" s="299">
        <f>'retraites SA Nb'!$FV54/'retraites SA Nb'!$FJ54-1</f>
        <v>5.0847457627118731E-2</v>
      </c>
      <c r="BI54" s="299">
        <f>'retraites SA Nb'!$FY54/'retraites SA Nb'!$FM54-1</f>
        <v>5.3643410852713069E-2</v>
      </c>
      <c r="BJ54" s="299">
        <f>'retraites SA Nb'!$GB54/'retraites SA Nb'!$FP54-1</f>
        <v>5.0780055062710217E-2</v>
      </c>
      <c r="BK54" s="299">
        <f>'retraites SA Nb'!$GE54/'retraites SA Nb'!$FS54-1</f>
        <v>5.9357964869775959E-2</v>
      </c>
      <c r="BL54" s="299">
        <f>'retraites SA Nb'!$GH54/'retraites SA Nb'!$FV54-1</f>
        <v>5.7945041816009457E-2</v>
      </c>
      <c r="BM54" s="299">
        <f>'retraites SA Nb'!$GK54/'retraites SA Nb'!$FY54-1</f>
        <v>6.0918187168922833E-2</v>
      </c>
      <c r="BN54" s="299">
        <f>'retraites SA Nb'!$GN54/'retraites SA Nb'!$GB54-1</f>
        <v>6.346433770014559E-2</v>
      </c>
    </row>
    <row r="55" spans="1:66" ht="12" thickBot="1" x14ac:dyDescent="0.3">
      <c r="A55" s="40" t="s">
        <v>5</v>
      </c>
      <c r="F55" s="72">
        <f>'retraites SA Nb'!$P55/'retraites SA Nb'!$D55-1</f>
        <v>-7.1316321185362574E-2</v>
      </c>
      <c r="G55" s="72">
        <f>'retraites SA Nb'!$S55/'retraites SA Nb'!$G55-1</f>
        <v>1.3985689062354867E-2</v>
      </c>
      <c r="H55" s="72">
        <f>'retraites SA Nb'!$V55/'retraites SA Nb'!$J55-1</f>
        <v>1.6845080865656392E-2</v>
      </c>
      <c r="I55" s="72">
        <f>'retraites SA Nb'!$Y55/'retraites SA Nb'!$M55-1</f>
        <v>1.9339791476636448E-2</v>
      </c>
      <c r="J55" s="72">
        <f>'retraites SA Nb'!$AB55/'retraites SA Nb'!$P55-1</f>
        <v>2.2516403821802644E-2</v>
      </c>
      <c r="K55" s="72">
        <f>'retraites SA Nb'!$AE55/'retraites SA Nb'!$S55-1</f>
        <v>2.2797048985015778E-2</v>
      </c>
      <c r="L55" s="72">
        <f>'retraites SA Nb'!$AH55/'retraites SA Nb'!$V55-1</f>
        <v>2.1613307508260293E-2</v>
      </c>
      <c r="M55" s="72">
        <f>'retraites SA Nb'!$AK55/'retraites SA Nb'!$Y55-1</f>
        <v>1.563137148294147E-2</v>
      </c>
      <c r="N55" s="72">
        <f>'retraites SA Nb'!$AN55/'retraites SA Nb'!$AB55-1</f>
        <v>9.1752414833494722E-3</v>
      </c>
      <c r="O55" s="72">
        <f>'retraites SA Nb'!$AQ55/'retraites SA Nb'!$AE55-1</f>
        <v>9.6660021056875767E-3</v>
      </c>
      <c r="P55" s="72">
        <f>'retraites SA Nb'!$AT55/'retraites SA Nb'!$AH55-1</f>
        <v>7.7174434295783634E-3</v>
      </c>
      <c r="Q55" s="72">
        <f>'retraites SA Nb'!$AW55/'retraites SA Nb'!$AK55-1</f>
        <v>6.3570663811562955E-3</v>
      </c>
      <c r="R55" s="72">
        <f>'retraites SA Nb'!$AZ55/'retraites SA Nb'!$AN55-1</f>
        <v>1.2773172990037995E-2</v>
      </c>
      <c r="S55" s="72">
        <f>'retraites SA Nb'!$BC55/'retraites SA Nb'!$AQ55-1</f>
        <v>1.8891785456764065E-2</v>
      </c>
      <c r="T55" s="72">
        <f>'retraites SA Nb'!$BF55/'retraites SA Nb'!$AT55-1</f>
        <v>2.3318097809847282E-2</v>
      </c>
      <c r="U55" s="72">
        <f>'retraites SA Nb'!$BI55/'retraites SA Nb'!$AW55-1</f>
        <v>3.5031141254959319E-2</v>
      </c>
      <c r="V55" s="72">
        <f>'retraites SA Nb'!$BL55/'retraites SA Nb'!$AZ55-1</f>
        <v>3.3617518119533951E-2</v>
      </c>
      <c r="W55" s="72">
        <f>'retraites SA Nb'!$BO55/'retraites SA Nb'!$BC55-1</f>
        <v>2.8732253288041187E-2</v>
      </c>
      <c r="X55" s="72">
        <f>'retraites SA Nb'!$BR55/'retraites SA Nb'!$BF55-1</f>
        <v>3.087621395972584E-2</v>
      </c>
      <c r="Y55" s="72">
        <f>'retraites SA Nb'!$BU55/'retraites SA Nb'!$BI55-1</f>
        <v>3.0697574816638928E-2</v>
      </c>
      <c r="Z55" s="72">
        <f>'retraites SA Nb'!$BX55/'retraites SA Nb'!$BL55-1</f>
        <v>3.3675057013150322E-2</v>
      </c>
      <c r="AA55" s="72">
        <f>'retraites SA Nb'!$CA55/'retraites SA Nb'!$BO55-1</f>
        <v>3.8259231428662055E-2</v>
      </c>
      <c r="AB55" s="72">
        <f>'retraites SA Nb'!$CG55/'retraites SA Nb'!$BR55-1</f>
        <v>4.1134692250396121E-2</v>
      </c>
      <c r="AC55" s="72">
        <f>'retraites SA Nb'!$CG55/'retraites SA Nb'!$BU55-1</f>
        <v>3.0957179364650589E-2</v>
      </c>
      <c r="AD55" s="72">
        <f>'retraites SA Nb'!$CJ55/'retraites SA Nb'!$BX55-1</f>
        <v>2.8856265077630505E-2</v>
      </c>
      <c r="AE55" s="72">
        <f>'retraites SA Nb'!$CM55/'retraites SA Nb'!$CA55-1</f>
        <v>2.736947258975353E-2</v>
      </c>
      <c r="AF55" s="72">
        <f>'retraites SA Nb'!$CS55/'retraites SA Nb'!$CG55-1</f>
        <v>3.2576933153302123E-2</v>
      </c>
      <c r="AG55" s="72">
        <f>'retraites SA Nb'!$CS55/'retraites SA Nb'!$CG55-1</f>
        <v>3.2576933153302123E-2</v>
      </c>
      <c r="AH55" s="72">
        <f>'retraites SA Nb'!$CV55/'retraites SA Nb'!$CJ55-1</f>
        <v>3.0461837530186386E-2</v>
      </c>
      <c r="AI55" s="72">
        <f>'retraites SA Nb'!$CY55/'retraites SA Nb'!$CM55-1</f>
        <v>2.7642453887902318E-2</v>
      </c>
      <c r="AJ55" s="72">
        <f>'retraites SA Nb'!$DB55/'retraites SA Nb'!$CP55-1</f>
        <v>2.7817178881008653E-2</v>
      </c>
      <c r="AK55" s="72">
        <f>'retraites SA Nb'!$DE55/'retraites SA Nb'!$CS55-1</f>
        <v>1.9272993413027573E-2</v>
      </c>
      <c r="AL55" s="72">
        <f>'retraites SA Nb'!$DH55/'retraites SA Nb'!$CV55-1</f>
        <v>1.5130740881200255E-2</v>
      </c>
      <c r="AM55" s="72">
        <f>'retraites SA Nb'!$DK55/'retraites SA Nb'!$CY55-1</f>
        <v>6.4012821874426251E-3</v>
      </c>
      <c r="AN55" s="72">
        <f>'retraites SA Nb'!$DN55/'retraites SA Nb'!$DB55-1</f>
        <v>-4.2743233918577372E-3</v>
      </c>
      <c r="AO55" s="72">
        <f>'retraites SA Nb'!$DQ55/'retraites SA Nb'!$DE55-1</f>
        <v>-7.2283389181426738E-3</v>
      </c>
      <c r="AP55" s="72">
        <f>'retraites SA Nb'!$DT55/'retraites SA Nb'!$DH55-1</f>
        <v>-7.6633490751295552E-3</v>
      </c>
      <c r="AQ55" s="72">
        <f>'retraites SA Nb'!$DW55/'retraites SA Nb'!$DK55-1</f>
        <v>-8.3368509919797829E-3</v>
      </c>
      <c r="AR55" s="122">
        <f>'retraites SA Nb'!$DZ55/'retraites SA Nb'!$DN55-1</f>
        <v>-8.4890950740148519E-3</v>
      </c>
      <c r="AS55" s="261">
        <f>'retraites SA Nb'!$EC55/'retraites SA Nb'!$DQ55-1</f>
        <v>-8.6117942041564755E-3</v>
      </c>
      <c r="AT55" s="261">
        <f>'retraites SA Nb'!$EF55/'retraites SA Nb'!$DT55-1</f>
        <v>-1.0483333815991425E-2</v>
      </c>
      <c r="AU55" s="261">
        <f>'retraites SA Nb'!$EI55/'retraites SA Nb'!$DW55-1</f>
        <v>-1.0187003589153254E-2</v>
      </c>
      <c r="AV55" s="261">
        <f>'retraites SA Nb'!$EL55/'retraites SA Nb'!$DZ55-1</f>
        <v>-1.0784732468742675E-2</v>
      </c>
      <c r="AW55" s="261">
        <f>'retraites SA Nb'!$EO55/'retraites SA Nb'!$EC55-1</f>
        <v>-1.1157370479173534E-2</v>
      </c>
      <c r="AX55" s="261">
        <f>'retraites SA Nb'!$ER55/'retraites SA Nb'!$EF55-1</f>
        <v>-1.1706517603675803E-2</v>
      </c>
      <c r="AY55" s="261">
        <f>'retraites SA Nb'!$EU55/'retraites SA Nb'!$EI55-1</f>
        <v>-1.3742009891119511E-2</v>
      </c>
      <c r="AZ55" s="261">
        <f>'retraites SA Nb'!$EX55/'retraites SA Nb'!$EL55-1</f>
        <v>-1.4111181983219701E-2</v>
      </c>
      <c r="BA55" s="261">
        <f>'retraites SA Nb'!$FA55/'retraites SA Nb'!$EO55-1</f>
        <v>-1.4145885593428775E-2</v>
      </c>
      <c r="BB55" s="299">
        <f>'retraites SA Nb'!$FD55/'retraites SA Nb'!$ER55-1</f>
        <v>0.23661741044547768</v>
      </c>
      <c r="BC55" s="299">
        <f>'retraites SA Nb'!$FG55/'retraites SA Nb'!$EU55-1</f>
        <v>0.24150711539223857</v>
      </c>
      <c r="BD55" s="299">
        <f>'retraites SA Nb'!$FJ55/'retraites SA Nb'!$EX55-1</f>
        <v>0.27477679237958741</v>
      </c>
      <c r="BE55" s="299">
        <f>'retraites SA Nb'!$FM55/'retraites SA Nb'!$FA55-1</f>
        <v>0.30710358522007253</v>
      </c>
      <c r="BF55" s="299">
        <f>'retraites SA Nb'!$FP55/'retraites SA Nb'!$FD55-1</f>
        <v>6.2987914877312923E-2</v>
      </c>
      <c r="BG55" s="299">
        <f>'retraites SA Nb'!$FS55/'retraites SA Nb'!$FG55-1</f>
        <v>9.0414917224093561E-2</v>
      </c>
      <c r="BH55" s="299">
        <f>'retraites SA Nb'!$FV55/'retraites SA Nb'!$FJ55-1</f>
        <v>8.901173549460073E-2</v>
      </c>
      <c r="BI55" s="299">
        <f>'retraites SA Nb'!$FY55/'retraites SA Nb'!$FM55-1</f>
        <v>8.7271172725468249E-2</v>
      </c>
      <c r="BJ55" s="299">
        <f>'retraites SA Nb'!$GB55/'retraites SA Nb'!$FP55-1</f>
        <v>7.8952308720497966E-2</v>
      </c>
      <c r="BK55" s="299">
        <f>'retraites SA Nb'!$GE55/'retraites SA Nb'!$FS55-1</f>
        <v>7.0378097434208087E-2</v>
      </c>
      <c r="BL55" s="299">
        <f>'retraites SA Nb'!$GH55/'retraites SA Nb'!$FV55-1</f>
        <v>6.2599929735504434E-2</v>
      </c>
      <c r="BM55" s="299">
        <f>'retraites SA Nb'!$GK55/'retraites SA Nb'!$FY55-1</f>
        <v>5.8205664696052706E-2</v>
      </c>
      <c r="BN55" s="299">
        <f>'retraites SA Nb'!$GN55/'retraites SA Nb'!$GB55-1</f>
        <v>6.2554373168711708E-2</v>
      </c>
    </row>
    <row r="56" spans="1:66" x14ac:dyDescent="0.25">
      <c r="A56" s="3"/>
      <c r="P56" s="4"/>
      <c r="BJ56" s="126"/>
      <c r="BK56" s="126"/>
      <c r="BL56" s="126"/>
      <c r="BM56" s="126"/>
      <c r="BN56" s="126"/>
    </row>
    <row r="57" spans="1:66" x14ac:dyDescent="0.25">
      <c r="A57" s="3" t="s">
        <v>30</v>
      </c>
      <c r="P57" s="4"/>
      <c r="BJ57" s="126"/>
      <c r="BK57" s="126"/>
      <c r="BL57" s="126"/>
      <c r="BM57" s="126"/>
      <c r="BN57" s="126"/>
    </row>
    <row r="58" spans="1:66" x14ac:dyDescent="0.25">
      <c r="A58" s="14" t="s">
        <v>28</v>
      </c>
      <c r="P58" s="4"/>
      <c r="BB58" s="298" t="s">
        <v>373</v>
      </c>
      <c r="BC58" s="298"/>
      <c r="BD58" s="298"/>
      <c r="BE58" s="298"/>
      <c r="BF58" s="298"/>
      <c r="BG58" s="298"/>
      <c r="BH58" s="298"/>
      <c r="BI58" s="298"/>
      <c r="BJ58" s="298"/>
      <c r="BK58" s="298"/>
      <c r="BL58" s="298"/>
      <c r="BM58" s="298"/>
      <c r="BN58" s="298"/>
    </row>
    <row r="59" spans="1:66" s="32" customFormat="1" x14ac:dyDescent="0.25">
      <c r="A59" s="3"/>
      <c r="AR59" s="254"/>
      <c r="AS59" s="260"/>
      <c r="AT59" s="260"/>
      <c r="AU59" s="260"/>
      <c r="AV59" s="260"/>
      <c r="AW59" s="260"/>
      <c r="AX59" s="260"/>
      <c r="AY59" s="260"/>
      <c r="AZ59" s="260"/>
      <c r="BA59" s="260"/>
      <c r="BB59" s="298" t="s">
        <v>376</v>
      </c>
      <c r="BC59" s="298"/>
      <c r="BD59" s="298"/>
      <c r="BE59" s="298"/>
      <c r="BF59" s="298"/>
      <c r="BG59" s="298"/>
      <c r="BH59" s="298"/>
      <c r="BI59" s="298"/>
      <c r="BJ59" s="298"/>
      <c r="BK59" s="298"/>
      <c r="BL59" s="298"/>
      <c r="BM59" s="298"/>
      <c r="BN59" s="298"/>
    </row>
    <row r="60" spans="1:66" ht="12" thickBot="1" x14ac:dyDescent="0.3">
      <c r="A60" s="3"/>
      <c r="B60" s="70" t="str">
        <f>B6</f>
        <v>4 T2008</v>
      </c>
      <c r="C60" s="70" t="str">
        <f t="shared" ref="C60:L60" si="90">C6</f>
        <v>1 T 2009</v>
      </c>
      <c r="D60" s="70" t="str">
        <f t="shared" si="90"/>
        <v>2 T 2009</v>
      </c>
      <c r="E60" s="70" t="str">
        <f t="shared" si="90"/>
        <v>3 T 2009</v>
      </c>
      <c r="F60" s="70" t="str">
        <f t="shared" si="90"/>
        <v>4 T 2009</v>
      </c>
      <c r="G60" s="70" t="str">
        <f t="shared" si="90"/>
        <v>1 T 2010</v>
      </c>
      <c r="H60" s="70" t="str">
        <f t="shared" si="90"/>
        <v>2 T 2010</v>
      </c>
      <c r="I60" s="70" t="str">
        <f t="shared" si="90"/>
        <v>3 T 2010</v>
      </c>
      <c r="J60" s="70" t="str">
        <f t="shared" si="90"/>
        <v>4 T 2010</v>
      </c>
      <c r="K60" s="70" t="str">
        <f t="shared" si="90"/>
        <v>1 T 2011</v>
      </c>
      <c r="L60" s="70" t="str">
        <f t="shared" si="90"/>
        <v>2 T 2011</v>
      </c>
      <c r="M60" s="70" t="str">
        <f>M6</f>
        <v>3 T 2011</v>
      </c>
      <c r="N60" s="70" t="str">
        <f>N6</f>
        <v>4 T 2011</v>
      </c>
      <c r="O60" s="70" t="s">
        <v>106</v>
      </c>
      <c r="P60" s="70" t="s">
        <v>111</v>
      </c>
      <c r="Q60" s="70" t="s">
        <v>135</v>
      </c>
      <c r="R60" s="70" t="s">
        <v>141</v>
      </c>
      <c r="S60" s="70" t="s">
        <v>145</v>
      </c>
      <c r="T60" s="70" t="s">
        <v>150</v>
      </c>
      <c r="U60" s="70" t="s">
        <v>159</v>
      </c>
      <c r="V60" s="70" t="s">
        <v>164</v>
      </c>
      <c r="W60" s="70" t="s">
        <v>168</v>
      </c>
      <c r="X60" s="70" t="s">
        <v>172</v>
      </c>
      <c r="Y60" s="70" t="s">
        <v>178</v>
      </c>
      <c r="Z60" s="70" t="s">
        <v>193</v>
      </c>
      <c r="AA60" s="70" t="s">
        <v>198</v>
      </c>
      <c r="AB60" s="70" t="s">
        <v>203</v>
      </c>
      <c r="AC60" s="70" t="s">
        <v>206</v>
      </c>
      <c r="AD60" s="70" t="s">
        <v>210</v>
      </c>
      <c r="AE60" s="70" t="s">
        <v>219</v>
      </c>
      <c r="AF60" s="70" t="s">
        <v>224</v>
      </c>
      <c r="AG60" s="70" t="s">
        <v>224</v>
      </c>
      <c r="AH60" s="70" t="str">
        <f t="shared" ref="AH60:AL60" si="91">AH52</f>
        <v>4 T 2016</v>
      </c>
      <c r="AI60" s="70" t="str">
        <f t="shared" si="91"/>
        <v>1 T 2017</v>
      </c>
      <c r="AJ60" s="70" t="str">
        <f t="shared" si="91"/>
        <v>2 T 2017</v>
      </c>
      <c r="AK60" s="70" t="str">
        <f t="shared" si="91"/>
        <v>3 T 2017</v>
      </c>
      <c r="AL60" s="70" t="str">
        <f t="shared" si="91"/>
        <v>4 T 2017</v>
      </c>
      <c r="AM60" s="70" t="str">
        <f t="shared" ref="AM60:AR60" si="92">AM52</f>
        <v>1 T 2018</v>
      </c>
      <c r="AN60" s="70" t="str">
        <f t="shared" si="92"/>
        <v>2 T 2018</v>
      </c>
      <c r="AO60" s="70" t="str">
        <f t="shared" si="92"/>
        <v>3 T 2018</v>
      </c>
      <c r="AP60" s="70" t="str">
        <f t="shared" si="92"/>
        <v>4 T 2018</v>
      </c>
      <c r="AQ60" s="70" t="str">
        <f t="shared" si="92"/>
        <v>1 T 2019</v>
      </c>
      <c r="AR60" s="255" t="str">
        <f t="shared" si="92"/>
        <v>2 T 2019</v>
      </c>
      <c r="AS60" s="196" t="str">
        <f t="shared" ref="AS60:AT60" si="93">AS52</f>
        <v>3 T 2019</v>
      </c>
      <c r="AT60" s="196" t="str">
        <f t="shared" si="93"/>
        <v>4 T 2019</v>
      </c>
      <c r="AU60" s="196" t="str">
        <f t="shared" ref="AU60:AV60" si="94">AU52</f>
        <v>1 T 2020</v>
      </c>
      <c r="AV60" s="196" t="str">
        <f t="shared" si="94"/>
        <v>2 T 2020</v>
      </c>
      <c r="AW60" s="196" t="str">
        <f t="shared" ref="AW60" si="95">AW52</f>
        <v>3 T 2020</v>
      </c>
      <c r="AX60" s="196" t="str">
        <f t="shared" ref="AX60" si="96">AX52</f>
        <v>4 T 2020</v>
      </c>
      <c r="AY60" s="196" t="str">
        <f t="shared" ref="AY60:AZ60" si="97">AY52</f>
        <v>1 T 2021</v>
      </c>
      <c r="AZ60" s="196" t="str">
        <f t="shared" si="97"/>
        <v>2 T 2021</v>
      </c>
      <c r="BA60" s="196" t="str">
        <f t="shared" ref="BA60:BB60" si="98">BA52</f>
        <v>3 T 2021</v>
      </c>
      <c r="BB60" s="196" t="str">
        <f t="shared" si="98"/>
        <v>4T 2021</v>
      </c>
      <c r="BC60" s="196" t="str">
        <f t="shared" ref="BC60:BD60" si="99">BC52</f>
        <v>1T 2022</v>
      </c>
      <c r="BD60" s="196" t="str">
        <f t="shared" si="99"/>
        <v>2T 2022</v>
      </c>
      <c r="BE60" s="196" t="str">
        <f t="shared" ref="BE60:BF60" si="100">BE52</f>
        <v>3T 2022</v>
      </c>
      <c r="BF60" s="196" t="str">
        <f t="shared" si="100"/>
        <v>4T 2022</v>
      </c>
      <c r="BG60" s="196" t="str">
        <f t="shared" ref="BG60:BH60" si="101">BG52</f>
        <v>1T 2023</v>
      </c>
      <c r="BH60" s="196" t="str">
        <f t="shared" si="101"/>
        <v>2T 2023</v>
      </c>
      <c r="BI60" s="196" t="str">
        <f t="shared" ref="BI60:BJ60" si="102">BI52</f>
        <v>3T 2023</v>
      </c>
      <c r="BJ60" s="196" t="str">
        <f t="shared" si="102"/>
        <v>4T 2023</v>
      </c>
      <c r="BK60" s="196" t="str">
        <f t="shared" ref="BK60:BL60" si="103">BK52</f>
        <v>1T 2024</v>
      </c>
      <c r="BL60" s="196" t="str">
        <f t="shared" si="103"/>
        <v>2T 2024</v>
      </c>
      <c r="BM60" s="196" t="str">
        <f t="shared" ref="BM60:BN60" si="104">BM52</f>
        <v>3T 2024</v>
      </c>
      <c r="BN60" s="196" t="str">
        <f t="shared" si="104"/>
        <v>4T 2024</v>
      </c>
    </row>
    <row r="61" spans="1:66" x14ac:dyDescent="0.25">
      <c r="A61" s="38" t="s">
        <v>2</v>
      </c>
      <c r="F61" s="72">
        <f>'retraites SA Nb'!$P61/'retraites SA Nb'!$D61-1</f>
        <v>2.0588235294117574E-2</v>
      </c>
      <c r="G61" s="72">
        <f>'retraites SA Nb'!$S61/'retraites SA Nb'!$G61-1</f>
        <v>2.1224560156005934E-2</v>
      </c>
      <c r="H61" s="72">
        <f>'retraites SA Nb'!$V61/'retraites SA Nb'!$J61-1</f>
        <v>2.0299622283167285E-2</v>
      </c>
      <c r="I61" s="72">
        <f>'retraites SA Nb'!$Y61/'retraites SA Nb'!$M61-1</f>
        <v>2.0253531380427736E-2</v>
      </c>
      <c r="J61" s="72">
        <f>'retraites SA Nb'!$AB61/'retraites SA Nb'!$P61-1</f>
        <v>2.11817325634307E-2</v>
      </c>
      <c r="K61" s="72">
        <f>'retraites SA Nb'!$AE61/'retraites SA Nb'!$S61-1</f>
        <v>2.1106973178459665E-2</v>
      </c>
      <c r="L61" s="72">
        <f>'retraites SA Nb'!$AH61/'retraites SA Nb'!$V61-1</f>
        <v>3.341540748252303E-2</v>
      </c>
      <c r="M61" s="72">
        <f>'retraites SA Nb'!$AK61/'retraites SA Nb'!$Y61-1</f>
        <v>3.0038726125239723E-2</v>
      </c>
      <c r="N61" s="72">
        <f>'retraites SA Nb'!$AN61/'retraites SA Nb'!$AB61-1</f>
        <v>3.1336354592682802E-2</v>
      </c>
      <c r="O61" s="72">
        <f>'retraites SA Nb'!$AQ61/'retraites SA Nb'!$AE61-1</f>
        <v>3.1188546750102519E-2</v>
      </c>
      <c r="P61" s="72">
        <f>'retraites SA Nb'!$AT61/'retraites SA Nb'!$AH61-1</f>
        <v>3.0392542334150008E-2</v>
      </c>
      <c r="Q61" s="72">
        <f>'retraites SA Nb'!$AW61/'retraites SA Nb'!$AK61-1</f>
        <v>3.3194783532750849E-2</v>
      </c>
      <c r="R61" s="72">
        <f>'retraites SA Nb'!$AZ61/'retraites SA Nb'!$AN61-1</f>
        <v>3.159329617919715E-2</v>
      </c>
      <c r="S61" s="72">
        <f>'retraites SA Nb'!$BC61/'retraites SA Nb'!$AQ61-1</f>
        <v>3.2245782665762501E-2</v>
      </c>
      <c r="T61" s="72">
        <f>'retraites SA Nb'!$BF61/'retraites SA Nb'!$AT61-1</f>
        <v>2.4515927036009133E-2</v>
      </c>
      <c r="U61" s="72">
        <f>'retraites SA Nb'!$BI61/'retraites SA Nb'!$AW61-1</f>
        <v>2.5882299332437242E-2</v>
      </c>
      <c r="V61" s="72">
        <f>'retraites SA Nb'!$BL61/'retraites SA Nb'!$AZ61-1</f>
        <v>2.6008980257070213E-2</v>
      </c>
      <c r="W61" s="72">
        <f>'retraites SA Nb'!$BO61/'retraites SA Nb'!$BC61-1</f>
        <v>2.5252852067789711E-2</v>
      </c>
      <c r="X61" s="72">
        <f>'retraites SA Nb'!$BR61/'retraites SA Nb'!$BF61-1</f>
        <v>1.1647895484092619E-2</v>
      </c>
      <c r="Y61" s="72">
        <f>'retraites SA Nb'!$BU61/'retraites SA Nb'!$BI61-1</f>
        <v>1.1091757643826305E-2</v>
      </c>
      <c r="Z61" s="72">
        <f>'retraites SA Nb'!$BX61/'retraites SA Nb'!$BL61-1</f>
        <v>1.0698689956331942E-2</v>
      </c>
      <c r="AA61" s="72">
        <f>'retraites SA Nb'!$CA61/'retraites SA Nb'!$BO61-1</f>
        <v>1.0773828496050575E-2</v>
      </c>
      <c r="AB61" s="72">
        <f>'retraites SA Nb'!$CG61/'retraites SA Nb'!$BR61-1</f>
        <v>1.3106015551003436E-2</v>
      </c>
      <c r="AC61" s="72">
        <f>'retraites SA Nb'!$CG61/'retraites SA Nb'!$BU61-1</f>
        <v>1.0270329635847286E-2</v>
      </c>
      <c r="AD61" s="72">
        <f>'retraites SA Nb'!$CJ61/'retraites SA Nb'!$BX61-1</f>
        <v>1.0726328345872282E-2</v>
      </c>
      <c r="AE61" s="72">
        <f>'retraites SA Nb'!$CM61/'retraites SA Nb'!$CA61-1</f>
        <v>1.0640257514213713E-2</v>
      </c>
      <c r="AF61" s="72">
        <f>'retraites SA Nb'!$CS61/'retraites SA Nb'!$CG61-1</f>
        <v>1.0389553916970717E-2</v>
      </c>
      <c r="AG61" s="72">
        <f>'retraites SA Nb'!$CS61/'retraites SA Nb'!$CG61-1</f>
        <v>1.0389553916970717E-2</v>
      </c>
      <c r="AH61" s="72">
        <f>'retraites SA Nb'!$CV61/'retraites SA Nb'!$CJ61-1</f>
        <v>9.2495361292581624E-3</v>
      </c>
      <c r="AI61" s="72">
        <f>'retraites SA Nb'!$CY61/'retraites SA Nb'!$CM61-1</f>
        <v>9.0237595806004212E-3</v>
      </c>
      <c r="AJ61" s="72">
        <f>'retraites SA Nb'!$DB61/'retraites SA Nb'!$CP61-1</f>
        <v>8.5792470971082224E-3</v>
      </c>
      <c r="AK61" s="72">
        <f>'retraites SA Nb'!$DE61/'retraites SA Nb'!$CS61-1</f>
        <v>7.7988828876462968E-3</v>
      </c>
      <c r="AL61" s="72">
        <f>'retraites SA Nb'!$DH61/'retraites SA Nb'!$CV61-1</f>
        <v>1.5379987907173653E-2</v>
      </c>
      <c r="AM61" s="72">
        <f>'retraites SA Nb'!$DK61/'retraites SA Nb'!$CY61-1</f>
        <v>1.4692825345506533E-2</v>
      </c>
      <c r="AN61" s="72">
        <f>'retraites SA Nb'!$DN61/'retraites SA Nb'!$DB61-1</f>
        <v>1.4528488670528583E-2</v>
      </c>
      <c r="AO61" s="72">
        <f>'retraites SA Nb'!$DQ61/'retraites SA Nb'!$DE61-1</f>
        <v>1.3961078574914687E-2</v>
      </c>
      <c r="AP61" s="72">
        <f>'retraites SA Nb'!$DT61/'retraites SA Nb'!$DH61-1</f>
        <v>6.1482842840907548E-3</v>
      </c>
      <c r="AQ61" s="72">
        <f>'retraites SA Nb'!$DW61/'retraites SA Nb'!$DK61-1</f>
        <v>9.2299522359777786E-3</v>
      </c>
      <c r="AR61" s="122">
        <f>'retraites SA Nb'!$DZ61/'retraites SA Nb'!$DN61-1</f>
        <v>8.7789834449152337E-3</v>
      </c>
      <c r="AS61" s="261">
        <f>'retraites SA Nb'!$EC61/'retraites SA Nb'!$DQ61-1</f>
        <v>8.8202468586142668E-3</v>
      </c>
      <c r="AT61" s="261">
        <f>'retraites SA Nb'!$EF61/'retraites SA Nb'!$DT61-1</f>
        <v>8.5111368811925381E-3</v>
      </c>
      <c r="AU61" s="261">
        <f>'retraites SA Nb'!$EI61/'retraites SA Nb'!$DW61-1</f>
        <v>1.0449055249940109E-2</v>
      </c>
      <c r="AV61" s="261">
        <f>'retraites SA Nb'!$EL61/'retraites SA Nb'!$DZ61-1</f>
        <v>1.006991921375211E-2</v>
      </c>
      <c r="AW61" s="261">
        <f>'retraites SA Nb'!$EO61/'retraites SA Nb'!$EC61-1</f>
        <v>1.0639661964103153E-2</v>
      </c>
      <c r="AX61" s="261">
        <f>'retraites SA Nb'!$ER61/'retraites SA Nb'!$EF61-1</f>
        <v>3.6992353086618524E-2</v>
      </c>
      <c r="AY61" s="261">
        <f>'retraites SA Nb'!$EU61/'retraites SA Nb'!$EI61-1</f>
        <v>3.4307271247873361E-2</v>
      </c>
      <c r="AZ61" s="261">
        <f>'retraites SA Nb'!$EX61/'retraites SA Nb'!$EL61-1</f>
        <v>9.5852877803097591E-3</v>
      </c>
      <c r="BA61" s="261">
        <f>'retraites SA Nb'!$FA61/'retraites SA Nb'!$EO61-1</f>
        <v>8.8694282080863385E-3</v>
      </c>
      <c r="BB61" s="299">
        <f>'retraites SA Nb'!$FD61/'retraites SA Nb'!$ER61-1</f>
        <v>-2.5124538600495905E-2</v>
      </c>
      <c r="BC61" s="299">
        <f>'retraites SA Nb'!$FG61/'retraites SA Nb'!$EU61-1</f>
        <v>-2.9198953021369101E-2</v>
      </c>
      <c r="BD61" s="299">
        <f>'retraites SA Nb'!$FJ61/'retraites SA Nb'!$EX61-1</f>
        <v>-4.7582262200049907E-3</v>
      </c>
      <c r="BE61" s="299">
        <f>'retraites SA Nb'!$FM61/'retraites SA Nb'!$FA61-1</f>
        <v>3.4717999988898018E-2</v>
      </c>
      <c r="BF61" s="299">
        <f>'retraites SA Nb'!$FP61/'retraites SA Nb'!$FD61-1</f>
        <v>4.4304168095933738E-2</v>
      </c>
      <c r="BG61" s="299">
        <f>'retraites SA Nb'!$FS61/'retraites SA Nb'!$FG61-1</f>
        <v>5.4712679155886734E-2</v>
      </c>
      <c r="BH61" s="299">
        <f>'retraites SA Nb'!$FV61/'retraites SA Nb'!$FJ61-1</f>
        <v>5.4033349153570276E-2</v>
      </c>
      <c r="BI61" s="299">
        <f>'retraites SA Nb'!$FY61/'retraites SA Nb'!$FM61-1</f>
        <v>1.4824922855447564E-2</v>
      </c>
      <c r="BJ61" s="299">
        <f>'retraites SA Nb'!$GB61/'retraites SA Nb'!$FP61-1</f>
        <v>1.4914867716622426E-2</v>
      </c>
      <c r="BK61" s="299">
        <f>'retraites SA Nb'!$GE61/'retraites SA Nb'!$FS61-1</f>
        <v>6.0220716767541926E-2</v>
      </c>
      <c r="BL61" s="299">
        <f>'retraites SA Nb'!$GH61/'retraites SA Nb'!$FV61-1</f>
        <v>6.0847201469989898E-2</v>
      </c>
      <c r="BM61" s="299">
        <f>'retraites SA Nb'!$GK61/'retraites SA Nb'!$FY61-1</f>
        <v>5.9555459788823484E-2</v>
      </c>
      <c r="BN61" s="299">
        <f>'retraites SA Nb'!$GN61/'retraites SA Nb'!$GB61-1</f>
        <v>6.2060654675047511E-2</v>
      </c>
    </row>
    <row r="62" spans="1:66" x14ac:dyDescent="0.25">
      <c r="A62" s="39" t="s">
        <v>4</v>
      </c>
      <c r="F62" s="72">
        <f>'retraites SA Nb'!$P62/'retraites SA Nb'!$D62-1</f>
        <v>1.6084380603519577E-2</v>
      </c>
      <c r="G62" s="72">
        <f>'retraites SA Nb'!$S62/'retraites SA Nb'!$G62-1</f>
        <v>1.6633634520062612E-2</v>
      </c>
      <c r="H62" s="72">
        <f>'retraites SA Nb'!$V62/'retraites SA Nb'!$J62-1</f>
        <v>1.3602555310111786E-2</v>
      </c>
      <c r="I62" s="72">
        <f>'retraites SA Nb'!$Y62/'retraites SA Nb'!$M62-1</f>
        <v>1.3523794383821341E-2</v>
      </c>
      <c r="J62" s="72">
        <f>'retraites SA Nb'!$AB62/'retraites SA Nb'!$P62-1</f>
        <v>1.1744788911226323E-2</v>
      </c>
      <c r="K62" s="72">
        <f>'retraites SA Nb'!$AE62/'retraites SA Nb'!$S62-1</f>
        <v>9.9096517292869279E-3</v>
      </c>
      <c r="L62" s="72">
        <f>'retraites SA Nb'!$AH62/'retraites SA Nb'!$V62-1</f>
        <v>2.1531824859538418E-2</v>
      </c>
      <c r="M62" s="72">
        <f>'retraites SA Nb'!$AK62/'retraites SA Nb'!$Y62-1</f>
        <v>2.0528505381403717E-2</v>
      </c>
      <c r="N62" s="72">
        <f>'retraites SA Nb'!$AN62/'retraites SA Nb'!$AB62-1</f>
        <v>2.2003017898228006E-2</v>
      </c>
      <c r="O62" s="72">
        <f>'retraites SA Nb'!$AQ62/'retraites SA Nb'!$AE62-1</f>
        <v>2.2589461736065575E-2</v>
      </c>
      <c r="P62" s="72">
        <f>'retraites SA Nb'!$AT62/'retraites SA Nb'!$AH62-1</f>
        <v>2.4236014798496797E-2</v>
      </c>
      <c r="Q62" s="72">
        <f>'retraites SA Nb'!$AW62/'retraites SA Nb'!$AK62-1</f>
        <v>2.5926644246919706E-2</v>
      </c>
      <c r="R62" s="72">
        <f>'retraites SA Nb'!$AZ62/'retraites SA Nb'!$AN62-1</f>
        <v>2.5432431741019723E-2</v>
      </c>
      <c r="S62" s="72">
        <f>'retraites SA Nb'!$BC62/'retraites SA Nb'!$AQ62-1</f>
        <v>2.630041551954565E-2</v>
      </c>
      <c r="T62" s="72">
        <f>'retraites SA Nb'!$BF62/'retraites SA Nb'!$AT62-1</f>
        <v>1.7513773071234029E-2</v>
      </c>
      <c r="U62" s="72">
        <f>'retraites SA Nb'!$BI62/'retraites SA Nb'!$AW62-1</f>
        <v>1.7830900711951925E-2</v>
      </c>
      <c r="V62" s="72">
        <f>'retraites SA Nb'!$BL62/'retraites SA Nb'!$AZ62-1</f>
        <v>1.7851924187236579E-2</v>
      </c>
      <c r="W62" s="72">
        <f>'retraites SA Nb'!$BO62/'retraites SA Nb'!$BC62-1</f>
        <v>1.7351117309491793E-2</v>
      </c>
      <c r="X62" s="72">
        <f>'retraites SA Nb'!$BR62/'retraites SA Nb'!$BF62-1</f>
        <v>5.6110338628352352E-3</v>
      </c>
      <c r="Y62" s="72">
        <f>'retraites SA Nb'!$BU62/'retraites SA Nb'!$BI62-1</f>
        <v>5.3091762891834815E-3</v>
      </c>
      <c r="Z62" s="72">
        <f>'retraites SA Nb'!$BX62/'retraites SA Nb'!$BL62-1</f>
        <v>5.8229310737232254E-3</v>
      </c>
      <c r="AA62" s="72">
        <f>'retraites SA Nb'!$CA62/'retraites SA Nb'!$BO62-1</f>
        <v>5.6862292536563608E-3</v>
      </c>
      <c r="AB62" s="72">
        <f>'retraites SA Nb'!$CG62/'retraites SA Nb'!$BR62-1</f>
        <v>3.9421216924935276E-3</v>
      </c>
      <c r="AC62" s="72">
        <f>'retraites SA Nb'!$CG62/'retraites SA Nb'!$BU62-1</f>
        <v>2.2762923972532434E-3</v>
      </c>
      <c r="AD62" s="72">
        <f>'retraites SA Nb'!$CJ62/'retraites SA Nb'!$BX62-1</f>
        <v>4.3967443900605474E-3</v>
      </c>
      <c r="AE62" s="72">
        <f>'retraites SA Nb'!$CM62/'retraites SA Nb'!$CA62-1</f>
        <v>4.6700048682104534E-3</v>
      </c>
      <c r="AF62" s="72">
        <f>'retraites SA Nb'!$CS62/'retraites SA Nb'!$CG62-1</f>
        <v>6.4342678672661968E-3</v>
      </c>
      <c r="AG62" s="72">
        <f>'retraites SA Nb'!$CS62/'retraites SA Nb'!$CG62-1</f>
        <v>6.4342678672661968E-3</v>
      </c>
      <c r="AH62" s="72">
        <f>'retraites SA Nb'!$CV62/'retraites SA Nb'!$CJ62-1</f>
        <v>4.3705657473807058E-3</v>
      </c>
      <c r="AI62" s="72">
        <f>'retraites SA Nb'!$CY62/'retraites SA Nb'!$CM62-1</f>
        <v>2.9246546657759609E-3</v>
      </c>
      <c r="AJ62" s="72">
        <f>'retraites SA Nb'!$DB62/'retraites SA Nb'!$CP62-1</f>
        <v>2.6298942851705753E-3</v>
      </c>
      <c r="AK62" s="72">
        <f>'retraites SA Nb'!$DE62/'retraites SA Nb'!$CS62-1</f>
        <v>5.7019832534477288E-4</v>
      </c>
      <c r="AL62" s="72">
        <f>'retraites SA Nb'!$DH62/'retraites SA Nb'!$CV62-1</f>
        <v>8.0405270168608656E-3</v>
      </c>
      <c r="AM62" s="72">
        <f>'retraites SA Nb'!$DK62/'retraites SA Nb'!$CY62-1</f>
        <v>9.5731757820050056E-3</v>
      </c>
      <c r="AN62" s="72">
        <f>'retraites SA Nb'!$DN62/'retraites SA Nb'!$DB62-1</f>
        <v>8.6696923156570627E-3</v>
      </c>
      <c r="AO62" s="72">
        <f>'retraites SA Nb'!$DQ62/'retraites SA Nb'!$DE62-1</f>
        <v>9.6498559774538251E-3</v>
      </c>
      <c r="AP62" s="72">
        <f>'retraites SA Nb'!$DT62/'retraites SA Nb'!$DH62-1</f>
        <v>2.4682313633126451E-3</v>
      </c>
      <c r="AQ62" s="72">
        <f>'retraites SA Nb'!$DW62/'retraites SA Nb'!$DK62-1</f>
        <v>3.5447901497904777E-3</v>
      </c>
      <c r="AR62" s="122">
        <f>'retraites SA Nb'!$DZ62/'retraites SA Nb'!$DN62-1</f>
        <v>3.9006764594173848E-3</v>
      </c>
      <c r="AS62" s="261">
        <f>'retraites SA Nb'!$EC62/'retraites SA Nb'!$DQ62-1</f>
        <v>5.5792728815182713E-3</v>
      </c>
      <c r="AT62" s="261">
        <f>'retraites SA Nb'!$EF62/'retraites SA Nb'!$DT62-1</f>
        <v>3.8861740309323878E-3</v>
      </c>
      <c r="AU62" s="261">
        <f>'retraites SA Nb'!$EI62/'retraites SA Nb'!$DW62-1</f>
        <v>8.1340967848517742E-3</v>
      </c>
      <c r="AV62" s="261">
        <f>'retraites SA Nb'!$EL62/'retraites SA Nb'!$DZ62-1</f>
        <v>1.1939454050314158E-2</v>
      </c>
      <c r="AW62" s="261">
        <f>'retraites SA Nb'!$EO62/'retraites SA Nb'!$EC62-1</f>
        <v>1.1365375914655917E-2</v>
      </c>
      <c r="AX62" s="261">
        <f>'retraites SA Nb'!$ER62/'retraites SA Nb'!$EF62-1</f>
        <v>5.1535695697874973E-2</v>
      </c>
      <c r="AY62" s="261">
        <f>'retraites SA Nb'!$EU62/'retraites SA Nb'!$EI62-1</f>
        <v>4.8731784286761615E-2</v>
      </c>
      <c r="AZ62" s="261">
        <f>'retraites SA Nb'!$EX62/'retraites SA Nb'!$EL62-1</f>
        <v>9.7170764567193757E-3</v>
      </c>
      <c r="BA62" s="261">
        <f>'retraites SA Nb'!$FA62/'retraites SA Nb'!$EO62-1</f>
        <v>9.4818771358609055E-3</v>
      </c>
      <c r="BB62" s="299">
        <f>'retraites SA Nb'!$FD62/'retraites SA Nb'!$ER62-1</f>
        <v>-3.4470176347323522E-2</v>
      </c>
      <c r="BC62" s="299">
        <f>'retraites SA Nb'!$FG62/'retraites SA Nb'!$EU62-1</f>
        <v>-3.8417653219050329E-2</v>
      </c>
      <c r="BD62" s="299">
        <f>'retraites SA Nb'!$FJ62/'retraites SA Nb'!$EX62-1</f>
        <v>-3.4271370104408394E-3</v>
      </c>
      <c r="BE62" s="299">
        <f>'retraites SA Nb'!$FM62/'retraites SA Nb'!$FA62-1</f>
        <v>3.4487281403254633E-2</v>
      </c>
      <c r="BF62" s="299">
        <f>'retraites SA Nb'!$FP62/'retraites SA Nb'!$FD62-1</f>
        <v>4.1870974909577585E-2</v>
      </c>
      <c r="BG62" s="299">
        <f>'retraites SA Nb'!$FS62/'retraites SA Nb'!$FG62-1</f>
        <v>4.9196993343267659E-2</v>
      </c>
      <c r="BH62" s="299">
        <f>'retraites SA Nb'!$FV62/'retraites SA Nb'!$FJ62-1</f>
        <v>5.0911528806764306E-2</v>
      </c>
      <c r="BI62" s="299">
        <f>'retraites SA Nb'!$FY62/'retraites SA Nb'!$FM62-1</f>
        <v>1.1717563617481996E-2</v>
      </c>
      <c r="BJ62" s="299">
        <f>'retraites SA Nb'!$GB62/'retraites SA Nb'!$FP62-1</f>
        <v>1.1362483417843849E-2</v>
      </c>
      <c r="BK62" s="299">
        <f>'retraites SA Nb'!$GE62/'retraites SA Nb'!$FS62-1</f>
        <v>6.0069766726382756E-2</v>
      </c>
      <c r="BL62" s="299">
        <f>'retraites SA Nb'!$GH62/'retraites SA Nb'!$FV62-1</f>
        <v>5.8283845485355812E-2</v>
      </c>
      <c r="BM62" s="299">
        <f>'retraites SA Nb'!$GK62/'retraites SA Nb'!$FY62-1</f>
        <v>5.772401277249406E-2</v>
      </c>
      <c r="BN62" s="299">
        <f>'retraites SA Nb'!$GN62/'retraites SA Nb'!$GB62-1</f>
        <v>7.1414931911831347E-2</v>
      </c>
    </row>
    <row r="63" spans="1:66" ht="12" thickBot="1" x14ac:dyDescent="0.3">
      <c r="A63" s="40" t="s">
        <v>5</v>
      </c>
      <c r="F63" s="72">
        <f>'retraites SA Nb'!$P63/'retraites SA Nb'!$D63-1</f>
        <v>2.0476855309155217E-2</v>
      </c>
      <c r="G63" s="72">
        <f>'retraites SA Nb'!$S63/'retraites SA Nb'!$G63-1</f>
        <v>2.1097031228068941E-2</v>
      </c>
      <c r="H63" s="72">
        <f>'retraites SA Nb'!$V63/'retraites SA Nb'!$J63-1</f>
        <v>2.011668744029782E-2</v>
      </c>
      <c r="I63" s="72">
        <f>'retraites SA Nb'!$Y63/'retraites SA Nb'!$M63-1</f>
        <v>2.0082668338451404E-2</v>
      </c>
      <c r="J63" s="72">
        <f>'retraites SA Nb'!$AB63/'retraites SA Nb'!$P63-1</f>
        <v>2.0939169291575244E-2</v>
      </c>
      <c r="K63" s="72">
        <f>'retraites SA Nb'!$AE63/'retraites SA Nb'!$S63-1</f>
        <v>2.0816224389452964E-2</v>
      </c>
      <c r="L63" s="72">
        <f>'retraites SA Nb'!$AH63/'retraites SA Nb'!$V63-1</f>
        <v>3.3104514188643686E-2</v>
      </c>
      <c r="M63" s="72">
        <f>'retraites SA Nb'!$AK63/'retraites SA Nb'!$Y63-1</f>
        <v>2.9784411967930691E-2</v>
      </c>
      <c r="N63" s="72">
        <f>'retraites SA Nb'!$AN63/'retraites SA Nb'!$AB63-1</f>
        <v>3.1091796807368732E-2</v>
      </c>
      <c r="O63" s="72">
        <f>'retraites SA Nb'!$AQ63/'retraites SA Nb'!$AE63-1</f>
        <v>3.0977774862150254E-2</v>
      </c>
      <c r="P63" s="72">
        <f>'retraites SA Nb'!$AT63/'retraites SA Nb'!$AH63-1</f>
        <v>3.0261269214440167E-2</v>
      </c>
      <c r="Q63" s="72">
        <f>'retraites SA Nb'!$AW63/'retraites SA Nb'!$AK63-1</f>
        <v>3.3033134287091981E-2</v>
      </c>
      <c r="R63" s="72">
        <f>'retraites SA Nb'!$AZ63/'retraites SA Nb'!$AN63-1</f>
        <v>3.1450553952896421E-2</v>
      </c>
      <c r="S63" s="72">
        <f>'retraites SA Nb'!$BC63/'retraites SA Nb'!$AQ63-1</f>
        <v>3.2156839105288437E-2</v>
      </c>
      <c r="T63" s="72">
        <f>'retraites SA Nb'!$BF63/'retraites SA Nb'!$AT63-1</f>
        <v>2.4424145498310734E-2</v>
      </c>
      <c r="U63" s="72">
        <f>'retraites SA Nb'!$BI63/'retraites SA Nb'!$AW63-1</f>
        <v>2.5794933056551006E-2</v>
      </c>
      <c r="V63" s="72">
        <f>'retraites SA Nb'!$BL63/'retraites SA Nb'!$AZ63-1</f>
        <v>2.5923538260173018E-2</v>
      </c>
      <c r="W63" s="72">
        <f>'retraites SA Nb'!$BO63/'retraites SA Nb'!$BC63-1</f>
        <v>2.5152416766979879E-2</v>
      </c>
      <c r="X63" s="72">
        <f>'retraites SA Nb'!$BR63/'retraites SA Nb'!$BF63-1</f>
        <v>1.160485392569699E-2</v>
      </c>
      <c r="Y63" s="72">
        <f>'retraites SA Nb'!$BU63/'retraites SA Nb'!$BI63-1</f>
        <v>1.1066529634308209E-2</v>
      </c>
      <c r="Z63" s="72">
        <f>'retraites SA Nb'!$BX63/'retraites SA Nb'!$BL63-1</f>
        <v>1.071736867494355E-2</v>
      </c>
      <c r="AA63" s="72">
        <f>'retraites SA Nb'!$CA63/'retraites SA Nb'!$BO63-1</f>
        <v>1.0808569629026987E-2</v>
      </c>
      <c r="AB63" s="72">
        <f>'retraites SA Nb'!$CG63/'retraites SA Nb'!$BR63-1</f>
        <v>1.3011809408393527E-2</v>
      </c>
      <c r="AC63" s="72">
        <f>'retraites SA Nb'!$CG63/'retraites SA Nb'!$BU63-1</f>
        <v>1.0164936319663642E-2</v>
      </c>
      <c r="AD63" s="72">
        <f>'retraites SA Nb'!$CJ63/'retraites SA Nb'!$BX63-1</f>
        <v>1.0672804287961579E-2</v>
      </c>
      <c r="AE63" s="72">
        <f>'retraites SA Nb'!$CM63/'retraites SA Nb'!$CA63-1</f>
        <v>1.0561483930763282E-2</v>
      </c>
      <c r="AF63" s="72">
        <f>'retraites SA Nb'!$CS63/'retraites SA Nb'!$CG63-1</f>
        <v>1.0408456364548346E-2</v>
      </c>
      <c r="AG63" s="72">
        <f>'retraites SA Nb'!$CS63/'retraites SA Nb'!$CG63-1</f>
        <v>1.0408456364548346E-2</v>
      </c>
      <c r="AH63" s="72">
        <f>'retraites SA Nb'!$CV63/'retraites SA Nb'!$CJ63-1</f>
        <v>9.2148431674703435E-3</v>
      </c>
      <c r="AI63" s="72">
        <f>'retraites SA Nb'!$CY63/'retraites SA Nb'!$CM63-1</f>
        <v>8.9855332914008379E-3</v>
      </c>
      <c r="AJ63" s="72">
        <f>'retraites SA Nb'!$DB63/'retraites SA Nb'!$CP63-1</f>
        <v>8.5525034695284052E-3</v>
      </c>
      <c r="AK63" s="72">
        <f>'retraites SA Nb'!$DE63/'retraites SA Nb'!$CS63-1</f>
        <v>7.7421145129958902E-3</v>
      </c>
      <c r="AL63" s="72">
        <f>'retraites SA Nb'!$DH63/'retraites SA Nb'!$CV63-1</f>
        <v>1.5349189442121824E-2</v>
      </c>
      <c r="AM63" s="72">
        <f>'retraites SA Nb'!$DK63/'retraites SA Nb'!$CY63-1</f>
        <v>1.4687953912437379E-2</v>
      </c>
      <c r="AN63" s="72">
        <f>'retraites SA Nb'!$DN63/'retraites SA Nb'!$DB63-1</f>
        <v>1.4511274969506438E-2</v>
      </c>
      <c r="AO63" s="72">
        <f>'retraites SA Nb'!$DQ63/'retraites SA Nb'!$DE63-1</f>
        <v>1.396091677604705E-2</v>
      </c>
      <c r="AP63" s="72">
        <f>'retraites SA Nb'!$DT63/'retraites SA Nb'!$DH63-1</f>
        <v>6.1426700300766246E-3</v>
      </c>
      <c r="AQ63" s="72">
        <f>'retraites SA Nb'!$DW63/'retraites SA Nb'!$DK63-1</f>
        <v>9.1670096603153617E-3</v>
      </c>
      <c r="AR63" s="122">
        <f>'retraites SA Nb'!$DZ63/'retraites SA Nb'!$DN63-1</f>
        <v>8.7272265907023527E-3</v>
      </c>
      <c r="AS63" s="261">
        <f>'retraites SA Nb'!$EC63/'retraites SA Nb'!$DQ63-1</f>
        <v>8.8019456614887304E-3</v>
      </c>
      <c r="AT63" s="261">
        <f>'retraites SA Nb'!$EF63/'retraites SA Nb'!$DT63-1</f>
        <v>8.4345336748530286E-3</v>
      </c>
      <c r="AU63" s="261">
        <f>'retraites SA Nb'!$EI63/'retraites SA Nb'!$DW63-1</f>
        <v>1.0433254461648334E-2</v>
      </c>
      <c r="AV63" s="261">
        <f>'retraites SA Nb'!$EL63/'retraites SA Nb'!$DZ63-1</f>
        <v>1.0143087307814547E-2</v>
      </c>
      <c r="AW63" s="261">
        <f>'retraites SA Nb'!$EO63/'retraites SA Nb'!$EC63-1</f>
        <v>1.0687333431043777E-2</v>
      </c>
      <c r="AX63" s="261">
        <f>'retraites SA Nb'!$ER63/'retraites SA Nb'!$EF63-1</f>
        <v>1.0996596433875627E-2</v>
      </c>
      <c r="AY63" s="261">
        <f>'retraites SA Nb'!$EU63/'retraites SA Nb'!$EI63-1</f>
        <v>9.3134519725046605E-3</v>
      </c>
      <c r="AZ63" s="261">
        <f>'retraites SA Nb'!$EX63/'retraites SA Nb'!$EL63-1</f>
        <v>9.6439762947326813E-3</v>
      </c>
      <c r="BA63" s="261">
        <f>'retraites SA Nb'!$FA63/'retraites SA Nb'!$EO63-1</f>
        <v>8.9258761623467464E-3</v>
      </c>
      <c r="BB63" s="299">
        <f>'retraites SA Nb'!$FD63/'retraites SA Nb'!$ER63-1</f>
        <v>1.7502296601801248E-5</v>
      </c>
      <c r="BC63" s="299">
        <f>'retraites SA Nb'!$FG63/'retraites SA Nb'!$EU63-1</f>
        <v>-5.1021215205485637E-3</v>
      </c>
      <c r="BD63" s="299">
        <f>'retraites SA Nb'!$FJ63/'retraites SA Nb'!$EX63-1</f>
        <v>-4.809622446024453E-3</v>
      </c>
      <c r="BE63" s="299">
        <f>'retraites SA Nb'!$FM63/'retraites SA Nb'!$FA63-1</f>
        <v>3.4664154698254679E-2</v>
      </c>
      <c r="BF63" s="299">
        <f>'retraites SA Nb'!$FP63/'retraites SA Nb'!$FD63-1</f>
        <v>4.4325745850770648E-2</v>
      </c>
      <c r="BG63" s="299">
        <f>'retraites SA Nb'!$FS63/'retraites SA Nb'!$FG63-1</f>
        <v>5.4717995249020879E-2</v>
      </c>
      <c r="BH63" s="299">
        <f>'retraites SA Nb'!$FV63/'retraites SA Nb'!$FJ63-1</f>
        <v>5.4078970167203533E-2</v>
      </c>
      <c r="BI63" s="299">
        <f>'retraites SA Nb'!$FY63/'retraites SA Nb'!$FM63-1</f>
        <v>1.4854572055132964E-2</v>
      </c>
      <c r="BJ63" s="299">
        <f>'retraites SA Nb'!$GB63/'retraites SA Nb'!$FP63-1</f>
        <v>1.4920094635525238E-2</v>
      </c>
      <c r="BK63" s="299">
        <f>'retraites SA Nb'!$GE63/'retraites SA Nb'!$FS63-1</f>
        <v>6.0250658563588688E-2</v>
      </c>
      <c r="BL63" s="299">
        <f>'retraites SA Nb'!$GH63/'retraites SA Nb'!$FV63-1</f>
        <v>6.0807209640568738E-2</v>
      </c>
      <c r="BM63" s="299">
        <f>'retraites SA Nb'!$GK63/'retraites SA Nb'!$FY63-1</f>
        <v>5.9508887391099607E-2</v>
      </c>
      <c r="BN63" s="299">
        <f>'retraites SA Nb'!$GN63/'retraites SA Nb'!$GB63-1</f>
        <v>6.2254207149358365E-2</v>
      </c>
    </row>
    <row r="64" spans="1:66" x14ac:dyDescent="0.25">
      <c r="A64" s="3"/>
      <c r="Q64" s="76"/>
      <c r="BJ64" s="126"/>
      <c r="BK64" s="126"/>
      <c r="BL64" s="126"/>
      <c r="BM64" s="126"/>
      <c r="BN64" s="126"/>
    </row>
    <row r="65" spans="1:66" x14ac:dyDescent="0.25">
      <c r="Q65" s="76"/>
      <c r="BJ65" s="126"/>
      <c r="BK65" s="126"/>
      <c r="BL65" s="126"/>
      <c r="BM65" s="126"/>
      <c r="BN65" s="126"/>
    </row>
    <row r="66" spans="1:66" ht="12" thickBot="1" x14ac:dyDescent="0.3">
      <c r="C66" s="3"/>
      <c r="O66" s="77" t="s">
        <v>113</v>
      </c>
      <c r="P66" s="77"/>
      <c r="Q66" s="77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 t="str">
        <f t="shared" ref="AI66:AN66" si="105">AI60</f>
        <v>1 T 2017</v>
      </c>
      <c r="AJ66" s="70" t="str">
        <f t="shared" si="105"/>
        <v>2 T 2017</v>
      </c>
      <c r="AK66" s="70" t="str">
        <f t="shared" si="105"/>
        <v>3 T 2017</v>
      </c>
      <c r="AL66" s="70" t="str">
        <f t="shared" si="105"/>
        <v>4 T 2017</v>
      </c>
      <c r="AM66" s="70" t="str">
        <f t="shared" si="105"/>
        <v>1 T 2018</v>
      </c>
      <c r="AN66" s="70" t="str">
        <f t="shared" si="105"/>
        <v>2 T 2018</v>
      </c>
      <c r="AO66" s="70" t="str">
        <f t="shared" ref="AO66:AQ66" si="106">AO60</f>
        <v>3 T 2018</v>
      </c>
      <c r="AP66" s="70" t="str">
        <f t="shared" si="106"/>
        <v>4 T 2018</v>
      </c>
      <c r="AQ66" s="70" t="str">
        <f t="shared" si="106"/>
        <v>1 T 2019</v>
      </c>
      <c r="AR66" s="255" t="str">
        <f t="shared" ref="AR66:AS66" si="107">AR60</f>
        <v>2 T 2019</v>
      </c>
      <c r="AS66" s="196" t="str">
        <f t="shared" si="107"/>
        <v>3 T 2019</v>
      </c>
      <c r="AT66" s="196" t="str">
        <f t="shared" ref="AT66:AU66" si="108">AT60</f>
        <v>4 T 2019</v>
      </c>
      <c r="AU66" s="196" t="str">
        <f t="shared" si="108"/>
        <v>1 T 2020</v>
      </c>
      <c r="AV66" s="196" t="str">
        <f t="shared" ref="AV66" si="109">AV60</f>
        <v>2 T 2020</v>
      </c>
      <c r="AW66" s="196" t="str">
        <f t="shared" ref="AW66" si="110">AW60</f>
        <v>3 T 2020</v>
      </c>
      <c r="AX66" s="196" t="str">
        <f t="shared" ref="AX66" si="111">AX60</f>
        <v>4 T 2020</v>
      </c>
      <c r="AY66" s="196" t="str">
        <f t="shared" ref="AY66:AZ66" si="112">AY60</f>
        <v>1 T 2021</v>
      </c>
      <c r="AZ66" s="196" t="str">
        <f t="shared" si="112"/>
        <v>2 T 2021</v>
      </c>
      <c r="BA66" s="196" t="str">
        <f t="shared" ref="BA66:BB66" si="113">BA60</f>
        <v>3 T 2021</v>
      </c>
      <c r="BB66" s="196" t="str">
        <f t="shared" si="113"/>
        <v>4T 2021</v>
      </c>
      <c r="BC66" s="196" t="str">
        <f t="shared" ref="BC66:BD66" si="114">BC60</f>
        <v>1T 2022</v>
      </c>
      <c r="BD66" s="196" t="str">
        <f t="shared" si="114"/>
        <v>2T 2022</v>
      </c>
      <c r="BE66" s="196" t="str">
        <f t="shared" ref="BE66:BF66" si="115">BE60</f>
        <v>3T 2022</v>
      </c>
      <c r="BF66" s="196" t="str">
        <f t="shared" si="115"/>
        <v>4T 2022</v>
      </c>
      <c r="BG66" s="196" t="str">
        <f t="shared" ref="BG66:BH66" si="116">BG60</f>
        <v>1T 2023</v>
      </c>
      <c r="BH66" s="196" t="str">
        <f t="shared" si="116"/>
        <v>2T 2023</v>
      </c>
      <c r="BI66" s="196" t="str">
        <f t="shared" ref="BI66:BJ66" si="117">BI60</f>
        <v>3T 2023</v>
      </c>
      <c r="BJ66" s="196" t="str">
        <f t="shared" si="117"/>
        <v>4T 2023</v>
      </c>
      <c r="BK66" s="196" t="str">
        <f t="shared" ref="BK66:BL66" si="118">BK60</f>
        <v>1T 2024</v>
      </c>
      <c r="BL66" s="196" t="str">
        <f t="shared" si="118"/>
        <v>2T 2024</v>
      </c>
      <c r="BM66" s="196" t="str">
        <f t="shared" ref="BM66:BN66" si="119">BM60</f>
        <v>3T 2024</v>
      </c>
      <c r="BN66" s="196" t="str">
        <f t="shared" si="119"/>
        <v>4T 2024</v>
      </c>
    </row>
    <row r="67" spans="1:66" ht="12" thickBot="1" x14ac:dyDescent="0.3">
      <c r="A67" s="462" t="s">
        <v>244</v>
      </c>
      <c r="B67" s="463"/>
      <c r="C67" s="464"/>
      <c r="Q67" s="76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175">
        <f>'retraites SA Nb'!CY67/'retraites SA Nb'!CM67-1</f>
        <v>0.26126357405077916</v>
      </c>
      <c r="AJ67" s="175">
        <f>'retraites SA Nb'!DB67/'retraites SA Nb'!CP67-1</f>
        <v>0.2852458149313728</v>
      </c>
      <c r="AK67" s="175">
        <f>'retraites SA Nb'!DE67/'retraites SA Nb'!CS67-1</f>
        <v>0.22737911591042081</v>
      </c>
      <c r="AL67" s="175">
        <f>'retraites SA Nb'!$DH67/'retraites SA Nb'!$CV67-1</f>
        <v>2.8812788666331635E-2</v>
      </c>
      <c r="AM67" s="175">
        <f>'retraites SA Nb'!$DK67/'retraites SA Nb'!$CY67-1</f>
        <v>-0.17854671280276813</v>
      </c>
      <c r="AN67" s="175">
        <f>'retraites SA Nb'!$DN67/'retraites SA Nb'!$DB67-1</f>
        <v>-0.26111648387826913</v>
      </c>
      <c r="AO67" s="175">
        <f>'retraites SA Nb'!$DQ67/'retraites SA Nb'!$DE67-1</f>
        <v>-0.31250135436756454</v>
      </c>
      <c r="AP67" s="175">
        <f>'retraites SA Nb'!$DT67/'retraites SA Nb'!$DH67-1</f>
        <v>-0.33395361819915792</v>
      </c>
      <c r="AQ67" s="175">
        <f>'retraites SA Nb'!$DW67/'retraites SA Nb'!$DK67-1</f>
        <v>-0.35071113533871845</v>
      </c>
      <c r="AR67" s="258">
        <f>'retraites SA Nb'!$DZ67/'retraites SA Nb'!$DN67-1</f>
        <v>-0.37923640313013451</v>
      </c>
      <c r="AS67" s="264">
        <f>'retraites SA Nb'!$EC67/'retraites SA Nb'!$DQ67-1</f>
        <v>-0.37647355481308709</v>
      </c>
      <c r="AT67" s="264">
        <f>'retraites SA Nb'!$EF67/'retraites SA Nb'!$DT67-1</f>
        <v>-0.32070266117203328</v>
      </c>
      <c r="AU67" s="264">
        <f>'retraites SA Nb'!$EI67/'retraites SA Nb'!$DW67-1</f>
        <v>-0.24931308197221802</v>
      </c>
      <c r="AV67" s="264">
        <f>'retraites SA Nb'!$EL67/'retraites SA Nb'!$DZ67-1</f>
        <v>-0.15118209142703332</v>
      </c>
      <c r="AW67" s="264">
        <f>'retraites SA Nb'!$EO67/'retraites SA Nb'!$EC67-1</f>
        <v>-7.8000202204023816E-2</v>
      </c>
      <c r="AX67" s="264">
        <f>'retraites SA Nb'!$ER67/'retraites SA Nb'!$EF67-1</f>
        <v>-6.4366870597912684E-2</v>
      </c>
      <c r="AY67" s="264">
        <f>'retraites SA Nb'!$EU67/'retraites SA Nb'!$EI67-1</f>
        <v>-6.7713893548879023E-2</v>
      </c>
      <c r="AZ67" s="264">
        <f>'retraites SA Nb'!$EX67/'retraites SA Nb'!$EL67-1</f>
        <v>-7.3251942286348459E-2</v>
      </c>
      <c r="BA67" s="264">
        <f>'retraites SA Nb'!$FA67/'retraites SA Nb'!$EO67-1</f>
        <v>-8.1418937441745665E-2</v>
      </c>
      <c r="BB67" s="264">
        <f>'retraites SA Nb'!$FD67/'retraites SA Nb'!$ER67-1</f>
        <v>-0.1054453541403374</v>
      </c>
      <c r="BC67" s="264">
        <f>'retraites SA Nb'!$FG67/'retraites SA Nb'!$EU67-1</f>
        <v>-7.2741152734609349E-2</v>
      </c>
      <c r="BD67" s="264">
        <f>'retraites SA Nb'!$FJ67/'retraites SA Nb'!$EX67-1</f>
        <v>-6.6210436270316531E-2</v>
      </c>
      <c r="BE67" s="264">
        <f>'retraites SA Nb'!$FM67/'retraites SA Nb'!$FA67-1</f>
        <v>-5.4673510803390224E-2</v>
      </c>
      <c r="BF67" s="264">
        <f>'retraites SA Nb'!$FP67/'retraites SA Nb'!$FD67-1</f>
        <v>-6.1302211302211251E-2</v>
      </c>
      <c r="BG67" s="264">
        <f>'retraites SA Nb'!$FS67/'retraites SA Nb'!$FG67-1</f>
        <v>-5.5395471920023476E-2</v>
      </c>
      <c r="BH67" s="264">
        <f>'retraites SA Nb'!$FV67/'retraites SA Nb'!$FJ67-1</f>
        <v>-4.9346524978624684E-2</v>
      </c>
      <c r="BI67" s="264">
        <f>'retraites SA Nb'!$FY67/'retraites SA Nb'!$FM67-1</f>
        <v>-4.8806667508523804E-2</v>
      </c>
      <c r="BJ67" s="264">
        <f>'retraites SA Nb'!$GB67/'retraites SA Nb'!$FP67-1</f>
        <v>-0.10116476900929194</v>
      </c>
      <c r="BK67" s="264">
        <f>'retraites SA Nb'!$GE67/'retraites SA Nb'!$FS67-1</f>
        <v>-0.175371972856876</v>
      </c>
      <c r="BL67" s="264">
        <f>'retraites SA Nb'!$GH67/'retraites SA Nb'!$FV67-1</f>
        <v>-0.20319928048310421</v>
      </c>
      <c r="BM67" s="264">
        <f>'retraites SA Nb'!$GK67/'retraites SA Nb'!$FY67-1</f>
        <v>-0.20544307998672418</v>
      </c>
      <c r="BN67" s="264">
        <f>'retraites SA Nb'!$GN67/'retraites SA Nb'!$GB67-1</f>
        <v>-0.18025626092020963</v>
      </c>
    </row>
    <row r="68" spans="1:66" ht="12" x14ac:dyDescent="0.3">
      <c r="D68" s="80" t="s">
        <v>72</v>
      </c>
      <c r="Q68" s="76"/>
      <c r="BJ68" s="126"/>
      <c r="BK68" s="126"/>
      <c r="BL68" s="126"/>
      <c r="BM68" s="126"/>
      <c r="BN68" s="126"/>
    </row>
    <row r="69" spans="1:66" x14ac:dyDescent="0.25">
      <c r="F69" s="57">
        <f>($C69-F30)*100</f>
        <v>-1.1118293471234608</v>
      </c>
      <c r="G69" s="57">
        <f>($C69-G30)*100</f>
        <v>-0.58641861833155229</v>
      </c>
      <c r="H69" s="57"/>
      <c r="I69" s="57"/>
      <c r="J69" s="57"/>
      <c r="K69" s="57"/>
      <c r="L69" s="57"/>
      <c r="M69" s="57"/>
      <c r="N69" s="57"/>
      <c r="O69" s="57"/>
      <c r="P69" s="100"/>
      <c r="Q69" s="100"/>
      <c r="BB69" s="298" t="s">
        <v>373</v>
      </c>
      <c r="BC69" s="298"/>
      <c r="BD69" s="298"/>
      <c r="BE69" s="298"/>
      <c r="BF69" s="298"/>
      <c r="BG69" s="298"/>
      <c r="BH69" s="298"/>
      <c r="BI69" s="298"/>
      <c r="BJ69" s="298"/>
      <c r="BK69" s="298"/>
      <c r="BL69" s="298"/>
      <c r="BM69" s="298"/>
      <c r="BN69" s="298"/>
    </row>
    <row r="70" spans="1:66" ht="12" thickBot="1" x14ac:dyDescent="0.3">
      <c r="C70" s="3"/>
      <c r="F70" s="57"/>
      <c r="G70" s="57"/>
      <c r="H70" s="57">
        <f>($C70-H30)*100</f>
        <v>-1.1068431304727788</v>
      </c>
      <c r="I70" s="57">
        <f>($C70-I30)*100</f>
        <v>-1.1826448238788645</v>
      </c>
      <c r="J70" s="57">
        <f>($C70-J30)*100</f>
        <v>-0.56624107257019496</v>
      </c>
      <c r="K70" s="57">
        <f>($C70-K30)*100</f>
        <v>-0.62686185280627083</v>
      </c>
      <c r="L70" s="57"/>
      <c r="M70" s="57"/>
      <c r="N70" s="57"/>
      <c r="O70" s="57"/>
      <c r="P70" s="100"/>
      <c r="Q70" s="10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 t="str">
        <f t="shared" ref="AI70:AN70" si="120">AI66</f>
        <v>1 T 2017</v>
      </c>
      <c r="AJ70" s="70" t="str">
        <f t="shared" si="120"/>
        <v>2 T 2017</v>
      </c>
      <c r="AK70" s="70" t="str">
        <f t="shared" si="120"/>
        <v>3 T 2017</v>
      </c>
      <c r="AL70" s="70" t="str">
        <f t="shared" si="120"/>
        <v>4 T 2017</v>
      </c>
      <c r="AM70" s="70" t="str">
        <f t="shared" si="120"/>
        <v>1 T 2018</v>
      </c>
      <c r="AN70" s="70" t="str">
        <f t="shared" si="120"/>
        <v>2 T 2018</v>
      </c>
      <c r="AO70" s="70" t="str">
        <f t="shared" ref="AO70:AQ70" si="121">AO66</f>
        <v>3 T 2018</v>
      </c>
      <c r="AP70" s="70" t="str">
        <f t="shared" si="121"/>
        <v>4 T 2018</v>
      </c>
      <c r="AQ70" s="70" t="str">
        <f t="shared" si="121"/>
        <v>1 T 2019</v>
      </c>
      <c r="AR70" s="255" t="str">
        <f t="shared" ref="AR70:AS70" si="122">AR66</f>
        <v>2 T 2019</v>
      </c>
      <c r="AS70" s="196" t="str">
        <f t="shared" si="122"/>
        <v>3 T 2019</v>
      </c>
      <c r="AT70" s="196" t="str">
        <f t="shared" ref="AT70:AU70" si="123">AT66</f>
        <v>4 T 2019</v>
      </c>
      <c r="AU70" s="196" t="str">
        <f t="shared" si="123"/>
        <v>1 T 2020</v>
      </c>
      <c r="AV70" s="196" t="str">
        <f t="shared" ref="AV70" si="124">AV66</f>
        <v>2 T 2020</v>
      </c>
      <c r="AW70" s="196" t="str">
        <f t="shared" ref="AW70" si="125">AW66</f>
        <v>3 T 2020</v>
      </c>
      <c r="AX70" s="196" t="str">
        <f t="shared" ref="AX70" si="126">AX66</f>
        <v>4 T 2020</v>
      </c>
      <c r="AY70" s="196" t="str">
        <f t="shared" ref="AY70:AZ70" si="127">AY66</f>
        <v>1 T 2021</v>
      </c>
      <c r="AZ70" s="196" t="str">
        <f t="shared" si="127"/>
        <v>2 T 2021</v>
      </c>
      <c r="BA70" s="196" t="str">
        <f t="shared" ref="BA70:BB70" si="128">BA66</f>
        <v>3 T 2021</v>
      </c>
      <c r="BB70" s="196" t="str">
        <f t="shared" si="128"/>
        <v>4T 2021</v>
      </c>
      <c r="BC70" s="196" t="str">
        <f t="shared" ref="BC70:BD70" si="129">BC66</f>
        <v>1T 2022</v>
      </c>
      <c r="BD70" s="196" t="str">
        <f t="shared" si="129"/>
        <v>2T 2022</v>
      </c>
      <c r="BE70" s="196" t="str">
        <f t="shared" ref="BE70:BF70" si="130">BE66</f>
        <v>3T 2022</v>
      </c>
      <c r="BF70" s="196" t="str">
        <f t="shared" si="130"/>
        <v>4T 2022</v>
      </c>
      <c r="BG70" s="196" t="str">
        <f t="shared" ref="BG70:BH70" si="131">BG66</f>
        <v>1T 2023</v>
      </c>
      <c r="BH70" s="196" t="str">
        <f t="shared" si="131"/>
        <v>2T 2023</v>
      </c>
      <c r="BI70" s="196" t="str">
        <f t="shared" ref="BI70:BJ70" si="132">BI66</f>
        <v>3T 2023</v>
      </c>
      <c r="BJ70" s="196" t="str">
        <f t="shared" si="132"/>
        <v>4T 2023</v>
      </c>
      <c r="BK70" s="196" t="str">
        <f t="shared" ref="BK70:BL70" si="133">BK66</f>
        <v>1T 2024</v>
      </c>
      <c r="BL70" s="196" t="str">
        <f t="shared" si="133"/>
        <v>2T 2024</v>
      </c>
      <c r="BM70" s="196" t="str">
        <f t="shared" ref="BM70:BN70" si="134">BM66</f>
        <v>3T 2024</v>
      </c>
      <c r="BN70" s="196" t="str">
        <f t="shared" si="134"/>
        <v>4T 2024</v>
      </c>
    </row>
    <row r="71" spans="1:66" ht="12" thickBot="1" x14ac:dyDescent="0.3">
      <c r="A71" s="450" t="s">
        <v>245</v>
      </c>
      <c r="B71" s="451"/>
      <c r="C71" s="452"/>
      <c r="F71" s="57"/>
      <c r="G71" s="57"/>
      <c r="H71" s="57"/>
      <c r="I71" s="57"/>
      <c r="J71" s="57"/>
      <c r="K71" s="57"/>
      <c r="L71" s="57">
        <f>($C71-L30)*100</f>
        <v>-1.1775509101712212</v>
      </c>
      <c r="M71" s="57">
        <f>($C71-M30)*100</f>
        <v>-1.1832294780823593</v>
      </c>
      <c r="N71" s="57">
        <f>($C71-N30)*100</f>
        <v>-1.5438545507383328</v>
      </c>
      <c r="O71" s="57">
        <f>($C71-O30)*100</f>
        <v>-1.5219760261532933</v>
      </c>
      <c r="P71" s="100"/>
      <c r="Q71" s="10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175">
        <f>'retraites SA Nb'!CY71/'retraites SA Nb'!CM71-1</f>
        <v>-2.7059910584642521E-3</v>
      </c>
      <c r="AJ71" s="175">
        <f>'retraites SA Nb'!DB71/'retraites SA Nb'!CP71-1</f>
        <v>-2.2233393177737426E-3</v>
      </c>
      <c r="AK71" s="175">
        <f>'retraites SA Nb'!DE71/'retraites SA Nb'!CS71-1</f>
        <v>3.3338698181315518E-3</v>
      </c>
      <c r="AL71" s="175">
        <f>'retraites SA Nb'!$DH71/'retraites SA Nb'!$CV71-1</f>
        <v>1.0644325375254837E-2</v>
      </c>
      <c r="AM71" s="175">
        <f>'retraites SA Nb'!$DK71/'retraites SA Nb'!$CY71-1</f>
        <v>2.0296769032896567E-2</v>
      </c>
      <c r="AN71" s="175">
        <f>'retraites SA Nb'!$DN71/'retraites SA Nb'!$DB71-1</f>
        <v>2.8035042363488083E-2</v>
      </c>
      <c r="AO71" s="175">
        <f>'retraites SA Nb'!$DQ71/'retraites SA Nb'!$DE71-1</f>
        <v>3.0942068839085124E-2</v>
      </c>
      <c r="AP71" s="175">
        <f>'retraites SA Nb'!$DT71/'retraites SA Nb'!$DH71-1</f>
        <v>3.2322323974524503E-2</v>
      </c>
      <c r="AQ71" s="175">
        <f>'retraites SA Nb'!$DW71/'retraites SA Nb'!$DK71-1</f>
        <v>3.3099546809476799E-2</v>
      </c>
      <c r="AR71" s="258">
        <f>'retraites SA Nb'!$DZ71/'retraites SA Nb'!$DN71-1</f>
        <v>3.4498402359075753E-2</v>
      </c>
      <c r="AS71" s="264">
        <f>'retraites SA Nb'!$EC71/'retraites SA Nb'!$DQ71-1</f>
        <v>3.7373647563530454E-2</v>
      </c>
      <c r="AT71" s="264">
        <f>'retraites SA Nb'!$EF71/'retraites SA Nb'!$DT71-1</f>
        <v>3.5147592321009391E-2</v>
      </c>
      <c r="AU71" s="264">
        <f>'retraites SA Nb'!$EI71/'retraites SA Nb'!$DW71-1</f>
        <v>3.5609580328334278E-2</v>
      </c>
      <c r="AV71" s="264">
        <f>'retraites SA Nb'!$EL71/'retraites SA Nb'!$DZ71-1</f>
        <v>3.5851957726957595E-2</v>
      </c>
      <c r="AW71" s="264">
        <f>'retraites SA Nb'!$EO71/'retraites SA Nb'!$EC71-1</f>
        <v>3.3932670339648086E-2</v>
      </c>
      <c r="AX71" s="264">
        <f>'retraites SA Nb'!$ER71/'retraites SA Nb'!$EF71-1</f>
        <v>3.7251069223926958E-2</v>
      </c>
      <c r="AY71" s="264">
        <f>'retraites SA Nb'!$EU71/'retraites SA Nb'!$EI71-1</f>
        <v>3.8035842785183016E-2</v>
      </c>
      <c r="AZ71" s="264">
        <f>'retraites SA Nb'!$EX71/'retraites SA Nb'!$EL71-1</f>
        <v>3.7856851656335344E-2</v>
      </c>
      <c r="BA71" s="264">
        <f>'retraites SA Nb'!$FA71/'retraites SA Nb'!$EO71-1</f>
        <v>3.8274623989057677E-2</v>
      </c>
      <c r="BB71" s="300">
        <f>'retraites SA Nb'!$FD71/'retraites SA Nb'!$ER71-1</f>
        <v>-8.4481573039582036E-2</v>
      </c>
      <c r="BC71" s="300">
        <f>'retraites SA Nb'!$FG71/'retraites SA Nb'!$EU71-1</f>
        <v>-9.0159640388502993E-2</v>
      </c>
      <c r="BD71" s="300">
        <f>'retraites SA Nb'!$FJ71/'retraites SA Nb'!$EX71-1</f>
        <v>-9.3921491686516978E-2</v>
      </c>
      <c r="BE71" s="300">
        <f>'retraites SA Nb'!$FM71/'retraites SA Nb'!$FA71-1</f>
        <v>-9.7879247136204772E-2</v>
      </c>
      <c r="BF71" s="300">
        <f>'retraites SA Nb'!$FP71/'retraites SA Nb'!$FD71-1</f>
        <v>1.8555195627284471E-2</v>
      </c>
      <c r="BG71" s="300">
        <f>'retraites SA Nb'!$FS71/'retraites SA Nb'!$FG71-1</f>
        <v>2.0787824929364485E-2</v>
      </c>
      <c r="BH71" s="300">
        <f>'retraites SA Nb'!$FV71/'retraites SA Nb'!$FJ71-1</f>
        <v>2.0568940502232236E-2</v>
      </c>
      <c r="BI71" s="300">
        <f>'retraites SA Nb'!$FY71/'retraites SA Nb'!$FM71-1</f>
        <v>2.0759696601257538E-2</v>
      </c>
      <c r="BJ71" s="300">
        <f>'retraites SA Nb'!$GB71/'retraites SA Nb'!$FP71-1</f>
        <v>1.9624041815522686E-2</v>
      </c>
      <c r="BK71" s="300">
        <f>'retraites SA Nb'!$GE71/'retraites SA Nb'!$FS71-1</f>
        <v>1.9268248025072543E-2</v>
      </c>
      <c r="BL71" s="300">
        <f>'retraites SA Nb'!$GH71/'retraites SA Nb'!$FV71-1</f>
        <v>1.7383704063738126E-2</v>
      </c>
      <c r="BM71" s="300">
        <f>'retraites SA Nb'!$GK71/'retraites SA Nb'!$FY71-1</f>
        <v>1.6832785081791091E-2</v>
      </c>
      <c r="BN71" s="300">
        <f>'retraites SA Nb'!$GN71/'retraites SA Nb'!$GB71-1</f>
        <v>6.301072130403762E-3</v>
      </c>
    </row>
    <row r="72" spans="1:66" x14ac:dyDescent="0.25">
      <c r="A72" s="167"/>
      <c r="B72" s="167"/>
      <c r="C72" s="167"/>
      <c r="AR72" s="4"/>
      <c r="AS72" s="4"/>
      <c r="AT72" s="4"/>
      <c r="AU72" s="4"/>
      <c r="AV72" s="4"/>
      <c r="AW72" s="4"/>
      <c r="AX72" s="4"/>
      <c r="AY72" s="4"/>
      <c r="BJ72" s="126"/>
      <c r="BK72" s="126"/>
      <c r="BL72" s="126"/>
      <c r="BM72" s="126"/>
      <c r="BN72" s="126"/>
    </row>
    <row r="73" spans="1:66" ht="12" thickBot="1" x14ac:dyDescent="0.3">
      <c r="C73" s="3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 t="str">
        <f t="shared" ref="AI73:AN73" si="135">AI70</f>
        <v>1 T 2017</v>
      </c>
      <c r="AJ73" s="70" t="str">
        <f t="shared" si="135"/>
        <v>2 T 2017</v>
      </c>
      <c r="AK73" s="70" t="str">
        <f t="shared" si="135"/>
        <v>3 T 2017</v>
      </c>
      <c r="AL73" s="70" t="str">
        <f t="shared" si="135"/>
        <v>4 T 2017</v>
      </c>
      <c r="AM73" s="70" t="str">
        <f t="shared" si="135"/>
        <v>1 T 2018</v>
      </c>
      <c r="AN73" s="70" t="str">
        <f t="shared" si="135"/>
        <v>2 T 2018</v>
      </c>
      <c r="AO73" s="70" t="str">
        <f t="shared" ref="AO73:AQ73" si="136">AO70</f>
        <v>3 T 2018</v>
      </c>
      <c r="AP73" s="70" t="str">
        <f t="shared" si="136"/>
        <v>4 T 2018</v>
      </c>
      <c r="AQ73" s="70" t="str">
        <f t="shared" si="136"/>
        <v>1 T 2019</v>
      </c>
      <c r="AR73" s="255" t="str">
        <f t="shared" ref="AR73:AS73" si="137">AR70</f>
        <v>2 T 2019</v>
      </c>
      <c r="AS73" s="196" t="str">
        <f t="shared" si="137"/>
        <v>3 T 2019</v>
      </c>
      <c r="AT73" s="196" t="str">
        <f t="shared" ref="AT73:AU73" si="138">AT70</f>
        <v>4 T 2019</v>
      </c>
      <c r="AU73" s="196" t="str">
        <f t="shared" si="138"/>
        <v>1 T 2020</v>
      </c>
      <c r="AV73" s="196" t="str">
        <f t="shared" ref="AV73" si="139">AV70</f>
        <v>2 T 2020</v>
      </c>
      <c r="AW73" s="196" t="str">
        <f t="shared" ref="AW73" si="140">AW70</f>
        <v>3 T 2020</v>
      </c>
      <c r="AX73" s="196" t="str">
        <f t="shared" ref="AX73" si="141">AX70</f>
        <v>4 T 2020</v>
      </c>
      <c r="AY73" s="196" t="str">
        <f t="shared" ref="AY73:AZ73" si="142">AY70</f>
        <v>1 T 2021</v>
      </c>
      <c r="AZ73" s="196" t="str">
        <f t="shared" si="142"/>
        <v>2 T 2021</v>
      </c>
      <c r="BA73" s="196" t="str">
        <f t="shared" ref="BA73:BB73" si="143">BA70</f>
        <v>3 T 2021</v>
      </c>
      <c r="BB73" s="196" t="str">
        <f t="shared" si="143"/>
        <v>4T 2021</v>
      </c>
      <c r="BC73" s="196" t="str">
        <f t="shared" ref="BC73:BD73" si="144">BC70</f>
        <v>1T 2022</v>
      </c>
      <c r="BD73" s="196" t="str">
        <f t="shared" si="144"/>
        <v>2T 2022</v>
      </c>
      <c r="BE73" s="196" t="str">
        <f t="shared" ref="BE73:BF73" si="145">BE70</f>
        <v>3T 2022</v>
      </c>
      <c r="BF73" s="196" t="str">
        <f t="shared" si="145"/>
        <v>4T 2022</v>
      </c>
      <c r="BG73" s="196" t="str">
        <f t="shared" ref="BG73:BH73" si="146">BG70</f>
        <v>1T 2023</v>
      </c>
      <c r="BH73" s="196" t="str">
        <f t="shared" si="146"/>
        <v>2T 2023</v>
      </c>
      <c r="BI73" s="196" t="str">
        <f t="shared" ref="BI73:BJ73" si="147">BI70</f>
        <v>3T 2023</v>
      </c>
      <c r="BJ73" s="196" t="str">
        <f t="shared" si="147"/>
        <v>4T 2023</v>
      </c>
      <c r="BK73" s="196" t="str">
        <f t="shared" ref="BK73:BL73" si="148">BK70</f>
        <v>1T 2024</v>
      </c>
      <c r="BL73" s="196" t="str">
        <f t="shared" si="148"/>
        <v>2T 2024</v>
      </c>
      <c r="BM73" s="196" t="str">
        <f t="shared" ref="BM73:BN73" si="149">BM70</f>
        <v>3T 2024</v>
      </c>
      <c r="BN73" s="196" t="str">
        <f t="shared" si="149"/>
        <v>4T 2024</v>
      </c>
    </row>
    <row r="74" spans="1:66" ht="12" thickBot="1" x14ac:dyDescent="0.3">
      <c r="A74" s="450" t="s">
        <v>378</v>
      </c>
      <c r="B74" s="451"/>
      <c r="C74" s="452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175">
        <f>'retraites SA Nb'!CY74/'retraites SA Nb'!CM74-1</f>
        <v>-9.6951505985598541E-4</v>
      </c>
      <c r="AJ74" s="175">
        <f>'retraites SA Nb'!DB74/'retraites SA Nb'!CP74-1</f>
        <v>-2.492845533319521E-5</v>
      </c>
      <c r="AK74" s="175">
        <f>'retraites SA Nb'!DE74/'retraites SA Nb'!CS74-1</f>
        <v>5.8309086346965966E-3</v>
      </c>
      <c r="AL74" s="175">
        <f>'retraites SA Nb'!$DH74/'retraites SA Nb'!$CV74-1</f>
        <v>2.0923916656694352E-2</v>
      </c>
      <c r="AM74" s="175">
        <f>'retraites SA Nb'!$DK74/'retraites SA Nb'!$CY74-1</f>
        <v>3.0552744446050717E-2</v>
      </c>
      <c r="AN74" s="175">
        <f>'retraites SA Nb'!$DN74/'retraites SA Nb'!$DB74-1</f>
        <v>3.8827868048734837E-2</v>
      </c>
      <c r="AO74" s="175">
        <f>'retraites SA Nb'!$DQ74/'retraites SA Nb'!$DE74-1</f>
        <v>4.1162923631509418E-2</v>
      </c>
      <c r="AP74" s="175">
        <f>'retraites SA Nb'!$DT74/'retraites SA Nb'!$DH74-1</f>
        <v>3.4798818061197112E-2</v>
      </c>
      <c r="AQ74" s="175">
        <f>'retraites SA Nb'!$DW74/'retraites SA Nb'!$DK74-1</f>
        <v>3.9042835374456963E-2</v>
      </c>
      <c r="AR74" s="258">
        <f>'retraites SA Nb'!$DZ74/'retraites SA Nb'!$DN74-1</f>
        <v>4.0515462268225777E-2</v>
      </c>
      <c r="AS74" s="264">
        <f>'retraites SA Nb'!$EC74/'retraites SA Nb'!$DQ74-1</f>
        <v>4.3586504987163321E-2</v>
      </c>
      <c r="AT74" s="264">
        <f>'retraites SA Nb'!$EF74/'retraites SA Nb'!$DT74-1</f>
        <v>4.0731883829961291E-2</v>
      </c>
      <c r="AU74" s="264">
        <f>'retraites SA Nb'!$EI74/'retraites SA Nb'!$DW74-1</f>
        <v>4.5125687096704059E-2</v>
      </c>
      <c r="AV74" s="264">
        <f>'retraites SA Nb'!$EL74/'retraites SA Nb'!$DZ74-1</f>
        <v>4.4978820562888711E-2</v>
      </c>
      <c r="AW74" s="264">
        <f>'retraites SA Nb'!$EO74/'retraites SA Nb'!$EC74-1</f>
        <v>4.4401060078730348E-2</v>
      </c>
      <c r="AX74" s="264">
        <f>'retraites SA Nb'!$ER74/'retraites SA Nb'!$EF74-1</f>
        <v>4.8774772868134919E-2</v>
      </c>
      <c r="AY74" s="264">
        <f>'retraites SA Nb'!$EU74/'retraites SA Nb'!$EI74-1</f>
        <v>4.660735074006328E-2</v>
      </c>
      <c r="AZ74" s="264">
        <f>'retraites SA Nb'!$EX74/'retraites SA Nb'!$EL74-1</f>
        <v>4.7230261502628546E-2</v>
      </c>
      <c r="BA74" s="264">
        <f>'retraites SA Nb'!$FA74/'retraites SA Nb'!$EO74-1</f>
        <v>4.7080387078552555E-2</v>
      </c>
      <c r="BB74" s="264">
        <f>'retraites SA Nb'!$FD74/'retraites SA Nb'!$ER74-1</f>
        <v>-9.1081039114411677E-2</v>
      </c>
      <c r="BC74" s="264">
        <f>'retraites SA Nb'!$FG74/'retraites SA Nb'!$EU74-1</f>
        <v>-0.10212680468063151</v>
      </c>
      <c r="BD74" s="264">
        <f>'retraites SA Nb'!$FJ74/'retraites SA Nb'!$EX74-1</f>
        <v>-0.10698206650626141</v>
      </c>
      <c r="BE74" s="264">
        <f>'retraites SA Nb'!$FM74/'retraites SA Nb'!$FA74-1</f>
        <v>-7.7122527087794102E-2</v>
      </c>
      <c r="BF74" s="264">
        <f>'retraites SA Nb'!$FP74/'retraites SA Nb'!$FD74-1</f>
        <v>5.7760611469855672E-2</v>
      </c>
      <c r="BG74" s="264">
        <f>'retraites SA Nb'!$FS74/'retraites SA Nb'!$FG74-1</f>
        <v>7.1443878979047915E-2</v>
      </c>
      <c r="BH74" s="264">
        <f>'retraites SA Nb'!$FV74/'retraites SA Nb'!$FJ74-1</f>
        <v>7.0653448699632859E-2</v>
      </c>
      <c r="BI74" s="264">
        <f>'retraites SA Nb'!$FY74/'retraites SA Nb'!$FM74-1</f>
        <v>3.1538274660220855E-2</v>
      </c>
      <c r="BJ74" s="264">
        <f>'retraites SA Nb'!$GB74/'retraites SA Nb'!$FP74-1</f>
        <v>3.2077040770700505E-2</v>
      </c>
      <c r="BK74" s="264">
        <f>'retraites SA Nb'!$GE74/'retraites SA Nb'!$FS74-1</f>
        <v>7.7233662477654397E-2</v>
      </c>
      <c r="BL74" s="264">
        <f>'retraites SA Nb'!$GH74/'retraites SA Nb'!$FV74-1</f>
        <v>7.5171200399867244E-2</v>
      </c>
      <c r="BM74" s="264">
        <f>'retraites SA Nb'!$GK74/'retraites SA Nb'!$FY74-1</f>
        <v>7.3160587675438427E-2</v>
      </c>
      <c r="BN74" s="264">
        <f>'retraites SA Nb'!$GN74/'retraites SA Nb'!$GB74-1</f>
        <v>7.5682305919829496E-2</v>
      </c>
    </row>
    <row r="75" spans="1:66" ht="12" thickBot="1" x14ac:dyDescent="0.3">
      <c r="A75" s="447" t="str">
        <f>'retraites SA Nb'!A75</f>
        <v>Pensions moyennes annuelles tous salariés DP</v>
      </c>
      <c r="B75" s="448"/>
      <c r="C75" s="449"/>
      <c r="BJ75" s="126"/>
      <c r="BK75" s="126"/>
      <c r="BL75" s="126"/>
      <c r="BM75" s="126"/>
      <c r="BN75" s="126"/>
    </row>
    <row r="76" spans="1:66" x14ac:dyDescent="0.25">
      <c r="A76" s="3"/>
      <c r="BJ76" s="126"/>
      <c r="BK76" s="126"/>
      <c r="BL76" s="126"/>
      <c r="BM76" s="126"/>
      <c r="BN76" s="126"/>
    </row>
    <row r="77" spans="1:66" x14ac:dyDescent="0.25">
      <c r="BJ77" s="126"/>
      <c r="BK77" s="126"/>
      <c r="BL77" s="126"/>
      <c r="BM77" s="126"/>
      <c r="BN77" s="126"/>
    </row>
    <row r="78" spans="1:66" x14ac:dyDescent="0.25">
      <c r="A78" s="4" t="str">
        <f>'retraites SA Nb'!A78</f>
        <v>Nombre d'individus</v>
      </c>
      <c r="BJ78" s="126"/>
      <c r="BK78" s="126"/>
      <c r="BL78" s="126"/>
      <c r="BM78" s="126"/>
      <c r="BN78" s="126"/>
    </row>
    <row r="79" spans="1:66" x14ac:dyDescent="0.25">
      <c r="A79" s="4" t="str">
        <f>'retraites SA Nb'!A79</f>
        <v>Attrib DP et DR ( Int 10213)</v>
      </c>
      <c r="BJ79" s="126"/>
      <c r="BK79" s="126"/>
      <c r="BL79" s="126"/>
      <c r="BM79" s="126"/>
      <c r="BN79" s="126"/>
    </row>
    <row r="80" spans="1:66" x14ac:dyDescent="0.25">
      <c r="A80" s="4" t="str">
        <f>'retraites SA Nb'!A80</f>
        <v>Attrib DP hors VFU</v>
      </c>
      <c r="BJ80" s="126"/>
      <c r="BK80" s="126"/>
      <c r="BL80" s="126"/>
      <c r="BM80" s="126"/>
      <c r="BN80" s="126"/>
    </row>
    <row r="81" spans="1:66" x14ac:dyDescent="0.25">
      <c r="A81" s="4" t="str">
        <f>'retraites SA Nb'!A81</f>
        <v>Attrib DP y compris VFU</v>
      </c>
      <c r="BJ81" s="126"/>
      <c r="BK81" s="126"/>
      <c r="BL81" s="126"/>
      <c r="BM81" s="126"/>
      <c r="BN81" s="126"/>
    </row>
    <row r="82" spans="1:66" x14ac:dyDescent="0.25">
      <c r="A82" s="3" t="str">
        <f>'retraites SA Nb'!A82</f>
        <v>Attrib DP+DR 60 ans</v>
      </c>
      <c r="BJ82" s="126"/>
      <c r="BK82" s="126"/>
      <c r="BL82" s="126"/>
      <c r="BM82" s="126"/>
      <c r="BN82" s="126"/>
    </row>
    <row r="83" spans="1:66" x14ac:dyDescent="0.25">
      <c r="A83" s="3" t="str">
        <f>'retraites SA Nb'!A83</f>
        <v>% des 60 ans dans les attributions</v>
      </c>
      <c r="BJ83" s="126"/>
      <c r="BK83" s="126"/>
      <c r="BL83" s="126"/>
      <c r="BM83" s="126"/>
      <c r="BN83" s="126"/>
    </row>
    <row r="84" spans="1:66" x14ac:dyDescent="0.25">
      <c r="A84" s="3"/>
      <c r="BJ84" s="126"/>
      <c r="BK84" s="126"/>
      <c r="BL84" s="126"/>
      <c r="BM84" s="126"/>
      <c r="BN84" s="126"/>
    </row>
    <row r="85" spans="1:66" x14ac:dyDescent="0.25">
      <c r="A85" s="3" t="str">
        <f>'retraites SA Nb'!A85</f>
        <v>Nombre de droits</v>
      </c>
      <c r="BJ85" s="126"/>
      <c r="BK85" s="126"/>
      <c r="BL85" s="126"/>
      <c r="BM85" s="126"/>
      <c r="BN85" s="126"/>
    </row>
    <row r="86" spans="1:66" x14ac:dyDescent="0.25">
      <c r="A86" s="3" t="str">
        <f>'retraites SA Nb'!A86</f>
        <v>Attributions (DP+DR) Int10262</v>
      </c>
      <c r="BJ86" s="126"/>
      <c r="BK86" s="126"/>
      <c r="BL86" s="126"/>
      <c r="BM86" s="126"/>
      <c r="BN86" s="126"/>
    </row>
    <row r="87" spans="1:66" x14ac:dyDescent="0.25">
      <c r="A87" s="3" t="str">
        <f>'retraites SA Nb'!A87</f>
        <v>Attrib DP y c VFU( Int 10262)</v>
      </c>
      <c r="BJ87" s="126"/>
      <c r="BK87" s="126"/>
      <c r="BL87" s="126"/>
      <c r="BM87" s="126"/>
      <c r="BN87" s="126"/>
    </row>
    <row r="88" spans="1:66" x14ac:dyDescent="0.25">
      <c r="A88" s="3" t="str">
        <f>'retraites SA Nb'!A88</f>
        <v>Attrib DP hors VFU (prg VFU et indic fin)</v>
      </c>
      <c r="BJ88" s="126"/>
      <c r="BK88" s="126"/>
      <c r="BL88" s="126"/>
      <c r="BM88" s="126"/>
      <c r="BN88" s="126"/>
    </row>
    <row r="89" spans="1:66" x14ac:dyDescent="0.25">
      <c r="A89" s="4" t="str">
        <f>'retraites SA Nb'!A89</f>
        <v>Attrib DP y c VFU( Int 10262) 60 ans</v>
      </c>
      <c r="BJ89" s="126"/>
      <c r="BK89" s="126"/>
      <c r="BL89" s="126"/>
      <c r="BM89" s="126"/>
      <c r="BN89" s="126"/>
    </row>
    <row r="90" spans="1:66" x14ac:dyDescent="0.25">
      <c r="A90" s="4" t="str">
        <f>'retraites SA Nb'!A90</f>
        <v>% des 60 ans dans les attributions</v>
      </c>
      <c r="BJ90" s="126"/>
      <c r="BK90" s="126"/>
      <c r="BL90" s="126"/>
      <c r="BM90" s="126"/>
      <c r="BN90" s="126"/>
    </row>
    <row r="91" spans="1:66" x14ac:dyDescent="0.25">
      <c r="BJ91" s="126"/>
      <c r="BK91" s="126"/>
      <c r="BL91" s="126"/>
      <c r="BM91" s="126"/>
      <c r="BN91" s="126"/>
    </row>
    <row r="92" spans="1:66" x14ac:dyDescent="0.25">
      <c r="BJ92" s="126"/>
      <c r="BK92" s="126"/>
      <c r="BL92" s="126"/>
      <c r="BM92" s="126"/>
      <c r="BN92" s="126"/>
    </row>
    <row r="93" spans="1:66" x14ac:dyDescent="0.25">
      <c r="A93" s="388"/>
      <c r="BJ93" s="126"/>
      <c r="BK93" s="126"/>
      <c r="BL93" s="126"/>
      <c r="BM93" s="126"/>
      <c r="BN93" s="126"/>
    </row>
    <row r="94" spans="1:66" x14ac:dyDescent="0.25">
      <c r="A94" s="3" t="str">
        <f>'retraites SA Nb'!A94</f>
        <v>Toute carrière - Nombre de pensionnés SA par type de droits</v>
      </c>
      <c r="BJ94" s="126"/>
      <c r="BK94" s="126"/>
      <c r="BL94" s="126"/>
      <c r="BM94" s="126"/>
      <c r="BN94" s="126"/>
    </row>
    <row r="95" spans="1:66" x14ac:dyDescent="0.25">
      <c r="A95" s="184"/>
      <c r="BJ95" s="126"/>
      <c r="BK95" s="126"/>
      <c r="BL95" s="126"/>
      <c r="BM95" s="126"/>
      <c r="BN95" s="126"/>
    </row>
    <row r="96" spans="1:66" ht="12" thickBot="1" x14ac:dyDescent="0.3">
      <c r="A96" s="3"/>
      <c r="BB96" s="196" t="str">
        <f>BB$6</f>
        <v>4T 2021</v>
      </c>
      <c r="BC96" s="196" t="str">
        <f t="shared" ref="BC96:BN96" si="150">BC$6</f>
        <v>1T 2022</v>
      </c>
      <c r="BD96" s="196" t="str">
        <f t="shared" si="150"/>
        <v>2T 2022</v>
      </c>
      <c r="BE96" s="196" t="str">
        <f t="shared" si="150"/>
        <v>3T 2022</v>
      </c>
      <c r="BF96" s="196" t="str">
        <f t="shared" si="150"/>
        <v>4T 2022</v>
      </c>
      <c r="BG96" s="196" t="str">
        <f t="shared" si="150"/>
        <v>1T 2023</v>
      </c>
      <c r="BH96" s="196" t="str">
        <f t="shared" si="150"/>
        <v>2T 2023</v>
      </c>
      <c r="BI96" s="196" t="str">
        <f t="shared" si="150"/>
        <v>3T 2023</v>
      </c>
      <c r="BJ96" s="196" t="str">
        <f t="shared" si="150"/>
        <v>4T 2023</v>
      </c>
      <c r="BK96" s="196" t="str">
        <f t="shared" si="150"/>
        <v>1T 2024</v>
      </c>
      <c r="BL96" s="196" t="str">
        <f t="shared" si="150"/>
        <v>2T 2024</v>
      </c>
      <c r="BM96" s="196" t="str">
        <f t="shared" si="150"/>
        <v>3T 2024</v>
      </c>
      <c r="BN96" s="196" t="str">
        <f t="shared" si="150"/>
        <v>4T 2024</v>
      </c>
    </row>
    <row r="97" spans="1:66" x14ac:dyDescent="0.25">
      <c r="A97" s="38" t="str">
        <f>'retraites SA Nb'!A97</f>
        <v>Droits directs (=droits propres)</v>
      </c>
      <c r="BB97" s="264" t="e">
        <f>'retraites SA Nb'!$FD97/'retraites SA Nb'!$ER97-1</f>
        <v>#DIV/0!</v>
      </c>
      <c r="BC97" s="264" t="e">
        <f>'retraites SA Nb'!$FG97/'retraites SA Nb'!$EU97-1</f>
        <v>#DIV/0!</v>
      </c>
      <c r="BD97" s="264" t="e">
        <f>'retraites SA Nb'!$FJ97/'retraites SA Nb'!$EX97-1</f>
        <v>#DIV/0!</v>
      </c>
      <c r="BE97" s="264" t="e">
        <f>'retraites SA Nb'!$FM97/'retraites SA Nb'!$FA97-1</f>
        <v>#DIV/0!</v>
      </c>
      <c r="BF97" s="264">
        <f>'retraites SA Nb'!$FP97/'retraites SA Nb'!$FD97-1</f>
        <v>-1.9894129801484972E-2</v>
      </c>
      <c r="BG97" s="264">
        <f>'retraites SA Nb'!$FS97/'retraites SA Nb'!$FG97-1</f>
        <v>-2.0437833584002862E-2</v>
      </c>
      <c r="BH97" s="264">
        <f>'retraites SA Nb'!$FV97/'retraites SA Nb'!$FJ97-1</f>
        <v>-1.9936218606532941E-2</v>
      </c>
      <c r="BI97" s="264">
        <f>'retraites SA Nb'!$FY97/'retraites SA Nb'!$FM97-1</f>
        <v>-1.9034456692626489E-2</v>
      </c>
      <c r="BJ97" s="264">
        <f>'retraites SA Nb'!$GB97/'retraites SA Nb'!$FP97-1</f>
        <v>-1.8094751949678023E-2</v>
      </c>
      <c r="BK97" s="264">
        <f>'retraites SA Nb'!$GE97/'retraites SA Nb'!$FS97-1</f>
        <v>-1.8491523950874167E-2</v>
      </c>
      <c r="BL97" s="264">
        <f>'retraites SA Nb'!$GH97/'retraites SA Nb'!$FV97-1</f>
        <v>-1.9057062491508181E-2</v>
      </c>
      <c r="BM97" s="264">
        <f>'retraites SA Nb'!$GK97/'retraites SA Nb'!$FY97-1</f>
        <v>-1.9854076944412546E-2</v>
      </c>
      <c r="BN97" s="264">
        <f>'retraites SA Nb'!$GN97/'retraites SA Nb'!$GB97-1</f>
        <v>-2.0285596393153749E-2</v>
      </c>
    </row>
    <row r="98" spans="1:66" x14ac:dyDescent="0.25">
      <c r="A98" s="39" t="str">
        <f>'retraites SA Nb'!A98</f>
        <v>Droits dérivés (=droits de réversion)</v>
      </c>
      <c r="BB98" s="264" t="e">
        <f>'retraites SA Nb'!$FD98/'retraites SA Nb'!$ER98-1</f>
        <v>#DIV/0!</v>
      </c>
      <c r="BC98" s="264" t="e">
        <f>'retraites SA Nb'!$FG98/'retraites SA Nb'!$EU98-1</f>
        <v>#DIV/0!</v>
      </c>
      <c r="BD98" s="264" t="e">
        <f>'retraites SA Nb'!$FJ98/'retraites SA Nb'!$EX98-1</f>
        <v>#DIV/0!</v>
      </c>
      <c r="BE98" s="264" t="e">
        <f>'retraites SA Nb'!$FM98/'retraites SA Nb'!$FA98-1</f>
        <v>#DIV/0!</v>
      </c>
      <c r="BF98" s="264">
        <f>'retraites SA Nb'!$FP98/'retraites SA Nb'!$FD98-1</f>
        <v>-2.5504255394704134E-2</v>
      </c>
      <c r="BG98" s="264">
        <f>'retraites SA Nb'!$FS98/'retraites SA Nb'!$FG98-1</f>
        <v>-2.5683854798382422E-2</v>
      </c>
      <c r="BH98" s="264">
        <f>'retraites SA Nb'!$FV98/'retraites SA Nb'!$FJ98-1</f>
        <v>-2.4460179062554821E-2</v>
      </c>
      <c r="BI98" s="264">
        <f>'retraites SA Nb'!$FY98/'retraites SA Nb'!$FM98-1</f>
        <v>-2.2321199557016058E-2</v>
      </c>
      <c r="BJ98" s="264">
        <f>'retraites SA Nb'!$GB98/'retraites SA Nb'!$FP98-1</f>
        <v>-1.7334967074646546E-2</v>
      </c>
      <c r="BK98" s="264">
        <f>'retraites SA Nb'!$GE98/'retraites SA Nb'!$FS98-1</f>
        <v>-1.8339616293384875E-2</v>
      </c>
      <c r="BL98" s="264">
        <f>'retraites SA Nb'!$GH98/'retraites SA Nb'!$FV98-1</f>
        <v>-2.0165526193958838E-2</v>
      </c>
      <c r="BM98" s="264">
        <f>'retraites SA Nb'!$GK98/'retraites SA Nb'!$FY98-1</f>
        <v>-2.283389713326256E-2</v>
      </c>
      <c r="BN98" s="264">
        <f>'retraites SA Nb'!$GN98/'retraites SA Nb'!$GB98-1</f>
        <v>-2.5468406691038559E-2</v>
      </c>
    </row>
    <row r="99" spans="1:66" x14ac:dyDescent="0.25">
      <c r="A99" s="39" t="str">
        <f>'retraites SA Nb'!A99</f>
        <v>Droits directs et droits dérivés</v>
      </c>
      <c r="BB99" s="264" t="e">
        <f>'retraites SA Nb'!$FD99/'retraites SA Nb'!$ER99-1</f>
        <v>#DIV/0!</v>
      </c>
      <c r="BC99" s="264" t="e">
        <f>'retraites SA Nb'!$FG99/'retraites SA Nb'!$EU99-1</f>
        <v>#DIV/0!</v>
      </c>
      <c r="BD99" s="264" t="e">
        <f>'retraites SA Nb'!$FJ99/'retraites SA Nb'!$EX99-1</f>
        <v>#DIV/0!</v>
      </c>
      <c r="BE99" s="264" t="e">
        <f>'retraites SA Nb'!$FM99/'retraites SA Nb'!$FA99-1</f>
        <v>#DIV/0!</v>
      </c>
      <c r="BF99" s="264">
        <f>'retraites SA Nb'!$FP99/'retraites SA Nb'!$FD99-1</f>
        <v>-3.3453061571486309E-2</v>
      </c>
      <c r="BG99" s="264">
        <f>'retraites SA Nb'!$FS99/'retraites SA Nb'!$FG99-1</f>
        <v>-3.285519272139914E-2</v>
      </c>
      <c r="BH99" s="264">
        <f>'retraites SA Nb'!$FV99/'retraites SA Nb'!$FJ99-1</f>
        <v>-3.1627819792800604E-2</v>
      </c>
      <c r="BI99" s="264">
        <f>'retraites SA Nb'!$FY99/'retraites SA Nb'!$FM99-1</f>
        <v>-2.9817928492122836E-2</v>
      </c>
      <c r="BJ99" s="264">
        <f>'retraites SA Nb'!$GB99/'retraites SA Nb'!$FP99-1</f>
        <v>-2.5404783370348349E-2</v>
      </c>
      <c r="BK99" s="264">
        <f>'retraites SA Nb'!$GE99/'retraites SA Nb'!$FS99-1</f>
        <v>-2.428318060892698E-2</v>
      </c>
      <c r="BL99" s="264">
        <f>'retraites SA Nb'!$GH99/'retraites SA Nb'!$FV99-1</f>
        <v>-2.5163787969029183E-2</v>
      </c>
      <c r="BM99" s="264">
        <f>'retraites SA Nb'!$GK99/'retraites SA Nb'!$FY99-1</f>
        <v>-2.7473185034481706E-2</v>
      </c>
      <c r="BN99" s="264">
        <f>'retraites SA Nb'!$GN99/'retraites SA Nb'!$GB99-1</f>
        <v>-2.7082314894897208E-2</v>
      </c>
    </row>
    <row r="100" spans="1:66" ht="12" thickBot="1" x14ac:dyDescent="0.3">
      <c r="A100" s="40" t="str">
        <f>'retraites SA Nb'!A100</f>
        <v>Ensemble</v>
      </c>
      <c r="BB100" s="264" t="e">
        <f>'retraites SA Nb'!$FD100/'retraites SA Nb'!$ER100-1</f>
        <v>#DIV/0!</v>
      </c>
      <c r="BC100" s="264" t="e">
        <f>'retraites SA Nb'!$FG100/'retraites SA Nb'!$EU100-1</f>
        <v>#DIV/0!</v>
      </c>
      <c r="BD100" s="264" t="e">
        <f>'retraites SA Nb'!$FJ100/'retraites SA Nb'!$EX100-1</f>
        <v>#DIV/0!</v>
      </c>
      <c r="BE100" s="264" t="e">
        <f>'retraites SA Nb'!$FM100/'retraites SA Nb'!$FA100-1</f>
        <v>#DIV/0!</v>
      </c>
      <c r="BF100" s="264">
        <f>'retraites SA Nb'!$FP100/'retraites SA Nb'!$FD100-1</f>
        <v>-2.070431340941381E-2</v>
      </c>
      <c r="BG100" s="264">
        <f>'retraites SA Nb'!$FS100/'retraites SA Nb'!$FG100-1</f>
        <v>-2.1211467857869537E-2</v>
      </c>
      <c r="BH100" s="264">
        <f>'retraites SA Nb'!$FV100/'retraites SA Nb'!$FJ100-1</f>
        <v>-2.0544007481651416E-2</v>
      </c>
      <c r="BI100" s="264">
        <f>'retraites SA Nb'!$FY100/'retraites SA Nb'!$FM100-1</f>
        <v>-1.9337896711746794E-2</v>
      </c>
      <c r="BJ100" s="264">
        <f>'retraites SA Nb'!$GB100/'retraites SA Nb'!$FP100-1</f>
        <v>-1.743486214602441E-2</v>
      </c>
      <c r="BK100" s="264">
        <f>'retraites SA Nb'!$GE100/'retraites SA Nb'!$FS100-1</f>
        <v>-1.8100137131652594E-2</v>
      </c>
      <c r="BL100" s="264">
        <f>'retraites SA Nb'!$GH100/'retraites SA Nb'!$FV100-1</f>
        <v>-1.9012720869458377E-2</v>
      </c>
      <c r="BM100" s="264">
        <f>'retraites SA Nb'!$GK100/'retraites SA Nb'!$FY100-1</f>
        <v>-2.0261755116049551E-2</v>
      </c>
      <c r="BN100" s="264">
        <f>'retraites SA Nb'!$GN100/'retraites SA Nb'!$GB100-1</f>
        <v>-2.1384463406420529E-2</v>
      </c>
    </row>
    <row r="101" spans="1:66" x14ac:dyDescent="0.25">
      <c r="A101" s="3"/>
      <c r="BJ101" s="126"/>
      <c r="BK101" s="126"/>
      <c r="BL101" s="126"/>
      <c r="BM101" s="126"/>
      <c r="BN101" s="126"/>
    </row>
    <row r="102" spans="1:66" x14ac:dyDescent="0.25">
      <c r="A102" s="3" t="str">
        <f>'retraites SA Nb'!A102</f>
        <v xml:space="preserve">Toute carrière - Pensions moyennes annuelles par type de droits </v>
      </c>
      <c r="BJ102" s="126"/>
      <c r="BK102" s="126"/>
      <c r="BL102" s="126"/>
      <c r="BM102" s="126"/>
      <c r="BN102" s="126"/>
    </row>
    <row r="103" spans="1:66" x14ac:dyDescent="0.25">
      <c r="A103" s="187" t="str">
        <f>'retraites SA Nb'!A103</f>
        <v>(Montants Droits Propres, Droits Dérivés et avantages complémentaires)</v>
      </c>
      <c r="BJ103" s="126"/>
      <c r="BK103" s="126"/>
      <c r="BL103" s="126"/>
      <c r="BM103" s="126"/>
      <c r="BN103" s="126"/>
    </row>
    <row r="104" spans="1:66" ht="12" thickBot="1" x14ac:dyDescent="0.3">
      <c r="A104" s="3"/>
      <c r="BB104" s="196" t="str">
        <f>BB$6</f>
        <v>4T 2021</v>
      </c>
      <c r="BC104" s="196" t="str">
        <f t="shared" ref="BC104:BN104" si="151">BC$6</f>
        <v>1T 2022</v>
      </c>
      <c r="BD104" s="196" t="str">
        <f t="shared" si="151"/>
        <v>2T 2022</v>
      </c>
      <c r="BE104" s="196" t="str">
        <f t="shared" si="151"/>
        <v>3T 2022</v>
      </c>
      <c r="BF104" s="196" t="str">
        <f t="shared" si="151"/>
        <v>4T 2022</v>
      </c>
      <c r="BG104" s="196" t="str">
        <f t="shared" si="151"/>
        <v>1T 2023</v>
      </c>
      <c r="BH104" s="196" t="str">
        <f t="shared" si="151"/>
        <v>2T 2023</v>
      </c>
      <c r="BI104" s="196" t="str">
        <f t="shared" si="151"/>
        <v>3T 2023</v>
      </c>
      <c r="BJ104" s="196" t="str">
        <f t="shared" si="151"/>
        <v>4T 2023</v>
      </c>
      <c r="BK104" s="196" t="str">
        <f t="shared" si="151"/>
        <v>1T 2024</v>
      </c>
      <c r="BL104" s="196" t="str">
        <f t="shared" si="151"/>
        <v>2T 2024</v>
      </c>
      <c r="BM104" s="196" t="str">
        <f t="shared" si="151"/>
        <v>3T 2024</v>
      </c>
      <c r="BN104" s="196" t="str">
        <f t="shared" si="151"/>
        <v>4T 2024</v>
      </c>
    </row>
    <row r="105" spans="1:66" x14ac:dyDescent="0.25">
      <c r="A105" s="38" t="str">
        <f>'retraites SA Nb'!A105</f>
        <v>Droits directs (=droits propres)</v>
      </c>
      <c r="BB105" s="264" t="e">
        <f>'retraites SA Nb'!$FD105/'retraites SA Nb'!$ER105-1</f>
        <v>#DIV/0!</v>
      </c>
      <c r="BC105" s="264" t="e">
        <f>'retraites SA Nb'!$FG105/'retraites SA Nb'!$EU105-1</f>
        <v>#DIV/0!</v>
      </c>
      <c r="BD105" s="264" t="e">
        <f>'retraites SA Nb'!$FJ105/'retraites SA Nb'!$EX105-1</f>
        <v>#DIV/0!</v>
      </c>
      <c r="BE105" s="264" t="e">
        <f>'retraites SA Nb'!$FM105/'retraites SA Nb'!$FA105-1</f>
        <v>#DIV/0!</v>
      </c>
      <c r="BF105" s="264">
        <f>'retraites SA Nb'!$FP105/'retraites SA Nb'!$FD105-1</f>
        <v>9.7588039350288147E-2</v>
      </c>
      <c r="BG105" s="264">
        <f>'retraites SA Nb'!$FS105/'retraites SA Nb'!$FG105-1</f>
        <v>9.5403128225562517E-2</v>
      </c>
      <c r="BH105" s="264">
        <f>'retraites SA Nb'!$FV105/'retraites SA Nb'!$FJ105-1</f>
        <v>9.617225556340192E-2</v>
      </c>
      <c r="BI105" s="264">
        <f>'retraites SA Nb'!$FY105/'retraites SA Nb'!$FM105-1</f>
        <v>5.5425627885985929E-2</v>
      </c>
      <c r="BJ105" s="264">
        <f>'retraites SA Nb'!$GB105/'retraites SA Nb'!$FP105-1</f>
        <v>5.412419151673209E-2</v>
      </c>
      <c r="BK105" s="264">
        <f>'retraites SA Nb'!$GE105/'retraites SA Nb'!$FS105-1</f>
        <v>9.8835736981190303E-2</v>
      </c>
      <c r="BL105" s="264">
        <f>'retraites SA Nb'!$GH105/'retraites SA Nb'!$FV105-1</f>
        <v>9.6309709135611543E-2</v>
      </c>
      <c r="BM105" s="264">
        <f>'retraites SA Nb'!$GK105/'retraites SA Nb'!$FY105-1</f>
        <v>9.3834583191704457E-2</v>
      </c>
      <c r="BN105" s="264">
        <f>'retraites SA Nb'!$GN105/'retraites SA Nb'!$GB105-1</f>
        <v>0.10296892337330754</v>
      </c>
    </row>
    <row r="106" spans="1:66" x14ac:dyDescent="0.25">
      <c r="A106" s="39" t="str">
        <f>'retraites SA Nb'!A106</f>
        <v>Droits dérivés (=droits de réversion)</v>
      </c>
      <c r="BB106" s="264" t="e">
        <f>'retraites SA Nb'!$FD106/'retraites SA Nb'!$ER106-1</f>
        <v>#DIV/0!</v>
      </c>
      <c r="BC106" s="264" t="e">
        <f>'retraites SA Nb'!$FG106/'retraites SA Nb'!$EU106-1</f>
        <v>#DIV/0!</v>
      </c>
      <c r="BD106" s="264" t="e">
        <f>'retraites SA Nb'!$FJ106/'retraites SA Nb'!$EX106-1</f>
        <v>#DIV/0!</v>
      </c>
      <c r="BE106" s="264" t="e">
        <f>'retraites SA Nb'!$FM106/'retraites SA Nb'!$FA106-1</f>
        <v>#DIV/0!</v>
      </c>
      <c r="BF106" s="264">
        <f>'retraites SA Nb'!$FP106/'retraites SA Nb'!$FD106-1</f>
        <v>3.9187698701585783E-2</v>
      </c>
      <c r="BG106" s="264">
        <f>'retraites SA Nb'!$FS106/'retraites SA Nb'!$FG106-1</f>
        <v>3.6717332949339099E-2</v>
      </c>
      <c r="BH106" s="264">
        <f>'retraites SA Nb'!$FV106/'retraites SA Nb'!$FJ106-1</f>
        <v>3.8670001738998927E-2</v>
      </c>
      <c r="BI106" s="264">
        <f>'retraites SA Nb'!$FY106/'retraites SA Nb'!$FM106-1</f>
        <v>-3.6739535770879961E-4</v>
      </c>
      <c r="BJ106" s="264">
        <f>'retraites SA Nb'!$GB106/'retraites SA Nb'!$FP106-1</f>
        <v>-9.8315934893677959E-4</v>
      </c>
      <c r="BK106" s="264">
        <f>'retraites SA Nb'!$GE106/'retraites SA Nb'!$FS106-1</f>
        <v>4.5616823475724599E-2</v>
      </c>
      <c r="BL106" s="264">
        <f>'retraites SA Nb'!$GH106/'retraites SA Nb'!$FV106-1</f>
        <v>4.611094022109663E-2</v>
      </c>
      <c r="BM106" s="264">
        <f>'retraites SA Nb'!$GK106/'retraites SA Nb'!$FY106-1</f>
        <v>4.717440972915643E-2</v>
      </c>
      <c r="BN106" s="264">
        <f>'retraites SA Nb'!$GN106/'retraites SA Nb'!$GB106-1</f>
        <v>5.4066534975871772E-2</v>
      </c>
    </row>
    <row r="107" spans="1:66" x14ac:dyDescent="0.25">
      <c r="A107" s="39" t="str">
        <f>'retraites SA Nb'!A107</f>
        <v>Droits directs et droits dérivés</v>
      </c>
      <c r="BB107" s="264" t="e">
        <f>'retraites SA Nb'!$FD107/'retraites SA Nb'!$ER107-1</f>
        <v>#DIV/0!</v>
      </c>
      <c r="BC107" s="264" t="e">
        <f>'retraites SA Nb'!$FG107/'retraites SA Nb'!$EU107-1</f>
        <v>#DIV/0!</v>
      </c>
      <c r="BD107" s="264" t="e">
        <f>'retraites SA Nb'!$FJ107/'retraites SA Nb'!$EX107-1</f>
        <v>#DIV/0!</v>
      </c>
      <c r="BE107" s="264" t="e">
        <f>'retraites SA Nb'!$FM107/'retraites SA Nb'!$FA107-1</f>
        <v>#DIV/0!</v>
      </c>
      <c r="BF107" s="264">
        <f>'retraites SA Nb'!$FP107/'retraites SA Nb'!$FD107-1</f>
        <v>5.008412257854844E-2</v>
      </c>
      <c r="BG107" s="264">
        <f>'retraites SA Nb'!$FS107/'retraites SA Nb'!$FG107-1</f>
        <v>4.817268444214684E-2</v>
      </c>
      <c r="BH107" s="264">
        <f>'retraites SA Nb'!$FV107/'retraites SA Nb'!$FJ107-1</f>
        <v>5.0509418512424853E-2</v>
      </c>
      <c r="BI107" s="264">
        <f>'retraites SA Nb'!$FY107/'retraites SA Nb'!$FM107-1</f>
        <v>1.0888197485072304E-2</v>
      </c>
      <c r="BJ107" s="264">
        <f>'retraites SA Nb'!$GB107/'retraites SA Nb'!$FP107-1</f>
        <v>9.9509774018928798E-3</v>
      </c>
      <c r="BK107" s="264">
        <f>'retraites SA Nb'!$GE107/'retraites SA Nb'!$FS107-1</f>
        <v>5.6183520161387612E-2</v>
      </c>
      <c r="BL107" s="264">
        <f>'retraites SA Nb'!$GH107/'retraites SA Nb'!$FV107-1</f>
        <v>5.6335878940527939E-2</v>
      </c>
      <c r="BM107" s="264">
        <f>'retraites SA Nb'!$GK107/'retraites SA Nb'!$FY107-1</f>
        <v>5.8104150405137167E-2</v>
      </c>
      <c r="BN107" s="264">
        <f>'retraites SA Nb'!$GN107/'retraites SA Nb'!$GB107-1</f>
        <v>7.0383423972272041E-2</v>
      </c>
    </row>
    <row r="108" spans="1:66" ht="12" thickBot="1" x14ac:dyDescent="0.3">
      <c r="A108" s="40" t="str">
        <f>'retraites SA Nb'!A108</f>
        <v>Ensemble</v>
      </c>
      <c r="BB108" s="264" t="e">
        <f>'retraites SA Nb'!$FD108/'retraites SA Nb'!$ER108-1</f>
        <v>#DIV/0!</v>
      </c>
      <c r="BC108" s="264" t="e">
        <f>'retraites SA Nb'!$FG108/'retraites SA Nb'!$EU108-1</f>
        <v>#DIV/0!</v>
      </c>
      <c r="BD108" s="264" t="e">
        <f>'retraites SA Nb'!$FJ108/'retraites SA Nb'!$EX108-1</f>
        <v>#DIV/0!</v>
      </c>
      <c r="BE108" s="264" t="e">
        <f>'retraites SA Nb'!$FM108/'retraites SA Nb'!$FA108-1</f>
        <v>#DIV/0!</v>
      </c>
      <c r="BF108" s="264">
        <f>'retraites SA Nb'!$FP108/'retraites SA Nb'!$FD108-1</f>
        <v>9.1645541365056538E-2</v>
      </c>
      <c r="BG108" s="264">
        <f>'retraites SA Nb'!$FS108/'retraites SA Nb'!$FG108-1</f>
        <v>8.9426197391904605E-2</v>
      </c>
      <c r="BH108" s="264">
        <f>'retraites SA Nb'!$FV108/'retraites SA Nb'!$FJ108-1</f>
        <v>9.0277513040337931E-2</v>
      </c>
      <c r="BI108" s="264">
        <f>'retraites SA Nb'!$FY108/'retraites SA Nb'!$FM108-1</f>
        <v>4.9626350424148535E-2</v>
      </c>
      <c r="BJ108" s="264">
        <f>'retraites SA Nb'!$GB108/'retraites SA Nb'!$FP108-1</f>
        <v>4.7901237916913697E-2</v>
      </c>
      <c r="BK108" s="264">
        <f>'retraites SA Nb'!$GE108/'retraites SA Nb'!$FS108-1</f>
        <v>9.2980299485479811E-2</v>
      </c>
      <c r="BL108" s="264">
        <f>'retraites SA Nb'!$GH108/'retraites SA Nb'!$FV108-1</f>
        <v>9.1024247868711772E-2</v>
      </c>
      <c r="BM108" s="264">
        <f>'retraites SA Nb'!$GK108/'retraites SA Nb'!$FY108-1</f>
        <v>8.9182771623691481E-2</v>
      </c>
      <c r="BN108" s="264">
        <f>'retraites SA Nb'!$GN108/'retraites SA Nb'!$GB108-1</f>
        <v>9.8073416896344634E-2</v>
      </c>
    </row>
    <row r="109" spans="1:66" x14ac:dyDescent="0.25">
      <c r="BJ109" s="126"/>
      <c r="BK109" s="126"/>
      <c r="BL109" s="126"/>
      <c r="BM109" s="126"/>
      <c r="BN109" s="126"/>
    </row>
    <row r="110" spans="1:66" ht="23" x14ac:dyDescent="0.25">
      <c r="A110" s="186" t="str">
        <f>'retraites SA Nb'!A110</f>
        <v>Carrière complete - Nombre de pensionnés par type de droits avec carrière complète de DP (nombre de trimestres SA &gt;= 150 jusqu'au 3T 2021, ensuite carrière complète)</v>
      </c>
      <c r="BJ110" s="126"/>
      <c r="BK110" s="126"/>
      <c r="BL110" s="126"/>
      <c r="BM110" s="126"/>
      <c r="BN110" s="126"/>
    </row>
    <row r="111" spans="1:66" x14ac:dyDescent="0.25">
      <c r="A111" s="184"/>
      <c r="BJ111" s="126"/>
      <c r="BK111" s="126"/>
      <c r="BL111" s="126"/>
      <c r="BM111" s="126"/>
      <c r="BN111" s="126"/>
    </row>
    <row r="112" spans="1:66" ht="12" thickBot="1" x14ac:dyDescent="0.3">
      <c r="A112" s="3"/>
      <c r="BB112" s="196" t="str">
        <f>BB$6</f>
        <v>4T 2021</v>
      </c>
      <c r="BC112" s="196" t="str">
        <f t="shared" ref="BC112:BN112" si="152">BC$6</f>
        <v>1T 2022</v>
      </c>
      <c r="BD112" s="196" t="str">
        <f t="shared" si="152"/>
        <v>2T 2022</v>
      </c>
      <c r="BE112" s="196" t="str">
        <f t="shared" si="152"/>
        <v>3T 2022</v>
      </c>
      <c r="BF112" s="196" t="str">
        <f t="shared" si="152"/>
        <v>4T 2022</v>
      </c>
      <c r="BG112" s="196" t="str">
        <f t="shared" si="152"/>
        <v>1T 2023</v>
      </c>
      <c r="BH112" s="196" t="str">
        <f t="shared" si="152"/>
        <v>2T 2023</v>
      </c>
      <c r="BI112" s="196" t="str">
        <f t="shared" si="152"/>
        <v>3T 2023</v>
      </c>
      <c r="BJ112" s="196" t="str">
        <f t="shared" si="152"/>
        <v>4T 2023</v>
      </c>
      <c r="BK112" s="196" t="str">
        <f t="shared" si="152"/>
        <v>1T 2024</v>
      </c>
      <c r="BL112" s="196" t="str">
        <f t="shared" si="152"/>
        <v>2T 2024</v>
      </c>
      <c r="BM112" s="196" t="str">
        <f t="shared" si="152"/>
        <v>3T 2024</v>
      </c>
      <c r="BN112" s="196" t="str">
        <f t="shared" si="152"/>
        <v>4T 2024</v>
      </c>
    </row>
    <row r="113" spans="1:66" x14ac:dyDescent="0.25">
      <c r="A113" s="38" t="str">
        <f>'retraites SA Nb'!A113</f>
        <v>Droits directs (=droits propres)</v>
      </c>
      <c r="BB113" s="264" t="e">
        <f>'retraites SA Nb'!$FD113/'retraites SA Nb'!$ER113-1</f>
        <v>#DIV/0!</v>
      </c>
      <c r="BC113" s="264" t="e">
        <f>'retraites SA Nb'!$FG113/'retraites SA Nb'!$EU113-1</f>
        <v>#DIV/0!</v>
      </c>
      <c r="BD113" s="264" t="e">
        <f>'retraites SA Nb'!$FJ113/'retraites SA Nb'!$EX113-1</f>
        <v>#DIV/0!</v>
      </c>
      <c r="BE113" s="264" t="e">
        <f>'retraites SA Nb'!$FM113/'retraites SA Nb'!$FA113-1</f>
        <v>#DIV/0!</v>
      </c>
      <c r="BF113" s="264">
        <f>'retraites SA Nb'!$FP113/'retraites SA Nb'!$FD113-1</f>
        <v>6.2987914877312923E-2</v>
      </c>
      <c r="BG113" s="264">
        <f>'retraites SA Nb'!$FS113/'retraites SA Nb'!$FG113-1</f>
        <v>9.0414917224093561E-2</v>
      </c>
      <c r="BH113" s="264">
        <f>'retraites SA Nb'!$FV113/'retraites SA Nb'!$FJ113-1</f>
        <v>8.901173549460073E-2</v>
      </c>
      <c r="BI113" s="264">
        <f>'retraites SA Nb'!$FY113/'retraites SA Nb'!$FM113-1</f>
        <v>8.7271172725468249E-2</v>
      </c>
      <c r="BJ113" s="264">
        <f>'retraites SA Nb'!$GB113/'retraites SA Nb'!$FP113-1</f>
        <v>7.8952308720497966E-2</v>
      </c>
      <c r="BK113" s="264">
        <f>'retraites SA Nb'!$GE113/'retraites SA Nb'!$FS113-1</f>
        <v>7.0378097434208087E-2</v>
      </c>
      <c r="BL113" s="264">
        <f>'retraites SA Nb'!$GH113/'retraites SA Nb'!$FV113-1</f>
        <v>6.2599929735504434E-2</v>
      </c>
      <c r="BM113" s="264">
        <f>'retraites SA Nb'!$GK113/'retraites SA Nb'!$FY113-1</f>
        <v>5.8205664696052706E-2</v>
      </c>
      <c r="BN113" s="264">
        <f>'retraites SA Nb'!$GN113/'retraites SA Nb'!$GB113-1</f>
        <v>6.2554373168711708E-2</v>
      </c>
    </row>
    <row r="114" spans="1:66" x14ac:dyDescent="0.25">
      <c r="A114" s="39" t="str">
        <f>'retraites SA Nb'!A114</f>
        <v>Droits directs et droits dérivés</v>
      </c>
      <c r="BB114" s="264" t="e">
        <f>'retraites SA Nb'!$FD114/'retraites SA Nb'!$ER114-1</f>
        <v>#DIV/0!</v>
      </c>
      <c r="BC114" s="264" t="e">
        <f>'retraites SA Nb'!$FG114/'retraites SA Nb'!$EU114-1</f>
        <v>#DIV/0!</v>
      </c>
      <c r="BD114" s="264" t="e">
        <f>'retraites SA Nb'!$FJ114/'retraites SA Nb'!$EX114-1</f>
        <v>#DIV/0!</v>
      </c>
      <c r="BE114" s="264" t="e">
        <f>'retraites SA Nb'!$FM114/'retraites SA Nb'!$FA114-1</f>
        <v>#DIV/0!</v>
      </c>
      <c r="BF114" s="264">
        <f>'retraites SA Nb'!$FP114/'retraites SA Nb'!$FD114-1</f>
        <v>3.8107335662114883E-2</v>
      </c>
      <c r="BG114" s="264">
        <f>'retraites SA Nb'!$FS114/'retraites SA Nb'!$FG114-1</f>
        <v>4.8586852969196626E-2</v>
      </c>
      <c r="BH114" s="264">
        <f>'retraites SA Nb'!$FV114/'retraites SA Nb'!$FJ114-1</f>
        <v>5.0847457627118731E-2</v>
      </c>
      <c r="BI114" s="264">
        <f>'retraites SA Nb'!$FY114/'retraites SA Nb'!$FM114-1</f>
        <v>5.3643410852713069E-2</v>
      </c>
      <c r="BJ114" s="264">
        <f>'retraites SA Nb'!$GB114/'retraites SA Nb'!$FP114-1</f>
        <v>5.0780055062710217E-2</v>
      </c>
      <c r="BK114" s="264">
        <f>'retraites SA Nb'!$GE114/'retraites SA Nb'!$FS114-1</f>
        <v>5.9357964869775959E-2</v>
      </c>
      <c r="BL114" s="264">
        <f>'retraites SA Nb'!$GH114/'retraites SA Nb'!$FV114-1</f>
        <v>5.7945041816009457E-2</v>
      </c>
      <c r="BM114" s="264">
        <f>'retraites SA Nb'!$GK114/'retraites SA Nb'!$FY114-1</f>
        <v>6.0918187168922833E-2</v>
      </c>
      <c r="BN114" s="264">
        <f>'retraites SA Nb'!$GN114/'retraites SA Nb'!$GB114-1</f>
        <v>6.346433770014559E-2</v>
      </c>
    </row>
    <row r="115" spans="1:66" ht="12" thickBot="1" x14ac:dyDescent="0.3">
      <c r="A115" s="40" t="str">
        <f>'retraites SA Nb'!A115</f>
        <v>Ensemble</v>
      </c>
      <c r="BB115" s="264" t="e">
        <f>'retraites SA Nb'!$FD115/'retraites SA Nb'!$ER115-1</f>
        <v>#DIV/0!</v>
      </c>
      <c r="BC115" s="264" t="e">
        <f>'retraites SA Nb'!$FG115/'retraites SA Nb'!$EU115-1</f>
        <v>#DIV/0!</v>
      </c>
      <c r="BD115" s="264" t="e">
        <f>'retraites SA Nb'!$FJ115/'retraites SA Nb'!$EX115-1</f>
        <v>#DIV/0!</v>
      </c>
      <c r="BE115" s="264" t="e">
        <f>'retraites SA Nb'!$FM115/'retraites SA Nb'!$FA115-1</f>
        <v>#DIV/0!</v>
      </c>
      <c r="BF115" s="264">
        <f>'retraites SA Nb'!$FP115/'retraites SA Nb'!$FD115-1</f>
        <v>6.2987914877312923E-2</v>
      </c>
      <c r="BG115" s="264">
        <f>'retraites SA Nb'!$FS115/'retraites SA Nb'!$FG115-1</f>
        <v>9.0414917224093561E-2</v>
      </c>
      <c r="BH115" s="264">
        <f>'retraites SA Nb'!$FV115/'retraites SA Nb'!$FJ115-1</f>
        <v>8.901173549460073E-2</v>
      </c>
      <c r="BI115" s="264">
        <f>'retraites SA Nb'!$FY115/'retraites SA Nb'!$FM115-1</f>
        <v>8.7271172725468249E-2</v>
      </c>
      <c r="BJ115" s="264">
        <f>'retraites SA Nb'!$GB115/'retraites SA Nb'!$FP115-1</f>
        <v>7.8952308720497966E-2</v>
      </c>
      <c r="BK115" s="264">
        <f>'retraites SA Nb'!$GE115/'retraites SA Nb'!$FS115-1</f>
        <v>7.0378097434208087E-2</v>
      </c>
      <c r="BL115" s="264">
        <f>'retraites SA Nb'!$GH115/'retraites SA Nb'!$FV115-1</f>
        <v>6.2599929735504434E-2</v>
      </c>
      <c r="BM115" s="264">
        <f>'retraites SA Nb'!$GK115/'retraites SA Nb'!$FY115-1</f>
        <v>5.8205664696052706E-2</v>
      </c>
      <c r="BN115" s="264">
        <f>'retraites SA Nb'!$GN115/'retraites SA Nb'!$GB115-1</f>
        <v>6.2554373168711708E-2</v>
      </c>
    </row>
    <row r="116" spans="1:66" x14ac:dyDescent="0.25">
      <c r="BJ116" s="126"/>
      <c r="BK116" s="126"/>
      <c r="BL116" s="126"/>
      <c r="BM116" s="126"/>
      <c r="BN116" s="126"/>
    </row>
    <row r="117" spans="1:66" x14ac:dyDescent="0.25">
      <c r="A117" s="186" t="str">
        <f>'retraites SA Nb'!A117</f>
        <v xml:space="preserve">Carrière complète - Pensions moyennes annuelles par type de droits avec carrière complète de DP </v>
      </c>
      <c r="BJ117" s="126"/>
      <c r="BK117" s="126"/>
      <c r="BL117" s="126"/>
      <c r="BM117" s="126"/>
      <c r="BN117" s="126"/>
    </row>
    <row r="118" spans="1:66" x14ac:dyDescent="0.25">
      <c r="A118" s="14" t="str">
        <f>'retraites SA Nb'!A118</f>
        <v>(Montants DP,DR et avantages complémentaires)</v>
      </c>
      <c r="BJ118" s="126"/>
      <c r="BK118" s="126"/>
      <c r="BL118" s="126"/>
      <c r="BM118" s="126"/>
      <c r="BN118" s="126"/>
    </row>
    <row r="119" spans="1:66" ht="12" thickBot="1" x14ac:dyDescent="0.3">
      <c r="A119" s="3"/>
      <c r="BB119" s="196" t="str">
        <f>BB$6</f>
        <v>4T 2021</v>
      </c>
      <c r="BC119" s="196" t="str">
        <f t="shared" ref="BC119:BN119" si="153">BC$6</f>
        <v>1T 2022</v>
      </c>
      <c r="BD119" s="196" t="str">
        <f t="shared" si="153"/>
        <v>2T 2022</v>
      </c>
      <c r="BE119" s="196" t="str">
        <f t="shared" si="153"/>
        <v>3T 2022</v>
      </c>
      <c r="BF119" s="196" t="str">
        <f t="shared" si="153"/>
        <v>4T 2022</v>
      </c>
      <c r="BG119" s="196" t="str">
        <f t="shared" si="153"/>
        <v>1T 2023</v>
      </c>
      <c r="BH119" s="196" t="str">
        <f t="shared" si="153"/>
        <v>2T 2023</v>
      </c>
      <c r="BI119" s="196" t="str">
        <f t="shared" si="153"/>
        <v>3T 2023</v>
      </c>
      <c r="BJ119" s="196" t="str">
        <f t="shared" si="153"/>
        <v>4T 2023</v>
      </c>
      <c r="BK119" s="196" t="str">
        <f t="shared" si="153"/>
        <v>1T 2024</v>
      </c>
      <c r="BL119" s="196" t="str">
        <f t="shared" si="153"/>
        <v>2T 2024</v>
      </c>
      <c r="BM119" s="196" t="str">
        <f t="shared" si="153"/>
        <v>3T 2024</v>
      </c>
      <c r="BN119" s="196" t="str">
        <f t="shared" si="153"/>
        <v>4T 2024</v>
      </c>
    </row>
    <row r="120" spans="1:66" x14ac:dyDescent="0.25">
      <c r="A120" s="38" t="str">
        <f>'retraites SA Nb'!A120</f>
        <v>Droits directs (=droits propres)</v>
      </c>
      <c r="BB120" s="264" t="e">
        <f>'retraites SA Nb'!$FD120/'retraites SA Nb'!$ER120-1</f>
        <v>#DIV/0!</v>
      </c>
      <c r="BC120" s="264" t="e">
        <f>'retraites SA Nb'!$FG120/'retraites SA Nb'!$EU120-1</f>
        <v>#DIV/0!</v>
      </c>
      <c r="BD120" s="264" t="e">
        <f>'retraites SA Nb'!$FJ120/'retraites SA Nb'!$EX120-1</f>
        <v>#DIV/0!</v>
      </c>
      <c r="BE120" s="264" t="e">
        <f>'retraites SA Nb'!$FM120/'retraites SA Nb'!$FA120-1</f>
        <v>#DIV/0!</v>
      </c>
      <c r="BF120" s="264">
        <f>'retraites SA Nb'!$FP120/'retraites SA Nb'!$FD120-1</f>
        <v>4.432574585076865E-2</v>
      </c>
      <c r="BG120" s="264">
        <f>'retraites SA Nb'!$FS120/'retraites SA Nb'!$FG120-1</f>
        <v>5.4717995249019102E-2</v>
      </c>
      <c r="BH120" s="264">
        <f>'retraites SA Nb'!$FV120/'retraites SA Nb'!$FJ120-1</f>
        <v>5.4078970167204421E-2</v>
      </c>
      <c r="BI120" s="264">
        <f>'retraites SA Nb'!$FY120/'retraites SA Nb'!$FM120-1</f>
        <v>1.4854572055130966E-2</v>
      </c>
      <c r="BJ120" s="264">
        <f>'retraites SA Nb'!$GB120/'retraites SA Nb'!$FP120-1</f>
        <v>1.4920094635524128E-2</v>
      </c>
      <c r="BK120" s="264">
        <f>'retraites SA Nb'!$GE120/'retraites SA Nb'!$FS120-1</f>
        <v>6.0250658563589798E-2</v>
      </c>
      <c r="BL120" s="264">
        <f>'retraites SA Nb'!$GH120/'retraites SA Nb'!$FV120-1</f>
        <v>6.0807209640568516E-2</v>
      </c>
      <c r="BM120" s="264">
        <f>'retraites SA Nb'!$GK120/'retraites SA Nb'!$FY120-1</f>
        <v>5.9508887391097831E-2</v>
      </c>
      <c r="BN120" s="264">
        <f>'retraites SA Nb'!$GN120/'retraites SA Nb'!$GB120-1</f>
        <v>6.2254207149359475E-2</v>
      </c>
    </row>
    <row r="121" spans="1:66" x14ac:dyDescent="0.25">
      <c r="A121" s="39" t="str">
        <f>'retraites SA Nb'!A121</f>
        <v>Droits directs et droits dérivés</v>
      </c>
      <c r="BB121" s="264" t="e">
        <f>'retraites SA Nb'!$FD121/'retraites SA Nb'!$ER121-1</f>
        <v>#DIV/0!</v>
      </c>
      <c r="BC121" s="264" t="e">
        <f>'retraites SA Nb'!$FG121/'retraites SA Nb'!$EU121-1</f>
        <v>#DIV/0!</v>
      </c>
      <c r="BD121" s="264" t="e">
        <f>'retraites SA Nb'!$FJ121/'retraites SA Nb'!$EX121-1</f>
        <v>#DIV/0!</v>
      </c>
      <c r="BE121" s="264" t="e">
        <f>'retraites SA Nb'!$FM121/'retraites SA Nb'!$FA121-1</f>
        <v>#DIV/0!</v>
      </c>
      <c r="BF121" s="264">
        <f>'retraites SA Nb'!$FP121/'retraites SA Nb'!$FD121-1</f>
        <v>4.1870974909577585E-2</v>
      </c>
      <c r="BG121" s="264">
        <f>'retraites SA Nb'!$FS121/'retraites SA Nb'!$FG121-1</f>
        <v>4.9196993343267659E-2</v>
      </c>
      <c r="BH121" s="264">
        <f>'retraites SA Nb'!$FV121/'retraites SA Nb'!$FJ121-1</f>
        <v>5.0911528806764306E-2</v>
      </c>
      <c r="BI121" s="264">
        <f>'retraites SA Nb'!$FY121/'retraites SA Nb'!$FM121-1</f>
        <v>1.1717563617481996E-2</v>
      </c>
      <c r="BJ121" s="264">
        <f>'retraites SA Nb'!$GB121/'retraites SA Nb'!$FP121-1</f>
        <v>1.1362483417843849E-2</v>
      </c>
      <c r="BK121" s="264">
        <f>'retraites SA Nb'!$GE121/'retraites SA Nb'!$FS121-1</f>
        <v>6.0069766726382756E-2</v>
      </c>
      <c r="BL121" s="264">
        <f>'retraites SA Nb'!$GH121/'retraites SA Nb'!$FV121-1</f>
        <v>5.8283845485355812E-2</v>
      </c>
      <c r="BM121" s="264">
        <f>'retraites SA Nb'!$GK121/'retraites SA Nb'!$FY121-1</f>
        <v>5.772401277249406E-2</v>
      </c>
      <c r="BN121" s="264">
        <f>'retraites SA Nb'!$GN121/'retraites SA Nb'!$GB121-1</f>
        <v>7.1414931911831347E-2</v>
      </c>
    </row>
    <row r="122" spans="1:66" ht="12" thickBot="1" x14ac:dyDescent="0.3">
      <c r="A122" s="40" t="str">
        <f>'retraites SA Nb'!A122</f>
        <v>Ensemble</v>
      </c>
      <c r="BB122" s="264" t="e">
        <f>'retraites SA Nb'!$FD122/'retraites SA Nb'!$ER122-1</f>
        <v>#DIV/0!</v>
      </c>
      <c r="BC122" s="264" t="e">
        <f>'retraites SA Nb'!$FG122/'retraites SA Nb'!$EU122-1</f>
        <v>#DIV/0!</v>
      </c>
      <c r="BD122" s="264" t="e">
        <f>'retraites SA Nb'!$FJ122/'retraites SA Nb'!$EX122-1</f>
        <v>#DIV/0!</v>
      </c>
      <c r="BE122" s="264" t="e">
        <f>'retraites SA Nb'!$FM122/'retraites SA Nb'!$FA122-1</f>
        <v>#DIV/0!</v>
      </c>
      <c r="BF122" s="264">
        <f>'retraites SA Nb'!$FP122/'retraites SA Nb'!$FD122-1</f>
        <v>4.4325745850770648E-2</v>
      </c>
      <c r="BG122" s="264">
        <f>'retraites SA Nb'!$FS122/'retraites SA Nb'!$FG122-1</f>
        <v>5.4717995249020879E-2</v>
      </c>
      <c r="BH122" s="264">
        <f>'retraites SA Nb'!$FV122/'retraites SA Nb'!$FJ122-1</f>
        <v>5.4078970167203533E-2</v>
      </c>
      <c r="BI122" s="264">
        <f>'retraites SA Nb'!$FY122/'retraites SA Nb'!$FM122-1</f>
        <v>1.4854572055132964E-2</v>
      </c>
      <c r="BJ122" s="264">
        <f>'retraites SA Nb'!$GB122/'retraites SA Nb'!$FP122-1</f>
        <v>1.4920094635525238E-2</v>
      </c>
      <c r="BK122" s="264">
        <f>'retraites SA Nb'!$GE122/'retraites SA Nb'!$FS122-1</f>
        <v>6.0250658563588688E-2</v>
      </c>
      <c r="BL122" s="264">
        <f>'retraites SA Nb'!$GH122/'retraites SA Nb'!$FV122-1</f>
        <v>6.0807209640568738E-2</v>
      </c>
      <c r="BM122" s="264">
        <f>'retraites SA Nb'!$GK122/'retraites SA Nb'!$FY122-1</f>
        <v>5.9508887391099607E-2</v>
      </c>
      <c r="BN122" s="264">
        <f>'retraites SA Nb'!$GN122/'retraites SA Nb'!$GB122-1</f>
        <v>6.2254207149358365E-2</v>
      </c>
    </row>
  </sheetData>
  <mergeCells count="4">
    <mergeCell ref="A67:C67"/>
    <mergeCell ref="A71:C71"/>
    <mergeCell ref="A74:C74"/>
    <mergeCell ref="A75:C75"/>
  </mergeCells>
  <phoneticPr fontId="2" type="noConversion"/>
  <pageMargins left="0.39" right="0.42" top="0.32" bottom="0.2" header="0.2" footer="0.2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9"/>
  </sheetPr>
  <dimension ref="A1:M80"/>
  <sheetViews>
    <sheetView workbookViewId="0">
      <selection activeCell="D84" sqref="D84"/>
    </sheetView>
  </sheetViews>
  <sheetFormatPr baseColWidth="10" defaultColWidth="11.453125" defaultRowHeight="12.5" x14ac:dyDescent="0.25"/>
  <cols>
    <col min="1" max="1" width="42.1796875" style="116" customWidth="1"/>
    <col min="2" max="5" width="9.7265625" style="116" customWidth="1"/>
    <col min="6" max="7" width="10.26953125" style="116" customWidth="1"/>
    <col min="8" max="8" width="13.453125" style="116" bestFit="1" customWidth="1"/>
    <col min="9" max="9" width="10.26953125" style="116" customWidth="1"/>
    <col min="10" max="16384" width="11.453125" style="116"/>
  </cols>
  <sheetData>
    <row r="1" spans="1:13" ht="13.5" customHeight="1" x14ac:dyDescent="0.3">
      <c r="A1" s="465" t="s">
        <v>302</v>
      </c>
      <c r="B1" s="465"/>
      <c r="C1" s="465"/>
      <c r="D1" s="465"/>
      <c r="E1" s="465"/>
      <c r="F1" s="465"/>
      <c r="G1" s="465"/>
      <c r="H1" s="465"/>
      <c r="I1" s="268"/>
    </row>
    <row r="2" spans="1:13" ht="13.5" customHeight="1" x14ac:dyDescent="0.3">
      <c r="A2" s="465" t="s">
        <v>428</v>
      </c>
      <c r="B2" s="465"/>
      <c r="C2" s="465"/>
      <c r="D2" s="465"/>
      <c r="E2" s="465"/>
      <c r="F2" s="465"/>
      <c r="G2" s="465"/>
      <c r="H2" s="465"/>
      <c r="I2" s="268"/>
      <c r="J2" s="59" t="s">
        <v>300</v>
      </c>
      <c r="K2" s="270"/>
    </row>
    <row r="3" spans="1:13" ht="13" x14ac:dyDescent="0.3">
      <c r="A3" s="1"/>
      <c r="B3" s="266" t="s">
        <v>434</v>
      </c>
      <c r="C3" s="266" t="s">
        <v>435</v>
      </c>
      <c r="D3" s="267" t="s">
        <v>436</v>
      </c>
      <c r="E3" s="117"/>
      <c r="F3" s="266" t="s">
        <v>412</v>
      </c>
      <c r="G3" s="266" t="s">
        <v>413</v>
      </c>
      <c r="H3" s="267" t="s">
        <v>414</v>
      </c>
      <c r="I3" s="61"/>
      <c r="J3" s="59" t="s">
        <v>301</v>
      </c>
      <c r="K3" s="270"/>
      <c r="L3" s="270"/>
      <c r="M3" s="270"/>
    </row>
    <row r="4" spans="1:13" ht="12" customHeight="1" thickBot="1" x14ac:dyDescent="0.3">
      <c r="A4" s="3" t="s">
        <v>288</v>
      </c>
      <c r="B4" s="3"/>
      <c r="C4" s="3"/>
      <c r="D4" s="3"/>
      <c r="E4" s="3"/>
      <c r="F4" s="4"/>
      <c r="G4" s="4"/>
      <c r="H4" s="4"/>
      <c r="I4" s="4"/>
    </row>
    <row r="5" spans="1:13" ht="12" customHeight="1" x14ac:dyDescent="0.25">
      <c r="A5" s="3"/>
      <c r="B5" s="466" t="s">
        <v>429</v>
      </c>
      <c r="C5" s="467"/>
      <c r="D5" s="467"/>
      <c r="E5" s="468"/>
      <c r="F5" s="469" t="s">
        <v>430</v>
      </c>
      <c r="G5" s="470"/>
      <c r="H5" s="471"/>
      <c r="I5" s="62"/>
      <c r="J5" s="59" t="s">
        <v>35</v>
      </c>
    </row>
    <row r="6" spans="1:13" ht="12" customHeight="1" thickBot="1" x14ac:dyDescent="0.3">
      <c r="A6" s="3"/>
      <c r="B6" s="301" t="s">
        <v>0</v>
      </c>
      <c r="C6" s="302" t="s">
        <v>1</v>
      </c>
      <c r="D6" s="303" t="s">
        <v>5</v>
      </c>
      <c r="E6" s="304" t="s">
        <v>264</v>
      </c>
      <c r="F6" s="301" t="s">
        <v>0</v>
      </c>
      <c r="G6" s="302" t="s">
        <v>1</v>
      </c>
      <c r="H6" s="304" t="s">
        <v>5</v>
      </c>
      <c r="I6" s="62"/>
    </row>
    <row r="7" spans="1:13" ht="12" customHeight="1" x14ac:dyDescent="0.25">
      <c r="A7" s="5" t="s">
        <v>133</v>
      </c>
      <c r="B7" s="305">
        <f>'retraites SA Nb'!GL7</f>
        <v>987157</v>
      </c>
      <c r="C7" s="305">
        <f>'retraites SA Nb'!GM7</f>
        <v>564520</v>
      </c>
      <c r="D7" s="305">
        <f>'retraites SA Nb'!GN7</f>
        <v>1551677</v>
      </c>
      <c r="E7" s="308">
        <f>D7/$D$10</f>
        <v>0.71099960227054038</v>
      </c>
      <c r="F7" s="311">
        <f>B7/'retraites SA Nb'!FZ7-1</f>
        <v>-2.5962313598146602E-2</v>
      </c>
      <c r="G7" s="312">
        <f>C7/'retraites SA Nb'!GA7-1</f>
        <v>-8.594800970822658E-3</v>
      </c>
      <c r="H7" s="313">
        <f>D7/'retraites SA Nb'!GB7-1</f>
        <v>-1.9714659895898823E-2</v>
      </c>
      <c r="I7" s="63"/>
    </row>
    <row r="8" spans="1:13" ht="12" customHeight="1" x14ac:dyDescent="0.25">
      <c r="A8" s="6" t="s">
        <v>291</v>
      </c>
      <c r="B8" s="306">
        <f>'retraites SA Nb'!GL8</f>
        <v>17092</v>
      </c>
      <c r="C8" s="306">
        <f>'retraites SA Nb'!GM8</f>
        <v>484255</v>
      </c>
      <c r="D8" s="306">
        <f>'retraites SA Nb'!GN8</f>
        <v>501347</v>
      </c>
      <c r="E8" s="309">
        <f>D8/$D$10</f>
        <v>0.22972404540347546</v>
      </c>
      <c r="F8" s="311">
        <f>B8/'retraites SA Nb'!FZ8-1</f>
        <v>-1.1700011700011004E-4</v>
      </c>
      <c r="G8" s="312">
        <f>C8/'retraites SA Nb'!GA8-1</f>
        <v>-2.5908455449726975E-2</v>
      </c>
      <c r="H8" s="313">
        <f>D8/'retraites SA Nb'!GB8-1</f>
        <v>-2.5051095912521415E-2</v>
      </c>
      <c r="I8" s="63"/>
    </row>
    <row r="9" spans="1:13" ht="12" customHeight="1" x14ac:dyDescent="0.25">
      <c r="A9" s="6" t="s">
        <v>293</v>
      </c>
      <c r="B9" s="306">
        <f>'retraites SA Nb'!GL9</f>
        <v>15293</v>
      </c>
      <c r="C9" s="306">
        <f>'retraites SA Nb'!GM9</f>
        <v>114071</v>
      </c>
      <c r="D9" s="306">
        <f>'retraites SA Nb'!GN9</f>
        <v>129364</v>
      </c>
      <c r="E9" s="309">
        <f>D9/$D$10</f>
        <v>5.9276352325984195E-2</v>
      </c>
      <c r="F9" s="311">
        <f>B9/'retraites SA Nb'!FZ9-1</f>
        <v>-1.9490927742514597E-2</v>
      </c>
      <c r="G9" s="312">
        <f>C9/'retraites SA Nb'!GA9-1</f>
        <v>-2.8091132165496524E-2</v>
      </c>
      <c r="H9" s="313">
        <f>D9/'retraites SA Nb'!GB9-1</f>
        <v>-2.7082314894897208E-2</v>
      </c>
      <c r="I9" s="63"/>
    </row>
    <row r="10" spans="1:13" ht="12" customHeight="1" thickBot="1" x14ac:dyDescent="0.3">
      <c r="A10" s="10" t="s">
        <v>5</v>
      </c>
      <c r="B10" s="307">
        <f>'retraites SA Nb'!GL10</f>
        <v>1019542</v>
      </c>
      <c r="C10" s="307">
        <f>'retraites SA Nb'!GM10</f>
        <v>1162846</v>
      </c>
      <c r="D10" s="307">
        <f>'retraites SA Nb'!GN10</f>
        <v>2182388</v>
      </c>
      <c r="E10" s="310">
        <f>D10/$D$10</f>
        <v>1</v>
      </c>
      <c r="F10" s="314">
        <f>B10/'retraites SA Nb'!FZ10-1</f>
        <v>-2.54435268027835E-2</v>
      </c>
      <c r="G10" s="315">
        <f>C10/'retraites SA Nb'!GA10-1</f>
        <v>-1.779770034554784E-2</v>
      </c>
      <c r="H10" s="316">
        <f>D10/'retraites SA Nb'!GB10-1</f>
        <v>-2.1384463406420529E-2</v>
      </c>
      <c r="I10" s="63"/>
      <c r="K10" s="123"/>
      <c r="L10" s="123"/>
    </row>
    <row r="11" spans="1:13" ht="12" customHeight="1" x14ac:dyDescent="0.3">
      <c r="A11" s="75"/>
      <c r="B11" s="295"/>
      <c r="C11" s="295"/>
      <c r="D11" s="295">
        <f>D7+D9</f>
        <v>1681041</v>
      </c>
      <c r="E11" s="295"/>
      <c r="F11" s="126"/>
      <c r="G11" s="126"/>
      <c r="H11" s="126"/>
      <c r="I11" s="4"/>
    </row>
    <row r="12" spans="1:13" ht="12" customHeight="1" thickBot="1" x14ac:dyDescent="0.3">
      <c r="A12" s="3" t="s">
        <v>81</v>
      </c>
      <c r="B12" s="128"/>
      <c r="C12" s="128"/>
      <c r="D12" s="161">
        <f>D11/D10</f>
        <v>0.77027595459652454</v>
      </c>
      <c r="E12" s="161">
        <f>D8/D10</f>
        <v>0.22972404540347546</v>
      </c>
      <c r="F12" s="126"/>
      <c r="G12" s="126"/>
      <c r="H12" s="126"/>
      <c r="I12" s="4"/>
    </row>
    <row r="13" spans="1:13" ht="12" customHeight="1" x14ac:dyDescent="0.25">
      <c r="A13" s="3"/>
      <c r="B13" s="466" t="str">
        <f>B5</f>
        <v>Situation en 2024 - T4</v>
      </c>
      <c r="C13" s="467"/>
      <c r="D13" s="467"/>
      <c r="E13" s="468"/>
      <c r="F13" s="466" t="str">
        <f>F5</f>
        <v>Evolution T4 - 2024 / T4 - 2023</v>
      </c>
      <c r="G13" s="467"/>
      <c r="H13" s="468"/>
      <c r="I13" s="62"/>
    </row>
    <row r="14" spans="1:13" ht="12" customHeight="1" thickBot="1" x14ac:dyDescent="0.3">
      <c r="A14" s="3"/>
      <c r="B14" s="301" t="s">
        <v>0</v>
      </c>
      <c r="C14" s="302" t="s">
        <v>1</v>
      </c>
      <c r="D14" s="303" t="s">
        <v>5</v>
      </c>
      <c r="E14" s="304" t="s">
        <v>264</v>
      </c>
      <c r="F14" s="301" t="s">
        <v>0</v>
      </c>
      <c r="G14" s="302" t="s">
        <v>1</v>
      </c>
      <c r="H14" s="304" t="s">
        <v>5</v>
      </c>
      <c r="I14" s="62"/>
    </row>
    <row r="15" spans="1:13" ht="12" customHeight="1" x14ac:dyDescent="0.25">
      <c r="A15" s="5" t="s">
        <v>6</v>
      </c>
      <c r="B15" s="305">
        <f>'retraites SA Nb'!GL15</f>
        <v>1615</v>
      </c>
      <c r="C15" s="305">
        <f>'retraites SA Nb'!GM15</f>
        <v>4</v>
      </c>
      <c r="D15" s="317">
        <f>'retraites SA Nb'!GN15</f>
        <v>1619</v>
      </c>
      <c r="E15" s="308">
        <f t="shared" ref="E15:E21" si="0">D15/$D$10</f>
        <v>7.4184792071803915E-4</v>
      </c>
      <c r="F15" s="311">
        <f>B15/'retraites SA Nb'!FZ15-1</f>
        <v>-0.17433537832310841</v>
      </c>
      <c r="G15" s="321">
        <f>C15/'retraites SA Nb'!GA15-1</f>
        <v>-0.19999999999999996</v>
      </c>
      <c r="H15" s="322">
        <f>D15/'retraites SA Nb'!GB15-1</f>
        <v>-0.17440081591024992</v>
      </c>
      <c r="I15" s="63"/>
    </row>
    <row r="16" spans="1:13" ht="12" customHeight="1" x14ac:dyDescent="0.25">
      <c r="A16" s="6" t="s">
        <v>18</v>
      </c>
      <c r="B16" s="306">
        <f>'retraites SA Nb'!GL16</f>
        <v>403345</v>
      </c>
      <c r="C16" s="306">
        <f>'retraites SA Nb'!GM16</f>
        <v>534559</v>
      </c>
      <c r="D16" s="318">
        <f>'retraites SA Nb'!GN16</f>
        <v>937904</v>
      </c>
      <c r="E16" s="309">
        <f t="shared" si="0"/>
        <v>0.42976042756833338</v>
      </c>
      <c r="F16" s="311">
        <f>B16/'retraites SA Nb'!FZ16-1</f>
        <v>-3.7507486941104284E-2</v>
      </c>
      <c r="G16" s="321">
        <f>C16/'retraites SA Nb'!GA16-1</f>
        <v>-2.7952597689528291E-2</v>
      </c>
      <c r="H16" s="322">
        <f>D16/'retraites SA Nb'!GB16-1</f>
        <v>-3.2084821990641887E-2</v>
      </c>
      <c r="I16" s="63"/>
    </row>
    <row r="17" spans="1:12" ht="12" customHeight="1" x14ac:dyDescent="0.25">
      <c r="A17" s="6" t="s">
        <v>7</v>
      </c>
      <c r="B17" s="306">
        <f>'retraites SA Nb'!GL17</f>
        <v>2</v>
      </c>
      <c r="C17" s="306">
        <f>'retraites SA Nb'!GM17</f>
        <v>62</v>
      </c>
      <c r="D17" s="318">
        <f>'retraites SA Nb'!GN17</f>
        <v>64</v>
      </c>
      <c r="E17" s="309">
        <f t="shared" si="0"/>
        <v>2.9325674444690862E-5</v>
      </c>
      <c r="F17" s="311">
        <f>B17/'retraites SA Nb'!FZ17-1</f>
        <v>-0.5</v>
      </c>
      <c r="G17" s="321">
        <f>C17/'retraites SA Nb'!GA17-1</f>
        <v>-0.10144927536231885</v>
      </c>
      <c r="H17" s="322">
        <f>D17/'retraites SA Nb'!GB17-1</f>
        <v>-0.12328767123287676</v>
      </c>
      <c r="I17" s="63"/>
    </row>
    <row r="18" spans="1:12" ht="12" customHeight="1" x14ac:dyDescent="0.25">
      <c r="A18" s="6" t="s">
        <v>8</v>
      </c>
      <c r="B18" s="306">
        <f>'retraites SA Nb'!GL18</f>
        <v>480</v>
      </c>
      <c r="C18" s="306">
        <f>'retraites SA Nb'!GM18</f>
        <v>237</v>
      </c>
      <c r="D18" s="318">
        <f>'retraites SA Nb'!GN18</f>
        <v>717</v>
      </c>
      <c r="E18" s="309">
        <f t="shared" si="0"/>
        <v>3.2853919651317729E-4</v>
      </c>
      <c r="F18" s="311">
        <f>B18/'retraites SA Nb'!FZ18-1</f>
        <v>-1.4373716632443578E-2</v>
      </c>
      <c r="G18" s="321">
        <f>C18/'retraites SA Nb'!GA18-1</f>
        <v>-3.6585365853658569E-2</v>
      </c>
      <c r="H18" s="322">
        <f>D18/'retraites SA Nb'!GB18-1</f>
        <v>-2.1828103683492528E-2</v>
      </c>
      <c r="I18" s="63"/>
    </row>
    <row r="19" spans="1:12" ht="12" customHeight="1" x14ac:dyDescent="0.25">
      <c r="A19" s="6" t="s">
        <v>10</v>
      </c>
      <c r="B19" s="306">
        <f>'retraites SA Nb'!GL19</f>
        <v>1047</v>
      </c>
      <c r="C19" s="306">
        <f>'retraites SA Nb'!GM19</f>
        <v>637</v>
      </c>
      <c r="D19" s="318">
        <f>'retraites SA Nb'!GN19</f>
        <v>1684</v>
      </c>
      <c r="E19" s="309">
        <f t="shared" si="0"/>
        <v>7.7163180882592827E-4</v>
      </c>
      <c r="F19" s="311">
        <f>B19/'retraites SA Nb'!FZ19-1</f>
        <v>-0.14530612244897956</v>
      </c>
      <c r="G19" s="321">
        <f>C19/'retraites SA Nb'!GA19-1</f>
        <v>-0.10028248587570621</v>
      </c>
      <c r="H19" s="322">
        <f>D19/'retraites SA Nb'!GB19-1</f>
        <v>-0.12881531298499738</v>
      </c>
      <c r="I19" s="63"/>
    </row>
    <row r="20" spans="1:12" ht="12" customHeight="1" x14ac:dyDescent="0.25">
      <c r="A20" s="6" t="s">
        <v>9</v>
      </c>
      <c r="B20" s="306">
        <f>'retraites SA Nb'!GL20</f>
        <v>1605</v>
      </c>
      <c r="C20" s="306">
        <f>'retraites SA Nb'!GM20</f>
        <v>1080</v>
      </c>
      <c r="D20" s="318">
        <f>'retraites SA Nb'!GN20</f>
        <v>2685</v>
      </c>
      <c r="E20" s="309">
        <f t="shared" si="0"/>
        <v>1.2303036856874212E-3</v>
      </c>
      <c r="F20" s="311">
        <f>B20/'retraites SA Nb'!FZ20-1</f>
        <v>-0.17438271604938271</v>
      </c>
      <c r="G20" s="321">
        <f>C20/'retraites SA Nb'!GA20-1</f>
        <v>-0.14691943127962082</v>
      </c>
      <c r="H20" s="322">
        <f>D20/'retraites SA Nb'!GB20-1</f>
        <v>-0.16355140186915884</v>
      </c>
      <c r="I20" s="63"/>
    </row>
    <row r="21" spans="1:12" ht="12" customHeight="1" thickBot="1" x14ac:dyDescent="0.3">
      <c r="A21" s="10" t="s">
        <v>11</v>
      </c>
      <c r="B21" s="307">
        <f>'retraites SA Nb'!GL21</f>
        <v>13174</v>
      </c>
      <c r="C21" s="307">
        <f>'retraites SA Nb'!GM21</f>
        <v>6474</v>
      </c>
      <c r="D21" s="319">
        <f>'retraites SA Nb'!GN21</f>
        <v>19648</v>
      </c>
      <c r="E21" s="320">
        <f t="shared" si="0"/>
        <v>9.0029820545200947E-3</v>
      </c>
      <c r="F21" s="314">
        <f>B21/'retraites SA Nb'!FZ21-1</f>
        <v>0.10557233971131241</v>
      </c>
      <c r="G21" s="323">
        <f>C21/'retraites SA Nb'!GA21-1</f>
        <v>0.16271551724137923</v>
      </c>
      <c r="H21" s="324">
        <f>D21/'retraites SA Nb'!GB21-1</f>
        <v>0.12377030427819724</v>
      </c>
      <c r="I21" s="63"/>
    </row>
    <row r="22" spans="1:12" ht="12" customHeight="1" x14ac:dyDescent="0.25">
      <c r="A22" s="14"/>
      <c r="B22" s="295"/>
      <c r="C22" s="295"/>
      <c r="D22" s="295"/>
      <c r="E22" s="295"/>
      <c r="F22" s="126"/>
      <c r="G22" s="126"/>
      <c r="H22" s="126"/>
      <c r="I22" s="4"/>
    </row>
    <row r="23" spans="1:12" ht="12" customHeight="1" x14ac:dyDescent="0.25">
      <c r="A23" s="3" t="s">
        <v>289</v>
      </c>
      <c r="B23" s="128"/>
      <c r="C23" s="128"/>
      <c r="D23" s="128"/>
      <c r="E23" s="128"/>
      <c r="F23" s="126"/>
      <c r="G23" s="126"/>
      <c r="H23" s="126"/>
      <c r="I23" s="4"/>
    </row>
    <row r="24" spans="1:12" ht="12" customHeight="1" thickBot="1" x14ac:dyDescent="0.3">
      <c r="A24" s="14" t="s">
        <v>295</v>
      </c>
      <c r="B24" s="128"/>
      <c r="C24" s="128"/>
      <c r="D24" s="128"/>
      <c r="E24" s="128"/>
      <c r="F24" s="126"/>
      <c r="G24" s="126"/>
      <c r="H24" s="126"/>
      <c r="I24" s="4"/>
    </row>
    <row r="25" spans="1:12" ht="12" customHeight="1" x14ac:dyDescent="0.25">
      <c r="A25" s="14"/>
      <c r="B25" s="466" t="str">
        <f>B5</f>
        <v>Situation en 2024 - T4</v>
      </c>
      <c r="C25" s="467"/>
      <c r="D25" s="467"/>
      <c r="E25" s="468"/>
      <c r="F25" s="466" t="str">
        <f>F5</f>
        <v>Evolution T4 - 2024 / T4 - 2023</v>
      </c>
      <c r="G25" s="467"/>
      <c r="H25" s="468"/>
      <c r="I25" s="62"/>
      <c r="J25" s="59"/>
      <c r="K25" s="59"/>
      <c r="L25" s="60"/>
    </row>
    <row r="26" spans="1:12" ht="12" customHeight="1" thickBot="1" x14ac:dyDescent="0.3">
      <c r="A26" s="3"/>
      <c r="B26" s="301" t="s">
        <v>0</v>
      </c>
      <c r="C26" s="302" t="s">
        <v>1</v>
      </c>
      <c r="D26" s="303" t="s">
        <v>5</v>
      </c>
      <c r="E26" s="304" t="s">
        <v>265</v>
      </c>
      <c r="F26" s="301" t="s">
        <v>0</v>
      </c>
      <c r="G26" s="302" t="s">
        <v>1</v>
      </c>
      <c r="H26" s="304" t="s">
        <v>5</v>
      </c>
      <c r="I26" s="62"/>
    </row>
    <row r="27" spans="1:12" ht="12" customHeight="1" x14ac:dyDescent="0.25">
      <c r="A27" s="5" t="s">
        <v>32</v>
      </c>
      <c r="B27" s="325">
        <f>'retraites SA Nb'!GL27</f>
        <v>4072.8635755363598</v>
      </c>
      <c r="C27" s="325">
        <f>'retraites SA Nb'!GM27</f>
        <v>3744.6411799405842</v>
      </c>
      <c r="D27" s="326">
        <f>'retraites SA Nb'!GN27</f>
        <v>3953.4535752263719</v>
      </c>
      <c r="E27" s="308">
        <f>C27/B27</f>
        <v>0.9194123766955411</v>
      </c>
      <c r="F27" s="312">
        <f>B27/'retraites SA Nb'!FZ27-1</f>
        <v>0.10344520396151702</v>
      </c>
      <c r="G27" s="321">
        <f>C27/'retraites SA Nb'!GA27-1</f>
        <v>0.11155347589058517</v>
      </c>
      <c r="H27" s="331">
        <f>D27/'retraites SA Nb'!GB27-1</f>
        <v>0.105819063777566</v>
      </c>
      <c r="I27" s="63"/>
    </row>
    <row r="28" spans="1:12" ht="12" customHeight="1" x14ac:dyDescent="0.25">
      <c r="A28" s="6" t="s">
        <v>291</v>
      </c>
      <c r="B28" s="327">
        <f>'retraites SA Nb'!GL28</f>
        <v>906.27170606131597</v>
      </c>
      <c r="C28" s="327">
        <f>'retraites SA Nb'!GM28</f>
        <v>1293.8045608390639</v>
      </c>
      <c r="D28" s="328">
        <f>'retraites SA Nb'!GN28</f>
        <v>1280.5926776969959</v>
      </c>
      <c r="E28" s="309">
        <f>C28/B28</f>
        <v>1.4276122184835467</v>
      </c>
      <c r="F28" s="312">
        <f>B28/'retraites SA Nb'!FZ28-1</f>
        <v>7.5513516384782431E-2</v>
      </c>
      <c r="G28" s="321">
        <f>C28/'retraites SA Nb'!GA28-1</f>
        <v>4.1740942518633473E-2</v>
      </c>
      <c r="H28" s="332">
        <f>D28/'retraites SA Nb'!GB28-1</f>
        <v>4.2242775733768001E-2</v>
      </c>
      <c r="I28" s="63"/>
    </row>
    <row r="29" spans="1:12" ht="12" customHeight="1" x14ac:dyDescent="0.25">
      <c r="A29" s="6" t="s">
        <v>293</v>
      </c>
      <c r="B29" s="327">
        <f>'retraites SA Nb'!GL29</f>
        <v>4385.5478977310004</v>
      </c>
      <c r="C29" s="327">
        <f>'retraites SA Nb'!GM29</f>
        <v>3924.2830837220722</v>
      </c>
      <c r="D29" s="328">
        <f>'retraites SA Nb'!GN29</f>
        <v>3978.8237240696799</v>
      </c>
      <c r="E29" s="309">
        <f>C29/B29</f>
        <v>0.89482162211759719</v>
      </c>
      <c r="F29" s="312">
        <f>B29/'retraites SA Nb'!FZ29-1</f>
        <v>7.7412440611375422E-2</v>
      </c>
      <c r="G29" s="321">
        <f>C29/'retraites SA Nb'!GA29-1</f>
        <v>6.9216576163295018E-2</v>
      </c>
      <c r="H29" s="332">
        <f>D29/'retraites SA Nb'!GB29-1</f>
        <v>7.0383423972272041E-2</v>
      </c>
      <c r="I29" s="63"/>
    </row>
    <row r="30" spans="1:12" ht="12" customHeight="1" thickBot="1" x14ac:dyDescent="0.3">
      <c r="A30" s="10" t="s">
        <v>5</v>
      </c>
      <c r="B30" s="329">
        <f>'retraites SA Nb'!GL30</f>
        <v>4024.4673438401201</v>
      </c>
      <c r="C30" s="329">
        <f>'retraites SA Nb'!GM30</f>
        <v>2741.5986068111438</v>
      </c>
      <c r="D30" s="330">
        <f>'retraites SA Nb'!GN30</f>
        <v>3340.9234250334039</v>
      </c>
      <c r="E30" s="320">
        <f>C30/B30</f>
        <v>0.6812326632510648</v>
      </c>
      <c r="F30" s="333">
        <f>B30/'retraites SA Nb'!FZ30-1</f>
        <v>0.10254648346197559</v>
      </c>
      <c r="G30" s="334">
        <f>C30/'retraites SA Nb'!GA30-1</f>
        <v>9.4191100231331815E-2</v>
      </c>
      <c r="H30" s="324">
        <f>D30/'retraites SA Nb'!GB30-1</f>
        <v>9.8073416896344634E-2</v>
      </c>
      <c r="I30" s="63"/>
    </row>
    <row r="31" spans="1:12" ht="12" customHeight="1" x14ac:dyDescent="0.25">
      <c r="A31" s="14"/>
      <c r="B31" s="335"/>
      <c r="C31" s="335"/>
      <c r="D31" s="335">
        <f>D30/12</f>
        <v>278.4102854194503</v>
      </c>
      <c r="E31" s="335"/>
      <c r="F31" s="126"/>
      <c r="G31" s="126"/>
      <c r="H31" s="126"/>
      <c r="I31" s="4"/>
    </row>
    <row r="32" spans="1:12" ht="12" customHeight="1" thickBot="1" x14ac:dyDescent="0.3">
      <c r="A32" s="3" t="s">
        <v>290</v>
      </c>
      <c r="B32" s="128"/>
      <c r="C32" s="128"/>
      <c r="D32" s="128"/>
      <c r="E32" s="128"/>
      <c r="F32" s="269"/>
      <c r="G32" s="269"/>
      <c r="H32" s="269"/>
      <c r="I32" s="4"/>
    </row>
    <row r="33" spans="1:13" ht="12" customHeight="1" x14ac:dyDescent="0.25">
      <c r="A33" s="3"/>
      <c r="B33" s="466" t="str">
        <f>B5</f>
        <v>Situation en 2024 - T4</v>
      </c>
      <c r="C33" s="467"/>
      <c r="D33" s="468"/>
      <c r="E33" s="269"/>
      <c r="F33" s="466" t="str">
        <f>"Différence "&amp;RIGHT(F5,21)</f>
        <v>Différence T4 - 2024 / T4 - 2023</v>
      </c>
      <c r="G33" s="467"/>
      <c r="H33" s="468"/>
      <c r="I33" s="62"/>
      <c r="J33" s="59"/>
    </row>
    <row r="34" spans="1:13" ht="12" customHeight="1" thickBot="1" x14ac:dyDescent="0.3">
      <c r="A34" s="3"/>
      <c r="B34" s="301" t="s">
        <v>0</v>
      </c>
      <c r="C34" s="302" t="s">
        <v>1</v>
      </c>
      <c r="D34" s="303" t="s">
        <v>5</v>
      </c>
      <c r="E34" s="269"/>
      <c r="F34" s="301" t="s">
        <v>0</v>
      </c>
      <c r="G34" s="302" t="s">
        <v>1</v>
      </c>
      <c r="H34" s="304" t="s">
        <v>5</v>
      </c>
      <c r="I34" s="62"/>
    </row>
    <row r="35" spans="1:13" ht="12" customHeight="1" x14ac:dyDescent="0.25">
      <c r="A35" s="5" t="s">
        <v>32</v>
      </c>
      <c r="B35" s="336">
        <f>'retraites SA Nb'!GL35</f>
        <v>75.791531555077398</v>
      </c>
      <c r="C35" s="336">
        <f>'retraites SA Nb'!GM35</f>
        <v>75.508725374355905</v>
      </c>
      <c r="D35" s="336">
        <f>'retraites SA Nb'!GN35</f>
        <v>75.688644346340993</v>
      </c>
      <c r="E35" s="269"/>
      <c r="F35" s="337">
        <f>B35-'retraites SA Nb'!FZ35</f>
        <v>0.26677073665010198</v>
      </c>
      <c r="G35" s="338">
        <f>C35-'retraites SA Nb'!GA35</f>
        <v>0.33090536859540975</v>
      </c>
      <c r="H35" s="339">
        <f>D35-'retraites SA Nb'!GB35</f>
        <v>0.28868781218619688</v>
      </c>
      <c r="I35" s="64"/>
    </row>
    <row r="36" spans="1:13" ht="12" customHeight="1" x14ac:dyDescent="0.25">
      <c r="A36" s="6" t="s">
        <v>291</v>
      </c>
      <c r="B36" s="336">
        <f>'retraites SA Nb'!GL36</f>
        <v>78.797156564474605</v>
      </c>
      <c r="C36" s="336">
        <f>'retraites SA Nb'!GM36</f>
        <v>81.256653030544001</v>
      </c>
      <c r="D36" s="336">
        <f>'retraites SA Nb'!GN36</f>
        <v>81.172803159501001</v>
      </c>
      <c r="E36" s="269"/>
      <c r="F36" s="337">
        <f>B36-'retraites SA Nb'!FZ36</f>
        <v>0.37191963923760341</v>
      </c>
      <c r="G36" s="338">
        <f>C36-'retraites SA Nb'!GA36</f>
        <v>0.15469197802460144</v>
      </c>
      <c r="H36" s="340">
        <f>D36-'retraites SA Nb'!GB36</f>
        <v>0.15982246039069992</v>
      </c>
      <c r="I36" s="64"/>
    </row>
    <row r="37" spans="1:13" ht="12" customHeight="1" x14ac:dyDescent="0.25">
      <c r="A37" s="6" t="s">
        <v>293</v>
      </c>
      <c r="B37" s="336">
        <f>'retraites SA Nb'!GL37</f>
        <v>82.781926371542596</v>
      </c>
      <c r="C37" s="336">
        <f>'retraites SA Nb'!GM37</f>
        <v>83.182955701308302</v>
      </c>
      <c r="D37" s="336">
        <f>'retraites SA Nb'!GN37</f>
        <v>83.135537394558398</v>
      </c>
      <c r="E37" s="269"/>
      <c r="F37" s="337">
        <f>B37-'retraites SA Nb'!FZ37</f>
        <v>0.11955540276649401</v>
      </c>
      <c r="G37" s="338">
        <f>C37-'retraites SA Nb'!GA37</f>
        <v>0.16242614266400324</v>
      </c>
      <c r="H37" s="340">
        <f>D37-'retraites SA Nb'!GB37</f>
        <v>0.15702829270789209</v>
      </c>
      <c r="I37" s="64"/>
    </row>
    <row r="38" spans="1:13" ht="12" customHeight="1" thickBot="1" x14ac:dyDescent="0.3">
      <c r="A38" s="10" t="s">
        <v>5</v>
      </c>
      <c r="B38" s="336">
        <f>'retraites SA Nb'!GL38</f>
        <v>75.946775579383498</v>
      </c>
      <c r="C38" s="336">
        <f>'retraites SA Nb'!GM38</f>
        <v>78.655140178878597</v>
      </c>
      <c r="D38" s="336">
        <f>'retraites SA Nb'!GN38</f>
        <v>77.389858646622102</v>
      </c>
      <c r="E38" s="269"/>
      <c r="F38" s="341">
        <f>B38-'retraites SA Nb'!FZ38</f>
        <v>0.268206506394705</v>
      </c>
      <c r="G38" s="342">
        <f>C38-'retraites SA Nb'!GA38</f>
        <v>0.21229848173280175</v>
      </c>
      <c r="H38" s="343">
        <f>D38-'retraites SA Nb'!GB38</f>
        <v>0.24379428926519608</v>
      </c>
      <c r="I38" s="64"/>
    </row>
    <row r="39" spans="1:13" ht="12" customHeight="1" x14ac:dyDescent="0.25">
      <c r="A39" s="3"/>
      <c r="B39" s="128"/>
      <c r="C39" s="128"/>
      <c r="D39" s="128"/>
      <c r="E39" s="269"/>
      <c r="F39" s="128"/>
      <c r="G39" s="126"/>
      <c r="H39" s="126"/>
      <c r="I39" s="4"/>
    </row>
    <row r="40" spans="1:13" ht="12" customHeight="1" thickBot="1" x14ac:dyDescent="0.3">
      <c r="A40" s="3" t="s">
        <v>384</v>
      </c>
      <c r="B40" s="128"/>
      <c r="C40" s="128"/>
      <c r="D40" s="128"/>
      <c r="E40" s="269"/>
      <c r="F40" s="128"/>
      <c r="G40" s="126"/>
      <c r="H40" s="126"/>
      <c r="I40" s="4"/>
    </row>
    <row r="41" spans="1:13" ht="12" customHeight="1" x14ac:dyDescent="0.25">
      <c r="A41" s="3"/>
      <c r="B41" s="466" t="str">
        <f>B5</f>
        <v>Situation en 2024 - T4</v>
      </c>
      <c r="C41" s="467"/>
      <c r="D41" s="468"/>
      <c r="E41" s="269"/>
      <c r="F41" s="466" t="str">
        <f>F5</f>
        <v>Evolution T4 - 2024 / T4 - 2023</v>
      </c>
      <c r="G41" s="467"/>
      <c r="H41" s="468"/>
      <c r="I41" s="62"/>
    </row>
    <row r="42" spans="1:13" ht="12" customHeight="1" thickBot="1" x14ac:dyDescent="0.3">
      <c r="A42" s="3"/>
      <c r="B42" s="301" t="s">
        <v>0</v>
      </c>
      <c r="C42" s="302" t="s">
        <v>1</v>
      </c>
      <c r="D42" s="304" t="s">
        <v>5</v>
      </c>
      <c r="E42" s="269"/>
      <c r="F42" s="344" t="s">
        <v>0</v>
      </c>
      <c r="G42" s="345" t="s">
        <v>1</v>
      </c>
      <c r="H42" s="346" t="s">
        <v>5</v>
      </c>
      <c r="I42" s="62"/>
      <c r="J42" s="123"/>
      <c r="K42" s="123"/>
    </row>
    <row r="43" spans="1:13" ht="12" customHeight="1" thickBot="1" x14ac:dyDescent="0.3">
      <c r="A43" s="31" t="s">
        <v>381</v>
      </c>
      <c r="B43" s="347">
        <f>'retraites SA Nb'!GL43</f>
        <v>0.81206655759945734</v>
      </c>
      <c r="C43" s="347">
        <f>'retraites SA Nb'!GM43</f>
        <v>0.78532953502115554</v>
      </c>
      <c r="D43" s="347">
        <f>'retraites SA Nb'!GN43</f>
        <v>0.80127389444415686</v>
      </c>
      <c r="E43" s="269"/>
      <c r="F43" s="348">
        <f>(B43-'retraites SA Nb'!FZ43)*100</f>
        <v>-0.10081819912148848</v>
      </c>
      <c r="G43" s="349">
        <f>(C43-'retraites SA Nb'!GA43)*100</f>
        <v>-0.44741604148106351</v>
      </c>
      <c r="H43" s="350">
        <f>(D43-'retraites SA Nb'!GB43)*100</f>
        <v>-0.24867012457635562</v>
      </c>
      <c r="I43" s="65"/>
      <c r="J43" s="60"/>
      <c r="K43" s="60"/>
      <c r="L43" s="269"/>
      <c r="M43" s="269"/>
    </row>
    <row r="44" spans="1:13" ht="12" customHeight="1" x14ac:dyDescent="0.25">
      <c r="A44" s="3"/>
      <c r="B44" s="128"/>
      <c r="C44" s="128"/>
      <c r="D44" s="128"/>
      <c r="E44" s="269"/>
      <c r="F44" s="126"/>
      <c r="G44" s="126"/>
      <c r="H44" s="126"/>
      <c r="I44" s="4"/>
    </row>
    <row r="45" spans="1:13" ht="12" customHeight="1" thickBot="1" x14ac:dyDescent="0.3">
      <c r="A45" s="3" t="s">
        <v>292</v>
      </c>
      <c r="B45" s="128"/>
      <c r="C45" s="128"/>
      <c r="D45" s="128"/>
      <c r="E45" s="269"/>
      <c r="F45" s="126"/>
      <c r="G45" s="126"/>
      <c r="H45" s="126"/>
      <c r="I45" s="4"/>
    </row>
    <row r="46" spans="1:13" ht="12" customHeight="1" x14ac:dyDescent="0.25">
      <c r="A46" s="3"/>
      <c r="B46" s="469" t="str">
        <f>B5</f>
        <v>Situation en 2024 - T4</v>
      </c>
      <c r="C46" s="470"/>
      <c r="D46" s="471"/>
      <c r="E46" s="269"/>
      <c r="F46" s="466" t="str">
        <f>F33</f>
        <v>Différence T4 - 2024 / T4 - 2023</v>
      </c>
      <c r="G46" s="467"/>
      <c r="H46" s="468"/>
      <c r="I46" s="62"/>
    </row>
    <row r="47" spans="1:13" ht="12" customHeight="1" thickBot="1" x14ac:dyDescent="0.3">
      <c r="A47" s="3"/>
      <c r="B47" s="301" t="s">
        <v>0</v>
      </c>
      <c r="C47" s="302" t="s">
        <v>1</v>
      </c>
      <c r="D47" s="304" t="s">
        <v>5</v>
      </c>
      <c r="E47" s="269"/>
      <c r="F47" s="301" t="s">
        <v>0</v>
      </c>
      <c r="G47" s="302" t="s">
        <v>1</v>
      </c>
      <c r="H47" s="304" t="s">
        <v>5</v>
      </c>
      <c r="I47" s="62"/>
    </row>
    <row r="48" spans="1:13" ht="12" customHeight="1" thickBot="1" x14ac:dyDescent="0.3">
      <c r="A48" s="31" t="s">
        <v>14</v>
      </c>
      <c r="B48" s="351">
        <f>'retraites SA Nb'!GL48</f>
        <v>49.1359372037087</v>
      </c>
      <c r="C48" s="351">
        <f>'retraites SA Nb'!GM48</f>
        <v>46.902113812027601</v>
      </c>
      <c r="D48" s="351">
        <f>'retraites SA Nb'!GN48</f>
        <v>48.234250459475703</v>
      </c>
      <c r="E48" s="269"/>
      <c r="F48" s="352">
        <f>B48-'retraites SA Nb'!FZ48</f>
        <v>1.5033633684765988</v>
      </c>
      <c r="G48" s="353">
        <f>C48-'retraites SA Nb'!GA48</f>
        <v>1.953117599906399</v>
      </c>
      <c r="H48" s="354">
        <f>D48-'retraites SA Nb'!GB48</f>
        <v>1.6757498641314044</v>
      </c>
      <c r="I48" s="64"/>
    </row>
    <row r="49" spans="1:9" ht="12" customHeight="1" x14ac:dyDescent="0.25">
      <c r="A49" s="3"/>
      <c r="B49" s="128"/>
      <c r="C49" s="128"/>
      <c r="D49" s="128"/>
      <c r="E49" s="128"/>
      <c r="F49" s="126"/>
      <c r="G49" s="126"/>
      <c r="H49" s="126"/>
      <c r="I49" s="4"/>
    </row>
    <row r="50" spans="1:9" ht="12" customHeight="1" thickBot="1" x14ac:dyDescent="0.3">
      <c r="A50" s="3" t="s">
        <v>393</v>
      </c>
      <c r="B50" s="128"/>
      <c r="C50" s="128"/>
      <c r="D50" s="128"/>
      <c r="E50" s="128"/>
      <c r="F50" s="126"/>
      <c r="G50" s="126"/>
      <c r="H50" s="126"/>
      <c r="I50" s="4"/>
    </row>
    <row r="51" spans="1:9" ht="12" customHeight="1" x14ac:dyDescent="0.25">
      <c r="A51" s="14"/>
      <c r="B51" s="466" t="str">
        <f>B5</f>
        <v>Situation en 2024 - T4</v>
      </c>
      <c r="C51" s="467"/>
      <c r="D51" s="467"/>
      <c r="E51" s="468"/>
      <c r="F51" s="466" t="str">
        <f>F5</f>
        <v>Evolution T4 - 2024 / T4 - 2023</v>
      </c>
      <c r="G51" s="467"/>
      <c r="H51" s="468"/>
      <c r="I51" s="62"/>
    </row>
    <row r="52" spans="1:9" ht="12" customHeight="1" thickBot="1" x14ac:dyDescent="0.3">
      <c r="A52" s="3"/>
      <c r="B52" s="301" t="s">
        <v>0</v>
      </c>
      <c r="C52" s="302" t="s">
        <v>1</v>
      </c>
      <c r="D52" s="303" t="s">
        <v>5</v>
      </c>
      <c r="E52" s="304" t="s">
        <v>264</v>
      </c>
      <c r="F52" s="301" t="s">
        <v>0</v>
      </c>
      <c r="G52" s="302" t="s">
        <v>1</v>
      </c>
      <c r="H52" s="304" t="s">
        <v>5</v>
      </c>
      <c r="I52" s="62"/>
    </row>
    <row r="53" spans="1:9" ht="12" customHeight="1" x14ac:dyDescent="0.25">
      <c r="A53" s="5" t="s">
        <v>32</v>
      </c>
      <c r="B53" s="305">
        <f>'retraites SA Nb'!GL53</f>
        <v>88318</v>
      </c>
      <c r="C53" s="305">
        <f>'retraites SA Nb'!GM53</f>
        <v>60700</v>
      </c>
      <c r="D53" s="305">
        <f>'retraites SA Nb'!GN53</f>
        <v>149018</v>
      </c>
      <c r="E53" s="308">
        <f>D53/$D$55</f>
        <v>0.97607273156002117</v>
      </c>
      <c r="F53" s="311">
        <f>B53/'retraites SA Nb'!FZ53-1</f>
        <v>4.9805058957778536E-2</v>
      </c>
      <c r="G53" s="321">
        <f>C53/'retraites SA Nb'!GA53-1</f>
        <v>8.1610833927298732E-2</v>
      </c>
      <c r="H53" s="322">
        <f>D53/'retraites SA Nb'!GB53-1</f>
        <v>6.2532086019051913E-2</v>
      </c>
      <c r="I53" s="63"/>
    </row>
    <row r="54" spans="1:9" ht="12" customHeight="1" x14ac:dyDescent="0.25">
      <c r="A54" s="6" t="s">
        <v>293</v>
      </c>
      <c r="B54" s="306">
        <f>'retraites SA Nb'!GL54</f>
        <v>1103</v>
      </c>
      <c r="C54" s="306">
        <f>'retraites SA Nb'!GM54</f>
        <v>2550</v>
      </c>
      <c r="D54" s="306">
        <f>'retraites SA Nb'!GN54</f>
        <v>3653</v>
      </c>
      <c r="E54" s="309">
        <f>D54/$D$55</f>
        <v>2.3927268439978777E-2</v>
      </c>
      <c r="F54" s="311">
        <f>B54/'retraites SA Nb'!FZ54-1</f>
        <v>-1.9555555555555548E-2</v>
      </c>
      <c r="G54" s="321">
        <f>C54/'retraites SA Nb'!GA54-1</f>
        <v>0.10389610389610393</v>
      </c>
      <c r="H54" s="322">
        <f>D54/'retraites SA Nb'!GB54-1</f>
        <v>6.346433770014559E-2</v>
      </c>
      <c r="I54" s="63"/>
    </row>
    <row r="55" spans="1:9" ht="12" customHeight="1" thickBot="1" x14ac:dyDescent="0.3">
      <c r="A55" s="10" t="s">
        <v>5</v>
      </c>
      <c r="B55" s="307">
        <f>'retraites SA Nb'!GL55</f>
        <v>89421</v>
      </c>
      <c r="C55" s="307">
        <f>'retraites SA Nb'!GM55</f>
        <v>63250</v>
      </c>
      <c r="D55" s="307">
        <f>'retraites SA Nb'!GN55</f>
        <v>152671</v>
      </c>
      <c r="E55" s="310">
        <f>D55/$D$55</f>
        <v>1</v>
      </c>
      <c r="F55" s="314">
        <f>B55/'retraites SA Nb'!FZ55-1</f>
        <v>4.88897751398778E-2</v>
      </c>
      <c r="G55" s="323">
        <f>C55/'retraites SA Nb'!GA55-1</f>
        <v>8.2491870614410434E-2</v>
      </c>
      <c r="H55" s="324">
        <f>D55/'retraites SA Nb'!GB55-1</f>
        <v>6.2554373168711708E-2</v>
      </c>
      <c r="I55" s="63"/>
    </row>
    <row r="56" spans="1:9" ht="12" customHeight="1" x14ac:dyDescent="0.25">
      <c r="A56" s="3"/>
      <c r="B56" s="128"/>
      <c r="C56" s="128"/>
      <c r="D56" s="128"/>
      <c r="E56" s="128"/>
      <c r="F56" s="126"/>
      <c r="G56" s="126"/>
      <c r="H56" s="126"/>
      <c r="I56" s="4"/>
    </row>
    <row r="57" spans="1:9" ht="12" customHeight="1" x14ac:dyDescent="0.25">
      <c r="A57" s="3" t="s">
        <v>294</v>
      </c>
      <c r="B57" s="128"/>
      <c r="C57" s="128"/>
      <c r="D57" s="128"/>
      <c r="E57" s="128"/>
      <c r="F57" s="126"/>
      <c r="G57" s="126"/>
      <c r="H57" s="126"/>
      <c r="I57" s="4"/>
    </row>
    <row r="58" spans="1:9" ht="12" customHeight="1" thickBot="1" x14ac:dyDescent="0.3">
      <c r="A58" s="14" t="s">
        <v>295</v>
      </c>
      <c r="B58" s="128"/>
      <c r="C58" s="128"/>
      <c r="D58" s="128"/>
      <c r="E58" s="128"/>
      <c r="F58" s="126"/>
      <c r="G58" s="126"/>
      <c r="H58" s="126"/>
      <c r="I58" s="4"/>
    </row>
    <row r="59" spans="1:9" ht="12" customHeight="1" x14ac:dyDescent="0.25">
      <c r="A59" s="14"/>
      <c r="B59" s="466" t="str">
        <f>B5</f>
        <v>Situation en 2024 - T4</v>
      </c>
      <c r="C59" s="467"/>
      <c r="D59" s="467"/>
      <c r="E59" s="468"/>
      <c r="F59" s="466" t="str">
        <f>F5</f>
        <v>Evolution T4 - 2024 / T4 - 2023</v>
      </c>
      <c r="G59" s="467"/>
      <c r="H59" s="468"/>
      <c r="I59" s="62"/>
    </row>
    <row r="60" spans="1:9" ht="12" customHeight="1" thickBot="1" x14ac:dyDescent="0.3">
      <c r="A60" s="3"/>
      <c r="B60" s="344" t="s">
        <v>0</v>
      </c>
      <c r="C60" s="345" t="s">
        <v>1</v>
      </c>
      <c r="D60" s="355" t="s">
        <v>5</v>
      </c>
      <c r="E60" s="345" t="s">
        <v>265</v>
      </c>
      <c r="F60" s="356" t="s">
        <v>0</v>
      </c>
      <c r="G60" s="345" t="s">
        <v>1</v>
      </c>
      <c r="H60" s="346" t="s">
        <v>5</v>
      </c>
      <c r="I60" s="62"/>
    </row>
    <row r="61" spans="1:9" ht="12" customHeight="1" x14ac:dyDescent="0.25">
      <c r="A61" s="5" t="s">
        <v>32</v>
      </c>
      <c r="B61" s="325">
        <f>'retraites SA Nb'!GL61</f>
        <v>15759.951402885041</v>
      </c>
      <c r="C61" s="325">
        <f>'retraites SA Nb'!GM61</f>
        <v>14582.27703459636</v>
      </c>
      <c r="D61" s="326">
        <f>'retraites SA Nb'!GN61</f>
        <v>15280.245366331599</v>
      </c>
      <c r="E61" s="308">
        <f>C61/B61</f>
        <v>0.92527423859485414</v>
      </c>
      <c r="F61" s="357">
        <f>B61/'retraites SA Nb'!FZ61-1</f>
        <v>6.5271425574128461E-2</v>
      </c>
      <c r="G61" s="358">
        <f>C61/'retraites SA Nb'!GA61-1</f>
        <v>5.8427039416968363E-2</v>
      </c>
      <c r="H61" s="331">
        <f>D61/'retraites SA Nb'!GB61-1</f>
        <v>6.2060654675047511E-2</v>
      </c>
      <c r="I61" s="63"/>
    </row>
    <row r="62" spans="1:9" ht="12" customHeight="1" x14ac:dyDescent="0.25">
      <c r="A62" s="6" t="s">
        <v>293</v>
      </c>
      <c r="B62" s="327">
        <f>'retraites SA Nb'!GL62</f>
        <v>13542.6364460562</v>
      </c>
      <c r="C62" s="327">
        <f>'retraites SA Nb'!GM62</f>
        <v>13450.36235294116</v>
      </c>
      <c r="D62" s="328">
        <f>'retraites SA Nb'!GN62</f>
        <v>13478.22392554064</v>
      </c>
      <c r="E62" s="361">
        <f>C62/B62</f>
        <v>0.99318640107614264</v>
      </c>
      <c r="F62" s="359">
        <f>B62/'retraites SA Nb'!FZ62-1</f>
        <v>8.4176334539557196E-2</v>
      </c>
      <c r="G62" s="360">
        <f>C62/'retraites SA Nb'!GA62-1</f>
        <v>6.5542792492064406E-2</v>
      </c>
      <c r="H62" s="332">
        <f>D62/'retraites SA Nb'!GB62-1</f>
        <v>7.1414931911831347E-2</v>
      </c>
      <c r="I62" s="63"/>
    </row>
    <row r="63" spans="1:9" ht="12" customHeight="1" thickBot="1" x14ac:dyDescent="0.3">
      <c r="A63" s="10" t="s">
        <v>5</v>
      </c>
      <c r="B63" s="329">
        <f>'retraites SA Nb'!GL63</f>
        <v>15732.601022131281</v>
      </c>
      <c r="C63" s="329">
        <f>'retraites SA Nb'!GM63</f>
        <v>14536.642529644279</v>
      </c>
      <c r="D63" s="330">
        <f>'retraites SA Nb'!GN63</f>
        <v>15237.1279155832</v>
      </c>
      <c r="E63" s="362">
        <f>C63/B63</f>
        <v>0.92398215077057955</v>
      </c>
      <c r="F63" s="315">
        <f>B63/'retraites SA Nb'!FZ63-1</f>
        <v>6.5611817106670633E-2</v>
      </c>
      <c r="G63" s="323">
        <f>C63/'retraites SA Nb'!GA63-1</f>
        <v>5.86212062982856E-2</v>
      </c>
      <c r="H63" s="324">
        <f>D63/'retraites SA Nb'!GB63-1</f>
        <v>6.2254207149358365E-2</v>
      </c>
      <c r="I63" s="63"/>
    </row>
    <row r="64" spans="1:9" ht="12" customHeight="1" x14ac:dyDescent="0.3">
      <c r="B64" s="363"/>
      <c r="C64" s="363"/>
      <c r="D64" s="364">
        <f>D63/12</f>
        <v>1269.7606596319333</v>
      </c>
      <c r="E64" s="363"/>
      <c r="F64" s="269"/>
      <c r="G64" s="269"/>
      <c r="H64" s="269"/>
    </row>
    <row r="65" spans="1:11" ht="12" customHeight="1" x14ac:dyDescent="0.25">
      <c r="A65" s="3" t="s">
        <v>296</v>
      </c>
      <c r="B65" s="128"/>
      <c r="C65" s="128"/>
      <c r="D65" s="128"/>
      <c r="E65" s="128"/>
      <c r="F65" s="126"/>
      <c r="G65" s="126"/>
      <c r="H65" s="126"/>
      <c r="I65" s="2"/>
    </row>
    <row r="66" spans="1:11" x14ac:dyDescent="0.25">
      <c r="B66" s="472" t="str">
        <f>B59</f>
        <v>Situation en 2024 - T4</v>
      </c>
      <c r="C66" s="472"/>
      <c r="D66" s="472"/>
      <c r="E66" s="130" t="s">
        <v>264</v>
      </c>
      <c r="F66" s="472" t="str">
        <f>F59</f>
        <v>Evolution T4 - 2024 / T4 - 2023</v>
      </c>
      <c r="G66" s="472"/>
      <c r="H66" s="472"/>
    </row>
    <row r="67" spans="1:11" x14ac:dyDescent="0.25">
      <c r="A67" s="176" t="s">
        <v>244</v>
      </c>
      <c r="B67" s="473">
        <f>'retraites SA Nb'!GN67</f>
        <v>11260</v>
      </c>
      <c r="C67" s="474"/>
      <c r="D67" s="474"/>
      <c r="E67" s="359">
        <f>B67/D10</f>
        <v>5.1594858476127986E-3</v>
      </c>
      <c r="F67" s="475">
        <f>B67/'retraites SA Nb'!GB67-1</f>
        <v>-0.18025626092020963</v>
      </c>
      <c r="G67" s="475"/>
      <c r="H67" s="475"/>
      <c r="K67" s="116" t="s">
        <v>243</v>
      </c>
    </row>
    <row r="68" spans="1:11" ht="13" x14ac:dyDescent="0.3">
      <c r="A68" s="1"/>
      <c r="B68" s="363"/>
      <c r="C68" s="363"/>
      <c r="D68" s="363"/>
      <c r="E68" s="363"/>
      <c r="F68" s="269"/>
      <c r="G68" s="269"/>
      <c r="H68" s="269"/>
    </row>
    <row r="69" spans="1:11" x14ac:dyDescent="0.25">
      <c r="A69" s="3" t="s">
        <v>298</v>
      </c>
      <c r="B69" s="128"/>
      <c r="C69" s="128"/>
      <c r="D69" s="128"/>
      <c r="E69" s="128"/>
      <c r="F69" s="126"/>
      <c r="G69" s="126"/>
      <c r="H69" s="126"/>
    </row>
    <row r="70" spans="1:11" x14ac:dyDescent="0.25">
      <c r="B70" s="476" t="str">
        <f>B66</f>
        <v>Situation en 2024 - T4</v>
      </c>
      <c r="C70" s="477"/>
      <c r="D70" s="478"/>
      <c r="E70" s="269"/>
      <c r="F70" s="476" t="str">
        <f>F46</f>
        <v>Différence T4 - 2024 / T4 - 2023</v>
      </c>
      <c r="G70" s="477"/>
      <c r="H70" s="478"/>
    </row>
    <row r="71" spans="1:11" x14ac:dyDescent="0.25">
      <c r="A71" s="176" t="s">
        <v>382</v>
      </c>
      <c r="B71" s="491">
        <f>'retraites SA Nb'!GN71</f>
        <v>37.266656716816897</v>
      </c>
      <c r="C71" s="492"/>
      <c r="D71" s="492"/>
      <c r="E71" s="269"/>
      <c r="F71" s="484">
        <f>'retraites SA Nb'!GB71-'retraites SA Nb'!GN71</f>
        <v>-0.23334953975009398</v>
      </c>
      <c r="G71" s="485"/>
      <c r="H71" s="486"/>
    </row>
    <row r="72" spans="1:11" x14ac:dyDescent="0.25">
      <c r="A72" s="176" t="s">
        <v>297</v>
      </c>
      <c r="B72" s="487">
        <f>D48</f>
        <v>48.234250459475703</v>
      </c>
      <c r="C72" s="488"/>
      <c r="D72" s="488"/>
      <c r="E72" s="269"/>
      <c r="F72" s="484">
        <f>H48</f>
        <v>1.6757498641314044</v>
      </c>
      <c r="G72" s="485"/>
      <c r="H72" s="486"/>
    </row>
    <row r="73" spans="1:11" ht="13" x14ac:dyDescent="0.3">
      <c r="A73" s="1"/>
      <c r="B73" s="363"/>
      <c r="C73" s="363"/>
      <c r="D73" s="363"/>
      <c r="E73" s="269"/>
      <c r="F73" s="363"/>
      <c r="G73" s="269"/>
      <c r="H73" s="269"/>
    </row>
    <row r="74" spans="1:11" x14ac:dyDescent="0.25">
      <c r="A74" s="3" t="s">
        <v>299</v>
      </c>
      <c r="B74" s="128"/>
      <c r="C74" s="128"/>
      <c r="D74" s="128"/>
      <c r="E74" s="269"/>
      <c r="F74" s="128"/>
      <c r="G74" s="126"/>
      <c r="H74" s="126"/>
    </row>
    <row r="75" spans="1:11" x14ac:dyDescent="0.25">
      <c r="A75" s="14" t="s">
        <v>295</v>
      </c>
      <c r="B75" s="296"/>
      <c r="C75" s="296"/>
      <c r="D75" s="296"/>
      <c r="E75" s="269"/>
      <c r="F75" s="296"/>
      <c r="G75" s="126"/>
      <c r="H75" s="126"/>
    </row>
    <row r="76" spans="1:11" x14ac:dyDescent="0.25">
      <c r="B76" s="476" t="str">
        <f>B70</f>
        <v>Situation en 2024 - T4</v>
      </c>
      <c r="C76" s="477"/>
      <c r="D76" s="478"/>
      <c r="E76" s="269"/>
      <c r="F76" s="476" t="str">
        <f>F66</f>
        <v>Evolution T4 - 2024 / T4 - 2023</v>
      </c>
      <c r="G76" s="477"/>
      <c r="H76" s="478"/>
    </row>
    <row r="77" spans="1:11" x14ac:dyDescent="0.25">
      <c r="A77" s="176" t="s">
        <v>383</v>
      </c>
      <c r="B77" s="489">
        <f>'retraites SA Nb'!GN74</f>
        <v>2962.015545526504</v>
      </c>
      <c r="C77" s="490"/>
      <c r="D77" s="490"/>
      <c r="E77" s="269"/>
      <c r="F77" s="479">
        <f>B77/'retraites SA Nb'!GB74-1</f>
        <v>7.5682305919829496E-2</v>
      </c>
      <c r="G77" s="480"/>
      <c r="H77" s="481"/>
    </row>
    <row r="78" spans="1:11" x14ac:dyDescent="0.25">
      <c r="A78" s="176" t="s">
        <v>266</v>
      </c>
      <c r="B78" s="482">
        <f>'retraites SA Nb'!GN75</f>
        <v>3954.2682171391561</v>
      </c>
      <c r="C78" s="483"/>
      <c r="D78" s="483"/>
      <c r="E78" s="269"/>
      <c r="F78" s="479">
        <f>B78/'retraites SA Nb'!GB75-1</f>
        <v>0.10296104608334322</v>
      </c>
      <c r="G78" s="480"/>
      <c r="H78" s="481"/>
    </row>
    <row r="79" spans="1:11" x14ac:dyDescent="0.25">
      <c r="B79" s="269"/>
      <c r="C79" s="365">
        <f>B77/12</f>
        <v>246.83462879387534</v>
      </c>
      <c r="D79" s="269"/>
      <c r="E79" s="269"/>
      <c r="F79" s="269"/>
      <c r="G79" s="269"/>
      <c r="H79" s="269"/>
    </row>
    <row r="80" spans="1:11" x14ac:dyDescent="0.25">
      <c r="C80" s="384">
        <f>B78/12</f>
        <v>329.52235142826299</v>
      </c>
    </row>
  </sheetData>
  <mergeCells count="34">
    <mergeCell ref="F77:H77"/>
    <mergeCell ref="B78:D78"/>
    <mergeCell ref="F78:H78"/>
    <mergeCell ref="F70:H70"/>
    <mergeCell ref="F76:H76"/>
    <mergeCell ref="F71:H71"/>
    <mergeCell ref="B72:D72"/>
    <mergeCell ref="F72:H72"/>
    <mergeCell ref="B77:D77"/>
    <mergeCell ref="B70:D70"/>
    <mergeCell ref="B71:D71"/>
    <mergeCell ref="B66:D66"/>
    <mergeCell ref="F66:H66"/>
    <mergeCell ref="B67:D67"/>
    <mergeCell ref="F67:H67"/>
    <mergeCell ref="B76:D76"/>
    <mergeCell ref="F51:H51"/>
    <mergeCell ref="F59:H59"/>
    <mergeCell ref="B46:D46"/>
    <mergeCell ref="B41:D41"/>
    <mergeCell ref="F33:H33"/>
    <mergeCell ref="F41:H41"/>
    <mergeCell ref="F46:H46"/>
    <mergeCell ref="B51:E51"/>
    <mergeCell ref="B59:E59"/>
    <mergeCell ref="A1:H1"/>
    <mergeCell ref="A2:H2"/>
    <mergeCell ref="B33:D33"/>
    <mergeCell ref="B5:E5"/>
    <mergeCell ref="B25:E25"/>
    <mergeCell ref="B13:E13"/>
    <mergeCell ref="F5:H5"/>
    <mergeCell ref="F13:H13"/>
    <mergeCell ref="F25:H25"/>
  </mergeCells>
  <pageMargins left="0.59055118110236227" right="0.19685039370078741" top="0" bottom="0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U134"/>
  <sheetViews>
    <sheetView workbookViewId="0">
      <selection activeCell="P29" sqref="P29"/>
    </sheetView>
  </sheetViews>
  <sheetFormatPr baseColWidth="10" defaultRowHeight="12.5" x14ac:dyDescent="0.25"/>
  <cols>
    <col min="2" max="2" width="35.1796875" bestFit="1" customWidth="1"/>
    <col min="3" max="7" width="9.1796875" hidden="1" customWidth="1"/>
    <col min="8" max="8" width="11.81640625" bestFit="1" customWidth="1"/>
    <col min="9" max="9" width="12.81640625" bestFit="1" customWidth="1"/>
    <col min="10" max="17" width="11.81640625" bestFit="1" customWidth="1"/>
  </cols>
  <sheetData>
    <row r="1" spans="1:7" x14ac:dyDescent="0.25">
      <c r="A1" t="str">
        <f>'[88]pensions 1970-2010 avec diff mt'!A24</f>
        <v>Retraites SA</v>
      </c>
    </row>
    <row r="2" spans="1:7" x14ac:dyDescent="0.25">
      <c r="A2" s="87" t="s">
        <v>86</v>
      </c>
      <c r="B2" s="88" t="str">
        <f>'[88]pensions 1970-2010 avec diff mt'!C25</f>
        <v>effectif n</v>
      </c>
      <c r="C2" s="88"/>
      <c r="D2" s="88"/>
      <c r="E2" s="88"/>
      <c r="F2" s="88"/>
      <c r="G2" s="88"/>
    </row>
    <row r="3" spans="1:7" x14ac:dyDescent="0.25">
      <c r="A3">
        <f>'[88]pensions 1970-2010 avec diff mt'!A26</f>
        <v>1970</v>
      </c>
      <c r="B3" s="89">
        <f>'[88]pensions 1970-2010 avec diff mt'!C26</f>
        <v>542000</v>
      </c>
      <c r="C3" s="89"/>
      <c r="D3" s="89"/>
      <c r="E3" s="89"/>
      <c r="F3" s="89"/>
      <c r="G3" s="89"/>
    </row>
    <row r="4" spans="1:7" x14ac:dyDescent="0.25">
      <c r="A4">
        <f>'[88]pensions 1970-2010 avec diff mt'!A27</f>
        <v>1975</v>
      </c>
      <c r="B4" s="89">
        <f>'[88]pensions 1970-2010 avec diff mt'!C27</f>
        <v>805000</v>
      </c>
      <c r="C4" s="89"/>
      <c r="D4" s="89"/>
      <c r="E4" s="89"/>
      <c r="F4" s="89"/>
      <c r="G4" s="89"/>
    </row>
    <row r="5" spans="1:7" x14ac:dyDescent="0.25">
      <c r="A5">
        <f>'[88]pensions 1970-2010 avec diff mt'!A28</f>
        <v>1980</v>
      </c>
      <c r="B5" s="89">
        <f>'[88]pensions 1970-2010 avec diff mt'!C28</f>
        <v>1025914</v>
      </c>
      <c r="C5" s="89"/>
      <c r="D5" s="89"/>
      <c r="E5" s="89"/>
      <c r="F5" s="89"/>
      <c r="G5" s="89"/>
    </row>
    <row r="6" spans="1:7" x14ac:dyDescent="0.25">
      <c r="A6">
        <f>'[88]pensions 1970-2010 avec diff mt'!A29</f>
        <v>1985</v>
      </c>
      <c r="B6" s="89">
        <f>'[88]pensions 1970-2010 avec diff mt'!C29</f>
        <v>1315144</v>
      </c>
      <c r="C6" s="89"/>
      <c r="D6" s="89"/>
      <c r="E6" s="89"/>
      <c r="F6" s="89"/>
      <c r="G6" s="89"/>
    </row>
    <row r="7" spans="1:7" x14ac:dyDescent="0.25">
      <c r="A7">
        <f>'[88]pensions 1970-2010 avec diff mt'!A30</f>
        <v>1990</v>
      </c>
      <c r="B7" s="89">
        <f>'[88]pensions 1970-2010 avec diff mt'!C30</f>
        <v>1784595</v>
      </c>
      <c r="C7" s="89"/>
      <c r="D7" s="89"/>
      <c r="E7" s="89"/>
      <c r="F7" s="89"/>
      <c r="G7" s="89"/>
    </row>
    <row r="8" spans="1:7" x14ac:dyDescent="0.25">
      <c r="A8">
        <f>'[88]pensions 1970-2010 avec diff mt'!A31</f>
        <v>1995</v>
      </c>
      <c r="B8" s="89">
        <f>'[88]pensions 1970-2010 avec diff mt'!C31</f>
        <v>2112442</v>
      </c>
      <c r="C8" s="89"/>
      <c r="D8" s="89"/>
      <c r="E8" s="89"/>
      <c r="F8" s="89"/>
      <c r="G8" s="89"/>
    </row>
    <row r="9" spans="1:7" x14ac:dyDescent="0.25">
      <c r="A9">
        <f>'[88]pensions 1970-2010 avec diff mt'!A32</f>
        <v>2000</v>
      </c>
      <c r="B9" s="89">
        <f>'[88]pensions 1970-2010 avec diff mt'!C32</f>
        <v>2278824</v>
      </c>
      <c r="C9" s="89"/>
      <c r="D9" s="89"/>
      <c r="E9" s="89"/>
      <c r="F9" s="89"/>
      <c r="G9" s="89"/>
    </row>
    <row r="10" spans="1:7" x14ac:dyDescent="0.25">
      <c r="A10">
        <f>'[88]pensions 1970-2010 avec diff mt'!A33</f>
        <v>2001</v>
      </c>
      <c r="B10" s="89">
        <f>'[88]pensions 1970-2010 avec diff mt'!C33</f>
        <v>2292176</v>
      </c>
      <c r="C10" s="89"/>
      <c r="D10" s="89"/>
      <c r="E10" s="89"/>
      <c r="F10" s="89"/>
      <c r="G10" s="89"/>
    </row>
    <row r="11" spans="1:7" x14ac:dyDescent="0.25">
      <c r="A11">
        <f>'[88]pensions 1970-2010 avec diff mt'!A34</f>
        <v>2002</v>
      </c>
      <c r="B11" s="89">
        <f>'[88]pensions 1970-2010 avec diff mt'!C34</f>
        <v>2302166</v>
      </c>
      <c r="C11" s="89"/>
      <c r="D11" s="89"/>
      <c r="E11" s="89"/>
      <c r="F11" s="89"/>
      <c r="G11" s="89"/>
    </row>
    <row r="12" spans="1:7" x14ac:dyDescent="0.25">
      <c r="A12">
        <f>'[88]pensions 1970-2010 avec diff mt'!A35</f>
        <v>2003</v>
      </c>
      <c r="B12" s="89">
        <f>'[88]pensions 1970-2010 avec diff mt'!C35</f>
        <v>2311276</v>
      </c>
      <c r="C12" s="89"/>
      <c r="D12" s="89"/>
      <c r="E12" s="89"/>
      <c r="F12" s="89"/>
      <c r="G12" s="89"/>
    </row>
    <row r="13" spans="1:7" x14ac:dyDescent="0.25">
      <c r="A13">
        <f>'[88]pensions 1970-2010 avec diff mt'!A36</f>
        <v>2004</v>
      </c>
      <c r="B13" s="89">
        <f>'[88]pensions 1970-2010 avec diff mt'!C36</f>
        <v>2341333</v>
      </c>
      <c r="C13" s="89"/>
      <c r="D13" s="89"/>
      <c r="E13" s="89"/>
      <c r="F13" s="89"/>
      <c r="G13" s="89"/>
    </row>
    <row r="14" spans="1:7" x14ac:dyDescent="0.25">
      <c r="A14">
        <f>'[88]pensions 1970-2010 avec diff mt'!A37</f>
        <v>2005</v>
      </c>
      <c r="B14" s="89">
        <f>'[88]pensions 1970-2010 avec diff mt'!C37</f>
        <v>2369113</v>
      </c>
      <c r="C14" s="89"/>
      <c r="D14" s="89"/>
      <c r="E14" s="89"/>
      <c r="F14" s="89"/>
      <c r="G14" s="89"/>
    </row>
    <row r="15" spans="1:7" x14ac:dyDescent="0.25">
      <c r="A15">
        <f>'[88]pensions 1970-2010 avec diff mt'!A38</f>
        <v>2006</v>
      </c>
      <c r="B15" s="89">
        <f>'[88]pensions 1970-2010 avec diff mt'!C38</f>
        <v>2412941</v>
      </c>
      <c r="C15" s="89"/>
      <c r="D15" s="89"/>
      <c r="E15" s="89"/>
      <c r="F15" s="89"/>
      <c r="G15" s="89"/>
    </row>
    <row r="16" spans="1:7" x14ac:dyDescent="0.25">
      <c r="A16">
        <f>'[88]pensions 1970-2010 avec diff mt'!A39</f>
        <v>2007</v>
      </c>
      <c r="B16" s="89">
        <f>'[88]pensions 1970-2010 avec diff mt'!C39</f>
        <v>2457406</v>
      </c>
      <c r="C16" s="89"/>
      <c r="D16" s="89"/>
      <c r="E16" s="89"/>
      <c r="F16" s="89"/>
      <c r="G16" s="89"/>
    </row>
    <row r="17" spans="1:8" x14ac:dyDescent="0.25">
      <c r="A17">
        <f>'[88]pensions 1970-2010 avec diff mt'!A40</f>
        <v>2008</v>
      </c>
      <c r="B17" s="89">
        <f>'[88]pensions 1970-2010 avec diff mt'!C40</f>
        <v>2501653</v>
      </c>
      <c r="C17" s="89"/>
      <c r="D17" s="89"/>
      <c r="E17" s="89"/>
      <c r="F17" s="89"/>
      <c r="G17" s="89"/>
    </row>
    <row r="18" spans="1:8" x14ac:dyDescent="0.25">
      <c r="A18">
        <f>'[88]pensions 1970-2010 avec diff mt'!A41</f>
        <v>2009</v>
      </c>
      <c r="B18" s="89">
        <f>'[88]pensions 1970-2010 avec diff mt'!C41</f>
        <v>2509526</v>
      </c>
      <c r="C18" s="89"/>
      <c r="D18" s="89"/>
      <c r="E18" s="89"/>
      <c r="F18" s="89"/>
      <c r="G18" s="89"/>
    </row>
    <row r="19" spans="1:8" x14ac:dyDescent="0.25">
      <c r="A19">
        <f>'[88]pensions 1970-2010 avec diff mt'!A42</f>
        <v>2010</v>
      </c>
      <c r="B19" s="89">
        <f>'[88]pensions 1970-2010 avec diff mt'!C42</f>
        <v>2520973</v>
      </c>
      <c r="C19" s="89"/>
      <c r="D19" s="89"/>
      <c r="E19" s="89"/>
      <c r="F19" s="89"/>
      <c r="G19" s="89"/>
    </row>
    <row r="20" spans="1:8" x14ac:dyDescent="0.25">
      <c r="A20">
        <v>2011</v>
      </c>
      <c r="B20" s="89">
        <f>'retraites SA Nb'!AN10</f>
        <v>2514936</v>
      </c>
      <c r="C20" s="89"/>
      <c r="D20" s="89"/>
      <c r="E20" s="89"/>
      <c r="F20" s="89"/>
      <c r="G20" s="89"/>
      <c r="H20" s="92"/>
    </row>
    <row r="21" spans="1:8" x14ac:dyDescent="0.25">
      <c r="A21">
        <v>2012</v>
      </c>
      <c r="B21" s="89">
        <f>'retraites SA Nb'!AZ10</f>
        <v>2492472</v>
      </c>
    </row>
    <row r="22" spans="1:8" x14ac:dyDescent="0.25">
      <c r="A22">
        <v>2013</v>
      </c>
      <c r="B22" s="89">
        <f>'retraites SA Nb'!BL10</f>
        <v>2495126</v>
      </c>
    </row>
    <row r="23" spans="1:8" x14ac:dyDescent="0.25">
      <c r="A23">
        <v>2014</v>
      </c>
      <c r="B23" s="89">
        <f>'retraites SA Nb'!BX10</f>
        <v>2503516</v>
      </c>
    </row>
    <row r="24" spans="1:8" x14ac:dyDescent="0.25">
      <c r="A24">
        <v>2015</v>
      </c>
      <c r="B24" s="89">
        <f>'retraites SA Nb'!CJ10</f>
        <v>2507737</v>
      </c>
    </row>
    <row r="25" spans="1:8" x14ac:dyDescent="0.25">
      <c r="A25">
        <v>2016</v>
      </c>
      <c r="B25" s="89">
        <f>'retraites SA Nb'!CV10</f>
        <v>2519377</v>
      </c>
    </row>
    <row r="26" spans="1:8" x14ac:dyDescent="0.25">
      <c r="A26">
        <v>2017</v>
      </c>
      <c r="B26" s="89">
        <f>'retraites SA Nb'!DH10</f>
        <v>2509483</v>
      </c>
    </row>
    <row r="27" spans="1:8" x14ac:dyDescent="0.25">
      <c r="A27">
        <v>2018</v>
      </c>
      <c r="B27" s="89">
        <f>'retraites SA Nb'!DT10</f>
        <v>2472685</v>
      </c>
    </row>
    <row r="28" spans="1:8" x14ac:dyDescent="0.25">
      <c r="A28">
        <v>2019</v>
      </c>
      <c r="B28" s="89">
        <f>'retraites SA Nb'!EF10</f>
        <v>2430021</v>
      </c>
    </row>
    <row r="29" spans="1:8" x14ac:dyDescent="0.25">
      <c r="A29">
        <v>2020</v>
      </c>
      <c r="B29" s="89">
        <f>'retraites SA Nb'!ER10</f>
        <v>2370893</v>
      </c>
    </row>
    <row r="30" spans="1:8" x14ac:dyDescent="0.25">
      <c r="A30">
        <v>2021</v>
      </c>
      <c r="B30" s="89">
        <f>'retraites SA Nb'!FD10</f>
        <v>2317633</v>
      </c>
    </row>
    <row r="31" spans="1:8" x14ac:dyDescent="0.25">
      <c r="A31">
        <v>2022</v>
      </c>
      <c r="B31" s="89">
        <f>'retraites SA Nb'!FP10</f>
        <v>2269648</v>
      </c>
    </row>
    <row r="32" spans="1:8" x14ac:dyDescent="0.25">
      <c r="A32">
        <v>2023</v>
      </c>
      <c r="B32" s="89">
        <f>'retraites SA Nb'!GB10</f>
        <v>2230077</v>
      </c>
    </row>
    <row r="33" spans="1:9" x14ac:dyDescent="0.25">
      <c r="A33">
        <v>2024</v>
      </c>
      <c r="B33" s="89">
        <v>2182388</v>
      </c>
    </row>
    <row r="37" spans="1:9" x14ac:dyDescent="0.25">
      <c r="A37" t="s">
        <v>87</v>
      </c>
    </row>
    <row r="38" spans="1:9" x14ac:dyDescent="0.25">
      <c r="B38" t="s">
        <v>89</v>
      </c>
      <c r="H38" t="s">
        <v>88</v>
      </c>
      <c r="I38" t="s">
        <v>5</v>
      </c>
    </row>
    <row r="39" spans="1:9" x14ac:dyDescent="0.25">
      <c r="A39">
        <v>2000</v>
      </c>
      <c r="B39" s="89">
        <v>90608</v>
      </c>
      <c r="C39" s="89"/>
      <c r="D39" s="89"/>
      <c r="E39" s="89"/>
      <c r="F39" s="89"/>
      <c r="G39" s="89"/>
      <c r="H39" s="89">
        <v>35253</v>
      </c>
      <c r="I39" s="89">
        <v>125861</v>
      </c>
    </row>
    <row r="40" spans="1:9" x14ac:dyDescent="0.25">
      <c r="A40">
        <v>2001</v>
      </c>
      <c r="B40" s="89">
        <v>83789</v>
      </c>
      <c r="C40" s="89"/>
      <c r="D40" s="89"/>
      <c r="E40" s="89"/>
      <c r="F40" s="89"/>
      <c r="G40" s="89"/>
      <c r="H40" s="89">
        <v>36067</v>
      </c>
      <c r="I40" s="89">
        <v>119856</v>
      </c>
    </row>
    <row r="41" spans="1:9" x14ac:dyDescent="0.25">
      <c r="A41">
        <v>2002</v>
      </c>
      <c r="B41" s="89">
        <v>83312</v>
      </c>
      <c r="C41" s="89"/>
      <c r="D41" s="89"/>
      <c r="E41" s="89"/>
      <c r="F41" s="89"/>
      <c r="G41" s="89"/>
      <c r="H41" s="89">
        <v>36007</v>
      </c>
      <c r="I41" s="89">
        <v>119319</v>
      </c>
    </row>
    <row r="42" spans="1:9" x14ac:dyDescent="0.25">
      <c r="A42">
        <v>2003</v>
      </c>
      <c r="B42" s="89">
        <v>85552</v>
      </c>
      <c r="C42" s="89"/>
      <c r="D42" s="89"/>
      <c r="E42" s="89"/>
      <c r="F42" s="89"/>
      <c r="G42" s="89"/>
      <c r="H42" s="89">
        <v>36113</v>
      </c>
      <c r="I42" s="89">
        <v>121665</v>
      </c>
    </row>
    <row r="43" spans="1:9" x14ac:dyDescent="0.25">
      <c r="A43">
        <v>2004</v>
      </c>
      <c r="B43" s="89">
        <v>105417</v>
      </c>
      <c r="C43" s="89"/>
      <c r="D43" s="89"/>
      <c r="E43" s="89"/>
      <c r="F43" s="89"/>
      <c r="G43" s="89"/>
      <c r="H43" s="89">
        <v>35735</v>
      </c>
      <c r="I43" s="89">
        <v>141152</v>
      </c>
    </row>
    <row r="44" spans="1:9" x14ac:dyDescent="0.25">
      <c r="A44">
        <v>2005</v>
      </c>
      <c r="B44" s="89">
        <v>106680</v>
      </c>
      <c r="C44" s="89"/>
      <c r="D44" s="89"/>
      <c r="E44" s="89"/>
      <c r="F44" s="89"/>
      <c r="G44" s="89"/>
      <c r="H44" s="89">
        <v>36553</v>
      </c>
      <c r="I44" s="89">
        <v>143233</v>
      </c>
    </row>
    <row r="45" spans="1:9" x14ac:dyDescent="0.25">
      <c r="A45">
        <v>2006</v>
      </c>
      <c r="B45" s="89">
        <v>119814</v>
      </c>
      <c r="C45" s="89"/>
      <c r="D45" s="89"/>
      <c r="E45" s="89"/>
      <c r="F45" s="89"/>
      <c r="G45" s="89"/>
      <c r="H45" s="89">
        <v>38825</v>
      </c>
      <c r="I45" s="89">
        <v>158639</v>
      </c>
    </row>
    <row r="46" spans="1:9" x14ac:dyDescent="0.25">
      <c r="A46">
        <v>2007</v>
      </c>
      <c r="B46" s="89">
        <v>125181</v>
      </c>
      <c r="C46" s="89"/>
      <c r="D46" s="89"/>
      <c r="E46" s="89"/>
      <c r="F46" s="89"/>
      <c r="G46" s="89"/>
      <c r="H46" s="89">
        <v>38778</v>
      </c>
      <c r="I46" s="89">
        <v>163959</v>
      </c>
    </row>
    <row r="47" spans="1:9" x14ac:dyDescent="0.25">
      <c r="A47">
        <v>2008</v>
      </c>
      <c r="B47" s="89">
        <v>131292</v>
      </c>
      <c r="C47" s="89"/>
      <c r="D47" s="89"/>
      <c r="E47" s="89"/>
      <c r="F47" s="89"/>
      <c r="G47" s="89"/>
      <c r="H47" s="89">
        <v>39519</v>
      </c>
      <c r="I47" s="89">
        <v>170811</v>
      </c>
    </row>
    <row r="48" spans="1:9" x14ac:dyDescent="0.25">
      <c r="A48">
        <v>2009</v>
      </c>
      <c r="B48" s="89">
        <v>96240</v>
      </c>
      <c r="C48" s="89"/>
      <c r="D48" s="89"/>
      <c r="E48" s="89"/>
      <c r="F48" s="89"/>
      <c r="G48" s="89"/>
      <c r="H48" s="89">
        <v>37167</v>
      </c>
      <c r="I48" s="89">
        <v>133407</v>
      </c>
    </row>
    <row r="49" spans="1:9" x14ac:dyDescent="0.25">
      <c r="A49">
        <v>2010</v>
      </c>
      <c r="B49" s="89">
        <v>105978</v>
      </c>
      <c r="C49" s="89"/>
      <c r="D49" s="89"/>
      <c r="E49" s="89"/>
      <c r="F49" s="89"/>
      <c r="G49" s="89"/>
      <c r="H49" s="89">
        <v>35658</v>
      </c>
      <c r="I49" s="89">
        <v>141636</v>
      </c>
    </row>
    <row r="50" spans="1:9" x14ac:dyDescent="0.25">
      <c r="A50">
        <v>2011</v>
      </c>
      <c r="B50" s="89">
        <v>88957</v>
      </c>
      <c r="C50" s="89"/>
      <c r="D50" s="89"/>
      <c r="E50" s="89"/>
      <c r="F50" s="89"/>
      <c r="G50" s="89"/>
      <c r="H50" s="90">
        <f>I50-B50</f>
        <v>35963</v>
      </c>
      <c r="I50" s="89">
        <v>124920</v>
      </c>
    </row>
    <row r="51" spans="1:9" x14ac:dyDescent="0.25">
      <c r="A51">
        <v>2012</v>
      </c>
      <c r="B51" s="124">
        <v>72753</v>
      </c>
      <c r="C51" s="91"/>
      <c r="D51" s="91"/>
      <c r="E51" s="91"/>
      <c r="F51" s="91"/>
      <c r="G51" s="91"/>
      <c r="H51" s="90">
        <f>I51-B51</f>
        <v>34880</v>
      </c>
      <c r="I51" s="89">
        <v>107633</v>
      </c>
    </row>
    <row r="52" spans="1:9" x14ac:dyDescent="0.25">
      <c r="A52">
        <v>2013</v>
      </c>
      <c r="B52" s="89">
        <v>103580</v>
      </c>
      <c r="H52" s="90">
        <f>I52-B52</f>
        <v>34408</v>
      </c>
      <c r="I52" s="89">
        <v>137988</v>
      </c>
    </row>
    <row r="53" spans="1:9" x14ac:dyDescent="0.25">
      <c r="A53">
        <v>2014</v>
      </c>
      <c r="B53">
        <v>90263</v>
      </c>
      <c r="H53">
        <v>31309</v>
      </c>
      <c r="I53">
        <f>B53+H53</f>
        <v>121572</v>
      </c>
    </row>
    <row r="54" spans="1:9" x14ac:dyDescent="0.25">
      <c r="A54">
        <v>2015</v>
      </c>
      <c r="B54">
        <v>91687</v>
      </c>
      <c r="H54">
        <v>34889</v>
      </c>
      <c r="I54">
        <f>B54+H54</f>
        <v>126576</v>
      </c>
    </row>
    <row r="73" spans="1:8" x14ac:dyDescent="0.25">
      <c r="B73" t="s">
        <v>98</v>
      </c>
      <c r="H73" t="s">
        <v>99</v>
      </c>
    </row>
    <row r="74" spans="1:8" x14ac:dyDescent="0.25">
      <c r="A74" t="s">
        <v>91</v>
      </c>
      <c r="B74" s="84">
        <f>'retraites SA Nb'!S80</f>
        <v>27986</v>
      </c>
      <c r="C74" s="84"/>
      <c r="D74" s="84"/>
      <c r="E74" s="84"/>
      <c r="F74" s="84"/>
      <c r="G74" s="84"/>
      <c r="H74" s="84">
        <f>'retraites SA Nb'!S87</f>
        <v>28607</v>
      </c>
    </row>
    <row r="75" spans="1:8" x14ac:dyDescent="0.25">
      <c r="A75" t="s">
        <v>90</v>
      </c>
      <c r="B75" s="84">
        <f>'retraites SA Nb'!V80</f>
        <v>27627</v>
      </c>
      <c r="C75" s="84"/>
      <c r="D75" s="84"/>
      <c r="E75" s="84"/>
      <c r="F75" s="84"/>
      <c r="G75" s="84"/>
      <c r="H75" s="84">
        <f>'retraites SA Nb'!V87</f>
        <v>28241</v>
      </c>
    </row>
    <row r="76" spans="1:8" x14ac:dyDescent="0.25">
      <c r="A76" t="s">
        <v>92</v>
      </c>
      <c r="B76" s="84">
        <f>'retraites SA Nb'!Y80</f>
        <v>25687</v>
      </c>
      <c r="C76" s="84"/>
      <c r="D76" s="84"/>
      <c r="E76" s="84"/>
      <c r="F76" s="84"/>
      <c r="G76" s="84"/>
      <c r="H76" s="84">
        <f>'retraites SA Nb'!Y87</f>
        <v>26616</v>
      </c>
    </row>
    <row r="77" spans="1:8" x14ac:dyDescent="0.25">
      <c r="A77" t="s">
        <v>93</v>
      </c>
      <c r="B77" s="84">
        <f>'retraites SA Nb'!AB80</f>
        <v>24678</v>
      </c>
      <c r="C77" s="84"/>
      <c r="D77" s="84"/>
      <c r="E77" s="84"/>
      <c r="F77" s="84"/>
      <c r="G77" s="84"/>
      <c r="H77" s="84">
        <f>'retraites SA Nb'!AB87</f>
        <v>25706</v>
      </c>
    </row>
    <row r="78" spans="1:8" x14ac:dyDescent="0.25">
      <c r="A78" t="s">
        <v>94</v>
      </c>
      <c r="B78" s="84">
        <f>'retraites SA Nb'!AE80</f>
        <v>28262</v>
      </c>
      <c r="C78" s="84"/>
      <c r="D78" s="84"/>
      <c r="E78" s="84"/>
      <c r="F78" s="84"/>
      <c r="G78" s="84"/>
      <c r="H78" s="84">
        <f>'retraites SA Nb'!AE87</f>
        <v>28771</v>
      </c>
    </row>
    <row r="79" spans="1:8" x14ac:dyDescent="0.25">
      <c r="A79" t="s">
        <v>95</v>
      </c>
      <c r="B79" s="84">
        <f>'retraites SA Nb'!AH80</f>
        <v>24405</v>
      </c>
      <c r="C79" s="84"/>
      <c r="D79" s="84"/>
      <c r="E79" s="84"/>
      <c r="F79" s="84"/>
      <c r="G79" s="84"/>
      <c r="H79" s="84">
        <f>'retraites SA Nb'!AH87</f>
        <v>24838</v>
      </c>
    </row>
    <row r="80" spans="1:8" x14ac:dyDescent="0.25">
      <c r="A80" t="s">
        <v>96</v>
      </c>
      <c r="B80" s="84">
        <f>'retraites SA Nb'!AK80</f>
        <v>20623</v>
      </c>
      <c r="C80" s="84"/>
      <c r="D80" s="84"/>
      <c r="E80" s="84"/>
      <c r="F80" s="84"/>
      <c r="G80" s="84"/>
      <c r="H80" s="84">
        <f>'retraites SA Nb'!AK87</f>
        <v>20989</v>
      </c>
    </row>
    <row r="81" spans="1:8" x14ac:dyDescent="0.25">
      <c r="A81" t="s">
        <v>97</v>
      </c>
      <c r="B81" s="84">
        <f>'retraites SA Nb'!AN80</f>
        <v>15667</v>
      </c>
      <c r="C81" s="84"/>
      <c r="D81" s="84"/>
      <c r="E81" s="84"/>
      <c r="F81" s="84"/>
      <c r="G81" s="84"/>
      <c r="H81" s="84">
        <f>'retraites SA Nb'!AN87</f>
        <v>15960</v>
      </c>
    </row>
    <row r="82" spans="1:8" x14ac:dyDescent="0.25">
      <c r="A82" s="116" t="s">
        <v>108</v>
      </c>
      <c r="B82" s="123">
        <v>18532</v>
      </c>
      <c r="C82" s="123"/>
      <c r="D82" s="123"/>
      <c r="E82" s="123"/>
      <c r="F82" s="123"/>
      <c r="G82" s="123"/>
      <c r="H82" s="123">
        <v>18820</v>
      </c>
    </row>
    <row r="83" spans="1:8" x14ac:dyDescent="0.25">
      <c r="A83" s="116" t="s">
        <v>132</v>
      </c>
      <c r="B83">
        <v>17237</v>
      </c>
      <c r="H83">
        <v>17544</v>
      </c>
    </row>
    <row r="84" spans="1:8" x14ac:dyDescent="0.25">
      <c r="A84" s="116" t="s">
        <v>182</v>
      </c>
      <c r="B84">
        <v>18110</v>
      </c>
      <c r="H84">
        <v>18433</v>
      </c>
    </row>
    <row r="85" spans="1:8" x14ac:dyDescent="0.25">
      <c r="A85" s="116" t="s">
        <v>183</v>
      </c>
      <c r="B85">
        <v>18874</v>
      </c>
      <c r="H85">
        <v>19158</v>
      </c>
    </row>
    <row r="86" spans="1:8" x14ac:dyDescent="0.25">
      <c r="A86" s="116" t="s">
        <v>184</v>
      </c>
      <c r="B86">
        <v>24619</v>
      </c>
      <c r="H86">
        <v>25993</v>
      </c>
    </row>
    <row r="87" spans="1:8" x14ac:dyDescent="0.25">
      <c r="A87" s="116" t="s">
        <v>185</v>
      </c>
      <c r="B87">
        <v>21965</v>
      </c>
      <c r="H87">
        <v>22306</v>
      </c>
    </row>
    <row r="88" spans="1:8" x14ac:dyDescent="0.25">
      <c r="A88" s="116" t="s">
        <v>186</v>
      </c>
      <c r="B88">
        <v>33469</v>
      </c>
      <c r="H88">
        <v>34058</v>
      </c>
    </row>
    <row r="89" spans="1:8" x14ac:dyDescent="0.25">
      <c r="A89" s="116" t="s">
        <v>187</v>
      </c>
      <c r="B89">
        <v>23527</v>
      </c>
      <c r="H89">
        <v>23874</v>
      </c>
    </row>
    <row r="90" spans="1:8" x14ac:dyDescent="0.25">
      <c r="A90" s="116" t="s">
        <v>188</v>
      </c>
      <c r="B90">
        <v>20872</v>
      </c>
      <c r="H90">
        <v>21054</v>
      </c>
    </row>
    <row r="91" spans="1:8" x14ac:dyDescent="0.25">
      <c r="A91" s="116" t="s">
        <v>189</v>
      </c>
      <c r="B91">
        <v>21464</v>
      </c>
      <c r="H91">
        <v>21689</v>
      </c>
    </row>
    <row r="92" spans="1:8" x14ac:dyDescent="0.25">
      <c r="A92" s="116" t="s">
        <v>190</v>
      </c>
      <c r="B92">
        <v>24064</v>
      </c>
      <c r="H92">
        <v>24632</v>
      </c>
    </row>
    <row r="101" spans="1:2" x14ac:dyDescent="0.25">
      <c r="A101" t="s">
        <v>100</v>
      </c>
      <c r="B101">
        <v>2501652</v>
      </c>
    </row>
    <row r="102" spans="1:2" x14ac:dyDescent="0.25">
      <c r="A102" t="s">
        <v>101</v>
      </c>
      <c r="B102">
        <v>2504206</v>
      </c>
    </row>
    <row r="103" spans="1:2" x14ac:dyDescent="0.25">
      <c r="A103" t="s">
        <v>102</v>
      </c>
      <c r="B103">
        <v>2500801</v>
      </c>
    </row>
    <row r="104" spans="1:2" x14ac:dyDescent="0.25">
      <c r="A104" t="s">
        <v>103</v>
      </c>
      <c r="B104">
        <v>2507056</v>
      </c>
    </row>
    <row r="105" spans="1:2" x14ac:dyDescent="0.25">
      <c r="A105" t="s">
        <v>104</v>
      </c>
      <c r="B105">
        <v>2509526</v>
      </c>
    </row>
    <row r="106" spans="1:2" x14ac:dyDescent="0.25">
      <c r="A106" t="s">
        <v>91</v>
      </c>
      <c r="B106">
        <v>2514416</v>
      </c>
    </row>
    <row r="107" spans="1:2" x14ac:dyDescent="0.25">
      <c r="A107" t="s">
        <v>90</v>
      </c>
      <c r="B107">
        <v>2495564</v>
      </c>
    </row>
    <row r="108" spans="1:2" x14ac:dyDescent="0.25">
      <c r="A108" t="s">
        <v>92</v>
      </c>
      <c r="B108">
        <v>2496383</v>
      </c>
    </row>
    <row r="109" spans="1:2" x14ac:dyDescent="0.25">
      <c r="A109" t="s">
        <v>93</v>
      </c>
      <c r="B109">
        <v>2520973</v>
      </c>
    </row>
    <row r="110" spans="1:2" x14ac:dyDescent="0.25">
      <c r="A110" t="s">
        <v>94</v>
      </c>
      <c r="B110">
        <v>2522380</v>
      </c>
    </row>
    <row r="111" spans="1:2" x14ac:dyDescent="0.25">
      <c r="A111" t="s">
        <v>95</v>
      </c>
      <c r="B111">
        <v>2522269</v>
      </c>
    </row>
    <row r="112" spans="1:2" x14ac:dyDescent="0.25">
      <c r="A112" t="s">
        <v>96</v>
      </c>
      <c r="B112">
        <v>2520364</v>
      </c>
    </row>
    <row r="113" spans="1:21" x14ac:dyDescent="0.25">
      <c r="A113" t="s">
        <v>97</v>
      </c>
      <c r="B113">
        <v>2514936</v>
      </c>
    </row>
    <row r="114" spans="1:21" x14ac:dyDescent="0.25">
      <c r="A114" s="116" t="s">
        <v>108</v>
      </c>
      <c r="B114" s="116">
        <v>2509333</v>
      </c>
      <c r="C114" s="96"/>
      <c r="D114" s="96"/>
      <c r="E114" s="96"/>
      <c r="F114" s="96"/>
      <c r="G114" s="96"/>
    </row>
    <row r="115" spans="1:21" x14ac:dyDescent="0.25">
      <c r="A115" t="s">
        <v>132</v>
      </c>
      <c r="B115">
        <v>2503209</v>
      </c>
    </row>
    <row r="116" spans="1:21" x14ac:dyDescent="0.25">
      <c r="A116" s="116" t="s">
        <v>182</v>
      </c>
      <c r="B116">
        <v>2498471</v>
      </c>
    </row>
    <row r="117" spans="1:21" x14ac:dyDescent="0.25">
      <c r="A117" s="116" t="s">
        <v>183</v>
      </c>
      <c r="B117">
        <v>2492472</v>
      </c>
    </row>
    <row r="118" spans="1:21" x14ac:dyDescent="0.25">
      <c r="A118" s="116" t="s">
        <v>184</v>
      </c>
      <c r="B118">
        <v>2490426</v>
      </c>
    </row>
    <row r="119" spans="1:21" x14ac:dyDescent="0.25">
      <c r="A119" s="116" t="s">
        <v>185</v>
      </c>
      <c r="B119">
        <v>2481782</v>
      </c>
    </row>
    <row r="120" spans="1:21" x14ac:dyDescent="0.25">
      <c r="A120" s="116" t="s">
        <v>186</v>
      </c>
      <c r="B120">
        <v>2489324</v>
      </c>
    </row>
    <row r="121" spans="1:21" x14ac:dyDescent="0.25">
      <c r="A121" s="116" t="s">
        <v>187</v>
      </c>
      <c r="B121">
        <v>2495126</v>
      </c>
    </row>
    <row r="122" spans="1:21" x14ac:dyDescent="0.25">
      <c r="A122" s="116" t="s">
        <v>188</v>
      </c>
      <c r="B122">
        <v>2496202</v>
      </c>
    </row>
    <row r="123" spans="1:21" x14ac:dyDescent="0.25">
      <c r="A123" s="116" t="s">
        <v>189</v>
      </c>
      <c r="B123">
        <v>2494801</v>
      </c>
    </row>
    <row r="124" spans="1:21" x14ac:dyDescent="0.25">
      <c r="A124" s="116" t="s">
        <v>190</v>
      </c>
      <c r="B124">
        <v>2498569</v>
      </c>
    </row>
    <row r="128" spans="1:21" x14ac:dyDescent="0.25">
      <c r="C128" t="s">
        <v>129</v>
      </c>
      <c r="D128" t="s">
        <v>115</v>
      </c>
      <c r="E128" t="s">
        <v>130</v>
      </c>
      <c r="F128" t="s">
        <v>131</v>
      </c>
      <c r="G128" t="s">
        <v>128</v>
      </c>
      <c r="H128" s="106" t="s">
        <v>116</v>
      </c>
      <c r="I128" s="106" t="s">
        <v>117</v>
      </c>
      <c r="J128" s="106" t="s">
        <v>118</v>
      </c>
      <c r="K128" s="106" t="s">
        <v>119</v>
      </c>
      <c r="L128" s="106" t="s">
        <v>120</v>
      </c>
      <c r="M128" s="106" t="s">
        <v>121</v>
      </c>
      <c r="N128" s="106" t="s">
        <v>122</v>
      </c>
      <c r="O128" s="106" t="s">
        <v>123</v>
      </c>
      <c r="P128" s="106" t="s">
        <v>124</v>
      </c>
      <c r="Q128" s="106" t="s">
        <v>125</v>
      </c>
      <c r="R128" s="125"/>
      <c r="S128" s="125"/>
      <c r="T128" s="125"/>
      <c r="U128" s="125"/>
    </row>
    <row r="129" spans="2:17" x14ac:dyDescent="0.25">
      <c r="B129" s="109" t="s">
        <v>126</v>
      </c>
      <c r="C129" s="84">
        <f>'retraites SA Nb'!D7+'retraites SA Nb'!D9</f>
        <v>1934802</v>
      </c>
      <c r="D129" s="84">
        <f>'retraites SA Nb'!G7+'retraites SA Nb'!G9</f>
        <v>1936614</v>
      </c>
      <c r="E129" s="84">
        <f>'retraites SA Nb'!J7+'retraites SA Nb'!J9</f>
        <v>1934615</v>
      </c>
      <c r="F129" s="84">
        <f>'retraites SA Nb'!M7+'retraites SA Nb'!M9</f>
        <v>1935436</v>
      </c>
      <c r="G129" s="84">
        <f>'retraites SA Nb'!P7+'retraites SA Nb'!P9</f>
        <v>1935184</v>
      </c>
      <c r="H129" s="107">
        <f>'retraites SA Nb'!S7+'retraites SA Nb'!S9</f>
        <v>1938422</v>
      </c>
      <c r="I129" s="107">
        <f>'retraites SA Nb'!V7+'retraites SA Nb'!V9</f>
        <v>1927670</v>
      </c>
      <c r="J129" s="107">
        <f>'retraites SA Nb'!Y7+'retraites SA Nb'!Y9</f>
        <v>1927898</v>
      </c>
      <c r="K129" s="107">
        <f>'retraites SA Nb'!AB7+'retraites SA Nb'!AB9</f>
        <v>1941633</v>
      </c>
      <c r="L129" s="107">
        <f>'retraites SA Nb'!AE7+'retraites SA Nb'!AE9</f>
        <v>1942775</v>
      </c>
      <c r="M129" s="107">
        <f>'retraites SA Nb'!AH7+'retraites SA Nb'!AH9</f>
        <v>1941864</v>
      </c>
      <c r="N129" s="107">
        <f>'retraites SA Nb'!AK7+'retraites SA Nb'!AK9</f>
        <v>1938337</v>
      </c>
      <c r="O129" s="107">
        <f>'retraites SA Nb'!AN7+'retraites SA Nb'!AN9</f>
        <v>1930791</v>
      </c>
      <c r="P129" s="107">
        <f>'retraites SA Nb'!AQ7+'retraites SA Nb'!AQ9</f>
        <v>1924726</v>
      </c>
      <c r="Q129" s="107">
        <f>'retraites SA Nb'!AT7+'retraites SA Nb'!AT9</f>
        <v>1918957</v>
      </c>
    </row>
    <row r="130" spans="2:17" x14ac:dyDescent="0.25">
      <c r="B130" s="109" t="s">
        <v>127</v>
      </c>
      <c r="C130">
        <v>2501652</v>
      </c>
      <c r="D130">
        <v>2504206</v>
      </c>
      <c r="E130">
        <v>2500801</v>
      </c>
      <c r="F130">
        <v>2507056</v>
      </c>
      <c r="G130">
        <v>2509526</v>
      </c>
      <c r="H130" s="107">
        <v>2514416</v>
      </c>
      <c r="I130" s="107">
        <v>2495564</v>
      </c>
      <c r="J130" s="107">
        <v>2496383</v>
      </c>
      <c r="K130" s="107">
        <v>2520973</v>
      </c>
      <c r="L130" s="107">
        <v>2522380</v>
      </c>
      <c r="M130" s="107">
        <v>2522269</v>
      </c>
      <c r="N130" s="107">
        <v>2520364</v>
      </c>
      <c r="O130" s="107">
        <v>2514936</v>
      </c>
      <c r="P130" s="107">
        <v>2509333</v>
      </c>
      <c r="Q130" s="107">
        <f>'retraites SA Nb'!AT10</f>
        <v>2503209</v>
      </c>
    </row>
    <row r="131" spans="2:17" x14ac:dyDescent="0.25"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</row>
    <row r="132" spans="2:17" x14ac:dyDescent="0.25">
      <c r="H132" s="106" t="s">
        <v>116</v>
      </c>
      <c r="I132" s="106" t="s">
        <v>117</v>
      </c>
      <c r="J132" s="106" t="s">
        <v>118</v>
      </c>
      <c r="K132" s="106" t="s">
        <v>119</v>
      </c>
      <c r="L132" s="106" t="s">
        <v>120</v>
      </c>
      <c r="M132" s="106" t="s">
        <v>121</v>
      </c>
      <c r="N132" s="106" t="s">
        <v>122</v>
      </c>
      <c r="O132" s="106" t="s">
        <v>123</v>
      </c>
      <c r="P132" s="106" t="s">
        <v>124</v>
      </c>
      <c r="Q132" s="106" t="s">
        <v>125</v>
      </c>
    </row>
    <row r="133" spans="2:17" x14ac:dyDescent="0.25">
      <c r="B133" s="109" t="s">
        <v>126</v>
      </c>
      <c r="H133" s="108">
        <f>H129/D129-1</f>
        <v>9.3358821117672797E-4</v>
      </c>
      <c r="I133" s="108">
        <f t="shared" ref="I133:Q133" si="0">I129/E129-1</f>
        <v>-3.5898615486802399E-3</v>
      </c>
      <c r="J133" s="108">
        <f t="shared" si="0"/>
        <v>-3.894729662980323E-3</v>
      </c>
      <c r="K133" s="108">
        <f t="shared" si="0"/>
        <v>3.3324996486121528E-3</v>
      </c>
      <c r="L133" s="108">
        <f t="shared" si="0"/>
        <v>2.2456410420435002E-3</v>
      </c>
      <c r="M133" s="108">
        <f t="shared" si="0"/>
        <v>7.3632935097811547E-3</v>
      </c>
      <c r="N133" s="108">
        <f t="shared" si="0"/>
        <v>5.4147055497748564E-3</v>
      </c>
      <c r="O133" s="108">
        <f t="shared" si="0"/>
        <v>-5.5839594815292326E-3</v>
      </c>
      <c r="P133" s="108">
        <f t="shared" si="0"/>
        <v>-9.2903192598216E-3</v>
      </c>
      <c r="Q133" s="108">
        <f t="shared" si="0"/>
        <v>-1.1796397687994675E-2</v>
      </c>
    </row>
    <row r="134" spans="2:17" x14ac:dyDescent="0.25">
      <c r="B134" s="109" t="s">
        <v>127</v>
      </c>
      <c r="H134" s="108">
        <f>H130/D130-1</f>
        <v>4.0771406186232984E-3</v>
      </c>
      <c r="I134" s="108">
        <f t="shared" ref="I134:Q134" si="1">I130/E130-1</f>
        <v>-2.0941290410552149E-3</v>
      </c>
      <c r="J134" s="108">
        <f t="shared" si="1"/>
        <v>-4.2571845224039784E-3</v>
      </c>
      <c r="K134" s="108">
        <f t="shared" si="1"/>
        <v>4.5614191684006933E-3</v>
      </c>
      <c r="L134" s="108">
        <f t="shared" si="1"/>
        <v>3.167335874413757E-3</v>
      </c>
      <c r="M134" s="108">
        <f t="shared" si="1"/>
        <v>1.0700987832810593E-2</v>
      </c>
      <c r="N134" s="108">
        <f t="shared" si="1"/>
        <v>9.6062983925142564E-3</v>
      </c>
      <c r="O134" s="108">
        <f t="shared" si="1"/>
        <v>-2.394710296381608E-3</v>
      </c>
      <c r="P134" s="108">
        <f t="shared" si="1"/>
        <v>-5.1724958174422797E-3</v>
      </c>
      <c r="Q134" s="108">
        <f t="shared" si="1"/>
        <v>-7.5566880455653074E-3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retraites SA T4 2024</vt:lpstr>
      <vt:lpstr>retraites SA Nb</vt:lpstr>
      <vt:lpstr>évol trim</vt:lpstr>
      <vt:lpstr>évol an</vt:lpstr>
      <vt:lpstr>pour TdB</vt:lpstr>
      <vt:lpstr>tendance</vt:lpstr>
      <vt:lpstr>'retraites SA Nb'!Impression_des_titres</vt:lpstr>
    </vt:vector>
  </TitlesOfParts>
  <Company>GETIMA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FABRENA</dc:creator>
  <cp:lastModifiedBy>Claudine Gaillard</cp:lastModifiedBy>
  <cp:lastPrinted>2025-03-18T12:40:04Z</cp:lastPrinted>
  <dcterms:created xsi:type="dcterms:W3CDTF">2010-12-07T08:16:45Z</dcterms:created>
  <dcterms:modified xsi:type="dcterms:W3CDTF">2025-09-26T13:20:06Z</dcterms:modified>
</cp:coreProperties>
</file>