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21-STATISTIQUES\01_STATS_MISSION_SYNTHESES\12 COMITES DE LECTURE\TB retraites NSA à fin 2024 le stock- 18 juillet\A diffuser\"/>
    </mc:Choice>
  </mc:AlternateContent>
  <xr:revisionPtr revIDLastSave="0" documentId="13_ncr:1_{47879FEC-7A3C-411E-9DAE-4A830EB67AB8}" xr6:coauthVersionLast="47" xr6:coauthVersionMax="47" xr10:uidLastSave="{00000000-0000-0000-0000-000000000000}"/>
  <bookViews>
    <workbookView xWindow="-110" yWindow="-110" windowWidth="19420" windowHeight="10300" xr2:uid="{00000000-000D-0000-FFFF-FFFF00000000}"/>
  </bookViews>
  <sheets>
    <sheet name="Retraites NSA stock" sheetId="22" r:id="rId1"/>
    <sheet name="tendance" sheetId="17" r:id="rId2"/>
    <sheet name="CHASS1-2" sheetId="21" r:id="rId3"/>
    <sheet name="A)NSA Nb" sheetId="4" r:id="rId4"/>
    <sheet name="B)NSA RCO Nb" sheetId="5" r:id="rId5"/>
    <sheet name="C)NSA RCO SA Nb" sheetId="7" r:id="rId6"/>
    <sheet name="A)evol an" sheetId="12" r:id="rId7"/>
    <sheet name="A)evol trim" sheetId="11" r:id="rId8"/>
    <sheet name="B)evol an" sheetId="13" r:id="rId9"/>
    <sheet name="B)evol trim" sheetId="14" r:id="rId10"/>
    <sheet name="C)evol an" sheetId="16" r:id="rId11"/>
    <sheet name="C)evol trim" sheetId="15" r:id="rId12"/>
    <sheet name="A) pour TdB" sheetId="18" r:id="rId13"/>
    <sheet name="B) pour TdB" sheetId="19" r:id="rId14"/>
    <sheet name="C) pour TdB" sheetId="20"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s>
  <definedNames>
    <definedName name="_xlnm._FilterDatabase" localSheetId="3" hidden="1">'A)NSA Nb'!$A$14:$AF$108</definedName>
    <definedName name="_xlnm._FilterDatabase" localSheetId="4" hidden="1">'B)NSA RCO Nb'!$A$8:$AF$18</definedName>
    <definedName name="_xlnm.Print_Titles" localSheetId="3">'A)NSA Nb'!$A:$A</definedName>
    <definedName name="_xlnm.Print_Area" localSheetId="12">'A) pour TdB'!$A$1:$E$100</definedName>
    <definedName name="_xlnm.Print_Area" localSheetId="13">'B) pour TdB'!$A$1:$E$72</definedName>
    <definedName name="_xlnm.Print_Area" localSheetId="14">'C) pour TdB'!$A$1:$E$34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0" l="1"/>
  <c r="B8" i="20"/>
  <c r="C8" i="19"/>
  <c r="B8" i="19"/>
  <c r="C8" i="18"/>
  <c r="B8" i="18"/>
  <c r="BJ166" i="4"/>
  <c r="BJ165" i="4"/>
  <c r="BJ164" i="4"/>
  <c r="BJ159" i="4"/>
  <c r="BJ158" i="4"/>
  <c r="BJ157" i="4"/>
  <c r="BJ135" i="4"/>
  <c r="BJ134" i="4"/>
  <c r="BJ133" i="4"/>
  <c r="BJ132" i="4"/>
  <c r="BJ130" i="4"/>
  <c r="BJ129" i="4"/>
  <c r="BJ122" i="4"/>
  <c r="BJ120" i="4"/>
  <c r="BJ117" i="4"/>
  <c r="BJ115" i="4"/>
  <c r="BJ113" i="4"/>
  <c r="BJ106" i="4" l="1"/>
  <c r="C61" i="18" s="1"/>
  <c r="BJ105" i="4"/>
  <c r="BJ124" i="4"/>
  <c r="BJ121" i="4"/>
  <c r="BJ119" i="4"/>
  <c r="BJ118" i="4"/>
  <c r="BJ114" i="4"/>
  <c r="BJ123" i="4" s="1"/>
  <c r="BJ125" i="4" s="1"/>
  <c r="BJ112" i="4"/>
  <c r="BJ8" i="15"/>
  <c r="BJ30" i="15"/>
  <c r="BJ24" i="15"/>
  <c r="BJ16" i="15"/>
  <c r="BJ8" i="16"/>
  <c r="BJ30" i="16"/>
  <c r="BJ24" i="16"/>
  <c r="BJ16" i="16"/>
  <c r="BJ8" i="14"/>
  <c r="BJ66" i="14"/>
  <c r="BJ57" i="14"/>
  <c r="BJ48" i="14"/>
  <c r="BJ39" i="14"/>
  <c r="BJ32" i="14"/>
  <c r="BJ23" i="14"/>
  <c r="BJ15" i="14"/>
  <c r="BJ8" i="13"/>
  <c r="BJ66" i="13"/>
  <c r="BJ57" i="13"/>
  <c r="BJ48" i="13"/>
  <c r="BJ39" i="13"/>
  <c r="BJ32" i="13"/>
  <c r="BJ23" i="13"/>
  <c r="BJ15" i="13"/>
  <c r="BJ89" i="11"/>
  <c r="BJ80" i="11"/>
  <c r="BJ74" i="11"/>
  <c r="BJ70" i="11"/>
  <c r="BJ62" i="11"/>
  <c r="BJ54" i="11"/>
  <c r="BJ45" i="11"/>
  <c r="BJ38" i="11"/>
  <c r="BJ30" i="11"/>
  <c r="BJ23" i="11"/>
  <c r="BJ14" i="11"/>
  <c r="BJ89" i="12"/>
  <c r="BJ80" i="12"/>
  <c r="BJ74" i="12"/>
  <c r="BJ70" i="12"/>
  <c r="BJ62" i="12"/>
  <c r="BJ54" i="12"/>
  <c r="BJ45" i="12"/>
  <c r="BJ38" i="12"/>
  <c r="BJ30" i="12"/>
  <c r="BJ23" i="12"/>
  <c r="BJ14" i="12"/>
  <c r="BJ33" i="7"/>
  <c r="C33" i="20" s="1"/>
  <c r="BJ32" i="7"/>
  <c r="BJ26" i="7"/>
  <c r="C26" i="20" s="1"/>
  <c r="BJ25" i="7"/>
  <c r="BJ19" i="7"/>
  <c r="BJ18" i="7"/>
  <c r="C18" i="20" s="1"/>
  <c r="BJ17" i="7"/>
  <c r="BJ11" i="7"/>
  <c r="BJ10" i="7"/>
  <c r="BJ9" i="7"/>
  <c r="BJ8" i="7"/>
  <c r="BJ31" i="7"/>
  <c r="BJ24" i="7"/>
  <c r="BJ16" i="7"/>
  <c r="BJ82" i="5"/>
  <c r="C79" i="19" s="1"/>
  <c r="BJ81" i="5"/>
  <c r="C78" i="19" s="1"/>
  <c r="D78" i="19" s="1"/>
  <c r="BJ76" i="5"/>
  <c r="BJ75" i="5"/>
  <c r="C71" i="19" s="1"/>
  <c r="BJ74" i="5"/>
  <c r="C70" i="19" s="1"/>
  <c r="BJ73" i="5"/>
  <c r="C69" i="19" s="1"/>
  <c r="BJ72" i="5"/>
  <c r="BJ67" i="5"/>
  <c r="BJ66" i="5"/>
  <c r="BJ65" i="5"/>
  <c r="C60" i="19" s="1"/>
  <c r="BJ64" i="5"/>
  <c r="C59" i="19" s="1"/>
  <c r="E59" i="19" s="1"/>
  <c r="BJ63" i="5"/>
  <c r="BJ56" i="5"/>
  <c r="BJ55" i="5"/>
  <c r="BJ54" i="5"/>
  <c r="C51" i="19" s="1"/>
  <c r="BJ53" i="5"/>
  <c r="C50" i="19" s="1"/>
  <c r="BJ52" i="5"/>
  <c r="BJ44" i="5"/>
  <c r="BJ43" i="5"/>
  <c r="BJ42" i="5"/>
  <c r="BJ41" i="5"/>
  <c r="BJ36" i="5"/>
  <c r="BJ35" i="5"/>
  <c r="BJ34" i="5"/>
  <c r="BJ33" i="5"/>
  <c r="BJ26" i="5"/>
  <c r="C26" i="19" s="1"/>
  <c r="BJ25" i="5"/>
  <c r="BJ24" i="5"/>
  <c r="BJ18" i="5"/>
  <c r="BJ17" i="5"/>
  <c r="BJ16" i="5"/>
  <c r="BJ10" i="5"/>
  <c r="BJ9" i="5"/>
  <c r="BJ71" i="5"/>
  <c r="BJ79" i="5"/>
  <c r="BJ62" i="5"/>
  <c r="BJ51" i="5"/>
  <c r="BJ40" i="5"/>
  <c r="BJ32" i="5"/>
  <c r="BJ23" i="5"/>
  <c r="BJ15" i="5"/>
  <c r="BJ100" i="4"/>
  <c r="BJ99" i="4"/>
  <c r="BJ98" i="4"/>
  <c r="BJ97" i="4"/>
  <c r="BJ96" i="4"/>
  <c r="BJ91" i="4"/>
  <c r="BJ90" i="4"/>
  <c r="BJ89" i="4"/>
  <c r="BJ88" i="4"/>
  <c r="BJ87" i="4"/>
  <c r="BJ86" i="4"/>
  <c r="BJ80" i="4"/>
  <c r="C81" i="18" s="1"/>
  <c r="BJ79" i="4"/>
  <c r="C80" i="18" s="1"/>
  <c r="BJ78" i="4"/>
  <c r="C79" i="18" s="1"/>
  <c r="BJ77" i="4"/>
  <c r="BJ73" i="4"/>
  <c r="BJ68" i="4"/>
  <c r="BJ67" i="4"/>
  <c r="BJ66" i="4"/>
  <c r="BJ65" i="4"/>
  <c r="C66" i="18" s="1"/>
  <c r="BJ60" i="4"/>
  <c r="BJ59" i="4"/>
  <c r="C56" i="18" s="1"/>
  <c r="BJ58" i="4"/>
  <c r="BJ57" i="4"/>
  <c r="BJ56" i="4"/>
  <c r="BJ51" i="4"/>
  <c r="BJ50" i="4"/>
  <c r="BJ49" i="4"/>
  <c r="C46" i="18" s="1"/>
  <c r="BJ48" i="4"/>
  <c r="BJ47" i="4"/>
  <c r="BJ43" i="4"/>
  <c r="BJ152" i="4" s="1"/>
  <c r="BJ42" i="4"/>
  <c r="BJ41" i="4"/>
  <c r="BJ40" i="4"/>
  <c r="BJ34" i="4"/>
  <c r="BJ33" i="4"/>
  <c r="C32" i="18" s="1"/>
  <c r="BJ32" i="4"/>
  <c r="C31" i="18" s="1"/>
  <c r="BJ31" i="4"/>
  <c r="BJ26" i="4"/>
  <c r="BJ25" i="4"/>
  <c r="BJ24" i="4"/>
  <c r="BJ19" i="4"/>
  <c r="BJ18" i="4"/>
  <c r="C17" i="18" s="1"/>
  <c r="BJ17" i="4"/>
  <c r="C16" i="18" s="1"/>
  <c r="BJ15" i="4"/>
  <c r="BJ11" i="4"/>
  <c r="C11" i="18" s="1"/>
  <c r="BJ10" i="4"/>
  <c r="BJ9" i="4"/>
  <c r="BJ163" i="4"/>
  <c r="BJ156" i="4"/>
  <c r="BJ148" i="4"/>
  <c r="BJ140" i="4"/>
  <c r="BJ109" i="4"/>
  <c r="BJ95" i="4"/>
  <c r="BJ85" i="4"/>
  <c r="BJ76" i="4"/>
  <c r="BJ72" i="4"/>
  <c r="BJ64" i="4"/>
  <c r="BJ55" i="4"/>
  <c r="BJ46" i="4"/>
  <c r="BJ39" i="4"/>
  <c r="BJ30" i="4"/>
  <c r="BJ23" i="4"/>
  <c r="BJ14" i="4"/>
  <c r="L44" i="21"/>
  <c r="L39" i="21"/>
  <c r="L38" i="21"/>
  <c r="L28" i="21"/>
  <c r="L27" i="21"/>
  <c r="L26" i="21"/>
  <c r="L21" i="21"/>
  <c r="L20" i="21"/>
  <c r="L10" i="21"/>
  <c r="L9" i="21"/>
  <c r="L8" i="21"/>
  <c r="L33" i="21"/>
  <c r="BH133" i="4"/>
  <c r="BH132" i="4"/>
  <c r="BI133" i="4"/>
  <c r="BI132" i="4"/>
  <c r="BI130" i="4"/>
  <c r="BH130" i="4"/>
  <c r="BI122" i="4"/>
  <c r="BI120" i="4"/>
  <c r="BI117" i="4"/>
  <c r="BI115" i="4"/>
  <c r="BI113" i="4"/>
  <c r="BI135" i="4"/>
  <c r="BI134" i="4"/>
  <c r="BI129" i="4"/>
  <c r="BI124" i="4"/>
  <c r="BI121" i="4"/>
  <c r="BI119" i="4"/>
  <c r="BI118" i="4"/>
  <c r="BI114" i="4"/>
  <c r="BI112" i="4"/>
  <c r="BI106" i="4"/>
  <c r="BI109" i="4" s="1"/>
  <c r="BI105" i="4"/>
  <c r="BI32" i="7"/>
  <c r="BI8" i="15"/>
  <c r="BI30" i="15"/>
  <c r="BI25" i="7"/>
  <c r="BI24" i="15"/>
  <c r="BI19" i="7"/>
  <c r="BI18" i="7"/>
  <c r="BI18" i="15" s="1"/>
  <c r="BI17" i="7"/>
  <c r="BI16" i="15"/>
  <c r="BI11" i="7"/>
  <c r="BI10" i="7"/>
  <c r="BI9" i="7"/>
  <c r="BI8" i="16"/>
  <c r="BI30" i="16"/>
  <c r="BI24" i="16"/>
  <c r="BI16" i="16"/>
  <c r="BI76" i="5"/>
  <c r="BI75" i="5"/>
  <c r="BI72" i="5"/>
  <c r="BI8" i="14"/>
  <c r="BI66" i="14"/>
  <c r="BI67" i="5"/>
  <c r="BI62" i="14" s="1"/>
  <c r="BI66" i="5"/>
  <c r="BI63" i="5"/>
  <c r="BI57" i="14"/>
  <c r="BI55" i="5"/>
  <c r="BI52" i="5"/>
  <c r="BI48" i="14"/>
  <c r="BI24" i="5"/>
  <c r="BI25" i="5"/>
  <c r="BI26" i="5"/>
  <c r="BI9" i="5"/>
  <c r="BI10" i="5"/>
  <c r="BI11" i="5"/>
  <c r="BI41" i="5"/>
  <c r="BI42" i="5"/>
  <c r="BI43" i="5"/>
  <c r="BI44" i="5"/>
  <c r="BI43" i="14" s="1"/>
  <c r="BI39" i="14"/>
  <c r="BI35" i="5"/>
  <c r="BI34" i="5"/>
  <c r="BI33" i="5"/>
  <c r="BI32" i="14"/>
  <c r="BI23" i="14"/>
  <c r="BI18" i="5"/>
  <c r="BI17" i="5"/>
  <c r="BI16" i="5"/>
  <c r="BI15" i="14"/>
  <c r="BI8" i="13"/>
  <c r="BI66" i="13"/>
  <c r="BI57" i="13"/>
  <c r="BI48" i="13"/>
  <c r="BI39" i="13"/>
  <c r="BI32" i="13"/>
  <c r="BI23" i="13"/>
  <c r="BI15" i="13"/>
  <c r="BI100" i="4"/>
  <c r="BI99" i="4"/>
  <c r="BI98" i="4"/>
  <c r="BI97" i="4"/>
  <c r="BI96" i="4"/>
  <c r="BI89" i="11"/>
  <c r="BI91" i="4"/>
  <c r="BI89" i="4"/>
  <c r="BI88" i="4"/>
  <c r="BI87" i="4"/>
  <c r="BI86" i="4"/>
  <c r="BI80" i="11"/>
  <c r="BI77" i="4"/>
  <c r="BI74" i="11"/>
  <c r="BI73" i="4"/>
  <c r="BI70" i="11"/>
  <c r="BI68" i="4"/>
  <c r="BI67" i="4"/>
  <c r="BI66" i="4"/>
  <c r="BI65" i="4"/>
  <c r="BI62" i="11"/>
  <c r="BI59" i="4"/>
  <c r="BI58" i="4"/>
  <c r="BI57" i="4"/>
  <c r="BI56" i="4"/>
  <c r="BI54" i="11"/>
  <c r="BI51" i="4"/>
  <c r="BI50" i="4"/>
  <c r="BI49" i="4"/>
  <c r="BI48" i="4"/>
  <c r="BI47" i="4"/>
  <c r="BI45" i="11"/>
  <c r="BI42" i="4"/>
  <c r="BI41" i="4"/>
  <c r="BI40" i="11"/>
  <c r="BI40" i="4"/>
  <c r="BI38" i="11"/>
  <c r="BI31" i="4"/>
  <c r="BI32" i="4"/>
  <c r="BI150" i="4" s="1"/>
  <c r="BI33" i="4"/>
  <c r="BI34" i="4"/>
  <c r="BI30" i="11"/>
  <c r="BI26" i="4"/>
  <c r="BI25" i="4"/>
  <c r="BI27" i="4" s="1"/>
  <c r="BI24" i="4"/>
  <c r="BI23" i="11"/>
  <c r="BI19" i="4"/>
  <c r="BI18" i="4"/>
  <c r="BI17" i="4"/>
  <c r="BI15" i="4"/>
  <c r="BI14" i="11"/>
  <c r="BI11" i="4"/>
  <c r="BI10" i="4"/>
  <c r="BI9" i="4"/>
  <c r="BI89" i="12"/>
  <c r="BI80" i="12"/>
  <c r="BI74" i="12"/>
  <c r="BI70" i="12"/>
  <c r="BI62" i="12"/>
  <c r="BI54" i="12"/>
  <c r="BI45" i="12"/>
  <c r="BI38" i="12"/>
  <c r="BI30" i="12"/>
  <c r="BI23" i="12"/>
  <c r="BI14" i="12"/>
  <c r="BI33" i="7"/>
  <c r="BI26" i="7"/>
  <c r="BI8" i="7"/>
  <c r="BI31" i="7"/>
  <c r="BI24" i="7"/>
  <c r="BI16" i="7"/>
  <c r="BI82" i="5"/>
  <c r="BI83" i="5" s="1"/>
  <c r="BI81" i="5"/>
  <c r="BI74" i="5"/>
  <c r="BI73" i="5"/>
  <c r="BI65" i="5"/>
  <c r="BI64" i="5"/>
  <c r="BI56" i="5"/>
  <c r="BI54" i="5"/>
  <c r="BI53" i="5"/>
  <c r="BI36" i="5"/>
  <c r="BI71" i="5"/>
  <c r="BI79" i="5"/>
  <c r="BI62" i="5"/>
  <c r="BI51" i="5"/>
  <c r="BI40" i="5"/>
  <c r="BI32" i="5"/>
  <c r="BI23" i="5"/>
  <c r="BI15" i="5"/>
  <c r="BI166" i="4"/>
  <c r="BI165" i="4"/>
  <c r="BI164" i="4"/>
  <c r="BI159" i="4"/>
  <c r="BI158" i="4"/>
  <c r="BI157" i="4"/>
  <c r="BI90" i="4"/>
  <c r="BI80" i="4"/>
  <c r="BI79" i="4"/>
  <c r="BI78" i="4"/>
  <c r="BI60" i="4"/>
  <c r="BI43" i="4"/>
  <c r="BI163" i="4"/>
  <c r="BI156" i="4"/>
  <c r="BI152" i="4"/>
  <c r="BI151" i="4"/>
  <c r="BI148" i="4"/>
  <c r="BI143" i="4"/>
  <c r="BI141" i="4"/>
  <c r="BI140" i="4"/>
  <c r="BI104" i="4"/>
  <c r="BI95" i="4"/>
  <c r="BI85" i="4"/>
  <c r="BI76" i="4"/>
  <c r="BI74" i="4"/>
  <c r="BI72" i="4"/>
  <c r="BI64" i="4"/>
  <c r="BI55" i="4"/>
  <c r="BI46" i="4"/>
  <c r="BI39" i="4"/>
  <c r="BI30" i="4"/>
  <c r="BI23" i="4"/>
  <c r="BI14" i="4"/>
  <c r="K44" i="21"/>
  <c r="K39" i="21"/>
  <c r="K38" i="21"/>
  <c r="K28" i="21"/>
  <c r="K27" i="21"/>
  <c r="K40" i="21" s="1"/>
  <c r="K26" i="21"/>
  <c r="K21" i="21"/>
  <c r="K20" i="21"/>
  <c r="K10" i="21"/>
  <c r="K9" i="21"/>
  <c r="K8" i="21"/>
  <c r="K22" i="21" s="1"/>
  <c r="BH122" i="4"/>
  <c r="BH120" i="4"/>
  <c r="BH117" i="4"/>
  <c r="BH115" i="4"/>
  <c r="BH113" i="4"/>
  <c r="BH106" i="4"/>
  <c r="BH109" i="4" s="1"/>
  <c r="BH105" i="4"/>
  <c r="BH30" i="15"/>
  <c r="BH11" i="7"/>
  <c r="BH8" i="15"/>
  <c r="BH24" i="15"/>
  <c r="BH30" i="16"/>
  <c r="BH18" i="7"/>
  <c r="BH16" i="16"/>
  <c r="BH8" i="16"/>
  <c r="BH24" i="16"/>
  <c r="BH75" i="5"/>
  <c r="BH44" i="5"/>
  <c r="BH26" i="5"/>
  <c r="BH9" i="5"/>
  <c r="BI9" i="14" s="1"/>
  <c r="BH8" i="14"/>
  <c r="BH39" i="14"/>
  <c r="BH55" i="5"/>
  <c r="BH10" i="5"/>
  <c r="BH8" i="13"/>
  <c r="BH23" i="13"/>
  <c r="BH89" i="11"/>
  <c r="BH80" i="11"/>
  <c r="BH74" i="11"/>
  <c r="BH70" i="11"/>
  <c r="BH62" i="11"/>
  <c r="BH59" i="4"/>
  <c r="BH54" i="11"/>
  <c r="BH48" i="4"/>
  <c r="BI47" i="11" s="1"/>
  <c r="BH45" i="11"/>
  <c r="BH38" i="11"/>
  <c r="BH34" i="4"/>
  <c r="BH30" i="11"/>
  <c r="BH23" i="11"/>
  <c r="BH14" i="11"/>
  <c r="BH9" i="4"/>
  <c r="BH98" i="4"/>
  <c r="BH89" i="12"/>
  <c r="BH89" i="4"/>
  <c r="BH86" i="4"/>
  <c r="BH80" i="12"/>
  <c r="BH74" i="12"/>
  <c r="BH70" i="12"/>
  <c r="BH66" i="4"/>
  <c r="BH62" i="12"/>
  <c r="BH57" i="4"/>
  <c r="BH54" i="12"/>
  <c r="BH51" i="4"/>
  <c r="BH45" i="12"/>
  <c r="BH40" i="4"/>
  <c r="BH38" i="12"/>
  <c r="BH32" i="4"/>
  <c r="BH30" i="12"/>
  <c r="BH23" i="12"/>
  <c r="BH18" i="4"/>
  <c r="BH14" i="12"/>
  <c r="BH33" i="7"/>
  <c r="BH32" i="7"/>
  <c r="BH26" i="7"/>
  <c r="BH25" i="7"/>
  <c r="BH19" i="7"/>
  <c r="BH17" i="7"/>
  <c r="BH17" i="15" s="1"/>
  <c r="BH10" i="7"/>
  <c r="BH9" i="7"/>
  <c r="BH31" i="7"/>
  <c r="BH16" i="7"/>
  <c r="BH8" i="7"/>
  <c r="BH24" i="7"/>
  <c r="BH82" i="5"/>
  <c r="BH83" i="5" s="1"/>
  <c r="BH81" i="5"/>
  <c r="BH76" i="5"/>
  <c r="BH74" i="5"/>
  <c r="BH73" i="5"/>
  <c r="BH72" i="5"/>
  <c r="BH67" i="5"/>
  <c r="BH66" i="5"/>
  <c r="BH65" i="5"/>
  <c r="BH64" i="5"/>
  <c r="BH63" i="5"/>
  <c r="BH56" i="5"/>
  <c r="BH54" i="5"/>
  <c r="BH53" i="5"/>
  <c r="BH52" i="5"/>
  <c r="BH43" i="5"/>
  <c r="BI42" i="14" s="1"/>
  <c r="BH42" i="5"/>
  <c r="BH41" i="5"/>
  <c r="BI40" i="14" s="1"/>
  <c r="BH36" i="5"/>
  <c r="BH35" i="5"/>
  <c r="BH34" i="5"/>
  <c r="BH33" i="5"/>
  <c r="BI33" i="14" s="1"/>
  <c r="BH25" i="5"/>
  <c r="BH24" i="5"/>
  <c r="BI24" i="14" s="1"/>
  <c r="BH18" i="5"/>
  <c r="BI18" i="14" s="1"/>
  <c r="BH17" i="5"/>
  <c r="BH16" i="5"/>
  <c r="BH71" i="5"/>
  <c r="BH79" i="5"/>
  <c r="BH62" i="5"/>
  <c r="BH51" i="5"/>
  <c r="BH40" i="5"/>
  <c r="BH32" i="5"/>
  <c r="BH23" i="5"/>
  <c r="BH15" i="5"/>
  <c r="BH165" i="4"/>
  <c r="BH164" i="4"/>
  <c r="BH157" i="4"/>
  <c r="BH158" i="4"/>
  <c r="BH135" i="4"/>
  <c r="BH134" i="4"/>
  <c r="BH129" i="4"/>
  <c r="BH124" i="4"/>
  <c r="BH121" i="4"/>
  <c r="BH119" i="4"/>
  <c r="BH118" i="4"/>
  <c r="BH114" i="4"/>
  <c r="BH112" i="4"/>
  <c r="BH166" i="4"/>
  <c r="BH159" i="4"/>
  <c r="BH100" i="4"/>
  <c r="BH99" i="4"/>
  <c r="BH97" i="4"/>
  <c r="BH96" i="4"/>
  <c r="BH91" i="4"/>
  <c r="BI85" i="11" s="1"/>
  <c r="BH90" i="4"/>
  <c r="BH88" i="4"/>
  <c r="BH83" i="11" s="1"/>
  <c r="BH87" i="4"/>
  <c r="BH80" i="4"/>
  <c r="BH79" i="4"/>
  <c r="BH78" i="4"/>
  <c r="BH77" i="4"/>
  <c r="BI75" i="11" s="1"/>
  <c r="BH73" i="4"/>
  <c r="BH74" i="4" s="1"/>
  <c r="BH68" i="4"/>
  <c r="BI66" i="11" s="1"/>
  <c r="BH67" i="4"/>
  <c r="BH65" i="4"/>
  <c r="BH60" i="4"/>
  <c r="BH58" i="4"/>
  <c r="BI57" i="11" s="1"/>
  <c r="BH56" i="4"/>
  <c r="BH50" i="4"/>
  <c r="BH49" i="4"/>
  <c r="BH47" i="4"/>
  <c r="BH43" i="4"/>
  <c r="BH152" i="4" s="1"/>
  <c r="BH42" i="4"/>
  <c r="BH41" i="4"/>
  <c r="BH33" i="4"/>
  <c r="BI33" i="11" s="1"/>
  <c r="BH31" i="4"/>
  <c r="BI31" i="11" s="1"/>
  <c r="BH26" i="4"/>
  <c r="BH25" i="4"/>
  <c r="BH24" i="4"/>
  <c r="BH19" i="4"/>
  <c r="BH17" i="4"/>
  <c r="BI17" i="11" s="1"/>
  <c r="BH15" i="4"/>
  <c r="BH11" i="4"/>
  <c r="BI11" i="11" s="1"/>
  <c r="BH10" i="4"/>
  <c r="BH163" i="4"/>
  <c r="BH156" i="4"/>
  <c r="BH148" i="4"/>
  <c r="BH140" i="4"/>
  <c r="BH95" i="4"/>
  <c r="BH85" i="4"/>
  <c r="BH76" i="4"/>
  <c r="BH72" i="4"/>
  <c r="BH64" i="4"/>
  <c r="BH55" i="4"/>
  <c r="BH46" i="4"/>
  <c r="BH151" i="4"/>
  <c r="BH39" i="4"/>
  <c r="BH30" i="4"/>
  <c r="BH23" i="4"/>
  <c r="BH14" i="4"/>
  <c r="J44" i="21"/>
  <c r="J39" i="21"/>
  <c r="J38" i="21"/>
  <c r="J28" i="21"/>
  <c r="J27" i="21"/>
  <c r="J26" i="21"/>
  <c r="J21" i="21"/>
  <c r="J20" i="21"/>
  <c r="J10" i="21"/>
  <c r="J14" i="21" s="1"/>
  <c r="J8" i="21"/>
  <c r="J9" i="21"/>
  <c r="BG114" i="4"/>
  <c r="BG123" i="4" s="1"/>
  <c r="BG125" i="4" s="1"/>
  <c r="BG121" i="4"/>
  <c r="I44" i="21"/>
  <c r="I39" i="21"/>
  <c r="I38" i="21"/>
  <c r="I28" i="21"/>
  <c r="I27" i="21"/>
  <c r="I26" i="21"/>
  <c r="I21" i="21"/>
  <c r="I20" i="21"/>
  <c r="I10" i="21"/>
  <c r="I9" i="21"/>
  <c r="I8" i="21"/>
  <c r="I14" i="21" s="1"/>
  <c r="BD135" i="4"/>
  <c r="BD134" i="4"/>
  <c r="BD129" i="4"/>
  <c r="BD124" i="4"/>
  <c r="BD121" i="4"/>
  <c r="BD118" i="4"/>
  <c r="BD114" i="4"/>
  <c r="BD112" i="4"/>
  <c r="BG106" i="4"/>
  <c r="BG109" i="4" s="1"/>
  <c r="BG105" i="4"/>
  <c r="BG135" i="4"/>
  <c r="BG134" i="4"/>
  <c r="BG133" i="4"/>
  <c r="BG132" i="4"/>
  <c r="BG130" i="4"/>
  <c r="BG129" i="4"/>
  <c r="BG124" i="4"/>
  <c r="BG122" i="4"/>
  <c r="BF118" i="4"/>
  <c r="BG118" i="4"/>
  <c r="BG117" i="4"/>
  <c r="BG120" i="4"/>
  <c r="BG119" i="4"/>
  <c r="BG115" i="4"/>
  <c r="BG113" i="4"/>
  <c r="BG112" i="4"/>
  <c r="BG8" i="15"/>
  <c r="BG30" i="15"/>
  <c r="BG30" i="16"/>
  <c r="BG16" i="16"/>
  <c r="BG8" i="16"/>
  <c r="BG24" i="16"/>
  <c r="BG66" i="14"/>
  <c r="BG48" i="14"/>
  <c r="BG39" i="14"/>
  <c r="BG15" i="14"/>
  <c r="BG8" i="14"/>
  <c r="BG23" i="14"/>
  <c r="BG66" i="13"/>
  <c r="BG48" i="13"/>
  <c r="BG32" i="13"/>
  <c r="BG15" i="13"/>
  <c r="BG8" i="13"/>
  <c r="BG39" i="13"/>
  <c r="BG89" i="11"/>
  <c r="BG80" i="11"/>
  <c r="BG74" i="11"/>
  <c r="BG70" i="11"/>
  <c r="BG62" i="11"/>
  <c r="BG54" i="11"/>
  <c r="BG45" i="11"/>
  <c r="BG38" i="11"/>
  <c r="BG30" i="11"/>
  <c r="BG23" i="11"/>
  <c r="BG14" i="11"/>
  <c r="BG89" i="12"/>
  <c r="BG80" i="12"/>
  <c r="BG74" i="12"/>
  <c r="BG70" i="12"/>
  <c r="BG62" i="12"/>
  <c r="BG54" i="12"/>
  <c r="BG45" i="12"/>
  <c r="BG38" i="12"/>
  <c r="BG30" i="12"/>
  <c r="BG23" i="12"/>
  <c r="BG14" i="12"/>
  <c r="BG33" i="7"/>
  <c r="BG32" i="7"/>
  <c r="BG26" i="7"/>
  <c r="BG25" i="7"/>
  <c r="BG19" i="7"/>
  <c r="BG18" i="7"/>
  <c r="BG17" i="7"/>
  <c r="BG11" i="7"/>
  <c r="BG10" i="7"/>
  <c r="BG9" i="7"/>
  <c r="BG8" i="7"/>
  <c r="BG16" i="7"/>
  <c r="BG82" i="5"/>
  <c r="BG83" i="5" s="1"/>
  <c r="BG81" i="5"/>
  <c r="BG76" i="5"/>
  <c r="BG75" i="5"/>
  <c r="BG74" i="5"/>
  <c r="BG73" i="5"/>
  <c r="BG72" i="5"/>
  <c r="BG67" i="5"/>
  <c r="BG66" i="5"/>
  <c r="BG65" i="5"/>
  <c r="BG64" i="5"/>
  <c r="BG63" i="5"/>
  <c r="BG56" i="5"/>
  <c r="BG55" i="5"/>
  <c r="BG54" i="5"/>
  <c r="BG53" i="5"/>
  <c r="BG52" i="5"/>
  <c r="BG44" i="5"/>
  <c r="BH43" i="14" s="1"/>
  <c r="BG43" i="5"/>
  <c r="BG42" i="5"/>
  <c r="BG41" i="5"/>
  <c r="BH40" i="14" s="1"/>
  <c r="BG36" i="5"/>
  <c r="BG35" i="5"/>
  <c r="BG34" i="5"/>
  <c r="BG33" i="5"/>
  <c r="BH33" i="14" s="1"/>
  <c r="BG26" i="5"/>
  <c r="BG25" i="5"/>
  <c r="BG24" i="5"/>
  <c r="BH24" i="14" s="1"/>
  <c r="BG18" i="5"/>
  <c r="BG17" i="5"/>
  <c r="BH17" i="14" s="1"/>
  <c r="BG16" i="5"/>
  <c r="BG10" i="5"/>
  <c r="BG9" i="5"/>
  <c r="BG71" i="5"/>
  <c r="BG79" i="5"/>
  <c r="BG62" i="5"/>
  <c r="BG51" i="5"/>
  <c r="BG40" i="5"/>
  <c r="BG32" i="5"/>
  <c r="BG23" i="5"/>
  <c r="BG15" i="5"/>
  <c r="BG165" i="4"/>
  <c r="BG164" i="4"/>
  <c r="BG158" i="4"/>
  <c r="BG157" i="4"/>
  <c r="BF157" i="4"/>
  <c r="BG166" i="4"/>
  <c r="BG159" i="4"/>
  <c r="BG100" i="4"/>
  <c r="BG99" i="4"/>
  <c r="BG98" i="4"/>
  <c r="BG97" i="4"/>
  <c r="BG96" i="4"/>
  <c r="BG91" i="4"/>
  <c r="BG90" i="4"/>
  <c r="BG89" i="4"/>
  <c r="BH84" i="11" s="1"/>
  <c r="BG88" i="4"/>
  <c r="BG87" i="4"/>
  <c r="BG86" i="4"/>
  <c r="BH81" i="11" s="1"/>
  <c r="BG80" i="4"/>
  <c r="BG79" i="4"/>
  <c r="BG78" i="4"/>
  <c r="BG77" i="4"/>
  <c r="BG73" i="4"/>
  <c r="BG74" i="4" s="1"/>
  <c r="BG68" i="4"/>
  <c r="BH66" i="11" s="1"/>
  <c r="BG67" i="4"/>
  <c r="BG66" i="4"/>
  <c r="BH64" i="11" s="1"/>
  <c r="BG65" i="4"/>
  <c r="BG60" i="4"/>
  <c r="BG59" i="4"/>
  <c r="BH58" i="11" s="1"/>
  <c r="BG58" i="4"/>
  <c r="BG57" i="4"/>
  <c r="BG56" i="4"/>
  <c r="BG51" i="4"/>
  <c r="BG50" i="4"/>
  <c r="BG49" i="4"/>
  <c r="BG48" i="4"/>
  <c r="BH47" i="11" s="1"/>
  <c r="BG47" i="4"/>
  <c r="BG43" i="4"/>
  <c r="BG152" i="4" s="1"/>
  <c r="BG42" i="4"/>
  <c r="BG151" i="4" s="1"/>
  <c r="BG41" i="4"/>
  <c r="BG40" i="4"/>
  <c r="BH39" i="11" s="1"/>
  <c r="BG34" i="4"/>
  <c r="BG33" i="4"/>
  <c r="BG32" i="4"/>
  <c r="BG31" i="4"/>
  <c r="BG26" i="4"/>
  <c r="BG25" i="4"/>
  <c r="BG24" i="4"/>
  <c r="BG19" i="4"/>
  <c r="BG18" i="4"/>
  <c r="BG17" i="4"/>
  <c r="BG15" i="4"/>
  <c r="BG11" i="4"/>
  <c r="BG10" i="4"/>
  <c r="BG9" i="4"/>
  <c r="BH9" i="11" s="1"/>
  <c r="BG163" i="4"/>
  <c r="BG156" i="4"/>
  <c r="BG148" i="4"/>
  <c r="BG140" i="4"/>
  <c r="BG95" i="4"/>
  <c r="BG85" i="4"/>
  <c r="BG76" i="4"/>
  <c r="BG72" i="4"/>
  <c r="BG64" i="4"/>
  <c r="BG55" i="4"/>
  <c r="BG46" i="4"/>
  <c r="BG39" i="4"/>
  <c r="BG30" i="4"/>
  <c r="BG23" i="4"/>
  <c r="BG14" i="4"/>
  <c r="BF33" i="7"/>
  <c r="B33" i="20" s="1"/>
  <c r="BB33" i="7"/>
  <c r="BF32" i="7"/>
  <c r="B32" i="20" s="1"/>
  <c r="BB32" i="7"/>
  <c r="BF26" i="7"/>
  <c r="B26" i="20" s="1"/>
  <c r="BB26" i="7"/>
  <c r="BF25" i="7"/>
  <c r="B25" i="20" s="1"/>
  <c r="BB25" i="7"/>
  <c r="BF19" i="7"/>
  <c r="B19" i="20" s="1"/>
  <c r="BB19" i="7"/>
  <c r="BF18" i="7"/>
  <c r="B18" i="20" s="1"/>
  <c r="BB18" i="7"/>
  <c r="BF17" i="7"/>
  <c r="B17" i="20" s="1"/>
  <c r="BB17" i="7"/>
  <c r="BF11" i="7"/>
  <c r="B11" i="20" s="1"/>
  <c r="BB11" i="7"/>
  <c r="BF10" i="7"/>
  <c r="B10" i="20" s="1"/>
  <c r="BB10" i="7"/>
  <c r="BF9" i="7"/>
  <c r="B9" i="20" s="1"/>
  <c r="BB9" i="7"/>
  <c r="BF82" i="5"/>
  <c r="BB82" i="5"/>
  <c r="BF81" i="5"/>
  <c r="B78" i="19" s="1"/>
  <c r="BB81" i="5"/>
  <c r="BF76" i="5"/>
  <c r="BB76" i="5"/>
  <c r="BF75" i="5"/>
  <c r="B71" i="19" s="1"/>
  <c r="BB75" i="5"/>
  <c r="BF74" i="5"/>
  <c r="B70" i="19" s="1"/>
  <c r="BB74" i="5"/>
  <c r="BF73" i="5"/>
  <c r="B69" i="19" s="1"/>
  <c r="BB73" i="5"/>
  <c r="BF72" i="5"/>
  <c r="B68" i="19" s="1"/>
  <c r="BB72" i="5"/>
  <c r="BF66" i="5"/>
  <c r="B61" i="19" s="1"/>
  <c r="BB66" i="5"/>
  <c r="BF65" i="5"/>
  <c r="B60" i="19" s="1"/>
  <c r="BB65" i="5"/>
  <c r="BF64" i="5"/>
  <c r="B59" i="19" s="1"/>
  <c r="BB64" i="5"/>
  <c r="BF63" i="5"/>
  <c r="B58" i="19" s="1"/>
  <c r="BB63" i="5"/>
  <c r="BF52" i="5"/>
  <c r="B49" i="19" s="1"/>
  <c r="BF55" i="5"/>
  <c r="B52" i="19" s="1"/>
  <c r="BB55" i="5"/>
  <c r="BF54" i="5"/>
  <c r="B51" i="19" s="1"/>
  <c r="D51" i="19" s="1"/>
  <c r="BB54" i="5"/>
  <c r="BF53" i="5"/>
  <c r="B50" i="19" s="1"/>
  <c r="BB53" i="5"/>
  <c r="BB52" i="5"/>
  <c r="BF44" i="5"/>
  <c r="BF24" i="5"/>
  <c r="B24" i="19" s="1"/>
  <c r="BF25" i="5"/>
  <c r="BB25" i="5"/>
  <c r="BF26" i="5"/>
  <c r="B26" i="19" s="1"/>
  <c r="BB26" i="5"/>
  <c r="BF9" i="5"/>
  <c r="BF10" i="5"/>
  <c r="B10" i="19" s="1"/>
  <c r="BF41" i="5"/>
  <c r="B40" i="19" s="1"/>
  <c r="BF42" i="5"/>
  <c r="B41" i="19" s="1"/>
  <c r="BF43" i="5"/>
  <c r="B42" i="19" s="1"/>
  <c r="BB44" i="5"/>
  <c r="BB24" i="5"/>
  <c r="BB9" i="5"/>
  <c r="BB10" i="5"/>
  <c r="BB41" i="5"/>
  <c r="BB42" i="5"/>
  <c r="BB43" i="5"/>
  <c r="BF35" i="5"/>
  <c r="B35" i="19" s="1"/>
  <c r="BB35" i="5"/>
  <c r="BF34" i="5"/>
  <c r="B34" i="19" s="1"/>
  <c r="BB34" i="5"/>
  <c r="BF33" i="5"/>
  <c r="B33" i="19" s="1"/>
  <c r="BB33" i="5"/>
  <c r="BF18" i="5"/>
  <c r="B18" i="19" s="1"/>
  <c r="BB18" i="5"/>
  <c r="BF17" i="5"/>
  <c r="B17" i="19" s="1"/>
  <c r="BB17" i="5"/>
  <c r="BF16" i="5"/>
  <c r="B16" i="19" s="1"/>
  <c r="BB16" i="5"/>
  <c r="BF100" i="4"/>
  <c r="B100" i="18" s="1"/>
  <c r="BB100" i="4"/>
  <c r="BF99" i="4"/>
  <c r="B99" i="18" s="1"/>
  <c r="BB99" i="4"/>
  <c r="BF98" i="4"/>
  <c r="B98" i="18" s="1"/>
  <c r="BB98" i="4"/>
  <c r="BA98" i="4"/>
  <c r="BF97" i="4"/>
  <c r="B97" i="18" s="1"/>
  <c r="BB97" i="4"/>
  <c r="BF96" i="4"/>
  <c r="B96" i="18" s="1"/>
  <c r="BB96" i="4"/>
  <c r="BF89" i="4"/>
  <c r="B90" i="18" s="1"/>
  <c r="BB89" i="4"/>
  <c r="BF88" i="4"/>
  <c r="B89" i="18" s="1"/>
  <c r="BF86" i="4"/>
  <c r="B87" i="18" s="1"/>
  <c r="BF87" i="4"/>
  <c r="B88" i="18" s="1"/>
  <c r="BB86" i="4"/>
  <c r="BB87" i="4"/>
  <c r="BB88" i="4"/>
  <c r="BF80" i="4"/>
  <c r="B81" i="18" s="1"/>
  <c r="BB80" i="4"/>
  <c r="BF79" i="4"/>
  <c r="B80" i="18" s="1"/>
  <c r="BB79" i="4"/>
  <c r="BF78" i="4"/>
  <c r="B79" i="18" s="1"/>
  <c r="BB78" i="4"/>
  <c r="BF77" i="4"/>
  <c r="B78" i="18" s="1"/>
  <c r="BB77" i="4"/>
  <c r="BF73" i="4"/>
  <c r="BB73" i="4"/>
  <c r="BF68" i="4"/>
  <c r="B69" i="18" s="1"/>
  <c r="BB68" i="4"/>
  <c r="BF67" i="4"/>
  <c r="B68" i="18" s="1"/>
  <c r="BB67" i="4"/>
  <c r="BF66" i="4"/>
  <c r="BB66" i="4"/>
  <c r="BF65" i="4"/>
  <c r="B66" i="18" s="1"/>
  <c r="BB65" i="4"/>
  <c r="BF106" i="4"/>
  <c r="B61" i="18" s="1"/>
  <c r="BB106" i="4"/>
  <c r="BF105" i="4"/>
  <c r="BF31" i="4"/>
  <c r="BF33" i="4"/>
  <c r="BB105" i="4"/>
  <c r="BB31" i="4"/>
  <c r="BB33" i="4"/>
  <c r="BF59" i="4"/>
  <c r="B56" i="18" s="1"/>
  <c r="BB59" i="4"/>
  <c r="BF58" i="4"/>
  <c r="B55" i="18" s="1"/>
  <c r="BB58" i="4"/>
  <c r="BF57" i="4"/>
  <c r="B54" i="18" s="1"/>
  <c r="BB57" i="4"/>
  <c r="BF56" i="4"/>
  <c r="B53" i="18" s="1"/>
  <c r="BB56" i="4"/>
  <c r="BF50" i="4"/>
  <c r="B47" i="18" s="1"/>
  <c r="BB50" i="4"/>
  <c r="BF51" i="4"/>
  <c r="BB51" i="4"/>
  <c r="BF49" i="4"/>
  <c r="B46" i="18" s="1"/>
  <c r="BB49" i="4"/>
  <c r="BF48" i="4"/>
  <c r="BB48" i="4"/>
  <c r="BF47" i="4"/>
  <c r="B44" i="18" s="1"/>
  <c r="BB47" i="4"/>
  <c r="BF42" i="4"/>
  <c r="B39" i="18" s="1"/>
  <c r="BB42" i="4"/>
  <c r="BB151" i="4" s="1"/>
  <c r="BF41" i="4"/>
  <c r="B38" i="18" s="1"/>
  <c r="BB41" i="4"/>
  <c r="BF40" i="4"/>
  <c r="BB40" i="4"/>
  <c r="BF32" i="4"/>
  <c r="B31" i="18" s="1"/>
  <c r="BB32" i="4"/>
  <c r="BF34" i="4"/>
  <c r="BG34" i="11" s="1"/>
  <c r="BB34" i="4"/>
  <c r="BF26" i="4"/>
  <c r="B25" i="18" s="1"/>
  <c r="BB26" i="4"/>
  <c r="BF25" i="4"/>
  <c r="BB25" i="4"/>
  <c r="BF24" i="4"/>
  <c r="B23" i="18" s="1"/>
  <c r="BB24" i="4"/>
  <c r="BF19" i="4"/>
  <c r="B18" i="18" s="1"/>
  <c r="BB19" i="4"/>
  <c r="BF18" i="4"/>
  <c r="B17" i="18" s="1"/>
  <c r="BB18" i="4"/>
  <c r="BF17" i="4"/>
  <c r="B16" i="18" s="1"/>
  <c r="BB17" i="4"/>
  <c r="BF15" i="4"/>
  <c r="BB15" i="4"/>
  <c r="BF11" i="4"/>
  <c r="B11" i="18" s="1"/>
  <c r="BB11" i="4"/>
  <c r="BF10" i="4"/>
  <c r="B10" i="18" s="1"/>
  <c r="BB10" i="4"/>
  <c r="BF9" i="4"/>
  <c r="B9" i="18" s="1"/>
  <c r="BB9" i="4"/>
  <c r="BE32" i="7"/>
  <c r="BI31" i="16" s="1"/>
  <c r="BD32" i="7"/>
  <c r="BC32" i="7"/>
  <c r="BE25" i="7"/>
  <c r="BI25" i="16" s="1"/>
  <c r="BD25" i="7"/>
  <c r="BC25" i="7"/>
  <c r="BG25" i="16" s="1"/>
  <c r="BE19" i="7"/>
  <c r="BI19" i="16" s="1"/>
  <c r="BD19" i="7"/>
  <c r="BC19" i="7"/>
  <c r="BE18" i="7"/>
  <c r="BD18" i="7"/>
  <c r="BC18" i="7"/>
  <c r="BE17" i="7"/>
  <c r="BI17" i="16" s="1"/>
  <c r="BD17" i="7"/>
  <c r="BC17" i="7"/>
  <c r="BE11" i="7"/>
  <c r="BI11" i="16" s="1"/>
  <c r="BD11" i="7"/>
  <c r="BH11" i="16" s="1"/>
  <c r="BC11" i="7"/>
  <c r="BE10" i="7"/>
  <c r="BD10" i="7"/>
  <c r="BC10" i="7"/>
  <c r="BE9" i="7"/>
  <c r="BD9" i="7"/>
  <c r="BC9" i="7"/>
  <c r="BA32" i="7"/>
  <c r="AZ32" i="7"/>
  <c r="AY32" i="7"/>
  <c r="BA25" i="7"/>
  <c r="AZ25" i="7"/>
  <c r="AY25" i="7"/>
  <c r="BA19" i="7"/>
  <c r="AZ19" i="7"/>
  <c r="AY19" i="7"/>
  <c r="BA18" i="7"/>
  <c r="AZ18" i="7"/>
  <c r="AZ18" i="15" s="1"/>
  <c r="AY18" i="7"/>
  <c r="BA17" i="7"/>
  <c r="AZ17" i="7"/>
  <c r="AY17" i="7"/>
  <c r="BA11" i="7"/>
  <c r="AZ11" i="7"/>
  <c r="AY11" i="7"/>
  <c r="BA10" i="7"/>
  <c r="AZ10" i="7"/>
  <c r="AY10" i="7"/>
  <c r="BA9" i="7"/>
  <c r="AZ9" i="7"/>
  <c r="AY9" i="7"/>
  <c r="BE76" i="5"/>
  <c r="BI71" i="13" s="1"/>
  <c r="BD76" i="5"/>
  <c r="BC76" i="5"/>
  <c r="BE75" i="5"/>
  <c r="BD75" i="5"/>
  <c r="BH70" i="13" s="1"/>
  <c r="BC75" i="5"/>
  <c r="BE72" i="5"/>
  <c r="BI67" i="13" s="1"/>
  <c r="BD72" i="5"/>
  <c r="BC72" i="5"/>
  <c r="BG67" i="13" s="1"/>
  <c r="BF67" i="5"/>
  <c r="BE67" i="5"/>
  <c r="BD67" i="5"/>
  <c r="BC67" i="5"/>
  <c r="BB67" i="5"/>
  <c r="BE66" i="5"/>
  <c r="BD66" i="5"/>
  <c r="BC66" i="5"/>
  <c r="BE63" i="5"/>
  <c r="BI58" i="13" s="1"/>
  <c r="BD63" i="5"/>
  <c r="BC63" i="5"/>
  <c r="BE55" i="5"/>
  <c r="BI52" i="13" s="1"/>
  <c r="BD55" i="5"/>
  <c r="BH52" i="13" s="1"/>
  <c r="BC55" i="5"/>
  <c r="BE52" i="5"/>
  <c r="BD52" i="5"/>
  <c r="BC52" i="5"/>
  <c r="BG49" i="13" s="1"/>
  <c r="BE24" i="5"/>
  <c r="BI24" i="13" s="1"/>
  <c r="BE25" i="5"/>
  <c r="BE26" i="5"/>
  <c r="BI26" i="13" s="1"/>
  <c r="BE9" i="5"/>
  <c r="BE10" i="5"/>
  <c r="BI10" i="13" s="1"/>
  <c r="BE41" i="5"/>
  <c r="BI40" i="13" s="1"/>
  <c r="BE42" i="5"/>
  <c r="BE43" i="5"/>
  <c r="BE44" i="5"/>
  <c r="BD24" i="5"/>
  <c r="BD25" i="5"/>
  <c r="BD26" i="5"/>
  <c r="BD9" i="5"/>
  <c r="BH9" i="13" s="1"/>
  <c r="BD10" i="5"/>
  <c r="BD41" i="5"/>
  <c r="BD42" i="5"/>
  <c r="BD43" i="5"/>
  <c r="BD44" i="5"/>
  <c r="BC24" i="5"/>
  <c r="BC25" i="5"/>
  <c r="BC26" i="5"/>
  <c r="BC9" i="5"/>
  <c r="BC10" i="5"/>
  <c r="BC41" i="5"/>
  <c r="BC42" i="5"/>
  <c r="BC43" i="5"/>
  <c r="BC44" i="5"/>
  <c r="BE35" i="5"/>
  <c r="BI35" i="13" s="1"/>
  <c r="BD35" i="5"/>
  <c r="BC35" i="5"/>
  <c r="BE34" i="5"/>
  <c r="BD34" i="5"/>
  <c r="BC34" i="5"/>
  <c r="BE33" i="5"/>
  <c r="BI33" i="13" s="1"/>
  <c r="BD33" i="5"/>
  <c r="BC33" i="5"/>
  <c r="BG33" i="13" s="1"/>
  <c r="BE18" i="5"/>
  <c r="BD18" i="5"/>
  <c r="BC18" i="5"/>
  <c r="BE17" i="5"/>
  <c r="BI17" i="13" s="1"/>
  <c r="BD17" i="5"/>
  <c r="BC17" i="5"/>
  <c r="BE16" i="5"/>
  <c r="BI16" i="13" s="1"/>
  <c r="BD16" i="5"/>
  <c r="BC16" i="5"/>
  <c r="BA76" i="5"/>
  <c r="BA71" i="14" s="1"/>
  <c r="AZ76" i="5"/>
  <c r="AY76" i="5"/>
  <c r="BA75" i="5"/>
  <c r="AZ75" i="5"/>
  <c r="AY75" i="5"/>
  <c r="BA72" i="5"/>
  <c r="AZ72" i="5"/>
  <c r="AY72" i="5"/>
  <c r="BA67" i="5"/>
  <c r="AZ67" i="5"/>
  <c r="AY67" i="5"/>
  <c r="BA66" i="5"/>
  <c r="AZ66" i="5"/>
  <c r="AY66" i="5"/>
  <c r="BA63" i="5"/>
  <c r="AZ63" i="5"/>
  <c r="AY63" i="5"/>
  <c r="BA55" i="5"/>
  <c r="AZ55" i="5"/>
  <c r="AY55" i="5"/>
  <c r="BA52" i="5"/>
  <c r="AZ52" i="5"/>
  <c r="AY52" i="5"/>
  <c r="BA24" i="5"/>
  <c r="BA25" i="5"/>
  <c r="BA26" i="5"/>
  <c r="BA9" i="5"/>
  <c r="BA10" i="5"/>
  <c r="BB10" i="14" s="1"/>
  <c r="BA41" i="5"/>
  <c r="BA42" i="5"/>
  <c r="BA43" i="5"/>
  <c r="BA44" i="5"/>
  <c r="AZ24" i="5"/>
  <c r="AZ25" i="5"/>
  <c r="AZ26" i="5"/>
  <c r="AZ9" i="5"/>
  <c r="AZ10" i="5"/>
  <c r="AZ41" i="5"/>
  <c r="AZ42" i="5"/>
  <c r="AZ43" i="5"/>
  <c r="AZ42" i="14" s="1"/>
  <c r="AZ44" i="5"/>
  <c r="AY24" i="5"/>
  <c r="AY25" i="5"/>
  <c r="AZ25" i="14" s="1"/>
  <c r="AY26" i="5"/>
  <c r="AY9" i="5"/>
  <c r="AY10" i="5"/>
  <c r="AY11" i="5" s="1"/>
  <c r="AY41" i="5"/>
  <c r="AY42" i="5"/>
  <c r="AZ41" i="14" s="1"/>
  <c r="AY43" i="5"/>
  <c r="AY44" i="5"/>
  <c r="BA35" i="5"/>
  <c r="AZ35" i="5"/>
  <c r="AY35" i="5"/>
  <c r="BA34" i="5"/>
  <c r="AZ34" i="5"/>
  <c r="AY34" i="5"/>
  <c r="AZ34" i="14" s="1"/>
  <c r="BA33" i="5"/>
  <c r="AZ33" i="5"/>
  <c r="AY33" i="5"/>
  <c r="AZ33" i="14" s="1"/>
  <c r="BA18" i="5"/>
  <c r="AZ18" i="5"/>
  <c r="AY18" i="5"/>
  <c r="BA17" i="5"/>
  <c r="AZ17" i="5"/>
  <c r="AY17" i="5"/>
  <c r="BA16" i="5"/>
  <c r="AZ16" i="5"/>
  <c r="AY16" i="5"/>
  <c r="BE100" i="4"/>
  <c r="BI94" i="12" s="1"/>
  <c r="BD100" i="4"/>
  <c r="BC100" i="4"/>
  <c r="BE99" i="4"/>
  <c r="BD99" i="4"/>
  <c r="BC99" i="4"/>
  <c r="BE98" i="4"/>
  <c r="BI92" i="12" s="1"/>
  <c r="BD98" i="4"/>
  <c r="AZ98" i="4"/>
  <c r="BD92" i="12"/>
  <c r="BC98" i="4"/>
  <c r="BG92" i="12" s="1"/>
  <c r="BE97" i="4"/>
  <c r="BD97" i="4"/>
  <c r="BC97" i="4"/>
  <c r="BE96" i="4"/>
  <c r="BD96" i="4"/>
  <c r="BC96" i="4"/>
  <c r="BF91" i="4"/>
  <c r="BF85" i="12" s="1"/>
  <c r="BB91" i="4"/>
  <c r="BE91" i="4"/>
  <c r="BD91" i="4"/>
  <c r="BC91" i="4"/>
  <c r="BE89" i="4"/>
  <c r="BD89" i="4"/>
  <c r="BC89" i="4"/>
  <c r="BE88" i="4"/>
  <c r="BI83" i="12" s="1"/>
  <c r="BD88" i="4"/>
  <c r="BC88" i="4"/>
  <c r="BE87" i="4"/>
  <c r="BI82" i="12" s="1"/>
  <c r="BD87" i="4"/>
  <c r="BC87" i="4"/>
  <c r="BE86" i="4"/>
  <c r="BI81" i="12" s="1"/>
  <c r="BD86" i="4"/>
  <c r="BC86" i="4"/>
  <c r="BE77" i="4"/>
  <c r="BI75" i="12" s="1"/>
  <c r="BD77" i="4"/>
  <c r="BD75" i="11" s="1"/>
  <c r="BC77" i="4"/>
  <c r="BE73" i="4"/>
  <c r="BI71" i="12" s="1"/>
  <c r="BD73" i="4"/>
  <c r="BD74" i="4" s="1"/>
  <c r="BC73" i="4"/>
  <c r="BE68" i="4"/>
  <c r="BD68" i="4"/>
  <c r="BC68" i="4"/>
  <c r="BE67" i="4"/>
  <c r="BI65" i="12" s="1"/>
  <c r="BD67" i="4"/>
  <c r="BC67" i="4"/>
  <c r="BE66" i="4"/>
  <c r="BD66" i="4"/>
  <c r="BH64" i="12" s="1"/>
  <c r="BC66" i="4"/>
  <c r="BE65" i="4"/>
  <c r="BI63" i="12" s="1"/>
  <c r="BD65" i="4"/>
  <c r="BH63" i="12" s="1"/>
  <c r="BC65" i="4"/>
  <c r="BE59" i="4"/>
  <c r="BD59" i="4"/>
  <c r="BH58" i="12" s="1"/>
  <c r="BC59" i="4"/>
  <c r="BE58" i="4"/>
  <c r="BI57" i="12" s="1"/>
  <c r="BD58" i="4"/>
  <c r="BH57" i="12" s="1"/>
  <c r="BC58" i="4"/>
  <c r="BD57" i="11" s="1"/>
  <c r="BE57" i="4"/>
  <c r="BI56" i="12" s="1"/>
  <c r="BD57" i="4"/>
  <c r="BC57" i="4"/>
  <c r="BG56" i="12" s="1"/>
  <c r="BE56" i="4"/>
  <c r="BI55" i="12" s="1"/>
  <c r="BD56" i="4"/>
  <c r="BC56" i="4"/>
  <c r="BE51" i="4"/>
  <c r="BD51" i="4"/>
  <c r="BC51" i="4"/>
  <c r="BE50" i="4"/>
  <c r="BE49" i="11" s="1"/>
  <c r="BD50" i="4"/>
  <c r="BC50" i="4"/>
  <c r="BE49" i="4"/>
  <c r="BI48" i="12" s="1"/>
  <c r="BD49" i="4"/>
  <c r="BC49" i="4"/>
  <c r="BE48" i="4"/>
  <c r="BE47" i="12" s="1"/>
  <c r="BA48" i="4"/>
  <c r="BD48" i="4"/>
  <c r="BH47" i="12" s="1"/>
  <c r="BC48" i="4"/>
  <c r="BE47" i="4"/>
  <c r="BI46" i="12" s="1"/>
  <c r="BD47" i="4"/>
  <c r="BC47" i="4"/>
  <c r="BE42" i="4"/>
  <c r="BI41" i="12" s="1"/>
  <c r="BD42" i="4"/>
  <c r="BC42" i="4"/>
  <c r="BE41" i="4"/>
  <c r="BI40" i="12" s="1"/>
  <c r="BD41" i="4"/>
  <c r="BH40" i="12" s="1"/>
  <c r="BC41" i="4"/>
  <c r="BE40" i="4"/>
  <c r="BE39" i="11" s="1"/>
  <c r="BD40" i="4"/>
  <c r="BC40" i="4"/>
  <c r="BE31" i="4"/>
  <c r="BI31" i="12" s="1"/>
  <c r="BE32" i="4"/>
  <c r="BI32" i="12" s="1"/>
  <c r="BE33" i="4"/>
  <c r="BE34" i="4"/>
  <c r="BA34" i="4"/>
  <c r="BD31" i="4"/>
  <c r="BD32" i="4"/>
  <c r="BH32" i="12" s="1"/>
  <c r="BD33" i="4"/>
  <c r="BH33" i="12" s="1"/>
  <c r="BD34" i="4"/>
  <c r="BH34" i="12" s="1"/>
  <c r="BC31" i="4"/>
  <c r="BC32" i="4"/>
  <c r="BD32" i="11" s="1"/>
  <c r="BC33" i="4"/>
  <c r="BC34" i="4"/>
  <c r="BE26" i="4"/>
  <c r="BD26" i="4"/>
  <c r="BC26" i="4"/>
  <c r="BE25" i="4"/>
  <c r="BD25" i="4"/>
  <c r="BC25" i="4"/>
  <c r="BD25" i="11" s="1"/>
  <c r="BE24" i="4"/>
  <c r="BI24" i="12" s="1"/>
  <c r="BD24" i="4"/>
  <c r="BH24" i="12" s="1"/>
  <c r="BC24" i="4"/>
  <c r="BD24" i="11" s="1"/>
  <c r="BE19" i="4"/>
  <c r="BD19" i="4"/>
  <c r="BC19" i="4"/>
  <c r="BE18" i="4"/>
  <c r="BD18" i="4"/>
  <c r="BC18" i="4"/>
  <c r="BE17" i="4"/>
  <c r="BI17" i="12" s="1"/>
  <c r="BD17" i="4"/>
  <c r="BC17" i="4"/>
  <c r="BE15" i="4"/>
  <c r="BD15" i="4"/>
  <c r="BC15" i="4"/>
  <c r="BE11" i="4"/>
  <c r="BI11" i="12" s="1"/>
  <c r="BD11" i="4"/>
  <c r="BC11" i="4"/>
  <c r="BG11" i="12" s="1"/>
  <c r="BE10" i="4"/>
  <c r="BI10" i="12" s="1"/>
  <c r="BD10" i="4"/>
  <c r="BH10" i="12" s="1"/>
  <c r="BC10" i="4"/>
  <c r="BE9" i="4"/>
  <c r="BI9" i="12" s="1"/>
  <c r="BD9" i="4"/>
  <c r="BH9" i="12" s="1"/>
  <c r="BC9" i="4"/>
  <c r="BD9" i="11" s="1"/>
  <c r="BA100" i="4"/>
  <c r="AZ100" i="4"/>
  <c r="AY100" i="4"/>
  <c r="AZ94" i="11" s="1"/>
  <c r="BA99" i="4"/>
  <c r="AZ99" i="4"/>
  <c r="AY99" i="4"/>
  <c r="AY98" i="4"/>
  <c r="BA97" i="4"/>
  <c r="AZ97" i="4"/>
  <c r="AY97" i="4"/>
  <c r="BA96" i="4"/>
  <c r="AZ96" i="4"/>
  <c r="AY96" i="4"/>
  <c r="BA91" i="4"/>
  <c r="AZ91" i="4"/>
  <c r="AY91" i="4"/>
  <c r="BA89" i="4"/>
  <c r="AZ89" i="4"/>
  <c r="AY89" i="4"/>
  <c r="BC84" i="12" s="1"/>
  <c r="BA88" i="4"/>
  <c r="AZ88" i="4"/>
  <c r="AY88" i="4"/>
  <c r="BA87" i="4"/>
  <c r="BE82" i="12" s="1"/>
  <c r="AZ87" i="4"/>
  <c r="AY87" i="4"/>
  <c r="BA86" i="4"/>
  <c r="AZ86" i="4"/>
  <c r="AY86" i="4"/>
  <c r="BA77" i="4"/>
  <c r="AZ77" i="4"/>
  <c r="AY77" i="4"/>
  <c r="BA73" i="4"/>
  <c r="BA74" i="4" s="1"/>
  <c r="AZ73" i="4"/>
  <c r="AY73" i="4"/>
  <c r="BA68" i="4"/>
  <c r="AZ68" i="4"/>
  <c r="AY68" i="4"/>
  <c r="BA67" i="4"/>
  <c r="AZ67" i="4"/>
  <c r="AY67" i="4"/>
  <c r="BA66" i="4"/>
  <c r="AZ66" i="4"/>
  <c r="BD64" i="12" s="1"/>
  <c r="AY66" i="4"/>
  <c r="AZ64" i="11" s="1"/>
  <c r="BA65" i="4"/>
  <c r="AZ65" i="4"/>
  <c r="AY65" i="4"/>
  <c r="BA59" i="4"/>
  <c r="AZ59" i="4"/>
  <c r="AY59" i="4"/>
  <c r="BA58" i="4"/>
  <c r="AZ58" i="4"/>
  <c r="AZ57" i="11" s="1"/>
  <c r="AY58" i="4"/>
  <c r="BA57" i="4"/>
  <c r="AZ57" i="4"/>
  <c r="AY57" i="4"/>
  <c r="BA56" i="4"/>
  <c r="BA55" i="11" s="1"/>
  <c r="AZ56" i="4"/>
  <c r="AY56" i="4"/>
  <c r="BA51" i="4"/>
  <c r="AZ51" i="4"/>
  <c r="AY51" i="4"/>
  <c r="BA50" i="4"/>
  <c r="AZ50" i="4"/>
  <c r="AY50" i="4"/>
  <c r="BA49" i="4"/>
  <c r="AZ49" i="4"/>
  <c r="AY49" i="4"/>
  <c r="AZ48" i="4"/>
  <c r="AY48" i="4"/>
  <c r="BA47" i="4"/>
  <c r="AZ47" i="4"/>
  <c r="AY47" i="4"/>
  <c r="BA42" i="4"/>
  <c r="AZ42" i="4"/>
  <c r="AZ151" i="4" s="1"/>
  <c r="AY42" i="4"/>
  <c r="BA41" i="4"/>
  <c r="AZ41" i="4"/>
  <c r="AY41" i="4"/>
  <c r="BA40" i="4"/>
  <c r="AZ40" i="4"/>
  <c r="BA39" i="11" s="1"/>
  <c r="AY40" i="4"/>
  <c r="BA31" i="4"/>
  <c r="BA32" i="4"/>
  <c r="BB32" i="11" s="1"/>
  <c r="BA33" i="4"/>
  <c r="AZ31" i="4"/>
  <c r="AZ32" i="4"/>
  <c r="BD32" i="12" s="1"/>
  <c r="AZ33" i="4"/>
  <c r="AZ34" i="4"/>
  <c r="AY31" i="4"/>
  <c r="AY32" i="4"/>
  <c r="AY33" i="4"/>
  <c r="AY143" i="4" s="1"/>
  <c r="AY34" i="4"/>
  <c r="BA26" i="4"/>
  <c r="AZ26" i="4"/>
  <c r="AY26" i="4"/>
  <c r="BA25" i="4"/>
  <c r="AZ25" i="4"/>
  <c r="AY25" i="4"/>
  <c r="BA24" i="4"/>
  <c r="BE24" i="12" s="1"/>
  <c r="AZ24" i="4"/>
  <c r="AY24" i="4"/>
  <c r="AY27" i="4" s="1"/>
  <c r="BA19" i="4"/>
  <c r="AZ19" i="4"/>
  <c r="AY19" i="4"/>
  <c r="BC19" i="12" s="1"/>
  <c r="BA18" i="4"/>
  <c r="AZ18" i="4"/>
  <c r="AY18" i="4"/>
  <c r="AZ18" i="11" s="1"/>
  <c r="BA17" i="4"/>
  <c r="AZ17" i="4"/>
  <c r="AY17" i="4"/>
  <c r="BA15" i="4"/>
  <c r="AZ15" i="4"/>
  <c r="AY15" i="4"/>
  <c r="BA11" i="4"/>
  <c r="AZ11" i="4"/>
  <c r="BA11" i="11" s="1"/>
  <c r="AY11" i="4"/>
  <c r="BA10" i="4"/>
  <c r="AZ10" i="4"/>
  <c r="AY10" i="4"/>
  <c r="BA9" i="4"/>
  <c r="AZ9" i="4"/>
  <c r="AY9" i="4"/>
  <c r="G44" i="21"/>
  <c r="F44" i="21"/>
  <c r="E44" i="21"/>
  <c r="G39" i="21"/>
  <c r="G38" i="21"/>
  <c r="F39" i="21"/>
  <c r="F38" i="21"/>
  <c r="E39" i="21"/>
  <c r="E38" i="21"/>
  <c r="G21" i="21"/>
  <c r="G20" i="21"/>
  <c r="F21" i="21"/>
  <c r="F20" i="21"/>
  <c r="E21" i="21"/>
  <c r="E20" i="21"/>
  <c r="H44" i="21"/>
  <c r="H39" i="21"/>
  <c r="H38" i="21"/>
  <c r="H28" i="21"/>
  <c r="H27" i="21"/>
  <c r="H26" i="21"/>
  <c r="H21" i="21"/>
  <c r="H20" i="21"/>
  <c r="H10" i="21"/>
  <c r="H9" i="21"/>
  <c r="H8" i="21"/>
  <c r="C15" i="19"/>
  <c r="B15" i="19"/>
  <c r="BF30" i="15"/>
  <c r="BF16" i="15"/>
  <c r="BF8" i="15"/>
  <c r="BF24" i="15"/>
  <c r="BF30" i="16"/>
  <c r="BF16" i="16"/>
  <c r="BF8" i="16"/>
  <c r="BF24" i="16"/>
  <c r="BF8" i="14"/>
  <c r="BF39" i="14"/>
  <c r="BF39" i="13"/>
  <c r="BF8" i="13"/>
  <c r="BF48" i="13"/>
  <c r="BF89" i="11"/>
  <c r="BF80" i="11"/>
  <c r="BF74" i="11"/>
  <c r="BF70" i="11"/>
  <c r="BF62" i="11"/>
  <c r="BF54" i="11"/>
  <c r="BF45" i="11"/>
  <c r="BF38" i="11"/>
  <c r="BF30" i="11"/>
  <c r="BF23" i="11"/>
  <c r="BF14" i="11"/>
  <c r="BF89" i="12"/>
  <c r="BF80" i="12"/>
  <c r="BF74" i="12"/>
  <c r="BF70" i="12"/>
  <c r="BF62" i="12"/>
  <c r="BF54" i="12"/>
  <c r="BF45" i="12"/>
  <c r="BF38" i="12"/>
  <c r="BF30" i="12"/>
  <c r="BF23" i="12"/>
  <c r="BF14" i="12"/>
  <c r="BF164" i="4"/>
  <c r="BF166" i="4"/>
  <c r="BF165" i="4"/>
  <c r="BF133" i="4"/>
  <c r="BF132" i="4"/>
  <c r="BF130" i="4"/>
  <c r="BF122" i="4"/>
  <c r="BF117" i="4"/>
  <c r="BF120" i="4"/>
  <c r="BF123" i="4"/>
  <c r="BF125" i="4" s="1"/>
  <c r="BF129" i="4"/>
  <c r="BF113" i="4"/>
  <c r="BF115" i="4"/>
  <c r="BF135" i="4"/>
  <c r="BF134" i="4"/>
  <c r="BF124" i="4"/>
  <c r="BF121" i="4"/>
  <c r="BF119" i="4"/>
  <c r="BE120" i="4"/>
  <c r="BE119" i="4"/>
  <c r="BD119" i="4"/>
  <c r="BF114" i="4"/>
  <c r="BF112" i="4"/>
  <c r="BF159" i="4"/>
  <c r="BF158" i="4"/>
  <c r="BF90" i="4"/>
  <c r="BF74" i="4"/>
  <c r="BF163" i="4"/>
  <c r="BF156" i="4"/>
  <c r="BF148" i="4"/>
  <c r="BF140" i="4"/>
  <c r="BF95" i="4"/>
  <c r="BF85" i="4"/>
  <c r="BF76" i="4"/>
  <c r="BF72" i="4"/>
  <c r="BF64" i="4"/>
  <c r="BF55" i="4"/>
  <c r="BF46" i="4"/>
  <c r="BF39" i="4"/>
  <c r="BF30" i="4"/>
  <c r="BF23" i="4"/>
  <c r="BF14" i="4"/>
  <c r="BF8" i="7"/>
  <c r="BF31" i="7"/>
  <c r="BF24" i="7"/>
  <c r="BF16" i="7"/>
  <c r="BF71" i="5"/>
  <c r="BF79" i="5"/>
  <c r="BF62" i="5"/>
  <c r="BF51" i="5"/>
  <c r="BF40" i="5"/>
  <c r="BF32" i="5"/>
  <c r="BF23" i="5"/>
  <c r="BF15" i="5"/>
  <c r="G28" i="21"/>
  <c r="G26" i="21"/>
  <c r="G27" i="21"/>
  <c r="G10" i="21"/>
  <c r="G9" i="21"/>
  <c r="G8" i="21"/>
  <c r="F28" i="21"/>
  <c r="F27" i="21"/>
  <c r="F33" i="21" s="1"/>
  <c r="F26" i="21"/>
  <c r="F10" i="21"/>
  <c r="F8" i="21"/>
  <c r="F9" i="21"/>
  <c r="E26" i="21"/>
  <c r="E27" i="21"/>
  <c r="E28" i="21"/>
  <c r="E8" i="21"/>
  <c r="E9" i="21"/>
  <c r="E10" i="21"/>
  <c r="AX164" i="4"/>
  <c r="AX166" i="4"/>
  <c r="AX165" i="4"/>
  <c r="AY164" i="4"/>
  <c r="AY166" i="4"/>
  <c r="AY165" i="4"/>
  <c r="AZ164" i="4"/>
  <c r="AZ165" i="4"/>
  <c r="AZ166" i="4"/>
  <c r="BA164" i="4"/>
  <c r="BA166" i="4"/>
  <c r="BA165" i="4"/>
  <c r="BB166" i="4"/>
  <c r="BB165" i="4"/>
  <c r="BB164" i="4"/>
  <c r="BC166" i="4"/>
  <c r="BC165" i="4"/>
  <c r="BC164" i="4"/>
  <c r="BD164" i="4"/>
  <c r="BE164" i="4"/>
  <c r="BD166" i="4"/>
  <c r="BD165" i="4"/>
  <c r="AX159" i="4"/>
  <c r="AX158" i="4"/>
  <c r="AX157" i="4"/>
  <c r="AY159" i="4"/>
  <c r="AY158" i="4"/>
  <c r="AY157" i="4"/>
  <c r="AZ159" i="4"/>
  <c r="AZ158" i="4"/>
  <c r="AZ157" i="4"/>
  <c r="BA159" i="4"/>
  <c r="BA158" i="4"/>
  <c r="BA157" i="4"/>
  <c r="BB159" i="4"/>
  <c r="BB158" i="4"/>
  <c r="BB157" i="4"/>
  <c r="BC159" i="4"/>
  <c r="BC158" i="4"/>
  <c r="BC157" i="4"/>
  <c r="BD159" i="4"/>
  <c r="BD158" i="4"/>
  <c r="BD157" i="4"/>
  <c r="AZ163" i="4"/>
  <c r="BA163" i="4"/>
  <c r="BB163" i="4"/>
  <c r="BC163" i="4"/>
  <c r="BD163" i="4"/>
  <c r="AY163" i="4"/>
  <c r="AZ156" i="4"/>
  <c r="BA156" i="4"/>
  <c r="BB156" i="4"/>
  <c r="BC156" i="4"/>
  <c r="BD156" i="4"/>
  <c r="AY156" i="4"/>
  <c r="BE166" i="4"/>
  <c r="BE165" i="4"/>
  <c r="BE159" i="4"/>
  <c r="BE158" i="4"/>
  <c r="BE157" i="4"/>
  <c r="BE156" i="4"/>
  <c r="BE163" i="4"/>
  <c r="AY43" i="4"/>
  <c r="AY152" i="4" s="1"/>
  <c r="AZ43" i="4"/>
  <c r="AZ152" i="4" s="1"/>
  <c r="BA43" i="4"/>
  <c r="BA152" i="4" s="1"/>
  <c r="BB43" i="4"/>
  <c r="BB152" i="4" s="1"/>
  <c r="BC43" i="4"/>
  <c r="BC152" i="4" s="1"/>
  <c r="BD43" i="4"/>
  <c r="BD152" i="4" s="1"/>
  <c r="BE43" i="4"/>
  <c r="BE152" i="4" s="1"/>
  <c r="BD151" i="4"/>
  <c r="BA143" i="4"/>
  <c r="BD33" i="11"/>
  <c r="AZ105" i="4"/>
  <c r="AY148" i="4"/>
  <c r="AZ148" i="4"/>
  <c r="BA148" i="4"/>
  <c r="BB148" i="4"/>
  <c r="BC148" i="4"/>
  <c r="BD148" i="4"/>
  <c r="BE148" i="4"/>
  <c r="AY140" i="4"/>
  <c r="AZ140" i="4"/>
  <c r="BA140" i="4"/>
  <c r="BB140" i="4"/>
  <c r="BC140" i="4"/>
  <c r="BD140" i="4"/>
  <c r="BE140" i="4"/>
  <c r="BC34" i="12"/>
  <c r="BC143" i="4"/>
  <c r="BD143" i="4"/>
  <c r="BD142" i="4"/>
  <c r="AX41" i="4"/>
  <c r="AX32" i="4"/>
  <c r="AX42" i="4"/>
  <c r="AX151" i="4" s="1"/>
  <c r="AX33" i="4"/>
  <c r="AX143" i="4" s="1"/>
  <c r="AX43" i="4"/>
  <c r="AX152" i="4" s="1"/>
  <c r="AX40" i="4"/>
  <c r="AX31" i="4"/>
  <c r="AX148" i="4"/>
  <c r="AX163" i="4"/>
  <c r="AX156" i="4"/>
  <c r="AX34" i="4"/>
  <c r="AX140" i="4"/>
  <c r="BE33" i="7"/>
  <c r="BE26" i="7"/>
  <c r="BE8" i="7"/>
  <c r="BA33" i="7"/>
  <c r="BA26" i="7"/>
  <c r="BA8" i="7"/>
  <c r="BE82" i="5"/>
  <c r="BE81" i="5"/>
  <c r="BE74" i="5"/>
  <c r="BE73" i="5"/>
  <c r="BE65" i="5"/>
  <c r="BE64" i="5"/>
  <c r="BE54" i="5"/>
  <c r="BE53" i="5"/>
  <c r="BA82" i="5"/>
  <c r="BA81" i="5"/>
  <c r="BA74" i="5"/>
  <c r="BA73" i="5"/>
  <c r="BA65" i="5"/>
  <c r="BA64" i="5"/>
  <c r="BA54" i="5"/>
  <c r="BA53" i="5"/>
  <c r="BE80" i="4"/>
  <c r="BE79" i="4"/>
  <c r="BE78" i="4"/>
  <c r="BA80" i="4"/>
  <c r="BA79" i="4"/>
  <c r="BA78" i="4"/>
  <c r="BE135" i="4"/>
  <c r="BE134" i="4"/>
  <c r="BE133" i="4"/>
  <c r="BE132" i="4"/>
  <c r="BE130" i="4"/>
  <c r="BE129" i="4"/>
  <c r="BE124" i="4"/>
  <c r="BE123" i="4"/>
  <c r="BE122" i="4"/>
  <c r="BE121" i="4"/>
  <c r="BE118" i="4"/>
  <c r="BE117" i="4"/>
  <c r="BE115" i="4"/>
  <c r="BE113" i="4"/>
  <c r="BE8" i="15"/>
  <c r="BE30" i="15"/>
  <c r="BD25" i="16"/>
  <c r="BE24" i="15"/>
  <c r="BE16" i="15"/>
  <c r="BE8" i="16"/>
  <c r="BE30" i="16"/>
  <c r="BE24" i="16"/>
  <c r="BE16" i="16"/>
  <c r="BE8" i="14"/>
  <c r="BE66" i="14"/>
  <c r="BE57" i="14"/>
  <c r="BE48" i="14"/>
  <c r="BE39" i="14"/>
  <c r="BE33" i="14"/>
  <c r="BE32" i="14"/>
  <c r="BE23" i="14"/>
  <c r="BE15" i="14"/>
  <c r="BE8" i="13"/>
  <c r="BE66" i="13"/>
  <c r="BE57" i="13"/>
  <c r="BE48" i="13"/>
  <c r="BE39" i="13"/>
  <c r="BE32" i="13"/>
  <c r="BE26" i="13"/>
  <c r="BE23" i="13"/>
  <c r="BE15" i="13"/>
  <c r="BE89" i="11"/>
  <c r="BE82" i="11"/>
  <c r="BE80" i="11"/>
  <c r="BE74" i="11"/>
  <c r="BE70" i="11"/>
  <c r="BE62" i="11"/>
  <c r="BE54" i="11"/>
  <c r="BE45" i="11"/>
  <c r="BE38" i="11"/>
  <c r="BE30" i="11"/>
  <c r="BE23" i="11"/>
  <c r="BE14" i="11"/>
  <c r="BE31" i="7"/>
  <c r="BE24" i="7"/>
  <c r="BE16" i="7"/>
  <c r="BE56" i="5"/>
  <c r="BE36" i="5"/>
  <c r="BE83" i="5"/>
  <c r="BE71" i="5"/>
  <c r="BE79" i="5"/>
  <c r="BE62" i="5"/>
  <c r="BE51" i="5"/>
  <c r="BE40" i="5"/>
  <c r="BE32" i="5"/>
  <c r="BE23" i="5"/>
  <c r="BE15" i="5"/>
  <c r="BE114" i="4"/>
  <c r="BE112" i="4"/>
  <c r="BD106" i="4"/>
  <c r="BD109" i="4" s="1"/>
  <c r="BD105" i="4"/>
  <c r="BE106" i="4"/>
  <c r="BE105" i="4"/>
  <c r="BE90" i="4"/>
  <c r="BE60" i="4"/>
  <c r="BE125" i="4"/>
  <c r="BE95" i="4"/>
  <c r="BE85" i="4"/>
  <c r="BE76" i="4"/>
  <c r="BE72" i="4"/>
  <c r="BE64" i="4"/>
  <c r="BE55" i="4"/>
  <c r="BE46" i="4"/>
  <c r="BE39" i="4"/>
  <c r="BE30" i="4"/>
  <c r="BE23" i="4"/>
  <c r="BE14" i="4"/>
  <c r="BE89" i="12"/>
  <c r="BE80" i="12"/>
  <c r="BE74" i="12"/>
  <c r="BE70" i="12"/>
  <c r="BE62" i="12"/>
  <c r="BE54" i="12"/>
  <c r="BE45" i="12"/>
  <c r="BE38" i="12"/>
  <c r="BE30" i="12"/>
  <c r="BE23" i="12"/>
  <c r="BE18" i="12"/>
  <c r="BE14" i="12"/>
  <c r="BD33" i="7"/>
  <c r="BD26" i="7"/>
  <c r="AZ33" i="7"/>
  <c r="AZ26" i="7"/>
  <c r="BD82" i="5"/>
  <c r="BD83" i="5" s="1"/>
  <c r="BD81" i="5"/>
  <c r="BD74" i="5"/>
  <c r="BD73" i="5"/>
  <c r="BD65" i="5"/>
  <c r="BD64" i="5"/>
  <c r="BD54" i="5"/>
  <c r="BD53" i="5"/>
  <c r="AZ82" i="5"/>
  <c r="AZ83" i="5" s="1"/>
  <c r="AZ81" i="5"/>
  <c r="AZ74" i="5"/>
  <c r="AZ73" i="5"/>
  <c r="AZ65" i="5"/>
  <c r="AZ64" i="5"/>
  <c r="AZ54" i="5"/>
  <c r="AZ53" i="5"/>
  <c r="BD34" i="13"/>
  <c r="BD80" i="4"/>
  <c r="BD79" i="4"/>
  <c r="BD78" i="4"/>
  <c r="AZ80" i="4"/>
  <c r="AZ79" i="4"/>
  <c r="AZ78" i="4"/>
  <c r="BD133" i="4"/>
  <c r="BD132" i="4"/>
  <c r="BD130" i="4"/>
  <c r="BD123" i="4"/>
  <c r="BD125" i="4" s="1"/>
  <c r="BD122" i="4"/>
  <c r="BD120" i="4"/>
  <c r="BD117" i="4"/>
  <c r="BD115" i="4"/>
  <c r="BD113" i="4"/>
  <c r="BD8" i="15"/>
  <c r="BD30" i="15"/>
  <c r="BD24" i="15"/>
  <c r="BD16" i="15"/>
  <c r="BD10" i="15"/>
  <c r="BD31" i="16"/>
  <c r="BD8" i="16"/>
  <c r="BD30" i="16"/>
  <c r="BD24" i="16"/>
  <c r="BD17" i="16"/>
  <c r="BD16" i="16"/>
  <c r="BD10" i="16"/>
  <c r="BD70" i="14"/>
  <c r="BD8" i="14"/>
  <c r="BD66" i="14"/>
  <c r="BD57" i="14"/>
  <c r="BD52" i="14"/>
  <c r="BD48" i="14"/>
  <c r="BD39" i="14"/>
  <c r="BD32" i="14"/>
  <c r="BD23" i="14"/>
  <c r="BD15" i="14"/>
  <c r="BD71" i="13"/>
  <c r="BD70" i="13"/>
  <c r="BD8" i="13"/>
  <c r="BD66" i="13"/>
  <c r="BD62" i="13"/>
  <c r="BD57" i="13"/>
  <c r="BD48" i="13"/>
  <c r="BD39" i="13"/>
  <c r="BD32" i="13"/>
  <c r="BD23" i="13"/>
  <c r="BD15" i="13"/>
  <c r="BD91" i="11"/>
  <c r="BD89" i="11"/>
  <c r="BD85" i="11"/>
  <c r="BD80" i="11"/>
  <c r="BD74" i="11"/>
  <c r="BD70" i="11"/>
  <c r="BD65" i="11"/>
  <c r="BD62" i="11"/>
  <c r="BD54" i="11"/>
  <c r="BD45" i="11"/>
  <c r="BD40" i="11"/>
  <c r="BD38" i="11"/>
  <c r="BD30" i="11"/>
  <c r="BD23" i="11"/>
  <c r="BD14" i="11"/>
  <c r="BD11" i="11"/>
  <c r="BD93" i="12"/>
  <c r="BD91" i="12"/>
  <c r="BD89" i="12"/>
  <c r="BD85" i="12"/>
  <c r="BD80" i="12"/>
  <c r="BD74" i="12"/>
  <c r="BD70" i="12"/>
  <c r="BD63" i="12"/>
  <c r="BD62" i="12"/>
  <c r="BD54" i="12"/>
  <c r="BD45" i="12"/>
  <c r="BD40" i="12"/>
  <c r="BD39" i="12"/>
  <c r="BD38" i="12"/>
  <c r="BD30" i="12"/>
  <c r="BD23" i="12"/>
  <c r="BD14" i="12"/>
  <c r="BD9" i="12"/>
  <c r="BD8" i="7"/>
  <c r="BD31" i="7"/>
  <c r="BD24" i="7"/>
  <c r="BD16" i="7"/>
  <c r="BD56" i="5"/>
  <c r="BD36" i="5"/>
  <c r="BD71" i="5"/>
  <c r="BD79" i="5"/>
  <c r="BD62" i="5"/>
  <c r="BD51" i="5"/>
  <c r="BD40" i="5"/>
  <c r="BD32" i="5"/>
  <c r="BD23" i="5"/>
  <c r="BD15" i="5"/>
  <c r="BD90" i="4"/>
  <c r="BD60" i="4"/>
  <c r="BD95" i="4"/>
  <c r="BD85" i="4"/>
  <c r="BD76" i="4"/>
  <c r="BD72" i="4"/>
  <c r="BD64" i="4"/>
  <c r="BD55" i="4"/>
  <c r="BD46" i="4"/>
  <c r="BD39" i="4"/>
  <c r="BD30" i="4"/>
  <c r="BD27" i="4"/>
  <c r="BD23" i="4"/>
  <c r="BD14" i="4"/>
  <c r="BC33" i="7"/>
  <c r="BC26" i="7"/>
  <c r="BC82" i="5"/>
  <c r="BC83" i="5" s="1"/>
  <c r="BC81" i="5"/>
  <c r="BC74" i="5"/>
  <c r="BC73" i="5"/>
  <c r="BC65" i="5"/>
  <c r="BC64" i="5"/>
  <c r="BC54" i="5"/>
  <c r="BC53" i="5"/>
  <c r="BC80" i="4"/>
  <c r="BC79" i="4"/>
  <c r="BC78" i="4"/>
  <c r="BC105" i="4"/>
  <c r="AY105" i="4"/>
  <c r="BC135" i="4"/>
  <c r="BC134" i="4"/>
  <c r="BC133" i="4"/>
  <c r="BC132" i="4"/>
  <c r="BC130" i="4"/>
  <c r="BC129" i="4"/>
  <c r="BC124" i="4"/>
  <c r="BC123" i="4"/>
  <c r="BC122" i="4"/>
  <c r="BC121" i="4"/>
  <c r="BC120" i="4"/>
  <c r="BC119" i="4"/>
  <c r="BC118" i="4"/>
  <c r="BC117" i="4"/>
  <c r="BC106" i="4"/>
  <c r="BC109" i="4" s="1"/>
  <c r="BC8" i="15"/>
  <c r="BC30" i="15"/>
  <c r="BC24" i="15"/>
  <c r="BC18" i="15"/>
  <c r="BC16" i="15"/>
  <c r="BC10" i="15"/>
  <c r="BC8" i="16"/>
  <c r="BC30" i="16"/>
  <c r="BC24" i="16"/>
  <c r="BC18" i="16"/>
  <c r="BC16" i="16"/>
  <c r="BC10" i="16"/>
  <c r="BB67" i="14"/>
  <c r="BC8" i="14"/>
  <c r="BC66" i="14"/>
  <c r="BC57" i="14"/>
  <c r="BC48" i="14"/>
  <c r="BB42" i="14"/>
  <c r="BC39" i="14"/>
  <c r="BC32" i="14"/>
  <c r="BC23" i="14"/>
  <c r="BC15" i="14"/>
  <c r="AZ71" i="14"/>
  <c r="BC8" i="13"/>
  <c r="BC66" i="13"/>
  <c r="BC57" i="13"/>
  <c r="BC48" i="13"/>
  <c r="BC39" i="13"/>
  <c r="BC32" i="13"/>
  <c r="BC23" i="13"/>
  <c r="AZ18" i="14"/>
  <c r="BC18" i="13"/>
  <c r="BC15" i="13"/>
  <c r="BC91" i="11"/>
  <c r="BC89" i="11"/>
  <c r="BC80" i="11"/>
  <c r="BC74" i="11"/>
  <c r="BC70" i="11"/>
  <c r="BC62" i="11"/>
  <c r="BC56" i="11"/>
  <c r="BC54" i="11"/>
  <c r="BC46" i="11"/>
  <c r="BC45" i="11"/>
  <c r="BC38" i="11"/>
  <c r="BC30" i="11"/>
  <c r="BC23" i="11"/>
  <c r="BC18" i="11"/>
  <c r="BC14" i="11"/>
  <c r="BC93" i="12"/>
  <c r="AU97" i="4"/>
  <c r="BC89" i="12"/>
  <c r="BC80" i="12"/>
  <c r="BC75" i="12"/>
  <c r="BC74" i="12"/>
  <c r="BC70" i="12"/>
  <c r="BC62" i="12"/>
  <c r="BC56" i="12"/>
  <c r="BC54" i="12"/>
  <c r="BC47" i="12"/>
  <c r="BC45" i="12"/>
  <c r="BC38" i="12"/>
  <c r="BC30" i="12"/>
  <c r="BC26" i="12"/>
  <c r="BC23" i="12"/>
  <c r="BC14" i="12"/>
  <c r="BC8" i="7"/>
  <c r="BC31" i="7"/>
  <c r="BC24" i="7"/>
  <c r="BC16" i="7"/>
  <c r="BC56" i="5"/>
  <c r="BC36" i="5"/>
  <c r="BC71" i="5"/>
  <c r="BC79" i="5"/>
  <c r="BC62" i="5"/>
  <c r="BC51" i="5"/>
  <c r="BC40" i="5"/>
  <c r="BC32" i="5"/>
  <c r="BC23" i="5"/>
  <c r="BC15" i="5"/>
  <c r="BC115" i="4"/>
  <c r="BC114" i="4"/>
  <c r="BC113" i="4"/>
  <c r="BC112" i="4"/>
  <c r="BC90" i="4"/>
  <c r="BC60" i="4"/>
  <c r="BC95" i="4"/>
  <c r="BC85" i="4"/>
  <c r="BC76" i="4"/>
  <c r="BC74" i="4"/>
  <c r="BC72" i="4"/>
  <c r="BC64" i="4"/>
  <c r="BC55" i="4"/>
  <c r="BC46" i="4"/>
  <c r="BC39" i="4"/>
  <c r="BC30" i="4"/>
  <c r="BC23" i="4"/>
  <c r="BC14" i="4"/>
  <c r="AX17" i="7"/>
  <c r="AX19" i="7"/>
  <c r="AX33" i="7"/>
  <c r="AY33" i="7"/>
  <c r="AX32" i="7"/>
  <c r="AX26" i="7"/>
  <c r="AY26" i="7"/>
  <c r="AX25" i="7"/>
  <c r="AX18" i="7"/>
  <c r="AX11" i="7"/>
  <c r="AX10" i="7"/>
  <c r="AX9" i="7"/>
  <c r="AY54" i="5"/>
  <c r="AX74" i="5"/>
  <c r="AX76" i="5"/>
  <c r="AX52" i="5"/>
  <c r="AX56" i="5"/>
  <c r="AX73" i="5"/>
  <c r="AX54" i="5"/>
  <c r="AX55" i="5"/>
  <c r="AY74" i="5"/>
  <c r="AX82" i="5"/>
  <c r="AX67" i="5"/>
  <c r="AX66" i="5"/>
  <c r="AX65" i="5"/>
  <c r="AY65" i="5"/>
  <c r="AX64" i="5"/>
  <c r="AY64" i="5"/>
  <c r="AX63" i="5"/>
  <c r="AY56" i="5"/>
  <c r="AZ56" i="5"/>
  <c r="BA56" i="5"/>
  <c r="AX53" i="5"/>
  <c r="AY53" i="5"/>
  <c r="AX44" i="5"/>
  <c r="AX43" i="5"/>
  <c r="AX42" i="5"/>
  <c r="AX41" i="5"/>
  <c r="AY82" i="5"/>
  <c r="AY83" i="5" s="1"/>
  <c r="AX81" i="5"/>
  <c r="AY81" i="5"/>
  <c r="AY73" i="5"/>
  <c r="AX72" i="5"/>
  <c r="BB120" i="4"/>
  <c r="BA120" i="4"/>
  <c r="BB135" i="4"/>
  <c r="BB134" i="4"/>
  <c r="BB130" i="4"/>
  <c r="BB124" i="4"/>
  <c r="BB123" i="4"/>
  <c r="BB122" i="4"/>
  <c r="BB121" i="4"/>
  <c r="BB125" i="4" s="1"/>
  <c r="BB119" i="4"/>
  <c r="BB118" i="4"/>
  <c r="BB117" i="4"/>
  <c r="BB133" i="4"/>
  <c r="BB132" i="4"/>
  <c r="BB8" i="15"/>
  <c r="BB30" i="15"/>
  <c r="BB16" i="15"/>
  <c r="BB24" i="15"/>
  <c r="BB8" i="16"/>
  <c r="BB24" i="16"/>
  <c r="BB8" i="14"/>
  <c r="BB32" i="14"/>
  <c r="BB8" i="13"/>
  <c r="BB48" i="13"/>
  <c r="BB39" i="13"/>
  <c r="BB32" i="13"/>
  <c r="BB15" i="13"/>
  <c r="BB66" i="13"/>
  <c r="BB89" i="11"/>
  <c r="BB80" i="11"/>
  <c r="BB74" i="11"/>
  <c r="BB70" i="11"/>
  <c r="BB62" i="11"/>
  <c r="BB54" i="11"/>
  <c r="BB45" i="11"/>
  <c r="BB38" i="11"/>
  <c r="BB30" i="11"/>
  <c r="BB23" i="11"/>
  <c r="BB14" i="11"/>
  <c r="BB66" i="14"/>
  <c r="BB30" i="16"/>
  <c r="BB16" i="16"/>
  <c r="BB39" i="14"/>
  <c r="BB57" i="14"/>
  <c r="BB48" i="14"/>
  <c r="BB23" i="14"/>
  <c r="BB15" i="14"/>
  <c r="BB23" i="13"/>
  <c r="BB57" i="13"/>
  <c r="BB89" i="12"/>
  <c r="BB80" i="12"/>
  <c r="BB74" i="12"/>
  <c r="BB70" i="12"/>
  <c r="BB62" i="12"/>
  <c r="BB54" i="12"/>
  <c r="BB45" i="12"/>
  <c r="BB38" i="12"/>
  <c r="BB30" i="12"/>
  <c r="BB23" i="12"/>
  <c r="BB14" i="12"/>
  <c r="BB56" i="5"/>
  <c r="BB8" i="7"/>
  <c r="BB36" i="5"/>
  <c r="BB71" i="5"/>
  <c r="BB79" i="5"/>
  <c r="BB62" i="5"/>
  <c r="BB51" i="5"/>
  <c r="BB40" i="5"/>
  <c r="BB32" i="5"/>
  <c r="BB23" i="5"/>
  <c r="BB15" i="5"/>
  <c r="BB24" i="7"/>
  <c r="BB31" i="7"/>
  <c r="BB16" i="7"/>
  <c r="BB129" i="4"/>
  <c r="BB113" i="4"/>
  <c r="BB115" i="4"/>
  <c r="BB114" i="4"/>
  <c r="BB112" i="4"/>
  <c r="BB90" i="4"/>
  <c r="BB60" i="4"/>
  <c r="BB95" i="4"/>
  <c r="BB85" i="4"/>
  <c r="BB76" i="4"/>
  <c r="BB72" i="4"/>
  <c r="BB64" i="4"/>
  <c r="BB55" i="4"/>
  <c r="BB46" i="4"/>
  <c r="BB39" i="4"/>
  <c r="BB30" i="4"/>
  <c r="BB23" i="4"/>
  <c r="BB14" i="4"/>
  <c r="BB74" i="4"/>
  <c r="AY36" i="5"/>
  <c r="AY90" i="4"/>
  <c r="AY80" i="4"/>
  <c r="AY79" i="4"/>
  <c r="AY78" i="4"/>
  <c r="AY60" i="4"/>
  <c r="AY114" i="4"/>
  <c r="AY115" i="4"/>
  <c r="BA8" i="15"/>
  <c r="BA24" i="15"/>
  <c r="BA8" i="16"/>
  <c r="BA24" i="16"/>
  <c r="BA16" i="16"/>
  <c r="BA30" i="16"/>
  <c r="BA16" i="15"/>
  <c r="BA30" i="15"/>
  <c r="BA133" i="4"/>
  <c r="BA132" i="4"/>
  <c r="BA130" i="4"/>
  <c r="BA123" i="4"/>
  <c r="BA122" i="4"/>
  <c r="BA117" i="4"/>
  <c r="BA115" i="4"/>
  <c r="BA113" i="4"/>
  <c r="BA135" i="4"/>
  <c r="BA134" i="4"/>
  <c r="BA129" i="4"/>
  <c r="BA124" i="4"/>
  <c r="BA121" i="4"/>
  <c r="BA119" i="4"/>
  <c r="BA118" i="4"/>
  <c r="BA114" i="4"/>
  <c r="BA112" i="4"/>
  <c r="AZ112" i="4"/>
  <c r="BA106" i="4"/>
  <c r="BA109" i="4" s="1"/>
  <c r="BA105" i="4"/>
  <c r="BA104" i="4" s="1"/>
  <c r="AZ36" i="5"/>
  <c r="AZ90" i="4"/>
  <c r="AZ60" i="4"/>
  <c r="BB61" i="14"/>
  <c r="BB18" i="15"/>
  <c r="BB17" i="15"/>
  <c r="BB9" i="15"/>
  <c r="BB58" i="14"/>
  <c r="BB49" i="14"/>
  <c r="BA36" i="5"/>
  <c r="BB94" i="11"/>
  <c r="BB85" i="11"/>
  <c r="BA90" i="4"/>
  <c r="BB65" i="11"/>
  <c r="BB64" i="11"/>
  <c r="BA60" i="4"/>
  <c r="BB58" i="11"/>
  <c r="BB56" i="11"/>
  <c r="BB46" i="11"/>
  <c r="BB31" i="11"/>
  <c r="BB71" i="11"/>
  <c r="BA9" i="15"/>
  <c r="BA25" i="15"/>
  <c r="BA17" i="15"/>
  <c r="BB18" i="11"/>
  <c r="BB15" i="11"/>
  <c r="BA8" i="14"/>
  <c r="BA57" i="14"/>
  <c r="BA17" i="14"/>
  <c r="BA41" i="14"/>
  <c r="BA49" i="14"/>
  <c r="BA62" i="14"/>
  <c r="BA66" i="14"/>
  <c r="BA67" i="14"/>
  <c r="BA8" i="13"/>
  <c r="BA39" i="13"/>
  <c r="BA23" i="13"/>
  <c r="BA14" i="11"/>
  <c r="BA23" i="11"/>
  <c r="BA30" i="11"/>
  <c r="BA38" i="11"/>
  <c r="BA45" i="11"/>
  <c r="BA46" i="11"/>
  <c r="BA47" i="11"/>
  <c r="BA54" i="11"/>
  <c r="BA56" i="11"/>
  <c r="BA62" i="11"/>
  <c r="BA63" i="11"/>
  <c r="BA65" i="11"/>
  <c r="BA70" i="11"/>
  <c r="BA74" i="11"/>
  <c r="BA80" i="11"/>
  <c r="BA89" i="11"/>
  <c r="BA92" i="11"/>
  <c r="BA94" i="11"/>
  <c r="BA14" i="12"/>
  <c r="BA23" i="12"/>
  <c r="BA30" i="12"/>
  <c r="BA38" i="12"/>
  <c r="BA45" i="12"/>
  <c r="BA54" i="12"/>
  <c r="BA62" i="12"/>
  <c r="BA70" i="12"/>
  <c r="BA74" i="12"/>
  <c r="BA80" i="12"/>
  <c r="BA89" i="12"/>
  <c r="BA31" i="7"/>
  <c r="BA14" i="4"/>
  <c r="BA23" i="4"/>
  <c r="BA30" i="4"/>
  <c r="BA39" i="4"/>
  <c r="BA46" i="4"/>
  <c r="BA55" i="4"/>
  <c r="BA64" i="4"/>
  <c r="BA72" i="4"/>
  <c r="BA76" i="4"/>
  <c r="BA85" i="4"/>
  <c r="BA95" i="4"/>
  <c r="BA15" i="5"/>
  <c r="BA23" i="5"/>
  <c r="BA32" i="5"/>
  <c r="BA40" i="5"/>
  <c r="BA51" i="5"/>
  <c r="BA62" i="5"/>
  <c r="BA71" i="5"/>
  <c r="BA79" i="5"/>
  <c r="BA57" i="13"/>
  <c r="BA39" i="14"/>
  <c r="BA23" i="14"/>
  <c r="BA32" i="14"/>
  <c r="BA18" i="11"/>
  <c r="BA48" i="14"/>
  <c r="BA15" i="14"/>
  <c r="BA48" i="13"/>
  <c r="BA32" i="13"/>
  <c r="BA66" i="13"/>
  <c r="BA15" i="13"/>
  <c r="BA16" i="7"/>
  <c r="BA24" i="7"/>
  <c r="AZ130" i="4"/>
  <c r="AZ129" i="4"/>
  <c r="AZ124" i="4"/>
  <c r="AZ123" i="4"/>
  <c r="AZ122" i="4"/>
  <c r="AY122" i="4"/>
  <c r="AZ120" i="4"/>
  <c r="AZ119" i="4"/>
  <c r="AZ118" i="4"/>
  <c r="AY118" i="4"/>
  <c r="AZ117" i="4"/>
  <c r="AZ115" i="4"/>
  <c r="AZ113" i="4"/>
  <c r="AZ135" i="4"/>
  <c r="AZ134" i="4"/>
  <c r="AZ133" i="4"/>
  <c r="AZ132" i="4"/>
  <c r="AZ125" i="4"/>
  <c r="AZ106" i="4"/>
  <c r="AZ109" i="4" s="1"/>
  <c r="AZ8" i="15"/>
  <c r="AZ30" i="15"/>
  <c r="AZ8" i="16"/>
  <c r="AZ30" i="16"/>
  <c r="AZ24" i="16"/>
  <c r="AZ8" i="14"/>
  <c r="AZ57" i="14"/>
  <c r="AZ39" i="14"/>
  <c r="AZ66" i="14"/>
  <c r="AZ8" i="13"/>
  <c r="AZ23" i="13"/>
  <c r="AZ15" i="13"/>
  <c r="AZ14" i="11"/>
  <c r="AZ23" i="11"/>
  <c r="AZ30" i="11"/>
  <c r="AZ38" i="11"/>
  <c r="AZ45" i="11"/>
  <c r="AZ54" i="11"/>
  <c r="AZ62" i="11"/>
  <c r="AZ70" i="11"/>
  <c r="AZ74" i="11"/>
  <c r="AZ80" i="11"/>
  <c r="AZ89" i="11"/>
  <c r="AZ14" i="12"/>
  <c r="AZ23" i="12"/>
  <c r="AZ30" i="12"/>
  <c r="AZ38" i="12"/>
  <c r="AZ45" i="12"/>
  <c r="AZ54" i="12"/>
  <c r="AZ62" i="12"/>
  <c r="AZ70" i="12"/>
  <c r="AZ74" i="12"/>
  <c r="AZ80" i="12"/>
  <c r="AZ89" i="12"/>
  <c r="AZ8" i="7"/>
  <c r="AZ24" i="7"/>
  <c r="AZ8" i="5"/>
  <c r="AZ15" i="5"/>
  <c r="AZ51" i="5"/>
  <c r="AZ14" i="4"/>
  <c r="AZ23" i="4"/>
  <c r="AZ30" i="4"/>
  <c r="AZ39" i="4"/>
  <c r="AZ46" i="4"/>
  <c r="AZ55" i="4"/>
  <c r="AZ64" i="4"/>
  <c r="AZ72" i="4"/>
  <c r="AZ76" i="4"/>
  <c r="AZ85" i="4"/>
  <c r="AZ95" i="4"/>
  <c r="AZ66" i="13"/>
  <c r="AZ57" i="13"/>
  <c r="AZ48" i="13"/>
  <c r="AZ23" i="14"/>
  <c r="AZ39" i="13"/>
  <c r="AZ32" i="13"/>
  <c r="AZ24" i="15"/>
  <c r="AZ16" i="15"/>
  <c r="AZ16" i="16"/>
  <c r="AZ48" i="14"/>
  <c r="AZ32" i="14"/>
  <c r="AZ15" i="14"/>
  <c r="AZ16" i="7"/>
  <c r="AZ31" i="7"/>
  <c r="AZ62" i="5"/>
  <c r="AZ23" i="5"/>
  <c r="AZ25" i="15"/>
  <c r="AZ17" i="15"/>
  <c r="AZ10" i="15"/>
  <c r="AZ9" i="15"/>
  <c r="AZ49" i="14"/>
  <c r="AY133" i="4"/>
  <c r="AY132" i="4"/>
  <c r="AY130" i="4"/>
  <c r="AY123" i="4"/>
  <c r="AY120" i="4"/>
  <c r="AY117" i="4"/>
  <c r="AY113" i="4"/>
  <c r="AY106" i="4"/>
  <c r="AY109" i="4" s="1"/>
  <c r="AZ93" i="11"/>
  <c r="AZ90" i="11"/>
  <c r="AZ83" i="11"/>
  <c r="AZ82" i="11"/>
  <c r="AZ75" i="11"/>
  <c r="AZ63" i="11"/>
  <c r="AZ56" i="11"/>
  <c r="AZ50" i="11"/>
  <c r="AZ47" i="11"/>
  <c r="AZ40" i="11"/>
  <c r="AZ32" i="11"/>
  <c r="AZ26" i="11"/>
  <c r="AZ25" i="11"/>
  <c r="AZ24" i="11"/>
  <c r="AZ9" i="11"/>
  <c r="AZ17" i="14"/>
  <c r="AZ40" i="14"/>
  <c r="AY8" i="15"/>
  <c r="AY16" i="15"/>
  <c r="AY8" i="16"/>
  <c r="AY30" i="16"/>
  <c r="AY8" i="14"/>
  <c r="AY66" i="14"/>
  <c r="AY23" i="14"/>
  <c r="AY39" i="14"/>
  <c r="AY57" i="14"/>
  <c r="AY8" i="13"/>
  <c r="AY15" i="13"/>
  <c r="AY32" i="14"/>
  <c r="AY57" i="13"/>
  <c r="AY15" i="14"/>
  <c r="AY39" i="13"/>
  <c r="AY23" i="13"/>
  <c r="AY30" i="15"/>
  <c r="AY24" i="15"/>
  <c r="AY24" i="16"/>
  <c r="AY16" i="16"/>
  <c r="AY48" i="14"/>
  <c r="AY48" i="13"/>
  <c r="AY32" i="13"/>
  <c r="AY66" i="13"/>
  <c r="AY14" i="12"/>
  <c r="AY23" i="12"/>
  <c r="AY30" i="12"/>
  <c r="AY38" i="12"/>
  <c r="AY45" i="12"/>
  <c r="AY54" i="12"/>
  <c r="AY62" i="12"/>
  <c r="AY70" i="12"/>
  <c r="AY74" i="12"/>
  <c r="AY80" i="12"/>
  <c r="AY89" i="12"/>
  <c r="AY8" i="7"/>
  <c r="AY31" i="7"/>
  <c r="AY16" i="7"/>
  <c r="AY24" i="7"/>
  <c r="AY14" i="11"/>
  <c r="AY23" i="11"/>
  <c r="AY30" i="11"/>
  <c r="AY38" i="11"/>
  <c r="AY45" i="11"/>
  <c r="AY54" i="11"/>
  <c r="AY62" i="11"/>
  <c r="AY70" i="11"/>
  <c r="AY74" i="11"/>
  <c r="AY80" i="11"/>
  <c r="AY89" i="11"/>
  <c r="AY8" i="5"/>
  <c r="AY71" i="5"/>
  <c r="AY79" i="5"/>
  <c r="AY135" i="4"/>
  <c r="AY134" i="4"/>
  <c r="AY129" i="4"/>
  <c r="AY124" i="4"/>
  <c r="AY121" i="4"/>
  <c r="AY119" i="4"/>
  <c r="AX119" i="4"/>
  <c r="AX118" i="4"/>
  <c r="AX112" i="4"/>
  <c r="AY32" i="5"/>
  <c r="AY40" i="5"/>
  <c r="AX135" i="4"/>
  <c r="AX134" i="4"/>
  <c r="AX133" i="4"/>
  <c r="AX132" i="4"/>
  <c r="AX130" i="4"/>
  <c r="AX129" i="4"/>
  <c r="AX124" i="4"/>
  <c r="AX123" i="4"/>
  <c r="AX122" i="4"/>
  <c r="AX121" i="4"/>
  <c r="AX120" i="4"/>
  <c r="AX117" i="4"/>
  <c r="AX115" i="4"/>
  <c r="AX113" i="4"/>
  <c r="AY112" i="4"/>
  <c r="AW112" i="4"/>
  <c r="AY14" i="4"/>
  <c r="AY23" i="4"/>
  <c r="AY30" i="4"/>
  <c r="AY39" i="4"/>
  <c r="AY46" i="4"/>
  <c r="AY55" i="4"/>
  <c r="AY64" i="4"/>
  <c r="AY72" i="4"/>
  <c r="AY76" i="4"/>
  <c r="AY85" i="4"/>
  <c r="AY95" i="4"/>
  <c r="AT82" i="5"/>
  <c r="AT83" i="5" s="1"/>
  <c r="AT81" i="5"/>
  <c r="AX75" i="5"/>
  <c r="AT52" i="5"/>
  <c r="AX49" i="13" s="1"/>
  <c r="AT55" i="5"/>
  <c r="AT54" i="5"/>
  <c r="AT53" i="5"/>
  <c r="AX24" i="5"/>
  <c r="AX25" i="5"/>
  <c r="AX26" i="5"/>
  <c r="AX9" i="5"/>
  <c r="AY9" i="14" s="1"/>
  <c r="AX10" i="5"/>
  <c r="AT43" i="5"/>
  <c r="AT42" i="5"/>
  <c r="AT41" i="5"/>
  <c r="AX100" i="4"/>
  <c r="AX99" i="4"/>
  <c r="AX98" i="4"/>
  <c r="AX97" i="4"/>
  <c r="BB91" i="12" s="1"/>
  <c r="AX96" i="4"/>
  <c r="AX89" i="4"/>
  <c r="AX88" i="4"/>
  <c r="AX87" i="4"/>
  <c r="AX86" i="4"/>
  <c r="AX80" i="4"/>
  <c r="AX79" i="4"/>
  <c r="AX78" i="4"/>
  <c r="AX77" i="4"/>
  <c r="AX73" i="4"/>
  <c r="AX68" i="4"/>
  <c r="AX67" i="4"/>
  <c r="AX66" i="4"/>
  <c r="AX65" i="4"/>
  <c r="AX105" i="4"/>
  <c r="AW33" i="4"/>
  <c r="AX33" i="11" s="1"/>
  <c r="C52" i="18"/>
  <c r="B36" i="18"/>
  <c r="A2" i="20"/>
  <c r="A1" i="20"/>
  <c r="A2" i="19"/>
  <c r="A1" i="19"/>
  <c r="C95" i="18"/>
  <c r="C86" i="18"/>
  <c r="B86" i="18"/>
  <c r="B77" i="18"/>
  <c r="C73" i="18"/>
  <c r="C65" i="18"/>
  <c r="B65" i="18"/>
  <c r="C59" i="18"/>
  <c r="C43" i="18"/>
  <c r="C36" i="18"/>
  <c r="C29" i="18"/>
  <c r="C22" i="18"/>
  <c r="B22" i="18"/>
  <c r="D8" i="18"/>
  <c r="D43" i="18" s="1"/>
  <c r="C77" i="18"/>
  <c r="E8" i="18"/>
  <c r="D36" i="18" s="1"/>
  <c r="B29" i="18"/>
  <c r="B43" i="18"/>
  <c r="B52" i="18"/>
  <c r="B59" i="18"/>
  <c r="B73" i="18"/>
  <c r="B95" i="18"/>
  <c r="B14" i="18"/>
  <c r="C14" i="18"/>
  <c r="AW56" i="5"/>
  <c r="AW55" i="5"/>
  <c r="AW52" i="14" s="1"/>
  <c r="AW44" i="5"/>
  <c r="AV56" i="5"/>
  <c r="AV55" i="5"/>
  <c r="AV44" i="5"/>
  <c r="AV36" i="5"/>
  <c r="AV18" i="5"/>
  <c r="AZ18" i="13" s="1"/>
  <c r="AV17" i="5"/>
  <c r="AV16" i="5"/>
  <c r="AU56" i="5"/>
  <c r="AU53" i="5"/>
  <c r="AU54" i="5"/>
  <c r="AU55" i="5"/>
  <c r="AU52" i="5"/>
  <c r="AY49" i="13"/>
  <c r="AU44" i="5"/>
  <c r="AU36" i="5"/>
  <c r="AU34" i="5"/>
  <c r="AU34" i="14" s="1"/>
  <c r="AT34" i="5"/>
  <c r="AU35" i="5"/>
  <c r="AU33" i="5"/>
  <c r="AT33" i="5"/>
  <c r="AU18" i="5"/>
  <c r="AY18" i="13" s="1"/>
  <c r="AU17" i="5"/>
  <c r="AU16" i="5"/>
  <c r="AT56" i="5"/>
  <c r="AT44" i="5"/>
  <c r="AT35" i="5"/>
  <c r="AT36" i="5"/>
  <c r="AT18" i="5"/>
  <c r="AT17" i="5"/>
  <c r="AT16" i="5"/>
  <c r="AX106" i="4"/>
  <c r="AW25" i="7"/>
  <c r="AX36" i="5"/>
  <c r="AX34" i="5"/>
  <c r="AX35" i="5"/>
  <c r="AX33" i="5"/>
  <c r="AX18" i="5"/>
  <c r="AX17" i="5"/>
  <c r="AX16" i="5"/>
  <c r="AX91" i="4"/>
  <c r="BB85" i="12" s="1"/>
  <c r="AX90" i="4"/>
  <c r="AX60" i="4"/>
  <c r="AX59" i="4"/>
  <c r="AX58" i="4"/>
  <c r="AX57" i="4"/>
  <c r="AX56" i="4"/>
  <c r="AT56" i="4"/>
  <c r="AX26" i="4"/>
  <c r="AX25" i="4"/>
  <c r="AX24" i="4"/>
  <c r="AX51" i="4"/>
  <c r="AW51" i="4"/>
  <c r="AX50" i="4"/>
  <c r="AX49" i="4"/>
  <c r="AX48" i="4"/>
  <c r="AX47" i="4"/>
  <c r="AT47" i="4"/>
  <c r="AX19" i="4"/>
  <c r="AX18" i="4"/>
  <c r="AX17" i="4"/>
  <c r="AX15" i="4"/>
  <c r="AX10" i="4"/>
  <c r="AX11" i="4"/>
  <c r="AX9" i="4"/>
  <c r="AW8" i="15"/>
  <c r="AX8" i="15"/>
  <c r="AX30" i="15"/>
  <c r="AW8" i="16"/>
  <c r="AW30" i="16"/>
  <c r="AX8" i="16"/>
  <c r="AX24" i="16"/>
  <c r="AW8" i="14"/>
  <c r="AW48" i="14"/>
  <c r="AX8" i="14"/>
  <c r="AW23" i="14"/>
  <c r="AW39" i="14"/>
  <c r="AW66" i="14"/>
  <c r="AW8" i="13"/>
  <c r="AW48" i="13"/>
  <c r="AX8" i="13"/>
  <c r="AX32" i="13"/>
  <c r="AW39" i="13"/>
  <c r="AX57" i="13"/>
  <c r="AW14" i="11"/>
  <c r="AX14" i="11"/>
  <c r="AW23" i="11"/>
  <c r="AX23" i="11"/>
  <c r="AW30" i="11"/>
  <c r="AX30" i="11"/>
  <c r="AW38" i="11"/>
  <c r="AX38" i="11"/>
  <c r="AW45" i="11"/>
  <c r="AX45" i="11"/>
  <c r="AW54" i="11"/>
  <c r="AX54" i="11"/>
  <c r="AW62" i="11"/>
  <c r="AX62" i="11"/>
  <c r="AW70" i="11"/>
  <c r="AX70" i="11"/>
  <c r="AW74" i="11"/>
  <c r="AX74" i="11"/>
  <c r="AW80" i="11"/>
  <c r="AX80" i="11"/>
  <c r="AW89" i="11"/>
  <c r="AX89" i="11"/>
  <c r="AW14" i="12"/>
  <c r="AX14" i="12"/>
  <c r="AW23" i="12"/>
  <c r="AX23" i="12"/>
  <c r="AW30" i="12"/>
  <c r="AX30" i="12"/>
  <c r="AW38" i="12"/>
  <c r="AX38" i="12"/>
  <c r="AW45" i="12"/>
  <c r="AX45" i="12"/>
  <c r="AW54" i="12"/>
  <c r="AX54" i="12"/>
  <c r="AW62" i="12"/>
  <c r="AX62" i="12"/>
  <c r="AW70" i="12"/>
  <c r="AX70" i="12"/>
  <c r="AW74" i="12"/>
  <c r="AX74" i="12"/>
  <c r="AW80" i="12"/>
  <c r="AX80" i="12"/>
  <c r="AW89" i="12"/>
  <c r="AX89" i="12"/>
  <c r="AX8" i="7"/>
  <c r="AX31" i="7"/>
  <c r="AX8" i="5"/>
  <c r="AX32" i="5"/>
  <c r="AX14" i="4"/>
  <c r="AX23" i="4"/>
  <c r="AX30" i="4"/>
  <c r="AX39" i="4"/>
  <c r="AX46" i="4"/>
  <c r="AX55" i="4"/>
  <c r="AX64" i="4"/>
  <c r="AX72" i="4"/>
  <c r="AX76" i="4"/>
  <c r="AX85" i="4"/>
  <c r="AX95" i="4"/>
  <c r="AX16" i="15"/>
  <c r="AX24" i="15"/>
  <c r="AW36" i="5"/>
  <c r="AW90" i="4"/>
  <c r="AW89" i="4"/>
  <c r="BA84" i="12" s="1"/>
  <c r="AW88" i="4"/>
  <c r="AW86" i="4"/>
  <c r="AW87" i="4"/>
  <c r="AW60" i="4"/>
  <c r="AW43" i="4"/>
  <c r="AW133" i="4"/>
  <c r="AW132" i="4"/>
  <c r="AW129" i="4"/>
  <c r="AW130" i="4"/>
  <c r="AW123" i="4"/>
  <c r="AW124" i="4"/>
  <c r="AW122" i="4"/>
  <c r="AW121" i="4"/>
  <c r="AW120" i="4"/>
  <c r="AW119" i="4"/>
  <c r="AW118" i="4"/>
  <c r="AW117" i="4"/>
  <c r="AW115" i="4"/>
  <c r="AW114" i="4"/>
  <c r="AW113" i="4"/>
  <c r="AW106" i="4"/>
  <c r="AW109" i="4" s="1"/>
  <c r="AW105" i="4"/>
  <c r="AW33" i="7"/>
  <c r="AW32" i="7"/>
  <c r="AW26" i="7"/>
  <c r="AW19" i="7"/>
  <c r="BA19" i="16" s="1"/>
  <c r="AW18" i="7"/>
  <c r="AW17" i="7"/>
  <c r="AW11" i="7"/>
  <c r="AW10" i="7"/>
  <c r="AW9" i="7"/>
  <c r="BA9" i="16" s="1"/>
  <c r="AW82" i="5"/>
  <c r="AW83" i="5" s="1"/>
  <c r="AW81" i="5"/>
  <c r="AW76" i="5"/>
  <c r="AW75" i="5"/>
  <c r="AW74" i="5"/>
  <c r="AW73" i="5"/>
  <c r="AW72" i="5"/>
  <c r="BA67" i="13" s="1"/>
  <c r="AW66" i="5"/>
  <c r="AW65" i="5"/>
  <c r="AW64" i="5"/>
  <c r="AW63" i="5"/>
  <c r="AW54" i="5"/>
  <c r="AW53" i="5"/>
  <c r="AW52" i="5"/>
  <c r="AW43" i="5"/>
  <c r="AW42" i="5"/>
  <c r="AW41" i="5"/>
  <c r="AW35" i="5"/>
  <c r="AW34" i="5"/>
  <c r="AW33" i="5"/>
  <c r="AW26" i="5"/>
  <c r="AW25" i="5"/>
  <c r="AW24" i="5"/>
  <c r="AW18" i="5"/>
  <c r="AW17" i="5"/>
  <c r="AW16" i="5"/>
  <c r="AW10" i="5"/>
  <c r="AW9" i="5"/>
  <c r="AW100" i="4"/>
  <c r="AW99" i="4"/>
  <c r="AW98" i="4"/>
  <c r="BA92" i="12" s="1"/>
  <c r="AW97" i="4"/>
  <c r="AW96" i="4"/>
  <c r="AW80" i="4"/>
  <c r="AW79" i="4"/>
  <c r="AW78" i="4"/>
  <c r="AW77" i="4"/>
  <c r="AW73" i="4"/>
  <c r="AV73" i="4"/>
  <c r="AW68" i="4"/>
  <c r="AS68" i="4"/>
  <c r="AW67" i="4"/>
  <c r="AW66" i="4"/>
  <c r="BA64" i="12" s="1"/>
  <c r="AW65" i="4"/>
  <c r="AS65" i="4"/>
  <c r="AW59" i="4"/>
  <c r="AW58" i="4"/>
  <c r="AW57" i="4"/>
  <c r="BA56" i="12" s="1"/>
  <c r="AW56" i="4"/>
  <c r="AW50" i="4"/>
  <c r="AW49" i="4"/>
  <c r="BA48" i="12" s="1"/>
  <c r="AW48" i="4"/>
  <c r="AW47" i="4"/>
  <c r="AW42" i="4"/>
  <c r="AW41" i="4"/>
  <c r="AW40" i="4"/>
  <c r="AW34" i="4"/>
  <c r="AW32" i="4"/>
  <c r="AW31" i="4"/>
  <c r="AW26" i="4"/>
  <c r="AW25" i="4"/>
  <c r="AW24" i="4"/>
  <c r="AW19" i="4"/>
  <c r="AW18" i="4"/>
  <c r="BA18" i="12" s="1"/>
  <c r="AW17" i="4"/>
  <c r="AW15" i="4"/>
  <c r="BA15" i="12" s="1"/>
  <c r="AW10" i="4"/>
  <c r="AW11" i="4"/>
  <c r="AW9" i="4"/>
  <c r="AW8" i="7"/>
  <c r="AW31" i="7"/>
  <c r="AW8" i="5"/>
  <c r="AW71" i="5"/>
  <c r="AW79" i="5"/>
  <c r="AW14" i="4"/>
  <c r="AW23" i="4"/>
  <c r="AW30" i="4"/>
  <c r="AW39" i="4"/>
  <c r="AW46" i="4"/>
  <c r="AW55" i="4"/>
  <c r="AW64" i="4"/>
  <c r="AW72" i="4"/>
  <c r="AW76" i="4"/>
  <c r="AW85" i="4"/>
  <c r="AW95" i="4"/>
  <c r="AW24" i="7"/>
  <c r="AW16" i="7"/>
  <c r="AV12" i="5"/>
  <c r="AV130" i="4"/>
  <c r="AV135" i="4"/>
  <c r="AV134" i="4"/>
  <c r="AV120" i="4"/>
  <c r="AV124" i="4"/>
  <c r="AV123" i="4"/>
  <c r="AV122" i="4"/>
  <c r="AV118" i="4"/>
  <c r="AV115" i="4"/>
  <c r="AV114" i="4"/>
  <c r="AV113" i="4"/>
  <c r="AV133" i="4"/>
  <c r="AV132" i="4"/>
  <c r="AV129" i="4"/>
  <c r="AV117" i="4"/>
  <c r="AV121" i="4"/>
  <c r="AV125" i="4" s="1"/>
  <c r="AU117" i="4"/>
  <c r="AV119" i="4"/>
  <c r="AV112" i="4"/>
  <c r="AV106" i="4"/>
  <c r="AV109" i="4" s="1"/>
  <c r="AV105" i="4"/>
  <c r="AV33" i="7"/>
  <c r="AV32" i="7"/>
  <c r="AZ31" i="16" s="1"/>
  <c r="AV26" i="7"/>
  <c r="AV25" i="7"/>
  <c r="AZ25" i="16" s="1"/>
  <c r="AV19" i="7"/>
  <c r="AV18" i="7"/>
  <c r="AV17" i="7"/>
  <c r="AZ17" i="16" s="1"/>
  <c r="AV11" i="7"/>
  <c r="AV10" i="7"/>
  <c r="AZ10" i="16" s="1"/>
  <c r="AV9" i="7"/>
  <c r="AZ9" i="16" s="1"/>
  <c r="AV82" i="5"/>
  <c r="AV83" i="5" s="1"/>
  <c r="AV81" i="5"/>
  <c r="AV76" i="5"/>
  <c r="AV75" i="5"/>
  <c r="AZ70" i="13" s="1"/>
  <c r="AV74" i="5"/>
  <c r="AV73" i="5"/>
  <c r="AV72" i="5"/>
  <c r="AV66" i="5"/>
  <c r="AV65" i="5"/>
  <c r="AV64" i="5"/>
  <c r="AV63" i="5"/>
  <c r="AV54" i="5"/>
  <c r="AV53" i="5"/>
  <c r="AV52" i="5"/>
  <c r="AV43" i="5"/>
  <c r="AV42" i="5"/>
  <c r="AV41" i="5"/>
  <c r="AZ40" i="13" s="1"/>
  <c r="AV35" i="5"/>
  <c r="AV34" i="5"/>
  <c r="AZ34" i="13" s="1"/>
  <c r="AV33" i="5"/>
  <c r="AV26" i="5"/>
  <c r="AV25" i="5"/>
  <c r="AV24" i="5"/>
  <c r="AV11" i="5"/>
  <c r="AV10" i="5"/>
  <c r="AV9" i="5"/>
  <c r="AV100" i="4"/>
  <c r="AZ94" i="12" s="1"/>
  <c r="AV99" i="4"/>
  <c r="AV98" i="4"/>
  <c r="AZ92" i="12" s="1"/>
  <c r="AV97" i="4"/>
  <c r="AV96" i="4"/>
  <c r="AZ90" i="12" s="1"/>
  <c r="AV91" i="4"/>
  <c r="AZ85" i="12" s="1"/>
  <c r="AV90" i="4"/>
  <c r="AV89" i="4"/>
  <c r="AU89" i="4"/>
  <c r="AV88" i="4"/>
  <c r="AZ83" i="12" s="1"/>
  <c r="AV87" i="4"/>
  <c r="AV86" i="4"/>
  <c r="AV77" i="4"/>
  <c r="AZ75" i="12" s="1"/>
  <c r="AV80" i="4"/>
  <c r="AV79" i="4"/>
  <c r="AV78" i="4"/>
  <c r="AV68" i="4"/>
  <c r="AV67" i="4"/>
  <c r="AZ65" i="12" s="1"/>
  <c r="AV66" i="4"/>
  <c r="AV65" i="4"/>
  <c r="AZ63" i="12" s="1"/>
  <c r="AV57" i="4"/>
  <c r="AZ56" i="12" s="1"/>
  <c r="AV58" i="4"/>
  <c r="AV59" i="4"/>
  <c r="AV56" i="4"/>
  <c r="AZ55" i="12" s="1"/>
  <c r="AV51" i="4"/>
  <c r="AZ50" i="12" s="1"/>
  <c r="AV50" i="4"/>
  <c r="AV49" i="4"/>
  <c r="AV48" i="4"/>
  <c r="AV47" i="4"/>
  <c r="AZ46" i="12" s="1"/>
  <c r="AV42" i="4"/>
  <c r="AV41" i="4"/>
  <c r="AZ40" i="12" s="1"/>
  <c r="AV40" i="4"/>
  <c r="AV24" i="4"/>
  <c r="AV34" i="4"/>
  <c r="AV33" i="4"/>
  <c r="AV32" i="4"/>
  <c r="AV31" i="4"/>
  <c r="AV26" i="4"/>
  <c r="AV25" i="4"/>
  <c r="AZ25" i="12" s="1"/>
  <c r="AV19" i="4"/>
  <c r="AV18" i="4"/>
  <c r="AZ18" i="12" s="1"/>
  <c r="AV17" i="4"/>
  <c r="AV15" i="4"/>
  <c r="AV10" i="4"/>
  <c r="AV11" i="4"/>
  <c r="AV9" i="4"/>
  <c r="AV8" i="15"/>
  <c r="AV30" i="15"/>
  <c r="AV8" i="16"/>
  <c r="AV30" i="16"/>
  <c r="AV8" i="14"/>
  <c r="AV48" i="14"/>
  <c r="AV8" i="13"/>
  <c r="AV14" i="11"/>
  <c r="AV23" i="11"/>
  <c r="AV30" i="11"/>
  <c r="AV38" i="11"/>
  <c r="AV45" i="11"/>
  <c r="AV54" i="11"/>
  <c r="AV62" i="11"/>
  <c r="AV70" i="11"/>
  <c r="AV74" i="11"/>
  <c r="AV80" i="11"/>
  <c r="AV89" i="11"/>
  <c r="AV14" i="12"/>
  <c r="AV23" i="12"/>
  <c r="AV30" i="12"/>
  <c r="AV38" i="12"/>
  <c r="AV45" i="12"/>
  <c r="AV54" i="12"/>
  <c r="AV62" i="12"/>
  <c r="AV70" i="12"/>
  <c r="AV74" i="12"/>
  <c r="AV80" i="12"/>
  <c r="AV89" i="12"/>
  <c r="AV8" i="7"/>
  <c r="AV8" i="5"/>
  <c r="AV32" i="5"/>
  <c r="AV14" i="4"/>
  <c r="AV23" i="4"/>
  <c r="AV30" i="4"/>
  <c r="AV39" i="4"/>
  <c r="AV46" i="4"/>
  <c r="AV55" i="4"/>
  <c r="AV64" i="4"/>
  <c r="AV72" i="4"/>
  <c r="AV76" i="4"/>
  <c r="AV85" i="4"/>
  <c r="AV95" i="4"/>
  <c r="AV16" i="15"/>
  <c r="AV24" i="15"/>
  <c r="AV48" i="13"/>
  <c r="AV71" i="5"/>
  <c r="AV79" i="5"/>
  <c r="AV15" i="5"/>
  <c r="AV62" i="5"/>
  <c r="AH115" i="4"/>
  <c r="AD115" i="4"/>
  <c r="Z115" i="4"/>
  <c r="V115" i="4"/>
  <c r="R115" i="4"/>
  <c r="N115" i="4"/>
  <c r="AU120" i="4"/>
  <c r="AU119" i="4"/>
  <c r="AU51" i="4"/>
  <c r="AY50" i="12" s="1"/>
  <c r="AU50" i="4"/>
  <c r="AT51" i="4"/>
  <c r="AT50" i="4"/>
  <c r="AT49" i="4"/>
  <c r="AT48" i="4"/>
  <c r="AS51" i="4"/>
  <c r="AS50" i="4"/>
  <c r="AS49" i="4"/>
  <c r="AS47" i="4"/>
  <c r="AS48" i="4"/>
  <c r="AR51" i="4"/>
  <c r="AR50" i="4"/>
  <c r="AR49" i="4"/>
  <c r="AR48" i="4"/>
  <c r="AR47" i="4"/>
  <c r="AQ51" i="4"/>
  <c r="AQ50" i="11" s="1"/>
  <c r="AQ50" i="4"/>
  <c r="AQ49" i="4"/>
  <c r="AQ48" i="4"/>
  <c r="AQ47" i="4"/>
  <c r="AU49" i="4"/>
  <c r="AU48" i="4"/>
  <c r="AY47" i="12"/>
  <c r="AU47" i="4"/>
  <c r="AU11" i="5"/>
  <c r="AT11" i="5"/>
  <c r="AU106" i="4"/>
  <c r="AU109" i="4" s="1"/>
  <c r="AU105" i="4"/>
  <c r="AU33" i="7"/>
  <c r="AU32" i="7"/>
  <c r="AU26" i="7"/>
  <c r="AU25" i="7"/>
  <c r="AU19" i="7"/>
  <c r="AU18" i="7"/>
  <c r="AY18" i="16" s="1"/>
  <c r="AU17" i="7"/>
  <c r="AU11" i="7"/>
  <c r="AY11" i="16" s="1"/>
  <c r="AU10" i="7"/>
  <c r="AY10" i="16" s="1"/>
  <c r="AU9" i="7"/>
  <c r="AV9" i="15" s="1"/>
  <c r="AU82" i="5"/>
  <c r="AU83" i="5" s="1"/>
  <c r="AU81" i="5"/>
  <c r="AU76" i="5"/>
  <c r="AU75" i="5"/>
  <c r="AU74" i="5"/>
  <c r="AU73" i="5"/>
  <c r="AU72" i="5"/>
  <c r="AU66" i="5"/>
  <c r="AU65" i="5"/>
  <c r="AU67" i="5" s="1"/>
  <c r="AU64" i="5"/>
  <c r="AU63" i="5"/>
  <c r="AU43" i="5"/>
  <c r="AU42" i="5"/>
  <c r="AU41" i="5"/>
  <c r="AY40" i="13" s="1"/>
  <c r="AU26" i="5"/>
  <c r="AU25" i="5"/>
  <c r="AU24" i="5"/>
  <c r="AU10" i="5"/>
  <c r="AU9" i="5"/>
  <c r="AY9" i="13" s="1"/>
  <c r="AU100" i="4"/>
  <c r="AU99" i="4"/>
  <c r="AY93" i="12" s="1"/>
  <c r="AU98" i="4"/>
  <c r="AY92" i="12" s="1"/>
  <c r="AU96" i="4"/>
  <c r="AU91" i="4"/>
  <c r="AU90" i="4"/>
  <c r="AU88" i="4"/>
  <c r="AY83" i="12" s="1"/>
  <c r="AU87" i="4"/>
  <c r="AY82" i="12" s="1"/>
  <c r="AU86" i="4"/>
  <c r="AU80" i="4"/>
  <c r="AU79" i="4"/>
  <c r="AU78" i="4"/>
  <c r="AU77" i="4"/>
  <c r="AU73" i="4"/>
  <c r="AU68" i="4"/>
  <c r="AY66" i="12" s="1"/>
  <c r="AU66" i="4"/>
  <c r="AU67" i="4"/>
  <c r="AQ67" i="4"/>
  <c r="AU65" i="4"/>
  <c r="AV63" i="11" s="1"/>
  <c r="AU57" i="4"/>
  <c r="AU58" i="4"/>
  <c r="AU59" i="4"/>
  <c r="AY58" i="12" s="1"/>
  <c r="AU56" i="4"/>
  <c r="AU42" i="4"/>
  <c r="AU41" i="4"/>
  <c r="AY40" i="12" s="1"/>
  <c r="AU40" i="4"/>
  <c r="AU34" i="4"/>
  <c r="AY34" i="12" s="1"/>
  <c r="AU33" i="4"/>
  <c r="AU32" i="4"/>
  <c r="AY32" i="12" s="1"/>
  <c r="AU31" i="4"/>
  <c r="AU26" i="4"/>
  <c r="AU25" i="4"/>
  <c r="AU24" i="4"/>
  <c r="AU19" i="4"/>
  <c r="AU18" i="4"/>
  <c r="AU17" i="4"/>
  <c r="AY17" i="12" s="1"/>
  <c r="AU15" i="4"/>
  <c r="AY15" i="12" s="1"/>
  <c r="AU10" i="4"/>
  <c r="AU11" i="4"/>
  <c r="AU9" i="4"/>
  <c r="AU135" i="4"/>
  <c r="AU134" i="4"/>
  <c r="AU130" i="4"/>
  <c r="AU133" i="4"/>
  <c r="AU132" i="4"/>
  <c r="AU129" i="4"/>
  <c r="AU115" i="4"/>
  <c r="AU118" i="4"/>
  <c r="AU122" i="4"/>
  <c r="AU123" i="4"/>
  <c r="AU121" i="4"/>
  <c r="AU114" i="4"/>
  <c r="AU113" i="4"/>
  <c r="AU112" i="4"/>
  <c r="AU8" i="15"/>
  <c r="AU30" i="15"/>
  <c r="AU8" i="16"/>
  <c r="AU24" i="16"/>
  <c r="AU8" i="14"/>
  <c r="AU23" i="14"/>
  <c r="AU8" i="13"/>
  <c r="AU57" i="13"/>
  <c r="AU14" i="11"/>
  <c r="AU23" i="11"/>
  <c r="AU30" i="11"/>
  <c r="AU38" i="11"/>
  <c r="AU45" i="11"/>
  <c r="AU54" i="11"/>
  <c r="AU62" i="11"/>
  <c r="AU70" i="11"/>
  <c r="AU74" i="11"/>
  <c r="AU80" i="11"/>
  <c r="AU89" i="11"/>
  <c r="AU14" i="12"/>
  <c r="AU23" i="12"/>
  <c r="AU30" i="12"/>
  <c r="AU38" i="12"/>
  <c r="AU45" i="12"/>
  <c r="AU54" i="12"/>
  <c r="AU62" i="12"/>
  <c r="AU70" i="12"/>
  <c r="AU74" i="12"/>
  <c r="AU80" i="12"/>
  <c r="AU89" i="12"/>
  <c r="AU8" i="7"/>
  <c r="AU24" i="7"/>
  <c r="AU8" i="5"/>
  <c r="AU71" i="5"/>
  <c r="AU79" i="5"/>
  <c r="AU40" i="5"/>
  <c r="AU14" i="4"/>
  <c r="AU23" i="4"/>
  <c r="AU30" i="4"/>
  <c r="AU39" i="4"/>
  <c r="AU46" i="4"/>
  <c r="AU55" i="4"/>
  <c r="AU64" i="4"/>
  <c r="AU72" i="4"/>
  <c r="AU76" i="4"/>
  <c r="AU85" i="4"/>
  <c r="AU95" i="4"/>
  <c r="AU62" i="5"/>
  <c r="AU51" i="5"/>
  <c r="AU32" i="5"/>
  <c r="AU23" i="5"/>
  <c r="AU15" i="5"/>
  <c r="AU24" i="15"/>
  <c r="AU16" i="16"/>
  <c r="AM90" i="4"/>
  <c r="AM89" i="4"/>
  <c r="AT90" i="4"/>
  <c r="AS90" i="4"/>
  <c r="AR90" i="4"/>
  <c r="AQ90" i="4"/>
  <c r="AP90" i="4"/>
  <c r="AO90" i="4"/>
  <c r="AN90" i="4"/>
  <c r="AT133" i="4"/>
  <c r="AT132" i="4"/>
  <c r="AT129" i="4"/>
  <c r="AT121" i="4"/>
  <c r="AT123" i="4"/>
  <c r="AT119" i="4"/>
  <c r="AT117" i="4"/>
  <c r="AT114" i="4"/>
  <c r="AT112" i="4"/>
  <c r="AT106" i="4"/>
  <c r="AT105" i="4"/>
  <c r="AT33" i="7"/>
  <c r="AT32" i="7"/>
  <c r="AT26" i="7"/>
  <c r="AT25" i="7"/>
  <c r="AT19" i="7"/>
  <c r="AS19" i="7"/>
  <c r="AT18" i="7"/>
  <c r="AT17" i="7"/>
  <c r="AT11" i="7"/>
  <c r="AT10" i="7"/>
  <c r="AT9" i="7"/>
  <c r="AT76" i="5"/>
  <c r="AT75" i="5"/>
  <c r="AT74" i="5"/>
  <c r="AT73" i="5"/>
  <c r="AT72" i="5"/>
  <c r="AT66" i="5"/>
  <c r="AT65" i="5"/>
  <c r="AT64" i="5"/>
  <c r="AT63" i="5"/>
  <c r="AT26" i="5"/>
  <c r="AT25" i="5"/>
  <c r="AT24" i="5"/>
  <c r="AT10" i="5"/>
  <c r="AT9" i="5"/>
  <c r="AT100" i="4"/>
  <c r="AT99" i="4"/>
  <c r="AT98" i="4"/>
  <c r="AT97" i="4"/>
  <c r="AT96" i="4"/>
  <c r="AT91" i="4"/>
  <c r="AT89" i="4"/>
  <c r="AT88" i="4"/>
  <c r="AT87" i="4"/>
  <c r="AT86" i="4"/>
  <c r="AT80" i="4"/>
  <c r="AT79" i="4"/>
  <c r="AT78" i="4"/>
  <c r="AT77" i="4"/>
  <c r="AT73" i="4"/>
  <c r="AT68" i="4"/>
  <c r="AT67" i="4"/>
  <c r="AT66" i="4"/>
  <c r="AT65" i="4"/>
  <c r="AT59" i="4"/>
  <c r="AT58" i="4"/>
  <c r="AT57" i="4"/>
  <c r="AT42" i="4"/>
  <c r="AT41" i="4"/>
  <c r="AT40" i="4"/>
  <c r="AT34" i="4"/>
  <c r="AT33" i="4"/>
  <c r="AT32" i="4"/>
  <c r="AT31" i="4"/>
  <c r="AT26" i="4"/>
  <c r="AT25" i="4"/>
  <c r="AT24" i="4"/>
  <c r="AT19" i="4"/>
  <c r="AT18" i="4"/>
  <c r="AT17" i="4"/>
  <c r="AT15" i="4"/>
  <c r="AT11" i="4"/>
  <c r="AT10" i="4"/>
  <c r="AT9" i="4"/>
  <c r="AT8" i="15"/>
  <c r="AT30" i="15"/>
  <c r="AT8" i="16"/>
  <c r="AT8" i="14"/>
  <c r="AT57" i="14"/>
  <c r="AT8" i="13"/>
  <c r="AT15" i="13"/>
  <c r="AT14" i="11"/>
  <c r="AT23" i="11"/>
  <c r="AT30" i="11"/>
  <c r="AT38" i="11"/>
  <c r="AT45" i="11"/>
  <c r="AT54" i="11"/>
  <c r="AT62" i="11"/>
  <c r="AT70" i="11"/>
  <c r="AT74" i="11"/>
  <c r="AT80" i="11"/>
  <c r="AT89" i="11"/>
  <c r="AT14" i="12"/>
  <c r="AT23" i="12"/>
  <c r="AT30" i="12"/>
  <c r="AT38" i="12"/>
  <c r="AT45" i="12"/>
  <c r="AT54" i="12"/>
  <c r="AT62" i="12"/>
  <c r="AT70" i="12"/>
  <c r="AT74" i="12"/>
  <c r="AT80" i="12"/>
  <c r="AT89" i="12"/>
  <c r="AT8" i="7"/>
  <c r="AT24" i="7"/>
  <c r="AT8" i="5"/>
  <c r="AT51" i="5"/>
  <c r="AT71" i="5"/>
  <c r="AT14" i="4"/>
  <c r="AT23" i="4"/>
  <c r="AT30" i="4"/>
  <c r="AT39" i="4"/>
  <c r="AT46" i="4"/>
  <c r="AT55" i="4"/>
  <c r="AT64" i="4"/>
  <c r="AT72" i="4"/>
  <c r="AT76" i="4"/>
  <c r="AT85" i="4"/>
  <c r="AT95" i="4"/>
  <c r="AT24" i="15"/>
  <c r="AT16" i="15"/>
  <c r="AT23" i="14"/>
  <c r="AT48" i="14"/>
  <c r="AT32" i="14"/>
  <c r="AT15" i="14"/>
  <c r="AT57" i="13"/>
  <c r="AT48" i="13"/>
  <c r="AT32" i="13"/>
  <c r="AS8" i="15"/>
  <c r="AS30" i="15"/>
  <c r="AS8" i="16"/>
  <c r="AS8" i="14"/>
  <c r="AS48" i="14"/>
  <c r="AS8" i="13"/>
  <c r="AS66" i="13"/>
  <c r="AS106" i="4"/>
  <c r="AS109" i="4" s="1"/>
  <c r="AS105" i="4"/>
  <c r="AS89" i="11"/>
  <c r="AS80" i="11"/>
  <c r="AS74" i="11"/>
  <c r="AS70" i="11"/>
  <c r="AS62" i="11"/>
  <c r="AS54" i="11"/>
  <c r="AS45" i="11"/>
  <c r="AS38" i="11"/>
  <c r="AS30" i="11"/>
  <c r="AS23" i="11"/>
  <c r="AS14" i="11"/>
  <c r="AS89" i="12"/>
  <c r="AS80" i="12"/>
  <c r="AS74" i="12"/>
  <c r="AS70" i="12"/>
  <c r="AS62" i="12"/>
  <c r="AS54" i="12"/>
  <c r="AS45" i="12"/>
  <c r="AS38" i="12"/>
  <c r="AS30" i="12"/>
  <c r="AS23" i="12"/>
  <c r="AS14" i="12"/>
  <c r="AS33" i="7"/>
  <c r="AS32" i="7"/>
  <c r="AS26" i="7"/>
  <c r="AS25" i="7"/>
  <c r="AS18" i="7"/>
  <c r="AO18" i="7"/>
  <c r="AS17" i="7"/>
  <c r="AS11" i="7"/>
  <c r="AO11" i="7"/>
  <c r="AS10" i="7"/>
  <c r="AS9" i="7"/>
  <c r="AS8" i="7"/>
  <c r="AR9" i="7"/>
  <c r="AS82" i="5"/>
  <c r="AS83" i="5" s="1"/>
  <c r="AS81" i="5"/>
  <c r="AS76" i="5"/>
  <c r="AS75" i="5"/>
  <c r="AS74" i="5"/>
  <c r="AS73" i="5"/>
  <c r="AS72" i="5"/>
  <c r="AS66" i="5"/>
  <c r="AS65" i="5"/>
  <c r="AS63" i="5"/>
  <c r="AS64" i="5"/>
  <c r="AS55" i="5"/>
  <c r="AS54" i="5"/>
  <c r="AS53" i="5"/>
  <c r="AS52" i="5"/>
  <c r="AS44" i="5"/>
  <c r="AS43" i="5"/>
  <c r="AS42" i="5"/>
  <c r="AS41" i="5"/>
  <c r="AW40" i="13" s="1"/>
  <c r="AS35" i="5"/>
  <c r="AS34" i="5"/>
  <c r="AS33" i="5"/>
  <c r="AS26" i="5"/>
  <c r="AS25" i="5"/>
  <c r="AS24" i="5"/>
  <c r="AS18" i="5"/>
  <c r="AT18" i="14" s="1"/>
  <c r="AS17" i="5"/>
  <c r="AT17" i="14" s="1"/>
  <c r="AS16" i="5"/>
  <c r="AO16" i="5"/>
  <c r="AS11" i="5"/>
  <c r="AS10" i="5"/>
  <c r="AS9" i="5"/>
  <c r="AS8" i="5"/>
  <c r="AS23" i="5"/>
  <c r="AS15" i="14"/>
  <c r="AS39" i="14"/>
  <c r="AS48" i="13"/>
  <c r="AS100" i="4"/>
  <c r="AS99" i="4"/>
  <c r="AS98" i="4"/>
  <c r="AS97" i="4"/>
  <c r="AS96" i="4"/>
  <c r="AS91" i="4"/>
  <c r="AS89" i="4"/>
  <c r="AS88" i="4"/>
  <c r="AS87" i="4"/>
  <c r="AS86" i="4"/>
  <c r="AS80" i="4"/>
  <c r="AS79" i="4"/>
  <c r="AS78" i="4"/>
  <c r="AS77" i="4"/>
  <c r="AW75" i="12" s="1"/>
  <c r="AS73" i="4"/>
  <c r="AS74" i="4" s="1"/>
  <c r="AS67" i="4"/>
  <c r="AS66" i="4"/>
  <c r="AS59" i="4"/>
  <c r="AS58" i="4"/>
  <c r="AS57" i="4"/>
  <c r="AW56" i="12" s="1"/>
  <c r="AS56" i="4"/>
  <c r="AS42" i="4"/>
  <c r="AW41" i="12" s="1"/>
  <c r="AS41" i="4"/>
  <c r="AS40" i="4"/>
  <c r="AS34" i="4"/>
  <c r="AS33" i="4"/>
  <c r="AS32" i="4"/>
  <c r="AS31" i="4"/>
  <c r="AS26" i="4"/>
  <c r="AS25" i="4"/>
  <c r="AS24" i="4"/>
  <c r="AS24" i="12" s="1"/>
  <c r="AO24" i="4"/>
  <c r="AS19" i="4"/>
  <c r="AS18" i="4"/>
  <c r="AS17" i="4"/>
  <c r="AS15" i="4"/>
  <c r="AW15" i="12" s="1"/>
  <c r="AS11" i="4"/>
  <c r="AS10" i="4"/>
  <c r="AS9" i="4"/>
  <c r="AS133" i="4"/>
  <c r="AS132" i="4"/>
  <c r="AS129" i="4"/>
  <c r="AS123" i="4"/>
  <c r="AS121" i="4"/>
  <c r="AS125" i="4" s="1"/>
  <c r="AS119" i="4"/>
  <c r="AS117" i="4"/>
  <c r="AS114" i="4"/>
  <c r="AS112" i="4"/>
  <c r="AS95" i="4"/>
  <c r="AS85" i="4"/>
  <c r="AS76" i="4"/>
  <c r="AS72" i="4"/>
  <c r="AS64" i="4"/>
  <c r="AS55" i="4"/>
  <c r="AS46" i="4"/>
  <c r="AS39" i="4"/>
  <c r="AS30" i="4"/>
  <c r="AS23" i="4"/>
  <c r="AS14" i="4"/>
  <c r="AR8" i="15"/>
  <c r="AR24" i="15"/>
  <c r="AR8" i="16"/>
  <c r="AR24" i="16"/>
  <c r="AR8" i="14"/>
  <c r="AR23" i="14"/>
  <c r="AR8" i="13"/>
  <c r="AR57" i="13"/>
  <c r="AR89" i="11"/>
  <c r="AR80" i="11"/>
  <c r="AR74" i="11"/>
  <c r="AR70" i="11"/>
  <c r="AR62" i="11"/>
  <c r="AR54" i="11"/>
  <c r="AR45" i="11"/>
  <c r="AR38" i="11"/>
  <c r="AR30" i="11"/>
  <c r="AR23" i="11"/>
  <c r="AR14" i="11"/>
  <c r="AR89" i="12"/>
  <c r="AR80" i="12"/>
  <c r="AR74" i="12"/>
  <c r="AR70" i="12"/>
  <c r="AR62" i="12"/>
  <c r="AR54" i="12"/>
  <c r="AR45" i="12"/>
  <c r="AR38" i="12"/>
  <c r="AR30" i="12"/>
  <c r="AR23" i="12"/>
  <c r="AR14" i="12"/>
  <c r="AR33" i="7"/>
  <c r="AR32" i="7"/>
  <c r="AR26" i="7"/>
  <c r="AR25" i="7"/>
  <c r="AR19" i="7"/>
  <c r="AR18" i="7"/>
  <c r="AR17" i="7"/>
  <c r="AR11" i="7"/>
  <c r="AR10" i="7"/>
  <c r="AR82" i="5"/>
  <c r="AR83" i="5" s="1"/>
  <c r="AR81" i="5"/>
  <c r="AR76" i="5"/>
  <c r="AR75" i="5"/>
  <c r="AR74" i="5"/>
  <c r="AR73" i="5"/>
  <c r="AR72" i="5"/>
  <c r="AR66" i="5"/>
  <c r="AR65" i="5"/>
  <c r="AR64" i="5"/>
  <c r="AR63" i="5"/>
  <c r="AR55" i="5"/>
  <c r="AR54" i="5"/>
  <c r="AR53" i="5"/>
  <c r="AR52" i="5"/>
  <c r="AR44" i="5"/>
  <c r="AR43" i="5"/>
  <c r="AR42" i="5"/>
  <c r="AR41" i="5"/>
  <c r="AR35" i="5"/>
  <c r="AR34" i="5"/>
  <c r="AR33" i="5"/>
  <c r="AR26" i="5"/>
  <c r="AR25" i="5"/>
  <c r="AR24" i="5"/>
  <c r="AR18" i="5"/>
  <c r="AR17" i="5"/>
  <c r="AR16" i="5"/>
  <c r="AR11" i="5"/>
  <c r="AR10" i="5"/>
  <c r="AR9" i="5"/>
  <c r="AR30" i="15"/>
  <c r="AR30" i="16"/>
  <c r="AR16" i="16"/>
  <c r="AR48" i="14"/>
  <c r="AR39" i="13"/>
  <c r="AR133" i="4"/>
  <c r="AR132" i="4"/>
  <c r="AR129" i="4"/>
  <c r="AR123" i="4"/>
  <c r="AR121" i="4"/>
  <c r="AR119" i="4"/>
  <c r="AR117" i="4"/>
  <c r="AR114" i="4"/>
  <c r="AR112" i="4"/>
  <c r="AR106" i="4"/>
  <c r="AR109" i="4" s="1"/>
  <c r="AR105" i="4"/>
  <c r="AR100" i="4"/>
  <c r="AR99" i="4"/>
  <c r="AR98" i="4"/>
  <c r="AR97" i="4"/>
  <c r="AN97" i="4"/>
  <c r="AR96" i="4"/>
  <c r="AR91" i="4"/>
  <c r="AR89" i="4"/>
  <c r="AR88" i="4"/>
  <c r="AR87" i="4"/>
  <c r="AR86" i="4"/>
  <c r="AR80" i="4"/>
  <c r="AR79" i="4"/>
  <c r="AR78" i="4"/>
  <c r="AR77" i="4"/>
  <c r="AR73" i="4"/>
  <c r="AR68" i="4"/>
  <c r="AR67" i="4"/>
  <c r="AR66" i="4"/>
  <c r="AR65" i="4"/>
  <c r="AR59" i="4"/>
  <c r="AV58" i="12" s="1"/>
  <c r="AR58" i="4"/>
  <c r="AR57" i="4"/>
  <c r="AR56" i="4"/>
  <c r="AR42" i="4"/>
  <c r="AR41" i="4"/>
  <c r="AR40" i="4"/>
  <c r="AS39" i="11" s="1"/>
  <c r="AR34" i="4"/>
  <c r="AR33" i="4"/>
  <c r="AR32" i="4"/>
  <c r="AR31" i="4"/>
  <c r="AR26" i="4"/>
  <c r="AR25" i="4"/>
  <c r="AR24" i="4"/>
  <c r="AR19" i="4"/>
  <c r="AR18" i="4"/>
  <c r="AR17" i="4"/>
  <c r="AR15" i="4"/>
  <c r="AR11" i="4"/>
  <c r="AR10" i="4"/>
  <c r="AR9" i="4"/>
  <c r="AR8" i="7"/>
  <c r="AR8" i="5"/>
  <c r="AR51" i="5"/>
  <c r="AR62" i="5"/>
  <c r="AR95" i="4"/>
  <c r="AR85" i="4"/>
  <c r="AR76" i="4"/>
  <c r="AR72" i="4"/>
  <c r="AR64" i="4"/>
  <c r="AR55" i="4"/>
  <c r="AR46" i="4"/>
  <c r="AR39" i="4"/>
  <c r="AR30" i="4"/>
  <c r="AR23" i="4"/>
  <c r="AR14" i="4"/>
  <c r="AQ8" i="15"/>
  <c r="AQ8" i="16"/>
  <c r="AQ30" i="16"/>
  <c r="AQ8" i="14"/>
  <c r="AQ66" i="14"/>
  <c r="AQ8" i="13"/>
  <c r="AQ48" i="13"/>
  <c r="AQ66" i="13"/>
  <c r="AQ14" i="11"/>
  <c r="AQ89" i="11"/>
  <c r="AQ80" i="11"/>
  <c r="AQ74" i="11"/>
  <c r="AQ70" i="11"/>
  <c r="AQ62" i="11"/>
  <c r="AQ54" i="11"/>
  <c r="AQ45" i="11"/>
  <c r="AQ38" i="11"/>
  <c r="AQ30" i="11"/>
  <c r="AQ23" i="11"/>
  <c r="AQ89" i="12"/>
  <c r="AQ80" i="12"/>
  <c r="AQ74" i="12"/>
  <c r="AQ70" i="12"/>
  <c r="AQ62" i="12"/>
  <c r="AQ54" i="12"/>
  <c r="AQ45" i="12"/>
  <c r="AQ38" i="12"/>
  <c r="AQ30" i="12"/>
  <c r="AQ23" i="12"/>
  <c r="AQ14" i="12"/>
  <c r="AQ33" i="7"/>
  <c r="AQ32" i="7"/>
  <c r="AQ26" i="7"/>
  <c r="AQ25" i="7"/>
  <c r="AU25" i="16" s="1"/>
  <c r="AQ19" i="7"/>
  <c r="AQ18" i="7"/>
  <c r="AQ17" i="7"/>
  <c r="AQ11" i="7"/>
  <c r="AQ10" i="7"/>
  <c r="AQ9" i="7"/>
  <c r="AQ8" i="7"/>
  <c r="AO8" i="7"/>
  <c r="AO31" i="7"/>
  <c r="AO9" i="7"/>
  <c r="AO10" i="7"/>
  <c r="AO17" i="7"/>
  <c r="AO19" i="7"/>
  <c r="AO25" i="7"/>
  <c r="AO26" i="7"/>
  <c r="AO32" i="7"/>
  <c r="AO33" i="7"/>
  <c r="AQ39" i="13"/>
  <c r="AQ32" i="14"/>
  <c r="AQ23" i="14"/>
  <c r="AQ39" i="14"/>
  <c r="AQ15" i="13"/>
  <c r="AQ23" i="13"/>
  <c r="AQ57" i="13"/>
  <c r="AQ82" i="5"/>
  <c r="AQ83" i="5" s="1"/>
  <c r="AQ81" i="5"/>
  <c r="AQ76" i="5"/>
  <c r="AQ73" i="5"/>
  <c r="AQ74" i="5"/>
  <c r="AQ75" i="5"/>
  <c r="AQ72" i="5"/>
  <c r="AQ64" i="5"/>
  <c r="AQ65" i="5"/>
  <c r="AQ66" i="5"/>
  <c r="AQ63" i="5"/>
  <c r="AQ55" i="5"/>
  <c r="AQ54" i="5"/>
  <c r="AQ53" i="5"/>
  <c r="AQ52" i="5"/>
  <c r="AQ44" i="5"/>
  <c r="AQ43" i="5"/>
  <c r="AR42" i="14" s="1"/>
  <c r="AQ42" i="5"/>
  <c r="AQ41" i="5"/>
  <c r="AQ35" i="5"/>
  <c r="AQ34" i="5"/>
  <c r="AQ33" i="5"/>
  <c r="AQ26" i="5"/>
  <c r="AQ25" i="5"/>
  <c r="AQ24" i="5"/>
  <c r="AQ18" i="5"/>
  <c r="AQ17" i="5"/>
  <c r="AQ16" i="5"/>
  <c r="AQ11" i="5"/>
  <c r="AQ10" i="5"/>
  <c r="AQ9" i="5"/>
  <c r="AQ8" i="5"/>
  <c r="AQ40" i="5"/>
  <c r="AQ51" i="5"/>
  <c r="AP18" i="5"/>
  <c r="AT18" i="13" s="1"/>
  <c r="AQ123" i="4"/>
  <c r="AQ133" i="4"/>
  <c r="AQ132" i="4"/>
  <c r="AQ129" i="4"/>
  <c r="AQ121" i="4"/>
  <c r="AQ119" i="4"/>
  <c r="AQ117" i="4"/>
  <c r="AP133" i="4"/>
  <c r="AP132" i="4"/>
  <c r="AP129" i="4"/>
  <c r="AP123" i="4"/>
  <c r="AP121" i="4"/>
  <c r="AP119" i="4"/>
  <c r="AP117" i="4"/>
  <c r="AP114" i="4"/>
  <c r="AP112" i="4"/>
  <c r="AQ114" i="4"/>
  <c r="AQ112" i="4"/>
  <c r="AQ106" i="4"/>
  <c r="AQ109" i="4" s="1"/>
  <c r="AQ105" i="4"/>
  <c r="AQ100" i="4"/>
  <c r="AQ99" i="4"/>
  <c r="AQ98" i="4"/>
  <c r="AQ97" i="4"/>
  <c r="AQ96" i="4"/>
  <c r="AQ91" i="4"/>
  <c r="AQ89" i="4"/>
  <c r="AQ88" i="4"/>
  <c r="AQ87" i="4"/>
  <c r="AQ86" i="4"/>
  <c r="AQ80" i="4"/>
  <c r="AQ79" i="4"/>
  <c r="AQ78" i="4"/>
  <c r="AQ77" i="4"/>
  <c r="AQ73" i="4"/>
  <c r="AQ74" i="4" s="1"/>
  <c r="AQ68" i="4"/>
  <c r="AQ66" i="4"/>
  <c r="AQ65" i="4"/>
  <c r="AQ95" i="4"/>
  <c r="AQ85" i="4"/>
  <c r="AQ76" i="4"/>
  <c r="AQ72" i="4"/>
  <c r="AQ64" i="4"/>
  <c r="AQ55" i="4"/>
  <c r="AQ46" i="4"/>
  <c r="AQ39" i="4"/>
  <c r="AQ30" i="4"/>
  <c r="AQ59" i="4"/>
  <c r="AQ58" i="4"/>
  <c r="AQ57" i="4"/>
  <c r="AQ56" i="4"/>
  <c r="AQ42" i="4"/>
  <c r="AQ41" i="4"/>
  <c r="AR40" i="11" s="1"/>
  <c r="AQ40" i="4"/>
  <c r="AQ34" i="4"/>
  <c r="AQ33" i="4"/>
  <c r="AQ32" i="4"/>
  <c r="AQ31" i="4"/>
  <c r="AQ26" i="4"/>
  <c r="AQ25" i="4"/>
  <c r="AQ24" i="4"/>
  <c r="AR24" i="11" s="1"/>
  <c r="AQ19" i="4"/>
  <c r="AQ18" i="4"/>
  <c r="AQ17" i="4"/>
  <c r="AQ15" i="4"/>
  <c r="AQ11" i="4"/>
  <c r="AQ10" i="4"/>
  <c r="AQ9" i="4"/>
  <c r="AQ23" i="4"/>
  <c r="AQ14" i="4"/>
  <c r="AP33" i="7"/>
  <c r="AP32" i="7"/>
  <c r="AP26" i="7"/>
  <c r="AP25" i="7"/>
  <c r="AP19" i="7"/>
  <c r="AP18" i="7"/>
  <c r="AP17" i="7"/>
  <c r="AP11" i="7"/>
  <c r="AP10" i="7"/>
  <c r="AP9" i="7"/>
  <c r="AP82" i="5"/>
  <c r="AP83" i="5" s="1"/>
  <c r="AP81" i="5"/>
  <c r="AP76" i="5"/>
  <c r="AP75" i="5"/>
  <c r="AP74" i="5"/>
  <c r="AP73" i="5"/>
  <c r="AP72" i="5"/>
  <c r="AP66" i="5"/>
  <c r="AP65" i="5"/>
  <c r="AP64" i="5"/>
  <c r="AP63" i="5"/>
  <c r="AP55" i="5"/>
  <c r="AP54" i="5"/>
  <c r="AP53" i="5"/>
  <c r="AP52" i="5"/>
  <c r="AP44" i="5"/>
  <c r="AP43" i="5"/>
  <c r="AO43" i="5"/>
  <c r="AP42" i="5"/>
  <c r="AO42" i="5"/>
  <c r="AP41" i="5"/>
  <c r="AP35" i="5"/>
  <c r="AP34" i="5"/>
  <c r="AP33" i="5"/>
  <c r="AP26" i="5"/>
  <c r="AP25" i="5"/>
  <c r="AO25" i="5"/>
  <c r="AP24" i="5"/>
  <c r="AO24" i="5"/>
  <c r="AP17" i="5"/>
  <c r="AP16" i="5"/>
  <c r="AP11" i="5"/>
  <c r="AP10" i="5"/>
  <c r="AP9" i="5"/>
  <c r="AO119" i="4"/>
  <c r="AP106" i="4"/>
  <c r="AP109" i="4" s="1"/>
  <c r="AP105" i="4"/>
  <c r="AP100" i="4"/>
  <c r="AP99" i="4"/>
  <c r="AP98" i="4"/>
  <c r="AP97" i="4"/>
  <c r="AP96" i="4"/>
  <c r="AP91" i="4"/>
  <c r="AP89" i="4"/>
  <c r="AP88" i="4"/>
  <c r="AP87" i="4"/>
  <c r="AT82" i="12" s="1"/>
  <c r="AP86" i="4"/>
  <c r="AP80" i="4"/>
  <c r="AP79" i="4"/>
  <c r="AP78" i="4"/>
  <c r="AP77" i="4"/>
  <c r="AL77" i="4"/>
  <c r="AP73" i="4"/>
  <c r="AP74" i="4" s="1"/>
  <c r="AP68" i="4"/>
  <c r="AP67" i="4"/>
  <c r="AP66" i="4"/>
  <c r="AP65" i="4"/>
  <c r="AP59" i="4"/>
  <c r="AP58" i="4"/>
  <c r="AP57" i="4"/>
  <c r="AP56" i="4"/>
  <c r="AP49" i="4"/>
  <c r="AP48" i="4"/>
  <c r="AP47" i="4"/>
  <c r="AP42" i="4"/>
  <c r="AP41" i="4"/>
  <c r="AP40" i="4"/>
  <c r="AP34" i="4"/>
  <c r="AP33" i="4"/>
  <c r="AP32" i="4"/>
  <c r="AP31" i="4"/>
  <c r="AP26" i="4"/>
  <c r="AO26" i="4"/>
  <c r="AP25" i="4"/>
  <c r="AP24" i="4"/>
  <c r="AP19" i="4"/>
  <c r="AP18" i="4"/>
  <c r="AP17" i="4"/>
  <c r="AP15" i="4"/>
  <c r="AP11" i="4"/>
  <c r="AP10" i="4"/>
  <c r="AL10" i="4"/>
  <c r="AP9" i="4"/>
  <c r="AT9" i="12" s="1"/>
  <c r="AP8" i="15"/>
  <c r="AP16" i="15"/>
  <c r="AP8" i="16"/>
  <c r="AP30" i="16"/>
  <c r="AP8" i="14"/>
  <c r="AP8" i="13"/>
  <c r="AP57" i="13"/>
  <c r="AP23" i="11"/>
  <c r="AP30" i="11"/>
  <c r="AP38" i="11"/>
  <c r="AP45" i="11"/>
  <c r="AP54" i="11"/>
  <c r="AP62" i="11"/>
  <c r="AP70" i="11"/>
  <c r="AP74" i="11"/>
  <c r="AP80" i="11"/>
  <c r="AP89" i="11"/>
  <c r="AP14" i="12"/>
  <c r="AP23" i="12"/>
  <c r="AP30" i="12"/>
  <c r="AP38" i="12"/>
  <c r="AP45" i="12"/>
  <c r="AP54" i="12"/>
  <c r="AP62" i="12"/>
  <c r="AP70" i="12"/>
  <c r="AP74" i="12"/>
  <c r="AP80" i="12"/>
  <c r="AP89" i="12"/>
  <c r="AP8" i="7"/>
  <c r="AP16" i="7"/>
  <c r="AP8" i="5"/>
  <c r="AP32" i="5"/>
  <c r="AP71" i="5"/>
  <c r="AP79" i="5"/>
  <c r="AP14" i="4"/>
  <c r="AP23" i="4"/>
  <c r="AP24" i="7"/>
  <c r="AP24" i="16"/>
  <c r="AP23" i="13"/>
  <c r="AP39" i="14"/>
  <c r="AP31" i="7"/>
  <c r="AP57" i="14"/>
  <c r="AP15" i="14"/>
  <c r="AP66" i="14"/>
  <c r="AO82" i="5"/>
  <c r="AO83" i="5" s="1"/>
  <c r="AO81" i="5"/>
  <c r="AO76" i="5"/>
  <c r="AO73" i="5"/>
  <c r="AO74" i="5"/>
  <c r="AO75" i="5"/>
  <c r="AO72" i="5"/>
  <c r="AO64" i="5"/>
  <c r="AO65" i="5"/>
  <c r="AO66" i="5"/>
  <c r="AO63" i="5"/>
  <c r="AO53" i="5"/>
  <c r="AO54" i="5"/>
  <c r="AO55" i="5"/>
  <c r="AO52" i="5"/>
  <c r="AO44" i="5"/>
  <c r="AO41" i="5"/>
  <c r="AO35" i="5"/>
  <c r="AO34" i="5"/>
  <c r="AO33" i="5"/>
  <c r="AO26" i="5"/>
  <c r="AO18" i="5"/>
  <c r="AO17" i="5"/>
  <c r="AO11" i="5"/>
  <c r="AO11" i="4"/>
  <c r="AO10" i="5"/>
  <c r="AO9" i="5"/>
  <c r="AO133" i="4"/>
  <c r="AO132" i="4"/>
  <c r="AO129" i="4"/>
  <c r="AM129" i="4"/>
  <c r="AN129" i="4"/>
  <c r="AO123" i="4"/>
  <c r="AO121" i="4"/>
  <c r="AO117" i="4"/>
  <c r="AN117" i="4"/>
  <c r="AO114" i="4"/>
  <c r="AO112" i="4"/>
  <c r="AN105" i="4"/>
  <c r="AO105" i="4"/>
  <c r="AO106" i="4"/>
  <c r="AO109" i="4" s="1"/>
  <c r="AN106" i="4"/>
  <c r="AN109" i="4" s="1"/>
  <c r="AO100" i="4"/>
  <c r="AO97" i="4"/>
  <c r="AO98" i="4"/>
  <c r="AO99" i="4"/>
  <c r="AO96" i="4"/>
  <c r="AP90" i="11" s="1"/>
  <c r="AO91" i="4"/>
  <c r="AO87" i="4"/>
  <c r="AO88" i="4"/>
  <c r="AO89" i="4"/>
  <c r="AO86" i="4"/>
  <c r="AO80" i="4"/>
  <c r="AO79" i="4"/>
  <c r="AO78" i="4"/>
  <c r="AO77" i="4"/>
  <c r="AO73" i="4"/>
  <c r="AO68" i="4"/>
  <c r="AO66" i="4"/>
  <c r="AO67" i="4"/>
  <c r="AO65" i="4"/>
  <c r="AO57" i="4"/>
  <c r="AO58" i="4"/>
  <c r="AO59" i="4"/>
  <c r="AO56" i="4"/>
  <c r="AP55" i="11" s="1"/>
  <c r="AO51" i="4"/>
  <c r="AO49" i="4"/>
  <c r="AO50" i="4"/>
  <c r="AO48" i="4"/>
  <c r="AO47" i="4"/>
  <c r="AO42" i="4"/>
  <c r="AO41" i="4"/>
  <c r="AO40" i="4"/>
  <c r="AO34" i="4"/>
  <c r="AO33" i="4"/>
  <c r="AO32" i="4"/>
  <c r="AO31" i="4"/>
  <c r="AO25" i="4"/>
  <c r="AO19" i="4"/>
  <c r="AO18" i="4"/>
  <c r="AO17" i="4"/>
  <c r="AO15" i="4"/>
  <c r="AO10" i="4"/>
  <c r="AO9" i="4"/>
  <c r="AL64" i="5"/>
  <c r="AL63" i="5"/>
  <c r="AL66" i="5"/>
  <c r="AO8" i="15"/>
  <c r="AO24" i="15"/>
  <c r="AO8" i="16"/>
  <c r="AO30" i="16"/>
  <c r="AO8" i="14"/>
  <c r="AO48" i="14"/>
  <c r="AO8" i="13"/>
  <c r="AO15" i="13"/>
  <c r="AN14" i="11"/>
  <c r="AN23" i="11"/>
  <c r="AN30" i="11"/>
  <c r="AN38" i="11"/>
  <c r="AN45" i="11"/>
  <c r="AN54" i="11"/>
  <c r="AO14" i="11"/>
  <c r="AO23" i="11"/>
  <c r="AO30" i="11"/>
  <c r="AO38" i="11"/>
  <c r="AO45" i="11"/>
  <c r="AO54" i="11"/>
  <c r="AO62" i="11"/>
  <c r="AO70" i="11"/>
  <c r="AO74" i="11"/>
  <c r="AO80" i="11"/>
  <c r="AO89" i="11"/>
  <c r="AO14" i="12"/>
  <c r="AO23" i="12"/>
  <c r="AO30" i="12"/>
  <c r="AO38" i="12"/>
  <c r="AO45" i="12"/>
  <c r="AO54" i="12"/>
  <c r="AO62" i="12"/>
  <c r="AO70" i="12"/>
  <c r="AO74" i="12"/>
  <c r="AO80" i="12"/>
  <c r="AO89" i="12"/>
  <c r="AO8" i="5"/>
  <c r="AO14" i="4"/>
  <c r="AO23" i="4"/>
  <c r="AO30" i="4"/>
  <c r="AO39" i="4"/>
  <c r="AO46" i="4"/>
  <c r="AO55" i="4"/>
  <c r="AO64" i="4"/>
  <c r="AO72" i="4"/>
  <c r="AO76" i="4"/>
  <c r="AO85" i="4"/>
  <c r="AO95" i="4"/>
  <c r="AO66" i="14"/>
  <c r="AO15" i="14"/>
  <c r="AO24" i="16"/>
  <c r="AO16" i="15"/>
  <c r="AO39" i="13"/>
  <c r="AM10" i="5"/>
  <c r="AJ11" i="5"/>
  <c r="AJ11" i="13" s="1"/>
  <c r="AJ10" i="5"/>
  <c r="AL11" i="5"/>
  <c r="AN11" i="5"/>
  <c r="AL97" i="4"/>
  <c r="AL96" i="4"/>
  <c r="AN83" i="5"/>
  <c r="AL133" i="4"/>
  <c r="AL132" i="4"/>
  <c r="AL129" i="4"/>
  <c r="AL121" i="4"/>
  <c r="AL117" i="4"/>
  <c r="AL119" i="4"/>
  <c r="AL114" i="4"/>
  <c r="AL112" i="4"/>
  <c r="AN112" i="4"/>
  <c r="AN11" i="4"/>
  <c r="AM51" i="4"/>
  <c r="AN55" i="5"/>
  <c r="AN54" i="5"/>
  <c r="AM55" i="5"/>
  <c r="AL55" i="5"/>
  <c r="AN123" i="4"/>
  <c r="AN33" i="7"/>
  <c r="AN32" i="7"/>
  <c r="AN26" i="7"/>
  <c r="AN25" i="7"/>
  <c r="AN19" i="7"/>
  <c r="AN18" i="7"/>
  <c r="AN17" i="7"/>
  <c r="AN11" i="7"/>
  <c r="AN10" i="7"/>
  <c r="AN9" i="7"/>
  <c r="AN82" i="5"/>
  <c r="AN81" i="5"/>
  <c r="AN76" i="5"/>
  <c r="AN75" i="5"/>
  <c r="AN74" i="5"/>
  <c r="AN73" i="5"/>
  <c r="AN72" i="5"/>
  <c r="AN66" i="5"/>
  <c r="AN65" i="5"/>
  <c r="AN64" i="5"/>
  <c r="AN63" i="5"/>
  <c r="AN53" i="5"/>
  <c r="AN52" i="5"/>
  <c r="AN44" i="5"/>
  <c r="AN43" i="5"/>
  <c r="AN42" i="5"/>
  <c r="AN41" i="5"/>
  <c r="AN35" i="5"/>
  <c r="AN34" i="5"/>
  <c r="AN33" i="5"/>
  <c r="AN26" i="5"/>
  <c r="AN25" i="5"/>
  <c r="AN24" i="5"/>
  <c r="AN18" i="5"/>
  <c r="AN17" i="5"/>
  <c r="AN16" i="5"/>
  <c r="AN10" i="5"/>
  <c r="AN9" i="5"/>
  <c r="AN133" i="4"/>
  <c r="AN132" i="4"/>
  <c r="AK114" i="4"/>
  <c r="AN119" i="4"/>
  <c r="AK117" i="4"/>
  <c r="AM105" i="4"/>
  <c r="AN100" i="4"/>
  <c r="AN99" i="4"/>
  <c r="AN98" i="4"/>
  <c r="AN96" i="4"/>
  <c r="AN91" i="4"/>
  <c r="AM91" i="4"/>
  <c r="AN89" i="4"/>
  <c r="AN88" i="4"/>
  <c r="AN87" i="4"/>
  <c r="AN86" i="4"/>
  <c r="AN80" i="4"/>
  <c r="AN79" i="4"/>
  <c r="AN78" i="4"/>
  <c r="AN77" i="4"/>
  <c r="AN73" i="4"/>
  <c r="AM73" i="4"/>
  <c r="AN68" i="4"/>
  <c r="AN67" i="4"/>
  <c r="AN66" i="4"/>
  <c r="AN65" i="4"/>
  <c r="AN59" i="4"/>
  <c r="AN58" i="4"/>
  <c r="AN57" i="4"/>
  <c r="AN56" i="4"/>
  <c r="AN51" i="4"/>
  <c r="AN50" i="4"/>
  <c r="AN49" i="4"/>
  <c r="AN48" i="4"/>
  <c r="AN47" i="4"/>
  <c r="AN42" i="4"/>
  <c r="AN41" i="4"/>
  <c r="AN40" i="4"/>
  <c r="AN34" i="4"/>
  <c r="AM34" i="4"/>
  <c r="AN33" i="4"/>
  <c r="AN32" i="4"/>
  <c r="AN31" i="4"/>
  <c r="AN26" i="4"/>
  <c r="AN25" i="4"/>
  <c r="AM24" i="4"/>
  <c r="AN24" i="4"/>
  <c r="AN19" i="4"/>
  <c r="AN18" i="4"/>
  <c r="AN17" i="4"/>
  <c r="AN15" i="4"/>
  <c r="AN10" i="4"/>
  <c r="AN9" i="4"/>
  <c r="AN8" i="15"/>
  <c r="AN24" i="15"/>
  <c r="AN8" i="16"/>
  <c r="AN24" i="16"/>
  <c r="AN8" i="14"/>
  <c r="AN66" i="14"/>
  <c r="AN8" i="13"/>
  <c r="AN39" i="13"/>
  <c r="AN62" i="11"/>
  <c r="AN70" i="11"/>
  <c r="AN74" i="11"/>
  <c r="AN80" i="11"/>
  <c r="AN89" i="11"/>
  <c r="AN14" i="12"/>
  <c r="AN23" i="12"/>
  <c r="AN30" i="12"/>
  <c r="AN38" i="12"/>
  <c r="AN45" i="12"/>
  <c r="AN54" i="12"/>
  <c r="AN62" i="12"/>
  <c r="AN70" i="12"/>
  <c r="AN74" i="12"/>
  <c r="AN80" i="12"/>
  <c r="AN89" i="12"/>
  <c r="AN8" i="7"/>
  <c r="AN31" i="7"/>
  <c r="AN8" i="5"/>
  <c r="AN32" i="5"/>
  <c r="AN14" i="4"/>
  <c r="AN23" i="4"/>
  <c r="AN30" i="4"/>
  <c r="AN39" i="4"/>
  <c r="AN46" i="4"/>
  <c r="AN55" i="4"/>
  <c r="AN64" i="4"/>
  <c r="AN72" i="4"/>
  <c r="AN76" i="4"/>
  <c r="AN85" i="4"/>
  <c r="AN95" i="4"/>
  <c r="AN30" i="15"/>
  <c r="AN16" i="15"/>
  <c r="AN15" i="13"/>
  <c r="AN57" i="14"/>
  <c r="AN71" i="5"/>
  <c r="AN79" i="5"/>
  <c r="AM33" i="7"/>
  <c r="AM32" i="7"/>
  <c r="AM26" i="7"/>
  <c r="AM25" i="7"/>
  <c r="AM19" i="7"/>
  <c r="AM18" i="7"/>
  <c r="AM17" i="7"/>
  <c r="AM11" i="7"/>
  <c r="AM10" i="7"/>
  <c r="AL10" i="7"/>
  <c r="AM9" i="7"/>
  <c r="AM83" i="5"/>
  <c r="AM82" i="5"/>
  <c r="AM81" i="5"/>
  <c r="AM76" i="5"/>
  <c r="AM75" i="5"/>
  <c r="AM74" i="5"/>
  <c r="AM73" i="5"/>
  <c r="AM72" i="5"/>
  <c r="AM66" i="5"/>
  <c r="AM65" i="5"/>
  <c r="AM64" i="5"/>
  <c r="AM63" i="5"/>
  <c r="AM58" i="14" s="1"/>
  <c r="AM54" i="5"/>
  <c r="AM53" i="5"/>
  <c r="AM52" i="5"/>
  <c r="AM44" i="5"/>
  <c r="AM43" i="5"/>
  <c r="AM42" i="5"/>
  <c r="AM41" i="5"/>
  <c r="AM35" i="5"/>
  <c r="AM34" i="5"/>
  <c r="AM33" i="5"/>
  <c r="AM26" i="5"/>
  <c r="AM25" i="5"/>
  <c r="AM24" i="5"/>
  <c r="AM18" i="5"/>
  <c r="AM17" i="5"/>
  <c r="AM16" i="5"/>
  <c r="AM9" i="5"/>
  <c r="AN9" i="14" s="1"/>
  <c r="AM133" i="4"/>
  <c r="AM132" i="4"/>
  <c r="AM123" i="4"/>
  <c r="AM121" i="4"/>
  <c r="AM114" i="4"/>
  <c r="AM119" i="4"/>
  <c r="AM117" i="4"/>
  <c r="AM106" i="4"/>
  <c r="AM109" i="4" s="1"/>
  <c r="AM100" i="4"/>
  <c r="AM99" i="4"/>
  <c r="AM98" i="4"/>
  <c r="AM97" i="4"/>
  <c r="AM96" i="4"/>
  <c r="AM88" i="4"/>
  <c r="AM87" i="4"/>
  <c r="AM86" i="4"/>
  <c r="AN81" i="11" s="1"/>
  <c r="AM80" i="4"/>
  <c r="AM79" i="4"/>
  <c r="AM78" i="4"/>
  <c r="AM77" i="4"/>
  <c r="AM68" i="4"/>
  <c r="AM67" i="4"/>
  <c r="AN65" i="11" s="1"/>
  <c r="AI67" i="4"/>
  <c r="AM66" i="4"/>
  <c r="AM65" i="4"/>
  <c r="AM42" i="4"/>
  <c r="AM41" i="4"/>
  <c r="AQ40" i="12" s="1"/>
  <c r="AM40" i="4"/>
  <c r="AM59" i="4"/>
  <c r="AM58" i="4"/>
  <c r="AM57" i="4"/>
  <c r="AI57" i="4"/>
  <c r="AM56" i="4"/>
  <c r="AM26" i="4"/>
  <c r="AM25" i="4"/>
  <c r="AM19" i="4"/>
  <c r="AM18" i="4"/>
  <c r="AM17" i="4"/>
  <c r="AM15" i="4"/>
  <c r="AM50" i="4"/>
  <c r="AM49" i="4"/>
  <c r="AM48" i="4"/>
  <c r="AM47" i="4"/>
  <c r="AM33" i="4"/>
  <c r="AM32" i="4"/>
  <c r="AM31" i="4"/>
  <c r="AM11" i="4"/>
  <c r="AM10" i="4"/>
  <c r="AM9" i="4"/>
  <c r="AM8" i="15"/>
  <c r="AM30" i="15"/>
  <c r="AM8" i="16"/>
  <c r="AM30" i="16"/>
  <c r="AM8" i="14"/>
  <c r="AM15" i="14"/>
  <c r="AM8" i="13"/>
  <c r="AM14" i="11"/>
  <c r="AM23" i="11"/>
  <c r="AM30" i="11"/>
  <c r="AM38" i="11"/>
  <c r="AM45" i="11"/>
  <c r="AM54" i="11"/>
  <c r="AM62" i="11"/>
  <c r="AM70" i="11"/>
  <c r="AM74" i="11"/>
  <c r="AM80" i="11"/>
  <c r="AM89" i="11"/>
  <c r="AM14" i="12"/>
  <c r="AM23" i="12"/>
  <c r="AM30" i="12"/>
  <c r="AM38" i="12"/>
  <c r="AM45" i="12"/>
  <c r="AM54" i="12"/>
  <c r="AM62" i="12"/>
  <c r="AM70" i="12"/>
  <c r="AM74" i="12"/>
  <c r="AM80" i="12"/>
  <c r="AM89" i="12"/>
  <c r="AM8" i="7"/>
  <c r="AM8" i="5"/>
  <c r="AM51" i="5"/>
  <c r="AM14" i="4"/>
  <c r="AM23" i="4"/>
  <c r="AM30" i="4"/>
  <c r="AM39" i="4"/>
  <c r="AM46" i="4"/>
  <c r="AM55" i="4"/>
  <c r="AM64" i="4"/>
  <c r="AM72" i="4"/>
  <c r="AM76" i="4"/>
  <c r="AM85" i="4"/>
  <c r="AM95" i="4"/>
  <c r="AM66" i="14"/>
  <c r="AM39" i="14"/>
  <c r="AM57" i="14"/>
  <c r="AM48" i="14"/>
  <c r="AM24" i="16"/>
  <c r="AM16" i="15"/>
  <c r="AM32" i="5"/>
  <c r="AL106" i="4"/>
  <c r="AL109" i="4" s="1"/>
  <c r="AL105" i="4"/>
  <c r="AL123" i="4"/>
  <c r="AK119" i="4"/>
  <c r="AL33" i="7"/>
  <c r="AL32" i="7"/>
  <c r="AL26" i="7"/>
  <c r="AL25" i="7"/>
  <c r="AL19" i="7"/>
  <c r="AL18" i="7"/>
  <c r="AH18" i="7"/>
  <c r="AL17" i="7"/>
  <c r="AP17" i="16" s="1"/>
  <c r="AL11" i="7"/>
  <c r="AL9" i="7"/>
  <c r="AL82" i="5"/>
  <c r="AL83" i="5" s="1"/>
  <c r="AL81" i="5"/>
  <c r="AL76" i="5"/>
  <c r="AL75" i="5"/>
  <c r="AL74" i="5"/>
  <c r="AL73" i="5"/>
  <c r="AL72" i="5"/>
  <c r="AL65" i="5"/>
  <c r="AL54" i="5"/>
  <c r="AL53" i="5"/>
  <c r="AL52" i="5"/>
  <c r="AL44" i="5"/>
  <c r="AL43" i="5"/>
  <c r="AL42" i="5"/>
  <c r="AK42" i="5"/>
  <c r="AL41" i="5"/>
  <c r="AL35" i="5"/>
  <c r="AL34" i="5"/>
  <c r="AL33" i="5"/>
  <c r="AL26" i="5"/>
  <c r="AL25" i="5"/>
  <c r="AL24" i="5"/>
  <c r="AL18" i="5"/>
  <c r="AL17" i="5"/>
  <c r="AL16" i="5"/>
  <c r="AL10" i="5"/>
  <c r="AL9" i="5"/>
  <c r="AK105" i="4"/>
  <c r="AL100" i="4"/>
  <c r="AL99" i="4"/>
  <c r="AL98" i="4"/>
  <c r="AL89" i="4"/>
  <c r="AL88" i="4"/>
  <c r="AL87" i="4"/>
  <c r="AL86" i="4"/>
  <c r="AL80" i="4"/>
  <c r="AL79" i="4"/>
  <c r="AL78" i="4"/>
  <c r="AL73" i="4"/>
  <c r="AL68" i="4"/>
  <c r="AL67" i="4"/>
  <c r="AL66" i="4"/>
  <c r="AL65" i="4"/>
  <c r="AL59" i="4"/>
  <c r="AL58" i="4"/>
  <c r="AL57" i="4"/>
  <c r="AL56" i="4"/>
  <c r="AL51" i="4"/>
  <c r="AL50" i="4"/>
  <c r="AL49" i="4"/>
  <c r="AL48" i="4"/>
  <c r="AL47" i="4"/>
  <c r="AL42" i="4"/>
  <c r="AL41" i="4"/>
  <c r="AL40" i="4"/>
  <c r="AK40" i="4"/>
  <c r="AL34" i="4"/>
  <c r="AL33" i="4"/>
  <c r="AL32" i="4"/>
  <c r="AL31" i="4"/>
  <c r="AL26" i="4"/>
  <c r="AL25" i="4"/>
  <c r="AL24" i="4"/>
  <c r="AL19" i="4"/>
  <c r="AL18" i="4"/>
  <c r="AL17" i="4"/>
  <c r="AM17" i="11" s="1"/>
  <c r="AL15" i="4"/>
  <c r="AL9" i="4"/>
  <c r="AL11" i="4"/>
  <c r="AL8" i="15"/>
  <c r="AL8" i="16"/>
  <c r="AL30" i="16"/>
  <c r="AL8" i="14"/>
  <c r="AL48" i="14"/>
  <c r="AL8" i="13"/>
  <c r="AL39" i="13"/>
  <c r="AL23" i="11"/>
  <c r="AL30" i="11"/>
  <c r="AL38" i="11"/>
  <c r="AL45" i="11"/>
  <c r="AL54" i="11"/>
  <c r="AL62" i="11"/>
  <c r="AL70" i="11"/>
  <c r="AL74" i="11"/>
  <c r="AL80" i="11"/>
  <c r="AL89" i="11"/>
  <c r="AL14" i="12"/>
  <c r="AL23" i="12"/>
  <c r="AL30" i="12"/>
  <c r="AL38" i="12"/>
  <c r="AL45" i="12"/>
  <c r="AL54" i="12"/>
  <c r="AL62" i="12"/>
  <c r="AL70" i="12"/>
  <c r="AL74" i="12"/>
  <c r="AL80" i="12"/>
  <c r="AL89" i="12"/>
  <c r="AL8" i="7"/>
  <c r="AL24" i="7"/>
  <c r="AL8" i="5"/>
  <c r="AL71" i="5"/>
  <c r="AL79" i="5"/>
  <c r="AL14" i="4"/>
  <c r="AL23" i="4"/>
  <c r="AK9" i="4"/>
  <c r="AK10" i="4"/>
  <c r="AK11" i="4"/>
  <c r="AK14" i="4"/>
  <c r="AK15" i="4"/>
  <c r="AK17" i="4"/>
  <c r="AK18" i="4"/>
  <c r="AK19" i="4"/>
  <c r="AK23" i="4"/>
  <c r="AL57" i="14"/>
  <c r="AL39" i="14"/>
  <c r="AL23" i="14"/>
  <c r="AL15" i="14"/>
  <c r="AL66" i="14"/>
  <c r="AL23" i="5"/>
  <c r="AL32" i="5"/>
  <c r="AL51" i="5"/>
  <c r="AL62" i="5"/>
  <c r="AL15" i="5"/>
  <c r="AK32" i="7"/>
  <c r="AO31" i="16" s="1"/>
  <c r="AK25" i="7"/>
  <c r="AK73" i="5"/>
  <c r="AK52" i="5"/>
  <c r="AK33" i="5"/>
  <c r="AK18" i="5"/>
  <c r="AK109" i="4"/>
  <c r="AK96" i="4"/>
  <c r="AK77" i="4"/>
  <c r="AK78" i="4"/>
  <c r="AJ77" i="4"/>
  <c r="AK73" i="4"/>
  <c r="AK59" i="4"/>
  <c r="AK56" i="4"/>
  <c r="AK16" i="5"/>
  <c r="AK11" i="5"/>
  <c r="AI11" i="5"/>
  <c r="AK133" i="4"/>
  <c r="AK132" i="4"/>
  <c r="AK129" i="4"/>
  <c r="AK123" i="4"/>
  <c r="AK121" i="4"/>
  <c r="AK126" i="4" s="1"/>
  <c r="AK112" i="4"/>
  <c r="AK33" i="7"/>
  <c r="AK26" i="7"/>
  <c r="AK19" i="7"/>
  <c r="AK18" i="7"/>
  <c r="AK17" i="7"/>
  <c r="AK10" i="7"/>
  <c r="AK9" i="7"/>
  <c r="AK83" i="5"/>
  <c r="AK82" i="5"/>
  <c r="AK81" i="5"/>
  <c r="AJ81" i="5"/>
  <c r="AK76" i="5"/>
  <c r="AK74" i="5"/>
  <c r="AK75" i="5"/>
  <c r="AK72" i="5"/>
  <c r="AK66" i="5"/>
  <c r="AJ66" i="5"/>
  <c r="AJ61" i="13" s="1"/>
  <c r="AK65" i="5"/>
  <c r="AK64" i="5"/>
  <c r="AK63" i="5"/>
  <c r="AK55" i="5"/>
  <c r="AK54" i="5"/>
  <c r="AK53" i="5"/>
  <c r="AK44" i="5"/>
  <c r="AK43" i="5"/>
  <c r="AK41" i="5"/>
  <c r="AK35" i="5"/>
  <c r="AK34" i="5"/>
  <c r="AO34" i="13" s="1"/>
  <c r="AK26" i="5"/>
  <c r="AK25" i="5"/>
  <c r="AK24" i="5"/>
  <c r="AL24" i="14" s="1"/>
  <c r="AK17" i="5"/>
  <c r="AK10" i="5"/>
  <c r="AO10" i="13" s="1"/>
  <c r="AK9" i="5"/>
  <c r="AK100" i="4"/>
  <c r="AK98" i="4"/>
  <c r="AK99" i="4"/>
  <c r="AK97" i="4"/>
  <c r="AK87" i="4"/>
  <c r="AK88" i="4"/>
  <c r="AK89" i="4"/>
  <c r="AK86" i="4"/>
  <c r="AK80" i="4"/>
  <c r="AK79" i="4"/>
  <c r="AJ73" i="4"/>
  <c r="AK68" i="4"/>
  <c r="AK67" i="4"/>
  <c r="AL65" i="11" s="1"/>
  <c r="AK66" i="4"/>
  <c r="AJ66" i="4"/>
  <c r="AK65" i="4"/>
  <c r="AK58" i="4"/>
  <c r="AK57" i="4"/>
  <c r="AK51" i="4"/>
  <c r="AO50" i="12" s="1"/>
  <c r="AK50" i="4"/>
  <c r="AK49" i="4"/>
  <c r="AK48" i="4"/>
  <c r="AK47" i="4"/>
  <c r="AJ47" i="4"/>
  <c r="AK42" i="4"/>
  <c r="AK41" i="4"/>
  <c r="AK34" i="4"/>
  <c r="AK33" i="4"/>
  <c r="AK32" i="4"/>
  <c r="AK31" i="4"/>
  <c r="AK26" i="4"/>
  <c r="AK25" i="4"/>
  <c r="AK24" i="4"/>
  <c r="AJ24" i="4"/>
  <c r="AJ9" i="4"/>
  <c r="AK8" i="15"/>
  <c r="AK30" i="15"/>
  <c r="AK8" i="16"/>
  <c r="AK30" i="16"/>
  <c r="AK8" i="14"/>
  <c r="AK39" i="14"/>
  <c r="AK8" i="13"/>
  <c r="AK89" i="11"/>
  <c r="AK80" i="11"/>
  <c r="AK74" i="11"/>
  <c r="AK70" i="11"/>
  <c r="AK62" i="11"/>
  <c r="AK54" i="11"/>
  <c r="AK45" i="11"/>
  <c r="AK38" i="11"/>
  <c r="AK30" i="11"/>
  <c r="AK23" i="11"/>
  <c r="AK89" i="12"/>
  <c r="AK80" i="12"/>
  <c r="AK74" i="12"/>
  <c r="AK70" i="12"/>
  <c r="AK62" i="12"/>
  <c r="AK54" i="12"/>
  <c r="AK45" i="12"/>
  <c r="AK38" i="12"/>
  <c r="AK30" i="12"/>
  <c r="AK23" i="12"/>
  <c r="AK14" i="12"/>
  <c r="AK8" i="7"/>
  <c r="AK8" i="5"/>
  <c r="AK15" i="5"/>
  <c r="AK48" i="14"/>
  <c r="AK23" i="14"/>
  <c r="AK57" i="14"/>
  <c r="AK32" i="14"/>
  <c r="AJ109" i="4"/>
  <c r="AJ98" i="4"/>
  <c r="AF98" i="4"/>
  <c r="AJ129" i="4"/>
  <c r="AJ121" i="4"/>
  <c r="AJ126" i="4"/>
  <c r="AJ117" i="4"/>
  <c r="AJ68" i="4"/>
  <c r="AJ32" i="7"/>
  <c r="AJ25" i="7"/>
  <c r="AJ19" i="7"/>
  <c r="AJ18" i="7"/>
  <c r="AJ17" i="7"/>
  <c r="AJ11" i="7"/>
  <c r="AJ10" i="7"/>
  <c r="AN10" i="16" s="1"/>
  <c r="AJ9" i="7"/>
  <c r="AJ82" i="5"/>
  <c r="AJ83" i="5" s="1"/>
  <c r="AJ76" i="5"/>
  <c r="AJ75" i="5"/>
  <c r="AJ74" i="5"/>
  <c r="AJ73" i="5"/>
  <c r="AJ72" i="5"/>
  <c r="AJ65" i="5"/>
  <c r="AJ64" i="5"/>
  <c r="AJ63" i="5"/>
  <c r="AJ55" i="5"/>
  <c r="AJ54" i="5"/>
  <c r="AJ53" i="5"/>
  <c r="AJ52" i="5"/>
  <c r="AJ44" i="5"/>
  <c r="AJ43" i="5"/>
  <c r="AJ42" i="5"/>
  <c r="AJ41" i="5"/>
  <c r="AJ35" i="5"/>
  <c r="AJ34" i="5"/>
  <c r="AJ33" i="5"/>
  <c r="AF33" i="5"/>
  <c r="AJ26" i="5"/>
  <c r="AJ25" i="5"/>
  <c r="AJ24" i="5"/>
  <c r="AJ18" i="5"/>
  <c r="AJ17" i="5"/>
  <c r="AJ16" i="5"/>
  <c r="AJ8" i="15"/>
  <c r="AJ16" i="15"/>
  <c r="AJ8" i="16"/>
  <c r="AJ24" i="16"/>
  <c r="AJ8" i="14"/>
  <c r="AJ57" i="14"/>
  <c r="AJ8" i="13"/>
  <c r="AJ15" i="13"/>
  <c r="AJ23" i="11"/>
  <c r="AJ30" i="11"/>
  <c r="AJ38" i="11"/>
  <c r="AJ45" i="11"/>
  <c r="AJ54" i="11"/>
  <c r="AJ62" i="11"/>
  <c r="AJ70" i="11"/>
  <c r="AJ74" i="11"/>
  <c r="AJ80" i="11"/>
  <c r="AJ89" i="11"/>
  <c r="AJ14" i="12"/>
  <c r="AJ23" i="12"/>
  <c r="AJ30" i="12"/>
  <c r="AJ38" i="12"/>
  <c r="AJ45" i="12"/>
  <c r="AJ54" i="12"/>
  <c r="AJ62" i="12"/>
  <c r="AJ70" i="12"/>
  <c r="AJ74" i="12"/>
  <c r="AJ80" i="12"/>
  <c r="AJ89" i="12"/>
  <c r="AJ8" i="7"/>
  <c r="AJ8" i="5"/>
  <c r="AJ71" i="5"/>
  <c r="AJ79" i="5"/>
  <c r="AJ15" i="5"/>
  <c r="AJ132" i="4"/>
  <c r="AJ123" i="4"/>
  <c r="AJ119" i="4"/>
  <c r="AJ114" i="4"/>
  <c r="AJ116" i="4"/>
  <c r="AJ112" i="4"/>
  <c r="AJ51" i="5"/>
  <c r="AJ32" i="5"/>
  <c r="AJ66" i="13"/>
  <c r="AJ32" i="13"/>
  <c r="AJ39" i="13"/>
  <c r="AJ57" i="13"/>
  <c r="AJ23" i="13"/>
  <c r="AJ48" i="13"/>
  <c r="AJ89" i="4"/>
  <c r="AJ88" i="4"/>
  <c r="AJ87" i="4"/>
  <c r="AJ86" i="4"/>
  <c r="AJ100" i="4"/>
  <c r="AJ99" i="4"/>
  <c r="AJ97" i="4"/>
  <c r="AJ96" i="4"/>
  <c r="AI73" i="4"/>
  <c r="AJ67" i="4"/>
  <c r="AJ65" i="4"/>
  <c r="AJ59" i="4"/>
  <c r="AK58" i="11" s="1"/>
  <c r="AJ58" i="4"/>
  <c r="AJ57" i="4"/>
  <c r="AJ56" i="4"/>
  <c r="AF56" i="4"/>
  <c r="AJ51" i="4"/>
  <c r="AJ50" i="4"/>
  <c r="AJ49" i="4"/>
  <c r="AJ48" i="4"/>
  <c r="AJ42" i="4"/>
  <c r="AJ41" i="4"/>
  <c r="AJ40" i="4"/>
  <c r="AJ34" i="4"/>
  <c r="AJ33" i="4"/>
  <c r="AJ32" i="4"/>
  <c r="AJ31" i="4"/>
  <c r="AJ26" i="4"/>
  <c r="AJ25" i="4"/>
  <c r="AJ19" i="4"/>
  <c r="AJ18" i="4"/>
  <c r="AJ17" i="4"/>
  <c r="AJ15" i="4"/>
  <c r="AJ64" i="4"/>
  <c r="AJ72" i="4"/>
  <c r="AJ11" i="4"/>
  <c r="AJ10" i="4"/>
  <c r="AJ14" i="4"/>
  <c r="AJ23" i="4"/>
  <c r="AJ76" i="4"/>
  <c r="AJ85" i="4"/>
  <c r="AJ95" i="4"/>
  <c r="AE33" i="7"/>
  <c r="AI33" i="7"/>
  <c r="AI26" i="7"/>
  <c r="AI80" i="4"/>
  <c r="AI79" i="4"/>
  <c r="AI78" i="4"/>
  <c r="AI25" i="4"/>
  <c r="AI24" i="4"/>
  <c r="AI26" i="4"/>
  <c r="AI32" i="7"/>
  <c r="AI25" i="7"/>
  <c r="AI19" i="7"/>
  <c r="AI18" i="7"/>
  <c r="AI17" i="7"/>
  <c r="AI10" i="7"/>
  <c r="AI9" i="7"/>
  <c r="AH9" i="7"/>
  <c r="AI82" i="5"/>
  <c r="AI83" i="5" s="1"/>
  <c r="AI81" i="5"/>
  <c r="AI76" i="5"/>
  <c r="AI75" i="5"/>
  <c r="AI74" i="5"/>
  <c r="AI73" i="5"/>
  <c r="AI72" i="5"/>
  <c r="AI66" i="5"/>
  <c r="AI65" i="5"/>
  <c r="AI64" i="5"/>
  <c r="AI63" i="5"/>
  <c r="AI55" i="5"/>
  <c r="AI54" i="5"/>
  <c r="AI53" i="5"/>
  <c r="AI52" i="5"/>
  <c r="AI44" i="5"/>
  <c r="AE44" i="5"/>
  <c r="AI43" i="5"/>
  <c r="AI42" i="5"/>
  <c r="AI41" i="5"/>
  <c r="AI35" i="5"/>
  <c r="AI34" i="5"/>
  <c r="AI33" i="5"/>
  <c r="AI26" i="5"/>
  <c r="AI25" i="5"/>
  <c r="AH25" i="5"/>
  <c r="AI24" i="5"/>
  <c r="AI18" i="5"/>
  <c r="AI17" i="5"/>
  <c r="AI16" i="5"/>
  <c r="AI100" i="4"/>
  <c r="AM94" i="12" s="1"/>
  <c r="AI99" i="4"/>
  <c r="AI98" i="4"/>
  <c r="AI97" i="4"/>
  <c r="AI96" i="4"/>
  <c r="AI89" i="4"/>
  <c r="AI84" i="11" s="1"/>
  <c r="AH89" i="4"/>
  <c r="AI88" i="4"/>
  <c r="AH88" i="4"/>
  <c r="AI87" i="4"/>
  <c r="AI86" i="4"/>
  <c r="AI77" i="4"/>
  <c r="AI68" i="4"/>
  <c r="AI66" i="4"/>
  <c r="AI65" i="4"/>
  <c r="AI59" i="4"/>
  <c r="AI58" i="4"/>
  <c r="AJ57" i="11" s="1"/>
  <c r="AI56" i="4"/>
  <c r="AI51" i="4"/>
  <c r="AI50" i="4"/>
  <c r="AI49" i="4"/>
  <c r="AI48" i="4"/>
  <c r="AH48" i="4"/>
  <c r="AI47" i="4"/>
  <c r="AE47" i="4"/>
  <c r="AF47" i="4"/>
  <c r="AI42" i="4"/>
  <c r="AJ41" i="11" s="1"/>
  <c r="AI41" i="4"/>
  <c r="AI40" i="4"/>
  <c r="AI34" i="4"/>
  <c r="AI33" i="4"/>
  <c r="AI32" i="4"/>
  <c r="AI31" i="4"/>
  <c r="AI19" i="4"/>
  <c r="AI18" i="4"/>
  <c r="AI17" i="4"/>
  <c r="AI15" i="4"/>
  <c r="AI11" i="4"/>
  <c r="AI10" i="4"/>
  <c r="AI9" i="4"/>
  <c r="AJ9" i="11" s="1"/>
  <c r="AI109" i="4"/>
  <c r="AC109" i="4"/>
  <c r="AD109" i="4"/>
  <c r="AE109" i="4"/>
  <c r="AF109" i="4"/>
  <c r="AG109" i="4"/>
  <c r="AH109" i="4"/>
  <c r="AB109" i="4"/>
  <c r="AI10" i="5"/>
  <c r="AI119" i="4"/>
  <c r="AI117" i="4"/>
  <c r="AI8" i="15"/>
  <c r="AI16" i="15"/>
  <c r="AI8" i="16"/>
  <c r="AI16" i="16"/>
  <c r="AI8" i="14"/>
  <c r="AI23" i="14"/>
  <c r="AI8" i="13"/>
  <c r="AI32" i="13"/>
  <c r="AI89" i="11"/>
  <c r="AI80" i="11"/>
  <c r="AI74" i="11"/>
  <c r="AI70" i="11"/>
  <c r="AI62" i="11"/>
  <c r="AI54" i="11"/>
  <c r="AI45" i="11"/>
  <c r="AI38" i="11"/>
  <c r="AI30" i="11"/>
  <c r="AI23" i="11"/>
  <c r="AI14" i="11"/>
  <c r="AI89" i="12"/>
  <c r="AI80" i="12"/>
  <c r="AI74" i="12"/>
  <c r="AI70" i="12"/>
  <c r="AI62" i="12"/>
  <c r="AI54" i="12"/>
  <c r="AI45" i="12"/>
  <c r="AI38" i="12"/>
  <c r="AI30" i="12"/>
  <c r="AI23" i="12"/>
  <c r="AI14" i="12"/>
  <c r="AI8" i="7"/>
  <c r="AI16" i="7"/>
  <c r="AI8" i="5"/>
  <c r="AI15" i="5"/>
  <c r="AI121" i="4"/>
  <c r="AI116" i="4"/>
  <c r="AI95" i="4"/>
  <c r="AI85" i="4"/>
  <c r="AI76" i="4"/>
  <c r="AI74" i="4"/>
  <c r="AI72" i="4"/>
  <c r="AI64" i="4"/>
  <c r="AI55" i="4"/>
  <c r="AI46" i="4"/>
  <c r="AI39" i="4"/>
  <c r="AI30" i="4"/>
  <c r="AI23" i="4"/>
  <c r="AI14" i="4"/>
  <c r="AI66" i="14"/>
  <c r="AI30" i="15"/>
  <c r="AI30" i="16"/>
  <c r="AI57" i="13"/>
  <c r="AI23" i="5"/>
  <c r="AI32" i="5"/>
  <c r="AG121" i="4"/>
  <c r="AG117" i="4"/>
  <c r="AG130" i="4"/>
  <c r="AG116" i="4"/>
  <c r="AG126" i="4"/>
  <c r="AH11" i="14"/>
  <c r="AH8" i="15"/>
  <c r="AH8" i="16"/>
  <c r="AH30" i="16"/>
  <c r="AH8" i="14"/>
  <c r="AH15" i="14"/>
  <c r="AH66" i="14"/>
  <c r="AH11" i="13"/>
  <c r="AH8" i="13"/>
  <c r="AH39" i="13"/>
  <c r="AH89" i="11"/>
  <c r="AH80" i="11"/>
  <c r="AH74" i="11"/>
  <c r="AH70" i="11"/>
  <c r="AH62" i="11"/>
  <c r="AH54" i="11"/>
  <c r="AH45" i="11"/>
  <c r="AH38" i="11"/>
  <c r="AH30" i="11"/>
  <c r="AH23" i="11"/>
  <c r="AH14" i="11"/>
  <c r="AH89" i="12"/>
  <c r="AH80" i="12"/>
  <c r="AH74" i="12"/>
  <c r="AH70" i="12"/>
  <c r="AH62" i="12"/>
  <c r="AH54" i="12"/>
  <c r="AH45" i="12"/>
  <c r="AH38" i="12"/>
  <c r="AH30" i="12"/>
  <c r="AH23" i="12"/>
  <c r="AH14" i="12"/>
  <c r="AH32" i="7"/>
  <c r="AH25" i="7"/>
  <c r="AH19" i="7"/>
  <c r="AH17" i="7"/>
  <c r="AH10" i="7"/>
  <c r="AH8" i="7"/>
  <c r="AH82" i="5"/>
  <c r="AH83" i="5" s="1"/>
  <c r="AH81" i="5"/>
  <c r="AH76" i="5"/>
  <c r="AH75" i="5"/>
  <c r="AH74" i="5"/>
  <c r="AH73" i="5"/>
  <c r="AH72" i="5"/>
  <c r="AH66" i="5"/>
  <c r="AH65" i="5"/>
  <c r="AH64" i="5"/>
  <c r="AH63" i="5"/>
  <c r="AH55" i="5"/>
  <c r="AL52" i="13" s="1"/>
  <c r="AH54" i="5"/>
  <c r="AH53" i="5"/>
  <c r="AH52" i="5"/>
  <c r="AH44" i="5"/>
  <c r="AH43" i="5"/>
  <c r="AH42" i="5"/>
  <c r="AH41" i="5"/>
  <c r="AH35" i="5"/>
  <c r="AH34" i="5"/>
  <c r="AH33" i="5"/>
  <c r="AH26" i="5"/>
  <c r="AH27" i="5" s="1"/>
  <c r="AH24" i="5"/>
  <c r="AH18" i="5"/>
  <c r="AH17" i="5"/>
  <c r="AH16" i="5"/>
  <c r="AH10" i="5"/>
  <c r="AH8" i="5"/>
  <c r="AH51" i="5"/>
  <c r="AH100" i="4"/>
  <c r="AH99" i="4"/>
  <c r="AH98" i="4"/>
  <c r="AH97" i="4"/>
  <c r="AH96" i="4"/>
  <c r="AH87" i="4"/>
  <c r="AH86" i="4"/>
  <c r="AH77" i="4"/>
  <c r="AH73" i="4"/>
  <c r="AH68" i="4"/>
  <c r="AH67" i="4"/>
  <c r="AH66" i="4"/>
  <c r="AH65" i="4"/>
  <c r="AH59" i="4"/>
  <c r="AH58" i="4"/>
  <c r="AH57" i="4"/>
  <c r="AH56" i="4"/>
  <c r="AL55" i="12" s="1"/>
  <c r="AH51" i="4"/>
  <c r="AH50" i="4"/>
  <c r="AH49" i="4"/>
  <c r="AH47" i="4"/>
  <c r="AH42" i="4"/>
  <c r="AH41" i="4"/>
  <c r="AH40" i="4"/>
  <c r="AH34" i="4"/>
  <c r="AH33" i="4"/>
  <c r="AH32" i="4"/>
  <c r="AH31" i="4"/>
  <c r="AH26" i="4"/>
  <c r="AH25" i="4"/>
  <c r="AH24" i="4"/>
  <c r="AH19" i="4"/>
  <c r="AH18" i="4"/>
  <c r="AH17" i="4"/>
  <c r="AH15" i="4"/>
  <c r="AH11" i="4"/>
  <c r="AH10" i="4"/>
  <c r="AG10" i="4"/>
  <c r="AH9" i="4"/>
  <c r="AH14" i="4"/>
  <c r="AH23" i="4"/>
  <c r="AH30" i="4"/>
  <c r="AH39" i="4"/>
  <c r="AH46" i="4"/>
  <c r="AH55" i="4"/>
  <c r="AH64" i="4"/>
  <c r="AH72" i="4"/>
  <c r="AH76" i="4"/>
  <c r="AH85" i="4"/>
  <c r="AH95" i="4"/>
  <c r="AH116" i="4"/>
  <c r="AH117" i="4"/>
  <c r="AH130" i="4"/>
  <c r="AH121" i="4"/>
  <c r="AG8" i="15"/>
  <c r="AG24" i="15"/>
  <c r="AG8" i="16"/>
  <c r="AG30" i="16"/>
  <c r="AG11" i="14"/>
  <c r="AG8" i="14"/>
  <c r="AG48" i="14"/>
  <c r="AG23" i="14"/>
  <c r="AG11" i="13"/>
  <c r="AG8" i="13"/>
  <c r="AG23" i="13"/>
  <c r="AG89" i="11"/>
  <c r="AG80" i="11"/>
  <c r="AG74" i="11"/>
  <c r="AG70" i="11"/>
  <c r="AG62" i="11"/>
  <c r="AG54" i="11"/>
  <c r="AG45" i="11"/>
  <c r="AG38" i="11"/>
  <c r="AG30" i="11"/>
  <c r="AG23" i="11"/>
  <c r="AG14" i="11"/>
  <c r="AG89" i="12"/>
  <c r="AG80" i="12"/>
  <c r="AG74" i="12"/>
  <c r="AG70" i="12"/>
  <c r="AG62" i="12"/>
  <c r="AG54" i="12"/>
  <c r="AG45" i="12"/>
  <c r="AG38" i="12"/>
  <c r="AG30" i="12"/>
  <c r="AG23" i="12"/>
  <c r="AG14" i="12"/>
  <c r="AG32" i="7"/>
  <c r="AG25" i="7"/>
  <c r="AG19" i="7"/>
  <c r="AG18" i="7"/>
  <c r="AG17" i="7"/>
  <c r="AG10" i="7"/>
  <c r="AG9" i="7"/>
  <c r="AG8" i="7"/>
  <c r="AG31" i="7"/>
  <c r="AG57" i="14"/>
  <c r="AG39" i="14"/>
  <c r="AG32" i="14"/>
  <c r="AG48" i="13"/>
  <c r="AH32" i="13"/>
  <c r="AH48" i="13"/>
  <c r="AH23" i="13"/>
  <c r="AG16" i="16"/>
  <c r="AG24" i="16"/>
  <c r="AG15" i="14"/>
  <c r="AG74" i="5"/>
  <c r="AG34" i="5"/>
  <c r="AG35" i="5"/>
  <c r="AG52" i="5"/>
  <c r="AG54" i="5"/>
  <c r="AG96" i="4"/>
  <c r="AG99" i="4"/>
  <c r="AG100" i="4"/>
  <c r="AG56" i="4"/>
  <c r="AG59" i="4"/>
  <c r="AG25" i="4"/>
  <c r="AG26" i="4"/>
  <c r="AG82" i="5"/>
  <c r="AG83" i="5" s="1"/>
  <c r="AG81" i="5"/>
  <c r="AG76" i="5"/>
  <c r="AG75" i="5"/>
  <c r="AG73" i="5"/>
  <c r="AG72" i="5"/>
  <c r="AG66" i="5"/>
  <c r="AG65" i="5"/>
  <c r="AG64" i="5"/>
  <c r="AG63" i="5"/>
  <c r="AG55" i="5"/>
  <c r="AG53" i="5"/>
  <c r="AG44" i="5"/>
  <c r="AG43" i="5"/>
  <c r="AF43" i="5"/>
  <c r="AG42" i="5"/>
  <c r="AG41" i="5"/>
  <c r="AG33" i="5"/>
  <c r="AG26" i="5"/>
  <c r="AG25" i="5"/>
  <c r="AC25" i="5"/>
  <c r="AG24" i="5"/>
  <c r="AG18" i="5"/>
  <c r="AG17" i="5"/>
  <c r="AG16" i="5"/>
  <c r="AG10" i="5"/>
  <c r="AG8" i="5"/>
  <c r="AG71" i="5"/>
  <c r="AG79" i="5"/>
  <c r="AG98" i="4"/>
  <c r="AC98" i="4"/>
  <c r="AG97" i="4"/>
  <c r="AC97" i="4"/>
  <c r="AG89" i="4"/>
  <c r="AG88" i="4"/>
  <c r="AG87" i="4"/>
  <c r="AG86" i="4"/>
  <c r="AG77" i="4"/>
  <c r="AH75" i="11" s="1"/>
  <c r="AG73" i="4"/>
  <c r="AG68" i="4"/>
  <c r="AG67" i="4"/>
  <c r="AG66" i="4"/>
  <c r="AG65" i="4"/>
  <c r="AG58" i="4"/>
  <c r="AG57" i="4"/>
  <c r="AK56" i="12" s="1"/>
  <c r="AC57" i="4"/>
  <c r="AG51" i="4"/>
  <c r="AG50" i="4"/>
  <c r="AG49" i="4"/>
  <c r="AG48" i="4"/>
  <c r="AG47" i="4"/>
  <c r="AG42" i="4"/>
  <c r="AG41" i="4"/>
  <c r="AG40" i="4"/>
  <c r="AH39" i="11" s="1"/>
  <c r="AF40" i="4"/>
  <c r="AG34" i="4"/>
  <c r="AG33" i="4"/>
  <c r="AG32" i="4"/>
  <c r="AF32" i="4"/>
  <c r="AG31" i="4"/>
  <c r="AG24" i="4"/>
  <c r="AG19" i="4"/>
  <c r="AG18" i="4"/>
  <c r="AG17" i="4"/>
  <c r="AG15" i="4"/>
  <c r="AF15" i="4"/>
  <c r="AG11" i="4"/>
  <c r="AG9" i="4"/>
  <c r="D9" i="4"/>
  <c r="AG14" i="4"/>
  <c r="AG23" i="4"/>
  <c r="AG30" i="4"/>
  <c r="AG39" i="4"/>
  <c r="AG46" i="4"/>
  <c r="AG55" i="4"/>
  <c r="AG64" i="4"/>
  <c r="AG72" i="4"/>
  <c r="AG76" i="4"/>
  <c r="AG85" i="4"/>
  <c r="AG95" i="4"/>
  <c r="AG23" i="5"/>
  <c r="AG15" i="5"/>
  <c r="AG40" i="5"/>
  <c r="AG32" i="5"/>
  <c r="AF117" i="4"/>
  <c r="AF130" i="4"/>
  <c r="AF32" i="7"/>
  <c r="AF25" i="7"/>
  <c r="AF19" i="7"/>
  <c r="AF18" i="7"/>
  <c r="AF17" i="7"/>
  <c r="AF10" i="7"/>
  <c r="AF9" i="7"/>
  <c r="AF8" i="7"/>
  <c r="AF82" i="5"/>
  <c r="AF83" i="5" s="1"/>
  <c r="AF81" i="5"/>
  <c r="AF76" i="5"/>
  <c r="AF75" i="5"/>
  <c r="AF74" i="5"/>
  <c r="AF73" i="5"/>
  <c r="AF72" i="5"/>
  <c r="AF66" i="5"/>
  <c r="AF65" i="5"/>
  <c r="AF64" i="5"/>
  <c r="AF63" i="5"/>
  <c r="AF55" i="5"/>
  <c r="AF54" i="5"/>
  <c r="AF53" i="5"/>
  <c r="AF52" i="5"/>
  <c r="AF44" i="5"/>
  <c r="AB44" i="5"/>
  <c r="AF42" i="5"/>
  <c r="AF41" i="5"/>
  <c r="AF35" i="5"/>
  <c r="AF34" i="5"/>
  <c r="AJ34" i="13" s="1"/>
  <c r="AF26" i="5"/>
  <c r="AF25" i="5"/>
  <c r="AF24" i="5"/>
  <c r="AB25" i="5"/>
  <c r="AF18" i="5"/>
  <c r="AF17" i="5"/>
  <c r="AF16" i="5"/>
  <c r="AF10" i="5"/>
  <c r="AG10" i="14" s="1"/>
  <c r="AF8" i="5"/>
  <c r="AF40" i="5"/>
  <c r="AF100" i="4"/>
  <c r="AF99" i="4"/>
  <c r="AB99" i="4"/>
  <c r="AF97" i="4"/>
  <c r="AF96" i="4"/>
  <c r="AF89" i="4"/>
  <c r="AF88" i="4"/>
  <c r="AF87" i="4"/>
  <c r="AF86" i="4"/>
  <c r="AF77" i="4"/>
  <c r="AB77" i="4"/>
  <c r="AF73" i="4"/>
  <c r="AF68" i="4"/>
  <c r="AF67" i="4"/>
  <c r="AF66" i="4"/>
  <c r="AF65" i="4"/>
  <c r="AF59" i="4"/>
  <c r="AF58" i="4"/>
  <c r="AF57" i="4"/>
  <c r="AF51" i="4"/>
  <c r="AF50" i="4"/>
  <c r="AF49" i="4"/>
  <c r="AF48" i="4"/>
  <c r="AF42" i="4"/>
  <c r="AF41" i="4"/>
  <c r="AB41" i="4"/>
  <c r="AF34" i="4"/>
  <c r="AF33" i="4"/>
  <c r="AF31" i="4"/>
  <c r="AF26" i="4"/>
  <c r="AF25" i="4"/>
  <c r="AF24" i="4"/>
  <c r="AF19" i="4"/>
  <c r="AF18" i="4"/>
  <c r="AF17" i="4"/>
  <c r="AF11" i="4"/>
  <c r="AF10" i="4"/>
  <c r="AF9" i="4"/>
  <c r="AJ9" i="12" s="1"/>
  <c r="AF121" i="4"/>
  <c r="AF116" i="4"/>
  <c r="AF95" i="4"/>
  <c r="AF85" i="4"/>
  <c r="AF76" i="4"/>
  <c r="AF72" i="4"/>
  <c r="AF64" i="4"/>
  <c r="AF55" i="4"/>
  <c r="AF46" i="4"/>
  <c r="AF39" i="4"/>
  <c r="AF30" i="4"/>
  <c r="AF23" i="4"/>
  <c r="AF14" i="4"/>
  <c r="AF31" i="7"/>
  <c r="AF71" i="5"/>
  <c r="AF79" i="5"/>
  <c r="AF126" i="4"/>
  <c r="AF16" i="7"/>
  <c r="AF24" i="7"/>
  <c r="AF51" i="5"/>
  <c r="AF62" i="5"/>
  <c r="AF32" i="5"/>
  <c r="AF8" i="15"/>
  <c r="AF30" i="15"/>
  <c r="AF16" i="15"/>
  <c r="AF8" i="16"/>
  <c r="AF24" i="16"/>
  <c r="AF11" i="14"/>
  <c r="AF8" i="14"/>
  <c r="AF48" i="14"/>
  <c r="AF11" i="13"/>
  <c r="AF8" i="13"/>
  <c r="AF48" i="13"/>
  <c r="AF89" i="11"/>
  <c r="AF80" i="11"/>
  <c r="AF74" i="11"/>
  <c r="AF70" i="11"/>
  <c r="AF62" i="11"/>
  <c r="AF54" i="11"/>
  <c r="AF45" i="11"/>
  <c r="AF38" i="11"/>
  <c r="AF30" i="11"/>
  <c r="AF23" i="11"/>
  <c r="AF14" i="11"/>
  <c r="AF89" i="12"/>
  <c r="AF80" i="12"/>
  <c r="AF74" i="12"/>
  <c r="AF70" i="12"/>
  <c r="AF62" i="12"/>
  <c r="AF54" i="12"/>
  <c r="AF45" i="12"/>
  <c r="AF38" i="12"/>
  <c r="AF30" i="12"/>
  <c r="AF23" i="12"/>
  <c r="AF14" i="12"/>
  <c r="AF66" i="13"/>
  <c r="AE73" i="4"/>
  <c r="AE74" i="4" s="1"/>
  <c r="AD73" i="4"/>
  <c r="AC73" i="4"/>
  <c r="AB73" i="4"/>
  <c r="AA73" i="4"/>
  <c r="AA74" i="4" s="1"/>
  <c r="Z73" i="4"/>
  <c r="Y73" i="4"/>
  <c r="AE8" i="15"/>
  <c r="AE30" i="15"/>
  <c r="AE8" i="16"/>
  <c r="AE30" i="16"/>
  <c r="AE11" i="14"/>
  <c r="AE8" i="14"/>
  <c r="AE32" i="14"/>
  <c r="AE11" i="13"/>
  <c r="AE8" i="13"/>
  <c r="AE48" i="13"/>
  <c r="AE89" i="11"/>
  <c r="AE80" i="11"/>
  <c r="AE74" i="11"/>
  <c r="AE70" i="11"/>
  <c r="AE62" i="11"/>
  <c r="AE54" i="11"/>
  <c r="AE45" i="11"/>
  <c r="AE38" i="11"/>
  <c r="AE30" i="11"/>
  <c r="AE23" i="11"/>
  <c r="AE14" i="11"/>
  <c r="AE89" i="12"/>
  <c r="AE80" i="12"/>
  <c r="AE74" i="12"/>
  <c r="AE70" i="12"/>
  <c r="AE62" i="12"/>
  <c r="AE54" i="12"/>
  <c r="AE45" i="12"/>
  <c r="AE38" i="12"/>
  <c r="AE30" i="12"/>
  <c r="AE23" i="12"/>
  <c r="AE14" i="12"/>
  <c r="AE32" i="7"/>
  <c r="AE25" i="7"/>
  <c r="AE19" i="7"/>
  <c r="AE18" i="7"/>
  <c r="AE17" i="7"/>
  <c r="AE10" i="7"/>
  <c r="AE9" i="7"/>
  <c r="AI9" i="16" s="1"/>
  <c r="AE8" i="7"/>
  <c r="AE24" i="7"/>
  <c r="AE48" i="14"/>
  <c r="AE15" i="14"/>
  <c r="AE15" i="13"/>
  <c r="AE23" i="13"/>
  <c r="AE57" i="13"/>
  <c r="AE66" i="13"/>
  <c r="AE32" i="13"/>
  <c r="AE39" i="13"/>
  <c r="AE82" i="5"/>
  <c r="AE83" i="5" s="1"/>
  <c r="AE81" i="5"/>
  <c r="AE76" i="5"/>
  <c r="AE75" i="5"/>
  <c r="AE74" i="5"/>
  <c r="AE73" i="5"/>
  <c r="AE72" i="5"/>
  <c r="AA72" i="5"/>
  <c r="AE66" i="5"/>
  <c r="AE65" i="5"/>
  <c r="AE64" i="5"/>
  <c r="AE63" i="5"/>
  <c r="AE55" i="5"/>
  <c r="AE54" i="5"/>
  <c r="AE53" i="5"/>
  <c r="AE52" i="5"/>
  <c r="AE43" i="5"/>
  <c r="AE42" i="5"/>
  <c r="AE41" i="5"/>
  <c r="AE35" i="5"/>
  <c r="AE34" i="5"/>
  <c r="AE33" i="5"/>
  <c r="AE26" i="5"/>
  <c r="AE24" i="5"/>
  <c r="AE25" i="5"/>
  <c r="AE18" i="5"/>
  <c r="AE17" i="5"/>
  <c r="AE16" i="5"/>
  <c r="AE10" i="5"/>
  <c r="AE8" i="5"/>
  <c r="AE15" i="5"/>
  <c r="B9" i="4"/>
  <c r="AE121" i="4"/>
  <c r="AE126" i="4"/>
  <c r="AE117" i="4"/>
  <c r="AE130" i="4"/>
  <c r="AD117" i="4"/>
  <c r="AE100" i="4"/>
  <c r="AE99" i="4"/>
  <c r="AE98" i="4"/>
  <c r="AE97" i="4"/>
  <c r="AE96" i="4"/>
  <c r="AE89" i="4"/>
  <c r="AE88" i="4"/>
  <c r="AE87" i="4"/>
  <c r="AE86" i="4"/>
  <c r="AE77" i="4"/>
  <c r="AE68" i="4"/>
  <c r="AE67" i="4"/>
  <c r="AE66" i="4"/>
  <c r="AE65" i="4"/>
  <c r="AE59" i="4"/>
  <c r="AE58" i="4"/>
  <c r="AE57" i="4"/>
  <c r="AE56" i="4"/>
  <c r="AE51" i="4"/>
  <c r="AE50" i="4"/>
  <c r="AE49" i="4"/>
  <c r="AE48" i="4"/>
  <c r="AE42" i="4"/>
  <c r="AE41" i="4"/>
  <c r="AE40" i="4"/>
  <c r="AE34" i="4"/>
  <c r="AE33" i="4"/>
  <c r="AE32" i="4"/>
  <c r="AE31" i="4"/>
  <c r="AE26" i="4"/>
  <c r="AE25" i="4"/>
  <c r="AE24" i="4"/>
  <c r="AE19" i="4"/>
  <c r="AE18" i="4"/>
  <c r="AE17" i="4"/>
  <c r="AE15" i="4"/>
  <c r="AE11" i="4"/>
  <c r="AE10" i="4"/>
  <c r="AE9" i="4"/>
  <c r="AE116" i="4"/>
  <c r="AE95" i="4"/>
  <c r="AE85" i="4"/>
  <c r="AE76" i="4"/>
  <c r="AE72" i="4"/>
  <c r="AE64" i="4"/>
  <c r="AE55" i="4"/>
  <c r="AE46" i="4"/>
  <c r="AE39" i="4"/>
  <c r="AE30" i="4"/>
  <c r="AE23" i="4"/>
  <c r="AE14" i="4"/>
  <c r="AD89" i="12"/>
  <c r="AD80" i="12"/>
  <c r="AD74" i="12"/>
  <c r="AD70" i="12"/>
  <c r="AD62" i="12"/>
  <c r="AD54" i="12"/>
  <c r="AD45" i="12"/>
  <c r="AD38" i="12"/>
  <c r="AD30" i="12"/>
  <c r="AD23" i="12"/>
  <c r="AD14" i="12"/>
  <c r="AD8" i="7"/>
  <c r="AD16" i="7"/>
  <c r="AD9" i="7"/>
  <c r="AD10" i="7"/>
  <c r="AD17" i="7"/>
  <c r="AD18" i="7"/>
  <c r="AD19" i="7"/>
  <c r="AD25" i="7"/>
  <c r="AD32" i="7"/>
  <c r="AD8" i="15"/>
  <c r="AD30" i="15"/>
  <c r="AD8" i="16"/>
  <c r="AD30" i="16"/>
  <c r="AD11" i="14"/>
  <c r="AD8" i="14"/>
  <c r="AD39" i="14"/>
  <c r="AD89" i="11"/>
  <c r="AD80" i="11"/>
  <c r="AD74" i="11"/>
  <c r="AD70" i="11"/>
  <c r="AD62" i="11"/>
  <c r="AD54" i="11"/>
  <c r="AD45" i="11"/>
  <c r="AD38" i="11"/>
  <c r="AD30" i="11"/>
  <c r="AD23" i="11"/>
  <c r="AD14" i="11"/>
  <c r="AD57" i="14"/>
  <c r="AD16" i="15"/>
  <c r="AD15" i="14"/>
  <c r="AD82" i="5"/>
  <c r="AD83" i="5" s="1"/>
  <c r="AD81" i="5"/>
  <c r="AD76" i="5"/>
  <c r="AD75" i="5"/>
  <c r="AD74" i="5"/>
  <c r="AD73" i="5"/>
  <c r="AD72" i="5"/>
  <c r="AD66" i="5"/>
  <c r="AD65" i="5"/>
  <c r="AD64" i="5"/>
  <c r="AD63" i="5"/>
  <c r="AD55" i="5"/>
  <c r="AD54" i="5"/>
  <c r="AD53" i="5"/>
  <c r="AD52" i="5"/>
  <c r="AD44" i="5"/>
  <c r="AD43" i="5"/>
  <c r="AD42" i="5"/>
  <c r="AD41" i="5"/>
  <c r="AD35" i="5"/>
  <c r="AD34" i="5"/>
  <c r="AD33" i="5"/>
  <c r="AD26" i="5"/>
  <c r="AD25" i="5"/>
  <c r="AD24" i="5"/>
  <c r="AD18" i="5"/>
  <c r="AD17" i="5"/>
  <c r="AD16" i="5"/>
  <c r="AD10" i="5"/>
  <c r="AD8" i="5"/>
  <c r="AD71" i="5"/>
  <c r="AD79" i="5"/>
  <c r="AD11" i="13"/>
  <c r="AD8" i="13"/>
  <c r="AD48" i="13"/>
  <c r="AC8" i="13"/>
  <c r="AC15" i="13"/>
  <c r="AC11" i="13"/>
  <c r="Z10" i="5"/>
  <c r="AD66" i="13"/>
  <c r="AD100" i="4"/>
  <c r="AD94" i="12" s="1"/>
  <c r="Z100" i="4"/>
  <c r="AD99" i="4"/>
  <c r="AD98" i="4"/>
  <c r="AD97" i="4"/>
  <c r="AD96" i="4"/>
  <c r="AD89" i="4"/>
  <c r="AD88" i="4"/>
  <c r="Z88" i="4"/>
  <c r="AD87" i="4"/>
  <c r="AD86" i="4"/>
  <c r="AD77" i="4"/>
  <c r="AD68" i="4"/>
  <c r="AC68" i="4"/>
  <c r="AD66" i="11" s="1"/>
  <c r="AD67" i="4"/>
  <c r="AD66" i="4"/>
  <c r="AD65" i="4"/>
  <c r="AD59" i="4"/>
  <c r="AD58" i="4"/>
  <c r="AD57" i="4"/>
  <c r="AD56" i="4"/>
  <c r="AD51" i="4"/>
  <c r="Z51" i="4"/>
  <c r="AD50" i="4"/>
  <c r="AD49" i="4"/>
  <c r="AD48" i="4"/>
  <c r="AD47" i="4"/>
  <c r="AD42" i="4"/>
  <c r="AD41" i="4"/>
  <c r="AD40" i="4"/>
  <c r="AH39" i="12"/>
  <c r="AD34" i="4"/>
  <c r="AC34" i="4"/>
  <c r="AD33" i="4"/>
  <c r="AD32" i="4"/>
  <c r="AD31" i="4"/>
  <c r="AD26" i="4"/>
  <c r="AD25" i="4"/>
  <c r="AD24" i="4"/>
  <c r="AD24" i="11" s="1"/>
  <c r="AC24" i="4"/>
  <c r="AD19" i="4"/>
  <c r="AD18" i="4"/>
  <c r="AD17" i="4"/>
  <c r="AD15" i="4"/>
  <c r="AD11" i="4"/>
  <c r="AD10" i="4"/>
  <c r="AD9" i="4"/>
  <c r="AD121" i="4"/>
  <c r="AD116" i="4"/>
  <c r="AD95" i="4"/>
  <c r="AD85" i="4"/>
  <c r="AD76" i="4"/>
  <c r="AD72" i="4"/>
  <c r="AD64" i="4"/>
  <c r="AD55" i="4"/>
  <c r="AD46" i="4"/>
  <c r="AD39" i="4"/>
  <c r="AD30" i="4"/>
  <c r="AD23" i="4"/>
  <c r="AD14" i="4"/>
  <c r="AD130" i="4"/>
  <c r="AD126" i="4"/>
  <c r="AC117" i="4"/>
  <c r="AC130" i="4"/>
  <c r="AC116" i="4"/>
  <c r="AC8" i="15"/>
  <c r="AC30" i="15"/>
  <c r="AC8" i="16"/>
  <c r="AC24" i="16"/>
  <c r="AC8" i="14"/>
  <c r="AC66" i="14"/>
  <c r="AC32" i="14"/>
  <c r="AC11" i="14"/>
  <c r="AC23" i="13"/>
  <c r="AC32" i="13"/>
  <c r="AC39" i="13"/>
  <c r="AC48" i="13"/>
  <c r="AC57" i="13"/>
  <c r="AC66" i="13"/>
  <c r="AC14" i="11"/>
  <c r="AC23" i="11"/>
  <c r="AC30" i="11"/>
  <c r="AC38" i="11"/>
  <c r="AC45" i="11"/>
  <c r="AC54" i="11"/>
  <c r="AC62" i="11"/>
  <c r="AC70" i="11"/>
  <c r="AC74" i="11"/>
  <c r="AC80" i="11"/>
  <c r="AC89" i="11"/>
  <c r="AC14" i="12"/>
  <c r="AC23" i="12"/>
  <c r="AC30" i="12"/>
  <c r="AC38" i="12"/>
  <c r="AC45" i="12"/>
  <c r="AC54" i="12"/>
  <c r="AC62" i="12"/>
  <c r="AC70" i="12"/>
  <c r="AC74" i="12"/>
  <c r="AC80" i="12"/>
  <c r="AC89" i="12"/>
  <c r="AC87" i="4"/>
  <c r="AC32" i="7"/>
  <c r="AG31" i="16" s="1"/>
  <c r="AC25" i="7"/>
  <c r="AC19" i="7"/>
  <c r="AC18" i="7"/>
  <c r="AC17" i="7"/>
  <c r="AB17" i="7"/>
  <c r="AC10" i="7"/>
  <c r="AC9" i="7"/>
  <c r="AC8" i="7"/>
  <c r="AC31" i="7"/>
  <c r="AC82" i="5"/>
  <c r="AC83" i="5" s="1"/>
  <c r="AC81" i="5"/>
  <c r="AC76" i="5"/>
  <c r="AC75" i="5"/>
  <c r="AB75" i="5"/>
  <c r="AC74" i="5"/>
  <c r="AC73" i="5"/>
  <c r="AC72" i="5"/>
  <c r="AC66" i="5"/>
  <c r="AC65" i="5"/>
  <c r="AC64" i="5"/>
  <c r="AC63" i="5"/>
  <c r="AC55" i="5"/>
  <c r="Y55" i="5"/>
  <c r="AC54" i="5"/>
  <c r="AC53" i="5"/>
  <c r="AC52" i="5"/>
  <c r="AC44" i="5"/>
  <c r="AC43" i="5"/>
  <c r="AC42" i="5"/>
  <c r="AC41" i="5"/>
  <c r="AC35" i="5"/>
  <c r="Y35" i="5"/>
  <c r="AC34" i="5"/>
  <c r="AG34" i="13" s="1"/>
  <c r="AC33" i="5"/>
  <c r="AC26" i="5"/>
  <c r="AC24" i="5"/>
  <c r="AC18" i="5"/>
  <c r="AC17" i="5"/>
  <c r="AC16" i="5"/>
  <c r="AG16" i="13" s="1"/>
  <c r="AC10" i="5"/>
  <c r="AC9" i="5" s="1"/>
  <c r="AC8" i="5"/>
  <c r="AC15" i="5"/>
  <c r="AC100" i="4"/>
  <c r="AC99" i="4"/>
  <c r="AC96" i="4"/>
  <c r="AC89" i="4"/>
  <c r="AC88" i="4"/>
  <c r="AC86" i="4"/>
  <c r="AC77" i="4"/>
  <c r="AC67" i="4"/>
  <c r="AC66" i="4"/>
  <c r="AC65" i="4"/>
  <c r="AC59" i="4"/>
  <c r="AC58" i="4"/>
  <c r="AB58" i="4"/>
  <c r="AC56" i="4"/>
  <c r="AC51" i="4"/>
  <c r="AC50" i="4"/>
  <c r="AC49" i="4"/>
  <c r="AC48" i="4"/>
  <c r="AC47" i="4"/>
  <c r="AC42" i="4"/>
  <c r="AC41" i="4"/>
  <c r="AC40" i="4"/>
  <c r="AC33" i="4"/>
  <c r="AC32" i="4"/>
  <c r="AC31" i="4"/>
  <c r="AC26" i="4"/>
  <c r="AC25" i="4"/>
  <c r="AC19" i="4"/>
  <c r="AC18" i="4"/>
  <c r="AC17" i="4"/>
  <c r="AC15" i="4"/>
  <c r="AC11" i="4"/>
  <c r="AC10" i="4"/>
  <c r="AC9" i="4"/>
  <c r="AC14" i="4"/>
  <c r="AC23" i="4"/>
  <c r="AC30" i="4"/>
  <c r="AC39" i="4"/>
  <c r="AC46" i="4"/>
  <c r="AC55" i="4"/>
  <c r="AC64" i="4"/>
  <c r="AC72" i="4"/>
  <c r="AC76" i="4"/>
  <c r="AC85" i="4"/>
  <c r="AC95" i="4"/>
  <c r="AC121" i="4"/>
  <c r="AC23" i="14"/>
  <c r="AC15" i="14"/>
  <c r="AC16" i="16"/>
  <c r="AC48" i="14"/>
  <c r="AC57" i="14"/>
  <c r="AC39" i="14"/>
  <c r="AC126" i="4"/>
  <c r="AC16" i="7"/>
  <c r="AC24" i="7"/>
  <c r="AB8" i="15"/>
  <c r="AB30" i="15"/>
  <c r="AB8" i="16"/>
  <c r="AB16" i="16"/>
  <c r="AB30" i="16"/>
  <c r="AB8" i="14"/>
  <c r="AB39" i="14"/>
  <c r="AB32" i="14"/>
  <c r="AB11" i="14"/>
  <c r="AB8" i="13"/>
  <c r="AB32" i="13"/>
  <c r="AB11" i="13"/>
  <c r="AB14" i="11"/>
  <c r="AB23" i="11"/>
  <c r="AB30" i="11"/>
  <c r="AB38" i="11"/>
  <c r="AB45" i="11"/>
  <c r="AB54" i="11"/>
  <c r="AB62" i="11"/>
  <c r="AB70" i="11"/>
  <c r="AB74" i="11"/>
  <c r="AB80" i="11"/>
  <c r="AB89" i="11"/>
  <c r="AB14" i="12"/>
  <c r="AB23" i="12"/>
  <c r="AB30" i="12"/>
  <c r="AB38" i="12"/>
  <c r="AB45" i="12"/>
  <c r="AB54" i="12"/>
  <c r="AB62" i="12"/>
  <c r="AB70" i="12"/>
  <c r="AB74" i="12"/>
  <c r="AB80" i="12"/>
  <c r="AB89" i="12"/>
  <c r="AB32" i="7"/>
  <c r="AB25" i="7"/>
  <c r="AB19" i="7"/>
  <c r="AB18" i="7"/>
  <c r="AF18" i="16" s="1"/>
  <c r="AB10" i="7"/>
  <c r="AB9" i="7"/>
  <c r="AB8" i="7"/>
  <c r="AB16" i="7"/>
  <c r="AB81" i="5"/>
  <c r="AB82" i="5"/>
  <c r="AB83" i="5" s="1"/>
  <c r="AB57" i="13"/>
  <c r="AB24" i="16"/>
  <c r="AB48" i="13"/>
  <c r="AB31" i="7"/>
  <c r="AB66" i="14"/>
  <c r="AB57" i="14"/>
  <c r="AB74" i="5"/>
  <c r="AB76" i="5"/>
  <c r="AB33" i="5"/>
  <c r="AB35" i="5"/>
  <c r="AB55" i="5"/>
  <c r="AB16" i="5"/>
  <c r="AB96" i="4"/>
  <c r="AB59" i="4"/>
  <c r="AA59" i="4"/>
  <c r="W59" i="4"/>
  <c r="AB25" i="4"/>
  <c r="AB26" i="4"/>
  <c r="AB73" i="5"/>
  <c r="AB72" i="5"/>
  <c r="AB66" i="5"/>
  <c r="AB65" i="5"/>
  <c r="AB64" i="5"/>
  <c r="AB63" i="5"/>
  <c r="AB54" i="5"/>
  <c r="AB53" i="5"/>
  <c r="AB52" i="5"/>
  <c r="AB43" i="5"/>
  <c r="AB42" i="5"/>
  <c r="AB41" i="5"/>
  <c r="AB34" i="5"/>
  <c r="AB26" i="5"/>
  <c r="AB24" i="5"/>
  <c r="AF24" i="13"/>
  <c r="AB18" i="5"/>
  <c r="AB17" i="5"/>
  <c r="AB10" i="5"/>
  <c r="AB9" i="5" s="1"/>
  <c r="AB8" i="5"/>
  <c r="AB32" i="5"/>
  <c r="AB100" i="4"/>
  <c r="AF101" i="4" s="1"/>
  <c r="AB98" i="4"/>
  <c r="AB97" i="4"/>
  <c r="AB89" i="4"/>
  <c r="AB88" i="4"/>
  <c r="AB87" i="4"/>
  <c r="AB86" i="4"/>
  <c r="AB68" i="4"/>
  <c r="AB67" i="4"/>
  <c r="AB66" i="4"/>
  <c r="AB65" i="4"/>
  <c r="AB57" i="4"/>
  <c r="AB56" i="4"/>
  <c r="AF55" i="12" s="1"/>
  <c r="AB51" i="4"/>
  <c r="AB50" i="4"/>
  <c r="AB49" i="4"/>
  <c r="AB48" i="4"/>
  <c r="AB47" i="4"/>
  <c r="AB42" i="4"/>
  <c r="AB40" i="4"/>
  <c r="AB34" i="4"/>
  <c r="AB33" i="4"/>
  <c r="AB32" i="4"/>
  <c r="AB31" i="4"/>
  <c r="AB24" i="4"/>
  <c r="AB19" i="4"/>
  <c r="AB18" i="4"/>
  <c r="AB17" i="4"/>
  <c r="AB15" i="4"/>
  <c r="AB11" i="4"/>
  <c r="AB10" i="4"/>
  <c r="AB9" i="4"/>
  <c r="AB14" i="4"/>
  <c r="AB23" i="4"/>
  <c r="AB30" i="4"/>
  <c r="AB39" i="4"/>
  <c r="AB46" i="4"/>
  <c r="AB55" i="4"/>
  <c r="AB64" i="4"/>
  <c r="AB72" i="4"/>
  <c r="AB76" i="4"/>
  <c r="AB85" i="4"/>
  <c r="AB95" i="4"/>
  <c r="AB116" i="4"/>
  <c r="AB117" i="4"/>
  <c r="AB121" i="4"/>
  <c r="AB126" i="4"/>
  <c r="AB130" i="4"/>
  <c r="AA8" i="15"/>
  <c r="AA24" i="15"/>
  <c r="AA16" i="15"/>
  <c r="AA8" i="16"/>
  <c r="AA16" i="16"/>
  <c r="AA8" i="14"/>
  <c r="AA23" i="14"/>
  <c r="AA11" i="14"/>
  <c r="AA8" i="13"/>
  <c r="AA39" i="13"/>
  <c r="AA11" i="13"/>
  <c r="AA14" i="11"/>
  <c r="AA23" i="11"/>
  <c r="AA30" i="11"/>
  <c r="AA38" i="11"/>
  <c r="AA45" i="11"/>
  <c r="AA54" i="11"/>
  <c r="AA62" i="11"/>
  <c r="AA70" i="11"/>
  <c r="AA74" i="11"/>
  <c r="AA80" i="11"/>
  <c r="AA89" i="11"/>
  <c r="AA14" i="12"/>
  <c r="AA23" i="12"/>
  <c r="AA30" i="12"/>
  <c r="AA38" i="12"/>
  <c r="AA45" i="12"/>
  <c r="AA54" i="12"/>
  <c r="AA62" i="12"/>
  <c r="AA70" i="12"/>
  <c r="AA74" i="12"/>
  <c r="AA80" i="12"/>
  <c r="AA89" i="12"/>
  <c r="B123" i="4"/>
  <c r="C123" i="4"/>
  <c r="D123" i="4"/>
  <c r="E123" i="4"/>
  <c r="F123" i="4"/>
  <c r="G123" i="4"/>
  <c r="H123" i="4"/>
  <c r="I123" i="4"/>
  <c r="I114" i="4"/>
  <c r="I112" i="4"/>
  <c r="I119" i="4"/>
  <c r="M123" i="4"/>
  <c r="M121" i="4" s="1"/>
  <c r="M126" i="4" s="1"/>
  <c r="AA117" i="4"/>
  <c r="AA39" i="14"/>
  <c r="AA48" i="13"/>
  <c r="AA24" i="16"/>
  <c r="AA15" i="14"/>
  <c r="AA32" i="7"/>
  <c r="AA25" i="7"/>
  <c r="AA19" i="7"/>
  <c r="AA18" i="7"/>
  <c r="AA17" i="7"/>
  <c r="AA10" i="7"/>
  <c r="AA9" i="7"/>
  <c r="W9" i="7"/>
  <c r="AA8" i="7"/>
  <c r="AA31" i="7"/>
  <c r="AA76" i="5"/>
  <c r="AA75" i="5"/>
  <c r="AA74" i="5"/>
  <c r="AA73" i="5"/>
  <c r="AA66" i="5"/>
  <c r="AA65" i="5"/>
  <c r="AA64" i="5"/>
  <c r="AA63" i="5"/>
  <c r="W63" i="5"/>
  <c r="AA55" i="5"/>
  <c r="AA52" i="13" s="1"/>
  <c r="W55" i="5"/>
  <c r="AA54" i="5"/>
  <c r="AA53" i="5"/>
  <c r="AA52" i="5"/>
  <c r="AA44" i="5"/>
  <c r="AA43" i="5"/>
  <c r="Z43" i="5"/>
  <c r="AA42" i="5"/>
  <c r="AA41" i="5"/>
  <c r="W41" i="5"/>
  <c r="AA40" i="13" s="1"/>
  <c r="AA35" i="5"/>
  <c r="AA34" i="5"/>
  <c r="AA33" i="5"/>
  <c r="AA33" i="14" s="1"/>
  <c r="AA26" i="5"/>
  <c r="AA25" i="5"/>
  <c r="AA24" i="5"/>
  <c r="AA18" i="5"/>
  <c r="Z18" i="5"/>
  <c r="AA17" i="5"/>
  <c r="AA16" i="5"/>
  <c r="AA10" i="5"/>
  <c r="AA8" i="5"/>
  <c r="AA71" i="5"/>
  <c r="Z64" i="5"/>
  <c r="Z63" i="5"/>
  <c r="Z55" i="5"/>
  <c r="Z54" i="5"/>
  <c r="Z53" i="5"/>
  <c r="Z52" i="5"/>
  <c r="Z44" i="5"/>
  <c r="Z42" i="5"/>
  <c r="Z41" i="5"/>
  <c r="Z35" i="5"/>
  <c r="Z34" i="5"/>
  <c r="Z33" i="5"/>
  <c r="Z26" i="5"/>
  <c r="Z25" i="5"/>
  <c r="Z24" i="5"/>
  <c r="Z17" i="5"/>
  <c r="Z16" i="5"/>
  <c r="Z76" i="5"/>
  <c r="Z75" i="5"/>
  <c r="AD70" i="13" s="1"/>
  <c r="Z74" i="5"/>
  <c r="Z73" i="5"/>
  <c r="Z72" i="5"/>
  <c r="Z66" i="5"/>
  <c r="Z65" i="5"/>
  <c r="AA32" i="5"/>
  <c r="AA16" i="7"/>
  <c r="AA100" i="4"/>
  <c r="AA99" i="4"/>
  <c r="AA98" i="4"/>
  <c r="AA97" i="4"/>
  <c r="AA96" i="4"/>
  <c r="AA89" i="4"/>
  <c r="AA88" i="4"/>
  <c r="AA87" i="4"/>
  <c r="AA86" i="4"/>
  <c r="AA77" i="4"/>
  <c r="AA68" i="4"/>
  <c r="AA67" i="4"/>
  <c r="AA66" i="4"/>
  <c r="AA65" i="4"/>
  <c r="AA58" i="4"/>
  <c r="AA57" i="4"/>
  <c r="AA56" i="4"/>
  <c r="AA51" i="4"/>
  <c r="AA50" i="4"/>
  <c r="AA49" i="4"/>
  <c r="AA48" i="4"/>
  <c r="AA47" i="4"/>
  <c r="AA42" i="4"/>
  <c r="AA41" i="4"/>
  <c r="AA40" i="4"/>
  <c r="AB39" i="11" s="1"/>
  <c r="AA34" i="4"/>
  <c r="AA33" i="4"/>
  <c r="AA32" i="4"/>
  <c r="AE32" i="12" s="1"/>
  <c r="AA31" i="4"/>
  <c r="AA26" i="4"/>
  <c r="AA25" i="4"/>
  <c r="AA24" i="4"/>
  <c r="AA19" i="4"/>
  <c r="AA18" i="4"/>
  <c r="AA17" i="4"/>
  <c r="AA15" i="4"/>
  <c r="AA11" i="4"/>
  <c r="W11" i="4"/>
  <c r="AA10" i="4"/>
  <c r="AA9" i="4"/>
  <c r="AA14" i="4"/>
  <c r="AA23" i="4"/>
  <c r="AA30" i="4"/>
  <c r="AA39" i="4"/>
  <c r="AA46" i="4"/>
  <c r="AA55" i="4"/>
  <c r="AA64" i="4"/>
  <c r="AA72" i="4"/>
  <c r="AA76" i="4"/>
  <c r="AA85" i="4"/>
  <c r="AA95" i="4"/>
  <c r="AA116" i="4"/>
  <c r="AA121" i="4"/>
  <c r="AA126" i="4"/>
  <c r="AA130" i="4"/>
  <c r="Z8" i="15"/>
  <c r="Z16" i="15"/>
  <c r="Z8" i="16"/>
  <c r="Z30" i="16"/>
  <c r="Z16" i="16"/>
  <c r="Z8" i="14"/>
  <c r="Z23" i="14"/>
  <c r="Z11" i="14"/>
  <c r="Z8" i="13"/>
  <c r="Z57" i="13"/>
  <c r="Z11" i="13"/>
  <c r="Z14" i="11"/>
  <c r="Z23" i="11"/>
  <c r="Z30" i="11"/>
  <c r="Z38" i="11"/>
  <c r="Z45" i="11"/>
  <c r="Z54" i="11"/>
  <c r="Z62" i="11"/>
  <c r="Z70" i="11"/>
  <c r="Z74" i="11"/>
  <c r="Z80" i="11"/>
  <c r="Z89" i="11"/>
  <c r="Z14" i="12"/>
  <c r="Z23" i="12"/>
  <c r="Z30" i="12"/>
  <c r="Z38" i="12"/>
  <c r="Z45" i="12"/>
  <c r="Z54" i="12"/>
  <c r="Z62" i="12"/>
  <c r="Z70" i="12"/>
  <c r="Z74" i="12"/>
  <c r="Z80" i="12"/>
  <c r="Z89" i="12"/>
  <c r="Z32" i="7"/>
  <c r="Z25" i="7"/>
  <c r="Z19" i="7"/>
  <c r="Z18" i="7"/>
  <c r="Z17" i="7"/>
  <c r="Z10" i="7"/>
  <c r="AD10" i="16" s="1"/>
  <c r="Y10" i="7"/>
  <c r="Z9" i="7"/>
  <c r="Z8" i="7"/>
  <c r="Z31" i="7"/>
  <c r="Z8" i="5"/>
  <c r="Z15" i="5"/>
  <c r="Z99" i="4"/>
  <c r="Z98" i="4"/>
  <c r="Y98" i="4"/>
  <c r="AC92" i="12" s="1"/>
  <c r="Z97" i="4"/>
  <c r="Z96" i="4"/>
  <c r="Z89" i="4"/>
  <c r="Z87" i="4"/>
  <c r="Z86" i="4"/>
  <c r="Z77" i="4"/>
  <c r="Z68" i="4"/>
  <c r="Z67" i="4"/>
  <c r="Z66" i="4"/>
  <c r="Z65" i="4"/>
  <c r="Z59" i="4"/>
  <c r="Z58" i="4"/>
  <c r="Z57" i="4"/>
  <c r="AD56" i="12" s="1"/>
  <c r="Z56" i="4"/>
  <c r="Y56" i="4"/>
  <c r="Z55" i="11" s="1"/>
  <c r="Z50" i="4"/>
  <c r="Z49" i="4"/>
  <c r="Z48" i="4"/>
  <c r="Z47" i="4"/>
  <c r="Z42" i="4"/>
  <c r="Y42" i="4"/>
  <c r="Z41" i="4"/>
  <c r="Z40" i="4"/>
  <c r="Z34" i="4"/>
  <c r="Z33" i="4"/>
  <c r="Z32" i="4"/>
  <c r="AD32" i="12" s="1"/>
  <c r="Z31" i="4"/>
  <c r="Z26" i="4"/>
  <c r="Z25" i="4"/>
  <c r="Z24" i="4"/>
  <c r="Z19" i="4"/>
  <c r="Z18" i="4"/>
  <c r="Z17" i="4"/>
  <c r="Z15" i="4"/>
  <c r="Z11" i="4"/>
  <c r="AA11" i="11" s="1"/>
  <c r="Z10" i="4"/>
  <c r="Z9" i="4"/>
  <c r="Z14" i="4"/>
  <c r="Z23" i="4"/>
  <c r="Z30" i="4"/>
  <c r="Z39" i="4"/>
  <c r="Z46" i="4"/>
  <c r="Z55" i="4"/>
  <c r="Z64" i="4"/>
  <c r="Z72" i="4"/>
  <c r="Z76" i="4"/>
  <c r="Z85" i="4"/>
  <c r="Z95" i="4"/>
  <c r="Z116" i="4"/>
  <c r="Z117" i="4"/>
  <c r="Z130" i="4"/>
  <c r="Z121" i="4"/>
  <c r="Z126" i="4"/>
  <c r="Z30" i="15"/>
  <c r="Z62" i="5"/>
  <c r="Z15" i="13"/>
  <c r="Z24" i="15"/>
  <c r="Z24" i="16"/>
  <c r="Z16" i="7"/>
  <c r="Y117" i="4"/>
  <c r="B114" i="4"/>
  <c r="C114" i="4"/>
  <c r="D114" i="4"/>
  <c r="E114" i="4"/>
  <c r="F114" i="4"/>
  <c r="G114" i="4"/>
  <c r="H114" i="4"/>
  <c r="Y8" i="15"/>
  <c r="Y30" i="15"/>
  <c r="Y8" i="16"/>
  <c r="Y30" i="16"/>
  <c r="Y8" i="14"/>
  <c r="Y57" i="14"/>
  <c r="Y11" i="14"/>
  <c r="Y8" i="13"/>
  <c r="Y11" i="13"/>
  <c r="Y14" i="11"/>
  <c r="Y23" i="11"/>
  <c r="Y30" i="11"/>
  <c r="Y38" i="11"/>
  <c r="Y45" i="11"/>
  <c r="Y54" i="11"/>
  <c r="Y62" i="11"/>
  <c r="Y70" i="11"/>
  <c r="Y74" i="11"/>
  <c r="Y80" i="11"/>
  <c r="Y89" i="11"/>
  <c r="Y14" i="12"/>
  <c r="Y23" i="12"/>
  <c r="Y30" i="12"/>
  <c r="Y38" i="12"/>
  <c r="Y45" i="12"/>
  <c r="Y54" i="12"/>
  <c r="Y62" i="12"/>
  <c r="Y70" i="12"/>
  <c r="Y74" i="12"/>
  <c r="Y80" i="12"/>
  <c r="Y89" i="12"/>
  <c r="Y32" i="7"/>
  <c r="Y25" i="7"/>
  <c r="Y19" i="7"/>
  <c r="Y18" i="7"/>
  <c r="Y17" i="7"/>
  <c r="Y9" i="7"/>
  <c r="Y8" i="7"/>
  <c r="Y76" i="5"/>
  <c r="Y75" i="5"/>
  <c r="Y74" i="5"/>
  <c r="Y73" i="5"/>
  <c r="Y72" i="5"/>
  <c r="Y66" i="5"/>
  <c r="Y65" i="5"/>
  <c r="Y64" i="5"/>
  <c r="Y63" i="5"/>
  <c r="Y54" i="5"/>
  <c r="Y53" i="5"/>
  <c r="Y52" i="5"/>
  <c r="Y44" i="5"/>
  <c r="Y43" i="5"/>
  <c r="Y42" i="5"/>
  <c r="Y41" i="5"/>
  <c r="X35" i="5"/>
  <c r="Y34" i="5"/>
  <c r="Y33" i="5"/>
  <c r="Y26" i="5"/>
  <c r="Y25" i="5"/>
  <c r="Y24" i="5"/>
  <c r="Y18" i="5"/>
  <c r="Y17" i="5"/>
  <c r="Y16" i="5"/>
  <c r="Y10" i="5"/>
  <c r="Y8" i="5"/>
  <c r="Y40" i="5"/>
  <c r="Y100" i="4"/>
  <c r="Y99" i="4"/>
  <c r="Y97" i="4"/>
  <c r="Y96" i="4"/>
  <c r="Y89" i="4"/>
  <c r="Y88" i="4"/>
  <c r="Y87" i="4"/>
  <c r="Y86" i="4"/>
  <c r="Y77" i="4"/>
  <c r="Y68" i="4"/>
  <c r="Y67" i="4"/>
  <c r="Y66" i="4"/>
  <c r="Y65" i="4"/>
  <c r="Y59" i="4"/>
  <c r="Y58" i="4"/>
  <c r="AC57" i="12" s="1"/>
  <c r="Y57" i="4"/>
  <c r="Y51" i="4"/>
  <c r="AC50" i="12" s="1"/>
  <c r="Y50" i="4"/>
  <c r="Y49" i="4"/>
  <c r="Y48" i="4"/>
  <c r="X48" i="4"/>
  <c r="Y47" i="4"/>
  <c r="Y41" i="4"/>
  <c r="Y40" i="4"/>
  <c r="Y34" i="4"/>
  <c r="Y33" i="4"/>
  <c r="Z33" i="11" s="1"/>
  <c r="Y32" i="4"/>
  <c r="Y31" i="4"/>
  <c r="Y26" i="4"/>
  <c r="Y25" i="4"/>
  <c r="Y24" i="4"/>
  <c r="Y19" i="4"/>
  <c r="Y18" i="4"/>
  <c r="Y17" i="4"/>
  <c r="Y15" i="4"/>
  <c r="Y11" i="4"/>
  <c r="Y10" i="4"/>
  <c r="Y9" i="4"/>
  <c r="Y14" i="4"/>
  <c r="Y23" i="4"/>
  <c r="Y30" i="4"/>
  <c r="Y39" i="4"/>
  <c r="Y46" i="4"/>
  <c r="Y55" i="4"/>
  <c r="Y64" i="4"/>
  <c r="Y72" i="4"/>
  <c r="Y76" i="4"/>
  <c r="Y85" i="4"/>
  <c r="Y95" i="4"/>
  <c r="Y116" i="4"/>
  <c r="Y121" i="4"/>
  <c r="Y130" i="4"/>
  <c r="Y24" i="15"/>
  <c r="Y16" i="15"/>
  <c r="Y31" i="7"/>
  <c r="Y15" i="5"/>
  <c r="Y23" i="14"/>
  <c r="Y15" i="14"/>
  <c r="Y126" i="4"/>
  <c r="Y51" i="5"/>
  <c r="X117" i="4"/>
  <c r="X121" i="4"/>
  <c r="X8" i="15"/>
  <c r="X30" i="15"/>
  <c r="X8" i="16"/>
  <c r="X8" i="14"/>
  <c r="X48" i="14"/>
  <c r="X57" i="14"/>
  <c r="X11" i="14"/>
  <c r="X8" i="13"/>
  <c r="X15" i="13"/>
  <c r="X11" i="13"/>
  <c r="X14" i="11"/>
  <c r="X23" i="11"/>
  <c r="X30" i="11"/>
  <c r="X38" i="11"/>
  <c r="X45" i="11"/>
  <c r="X54" i="11"/>
  <c r="X62" i="11"/>
  <c r="X70" i="11"/>
  <c r="X74" i="11"/>
  <c r="X80" i="11"/>
  <c r="X89" i="11"/>
  <c r="X14" i="12"/>
  <c r="X23" i="12"/>
  <c r="X30" i="12"/>
  <c r="X38" i="12"/>
  <c r="X45" i="12"/>
  <c r="X54" i="12"/>
  <c r="X62" i="12"/>
  <c r="X70" i="12"/>
  <c r="X74" i="12"/>
  <c r="X80" i="12"/>
  <c r="X89" i="12"/>
  <c r="X32" i="7"/>
  <c r="X25" i="7"/>
  <c r="X19" i="7"/>
  <c r="AB19" i="16" s="1"/>
  <c r="X18" i="7"/>
  <c r="X17" i="7"/>
  <c r="X10" i="7"/>
  <c r="X9" i="7"/>
  <c r="X8" i="7"/>
  <c r="X31" i="7"/>
  <c r="X32" i="13"/>
  <c r="X16" i="15"/>
  <c r="X57" i="13"/>
  <c r="X23" i="14"/>
  <c r="X39" i="14"/>
  <c r="X32" i="14"/>
  <c r="X24" i="7"/>
  <c r="X76" i="5"/>
  <c r="X75" i="5"/>
  <c r="X74" i="5"/>
  <c r="X73" i="5"/>
  <c r="X72" i="5"/>
  <c r="X66" i="5"/>
  <c r="X65" i="5"/>
  <c r="X64" i="5"/>
  <c r="X63" i="5"/>
  <c r="X55" i="5"/>
  <c r="X54" i="5"/>
  <c r="X53" i="5"/>
  <c r="X52" i="5"/>
  <c r="X44" i="5"/>
  <c r="X43" i="5"/>
  <c r="X42" i="5"/>
  <c r="X41" i="5"/>
  <c r="X34" i="5"/>
  <c r="X33" i="5"/>
  <c r="AB33" i="13" s="1"/>
  <c r="X26" i="5"/>
  <c r="X25" i="5"/>
  <c r="X24" i="5"/>
  <c r="X18" i="5"/>
  <c r="X17" i="5"/>
  <c r="X16" i="5"/>
  <c r="AB16" i="13" s="1"/>
  <c r="X10" i="5"/>
  <c r="X8" i="5"/>
  <c r="X15" i="5"/>
  <c r="X62" i="5"/>
  <c r="X73" i="4"/>
  <c r="W73" i="4"/>
  <c r="X100" i="4"/>
  <c r="X99" i="4"/>
  <c r="X98" i="4"/>
  <c r="X97" i="4"/>
  <c r="X96" i="4"/>
  <c r="X89" i="4"/>
  <c r="X88" i="4"/>
  <c r="T88" i="4"/>
  <c r="X87" i="4"/>
  <c r="X86" i="4"/>
  <c r="X77" i="4"/>
  <c r="X68" i="4"/>
  <c r="X67" i="4"/>
  <c r="X66" i="4"/>
  <c r="AB64" i="12" s="1"/>
  <c r="X65" i="4"/>
  <c r="X59" i="4"/>
  <c r="X58" i="4"/>
  <c r="X57" i="4"/>
  <c r="X56" i="4"/>
  <c r="X51" i="4"/>
  <c r="X50" i="4"/>
  <c r="X49" i="4"/>
  <c r="X47" i="4"/>
  <c r="X42" i="4"/>
  <c r="X41" i="4"/>
  <c r="X40" i="4"/>
  <c r="X34" i="4"/>
  <c r="X33" i="4"/>
  <c r="Y33" i="11" s="1"/>
  <c r="X32" i="4"/>
  <c r="X31" i="4"/>
  <c r="X26" i="4"/>
  <c r="X25" i="4"/>
  <c r="X24" i="4"/>
  <c r="X19" i="4"/>
  <c r="X18" i="4"/>
  <c r="X17" i="4"/>
  <c r="X15" i="4"/>
  <c r="X11" i="4"/>
  <c r="X10" i="4"/>
  <c r="X9" i="4"/>
  <c r="X14" i="4"/>
  <c r="X23" i="4"/>
  <c r="X30" i="4"/>
  <c r="X39" i="4"/>
  <c r="X46" i="4"/>
  <c r="X55" i="4"/>
  <c r="X64" i="4"/>
  <c r="X72" i="4"/>
  <c r="X76" i="4"/>
  <c r="X85" i="4"/>
  <c r="X95" i="4"/>
  <c r="X116" i="4"/>
  <c r="X126" i="4"/>
  <c r="X130" i="4"/>
  <c r="W8" i="15"/>
  <c r="W30" i="15"/>
  <c r="W16" i="15"/>
  <c r="W8" i="16"/>
  <c r="W16" i="16"/>
  <c r="W8" i="14"/>
  <c r="W32" i="14"/>
  <c r="W11" i="14"/>
  <c r="W8" i="13"/>
  <c r="W32" i="13"/>
  <c r="W11" i="13"/>
  <c r="W14" i="11"/>
  <c r="W23" i="11"/>
  <c r="W30" i="11"/>
  <c r="W38" i="11"/>
  <c r="W45" i="11"/>
  <c r="W54" i="11"/>
  <c r="W62" i="11"/>
  <c r="W70" i="11"/>
  <c r="W74" i="11"/>
  <c r="W80" i="11"/>
  <c r="W89" i="11"/>
  <c r="W14" i="12"/>
  <c r="W23" i="12"/>
  <c r="W30" i="12"/>
  <c r="W38" i="12"/>
  <c r="W45" i="12"/>
  <c r="W54" i="12"/>
  <c r="W62" i="12"/>
  <c r="W70" i="12"/>
  <c r="W74" i="12"/>
  <c r="W80" i="12"/>
  <c r="W89" i="12"/>
  <c r="W32" i="7"/>
  <c r="W25" i="7"/>
  <c r="W19" i="7"/>
  <c r="W18" i="7"/>
  <c r="W17" i="7"/>
  <c r="W10" i="7"/>
  <c r="W8" i="7"/>
  <c r="W24" i="7"/>
  <c r="W76" i="5"/>
  <c r="W75" i="5"/>
  <c r="W74" i="5"/>
  <c r="W73" i="5"/>
  <c r="W72" i="5"/>
  <c r="W66" i="5"/>
  <c r="W65" i="5"/>
  <c r="W64" i="5"/>
  <c r="W54" i="5"/>
  <c r="W53" i="5"/>
  <c r="W52" i="5"/>
  <c r="W44" i="5"/>
  <c r="W43" i="5"/>
  <c r="W42" i="5"/>
  <c r="V42" i="5"/>
  <c r="W35" i="5"/>
  <c r="W34" i="5"/>
  <c r="W33" i="5"/>
  <c r="W26" i="5"/>
  <c r="W25" i="5"/>
  <c r="W24" i="5"/>
  <c r="W18" i="5"/>
  <c r="W17" i="5"/>
  <c r="W16" i="5"/>
  <c r="W10" i="5"/>
  <c r="W8" i="5"/>
  <c r="W51" i="5"/>
  <c r="W100" i="4"/>
  <c r="W99" i="4"/>
  <c r="W98" i="4"/>
  <c r="W97" i="4"/>
  <c r="W96" i="4"/>
  <c r="W89" i="4"/>
  <c r="W88" i="4"/>
  <c r="W87" i="4"/>
  <c r="W86" i="4"/>
  <c r="W77" i="4"/>
  <c r="W68" i="4"/>
  <c r="W67" i="4"/>
  <c r="W66" i="4"/>
  <c r="W65" i="4"/>
  <c r="W58" i="4"/>
  <c r="W57" i="4"/>
  <c r="W56" i="4"/>
  <c r="W51" i="4"/>
  <c r="AA50" i="12" s="1"/>
  <c r="W50" i="4"/>
  <c r="W49" i="4"/>
  <c r="W48" i="4"/>
  <c r="W47" i="4"/>
  <c r="W42" i="4"/>
  <c r="W41" i="4"/>
  <c r="W40" i="4"/>
  <c r="W34" i="4"/>
  <c r="W33" i="4"/>
  <c r="W32" i="4"/>
  <c r="W31" i="4"/>
  <c r="W26" i="4"/>
  <c r="W25" i="4"/>
  <c r="W24" i="4"/>
  <c r="W19" i="4"/>
  <c r="W18" i="4"/>
  <c r="W17" i="4"/>
  <c r="W15" i="4"/>
  <c r="W10" i="4"/>
  <c r="W9" i="4"/>
  <c r="W14" i="4"/>
  <c r="W23" i="4"/>
  <c r="W30" i="4"/>
  <c r="W39" i="4"/>
  <c r="W46" i="4"/>
  <c r="W55" i="4"/>
  <c r="W64" i="4"/>
  <c r="W72" i="4"/>
  <c r="W76" i="4"/>
  <c r="W85" i="4"/>
  <c r="W95" i="4"/>
  <c r="W116" i="4"/>
  <c r="W117" i="4"/>
  <c r="W121" i="4"/>
  <c r="W126" i="4"/>
  <c r="W62" i="5"/>
  <c r="W57" i="13"/>
  <c r="W23" i="13"/>
  <c r="W66" i="14"/>
  <c r="W24" i="16"/>
  <c r="W24" i="15"/>
  <c r="W48" i="13"/>
  <c r="W30" i="16"/>
  <c r="W66" i="13"/>
  <c r="W15" i="13"/>
  <c r="W130" i="4"/>
  <c r="W39" i="14"/>
  <c r="W39" i="13"/>
  <c r="W15" i="5"/>
  <c r="V8" i="15"/>
  <c r="V30" i="15"/>
  <c r="V8" i="16"/>
  <c r="V30" i="16"/>
  <c r="V8" i="14"/>
  <c r="V23" i="14"/>
  <c r="V11" i="14"/>
  <c r="V8" i="13"/>
  <c r="V32" i="13"/>
  <c r="V11" i="13"/>
  <c r="V14" i="11"/>
  <c r="V23" i="11"/>
  <c r="V30" i="11"/>
  <c r="V38" i="11"/>
  <c r="V45" i="11"/>
  <c r="V54" i="11"/>
  <c r="V62" i="11"/>
  <c r="V70" i="11"/>
  <c r="V74" i="11"/>
  <c r="V80" i="11"/>
  <c r="V89" i="11"/>
  <c r="V14" i="12"/>
  <c r="V23" i="12"/>
  <c r="V30" i="12"/>
  <c r="V38" i="12"/>
  <c r="V45" i="12"/>
  <c r="V54" i="12"/>
  <c r="V62" i="12"/>
  <c r="V70" i="12"/>
  <c r="V74" i="12"/>
  <c r="V80" i="12"/>
  <c r="V89" i="12"/>
  <c r="V32" i="7"/>
  <c r="V25" i="7"/>
  <c r="R25" i="7"/>
  <c r="V19" i="7"/>
  <c r="V18" i="7"/>
  <c r="V17" i="7"/>
  <c r="V10" i="7"/>
  <c r="V9" i="7"/>
  <c r="V8" i="7"/>
  <c r="V16" i="7"/>
  <c r="V76" i="5"/>
  <c r="V75" i="5"/>
  <c r="V74" i="5"/>
  <c r="V73" i="5"/>
  <c r="V72" i="5"/>
  <c r="V66" i="5"/>
  <c r="V65" i="5"/>
  <c r="V64" i="5"/>
  <c r="V63" i="5"/>
  <c r="V55" i="5"/>
  <c r="R55" i="5"/>
  <c r="V54" i="5"/>
  <c r="V53" i="5"/>
  <c r="V52" i="5"/>
  <c r="V44" i="5"/>
  <c r="V43" i="5"/>
  <c r="V41" i="5"/>
  <c r="V35" i="5"/>
  <c r="V34" i="5"/>
  <c r="Z34" i="13" s="1"/>
  <c r="V33" i="5"/>
  <c r="V26" i="5"/>
  <c r="V25" i="5"/>
  <c r="V24" i="5"/>
  <c r="V18" i="5"/>
  <c r="V17" i="5"/>
  <c r="V16" i="5"/>
  <c r="V10" i="5"/>
  <c r="V8" i="5"/>
  <c r="V15" i="5"/>
  <c r="V100" i="4"/>
  <c r="V99" i="4"/>
  <c r="V98" i="4"/>
  <c r="V97" i="4"/>
  <c r="V96" i="4"/>
  <c r="V89" i="4"/>
  <c r="V88" i="4"/>
  <c r="V87" i="4"/>
  <c r="V86" i="4"/>
  <c r="V77" i="4"/>
  <c r="V73" i="4"/>
  <c r="V68" i="4"/>
  <c r="V67" i="4"/>
  <c r="V66" i="4"/>
  <c r="V65" i="4"/>
  <c r="V59" i="4"/>
  <c r="V58" i="4"/>
  <c r="V57" i="4"/>
  <c r="V56" i="4"/>
  <c r="U56" i="4"/>
  <c r="V51" i="4"/>
  <c r="V50" i="4"/>
  <c r="R50" i="4"/>
  <c r="V49" i="12" s="1"/>
  <c r="V49" i="4"/>
  <c r="V48" i="4"/>
  <c r="V47" i="4"/>
  <c r="V42" i="4"/>
  <c r="V41" i="4"/>
  <c r="U41" i="4"/>
  <c r="V40" i="4"/>
  <c r="V34" i="4"/>
  <c r="V33" i="4"/>
  <c r="V32" i="4"/>
  <c r="V31" i="4"/>
  <c r="V26" i="4"/>
  <c r="V25" i="4"/>
  <c r="V24" i="4"/>
  <c r="V19" i="4"/>
  <c r="V18" i="4"/>
  <c r="V17" i="4"/>
  <c r="V15" i="4"/>
  <c r="V11" i="4"/>
  <c r="V10" i="4"/>
  <c r="V9" i="4"/>
  <c r="V14" i="4"/>
  <c r="V23" i="4"/>
  <c r="V30" i="4"/>
  <c r="V39" i="4"/>
  <c r="V46" i="4"/>
  <c r="V55" i="4"/>
  <c r="V64" i="4"/>
  <c r="V72" i="4"/>
  <c r="V76" i="4"/>
  <c r="V85" i="4"/>
  <c r="V95" i="4"/>
  <c r="V116" i="4"/>
  <c r="V117" i="4"/>
  <c r="V130" i="4"/>
  <c r="V121" i="4"/>
  <c r="V126" i="4"/>
  <c r="V66" i="14"/>
  <c r="V24" i="15"/>
  <c r="V57" i="13"/>
  <c r="V23" i="13"/>
  <c r="V16" i="15"/>
  <c r="V66" i="13"/>
  <c r="V15" i="13"/>
  <c r="V24" i="7"/>
  <c r="V32" i="5"/>
  <c r="V31" i="7"/>
  <c r="V39" i="14"/>
  <c r="V48" i="13"/>
  <c r="V39" i="13"/>
  <c r="U8" i="15"/>
  <c r="U24" i="15"/>
  <c r="U8" i="16"/>
  <c r="U32" i="7"/>
  <c r="U25" i="7"/>
  <c r="U19" i="7"/>
  <c r="U18" i="7"/>
  <c r="U17" i="7"/>
  <c r="U10" i="7"/>
  <c r="U9" i="7"/>
  <c r="U8" i="7"/>
  <c r="U31" i="7"/>
  <c r="U16" i="7"/>
  <c r="T117" i="4"/>
  <c r="U117" i="4"/>
  <c r="U130" i="4"/>
  <c r="U121" i="4"/>
  <c r="U116" i="4"/>
  <c r="U8" i="14"/>
  <c r="U11" i="14"/>
  <c r="U8" i="13"/>
  <c r="U15" i="13"/>
  <c r="U11" i="13"/>
  <c r="U14" i="11"/>
  <c r="U23" i="11"/>
  <c r="U30" i="11"/>
  <c r="U38" i="11"/>
  <c r="U45" i="11"/>
  <c r="U54" i="11"/>
  <c r="U62" i="11"/>
  <c r="U70" i="11"/>
  <c r="U74" i="11"/>
  <c r="U80" i="11"/>
  <c r="U89" i="11"/>
  <c r="U14" i="12"/>
  <c r="U23" i="12"/>
  <c r="U30" i="12"/>
  <c r="U38" i="12"/>
  <c r="U45" i="12"/>
  <c r="U54" i="12"/>
  <c r="U62" i="12"/>
  <c r="U70" i="12"/>
  <c r="U74" i="12"/>
  <c r="U80" i="12"/>
  <c r="U89" i="12"/>
  <c r="U76" i="5"/>
  <c r="V71" i="14" s="1"/>
  <c r="U75" i="5"/>
  <c r="Q75" i="5"/>
  <c r="U74" i="5"/>
  <c r="U73" i="5"/>
  <c r="U72" i="5"/>
  <c r="U66" i="5"/>
  <c r="Q66" i="5"/>
  <c r="U65" i="5"/>
  <c r="U64" i="5"/>
  <c r="U63" i="5"/>
  <c r="U55" i="5"/>
  <c r="U54" i="5"/>
  <c r="U53" i="5"/>
  <c r="U52" i="5"/>
  <c r="U44" i="5"/>
  <c r="U43" i="5"/>
  <c r="U42" i="5"/>
  <c r="U41" i="5"/>
  <c r="U35" i="5"/>
  <c r="U34" i="5"/>
  <c r="U33" i="5"/>
  <c r="U26" i="5"/>
  <c r="U25" i="5"/>
  <c r="U24" i="5"/>
  <c r="U18" i="5"/>
  <c r="U17" i="5"/>
  <c r="U16" i="5"/>
  <c r="U10" i="5"/>
  <c r="U8" i="5"/>
  <c r="U15" i="5"/>
  <c r="U100" i="4"/>
  <c r="U99" i="4"/>
  <c r="U98" i="4"/>
  <c r="U97" i="4"/>
  <c r="U96" i="4"/>
  <c r="U89" i="4"/>
  <c r="U88" i="4"/>
  <c r="U87" i="4"/>
  <c r="U86" i="4"/>
  <c r="U31" i="4"/>
  <c r="U33" i="4"/>
  <c r="U77" i="4"/>
  <c r="U73" i="4"/>
  <c r="U68" i="4"/>
  <c r="U67" i="4"/>
  <c r="U66" i="4"/>
  <c r="Y64" i="12" s="1"/>
  <c r="U65" i="4"/>
  <c r="U59" i="4"/>
  <c r="U58" i="4"/>
  <c r="U57" i="4"/>
  <c r="U51" i="4"/>
  <c r="U50" i="4"/>
  <c r="U49" i="4"/>
  <c r="U48" i="4"/>
  <c r="U47" i="4"/>
  <c r="U42" i="4"/>
  <c r="T41" i="4"/>
  <c r="X40" i="12" s="1"/>
  <c r="U40" i="4"/>
  <c r="U34" i="4"/>
  <c r="U32" i="4"/>
  <c r="U26" i="4"/>
  <c r="U25" i="4"/>
  <c r="U24" i="4"/>
  <c r="T24" i="4"/>
  <c r="U19" i="4"/>
  <c r="V19" i="11" s="1"/>
  <c r="U18" i="4"/>
  <c r="U17" i="4"/>
  <c r="U15" i="4"/>
  <c r="U11" i="4"/>
  <c r="U10" i="4"/>
  <c r="U9" i="4"/>
  <c r="U14" i="4"/>
  <c r="U23" i="4"/>
  <c r="U30" i="4"/>
  <c r="U39" i="4"/>
  <c r="U46" i="4"/>
  <c r="U55" i="4"/>
  <c r="U64" i="4"/>
  <c r="U72" i="4"/>
  <c r="U76" i="4"/>
  <c r="U85" i="4"/>
  <c r="U95" i="4"/>
  <c r="U126" i="4"/>
  <c r="U23" i="5"/>
  <c r="U62" i="5"/>
  <c r="C50" i="17"/>
  <c r="C49" i="17"/>
  <c r="T8" i="15"/>
  <c r="T30" i="15"/>
  <c r="T16" i="15"/>
  <c r="T8" i="16"/>
  <c r="T16" i="16"/>
  <c r="T8" i="14"/>
  <c r="T23" i="14"/>
  <c r="T11" i="14"/>
  <c r="T8" i="13"/>
  <c r="T57" i="13"/>
  <c r="T11" i="13"/>
  <c r="T14" i="11"/>
  <c r="T23" i="11"/>
  <c r="T30" i="11"/>
  <c r="T38" i="11"/>
  <c r="T45" i="11"/>
  <c r="T54" i="11"/>
  <c r="T62" i="11"/>
  <c r="T70" i="11"/>
  <c r="T74" i="11"/>
  <c r="T80" i="11"/>
  <c r="T89" i="11"/>
  <c r="T14" i="12"/>
  <c r="T23" i="12"/>
  <c r="T30" i="12"/>
  <c r="T38" i="12"/>
  <c r="T45" i="12"/>
  <c r="T54" i="12"/>
  <c r="T62" i="12"/>
  <c r="T70" i="12"/>
  <c r="T74" i="12"/>
  <c r="T80" i="12"/>
  <c r="T89" i="12"/>
  <c r="T32" i="7"/>
  <c r="T25" i="7"/>
  <c r="T19" i="7"/>
  <c r="T18" i="7"/>
  <c r="T17" i="7"/>
  <c r="T10" i="7"/>
  <c r="T11" i="7" s="1"/>
  <c r="T12" i="7" s="1"/>
  <c r="T9" i="7"/>
  <c r="S9" i="7"/>
  <c r="T8" i="7"/>
  <c r="T16" i="7"/>
  <c r="T31" i="7"/>
  <c r="T15" i="14"/>
  <c r="T57" i="14"/>
  <c r="T39" i="14"/>
  <c r="T24" i="16"/>
  <c r="T39" i="13"/>
  <c r="T66" i="14"/>
  <c r="T48" i="14"/>
  <c r="T32" i="14"/>
  <c r="T30" i="16"/>
  <c r="T66" i="13"/>
  <c r="T15" i="13"/>
  <c r="T32" i="13"/>
  <c r="T24" i="15"/>
  <c r="T76" i="5"/>
  <c r="T75" i="5"/>
  <c r="T74" i="5"/>
  <c r="T73" i="5"/>
  <c r="T72" i="5"/>
  <c r="T66" i="5"/>
  <c r="T65" i="5"/>
  <c r="T64" i="5"/>
  <c r="T63" i="5"/>
  <c r="T55" i="5"/>
  <c r="T54" i="5"/>
  <c r="T53" i="5"/>
  <c r="T52" i="5"/>
  <c r="T44" i="5"/>
  <c r="U43" i="14" s="1"/>
  <c r="T43" i="5"/>
  <c r="T42" i="5"/>
  <c r="T41" i="5"/>
  <c r="T35" i="5"/>
  <c r="T34" i="5"/>
  <c r="T33" i="5"/>
  <c r="T26" i="5"/>
  <c r="T25" i="5"/>
  <c r="T24" i="5"/>
  <c r="T18" i="5"/>
  <c r="T17" i="5"/>
  <c r="T16" i="5"/>
  <c r="T10" i="5"/>
  <c r="T8" i="5"/>
  <c r="T23" i="5"/>
  <c r="T100" i="4"/>
  <c r="X101" i="4" s="1"/>
  <c r="T99" i="4"/>
  <c r="T98" i="4"/>
  <c r="T97" i="4"/>
  <c r="T96" i="4"/>
  <c r="T89" i="4"/>
  <c r="U84" i="11" s="1"/>
  <c r="T87" i="4"/>
  <c r="T86" i="4"/>
  <c r="T77" i="4"/>
  <c r="T73" i="4"/>
  <c r="T68" i="4"/>
  <c r="U66" i="11" s="1"/>
  <c r="T67" i="4"/>
  <c r="T66" i="4"/>
  <c r="T65" i="4"/>
  <c r="T59" i="4"/>
  <c r="T58" i="4"/>
  <c r="T57" i="4"/>
  <c r="T56" i="4"/>
  <c r="T51" i="4"/>
  <c r="T50" i="4"/>
  <c r="T49" i="4"/>
  <c r="T48" i="4"/>
  <c r="T47" i="4"/>
  <c r="T42" i="4"/>
  <c r="T40" i="4"/>
  <c r="T34" i="4"/>
  <c r="T33" i="4"/>
  <c r="T32" i="4"/>
  <c r="T31" i="4"/>
  <c r="T26" i="4"/>
  <c r="T25" i="4"/>
  <c r="T19" i="4"/>
  <c r="T18" i="4"/>
  <c r="T17" i="4"/>
  <c r="T15" i="4"/>
  <c r="T11" i="4"/>
  <c r="T10" i="4"/>
  <c r="T9" i="4"/>
  <c r="T14" i="4"/>
  <c r="T23" i="4"/>
  <c r="T30" i="4"/>
  <c r="T39" i="4"/>
  <c r="T46" i="4"/>
  <c r="T55" i="4"/>
  <c r="T64" i="4"/>
  <c r="T72" i="4"/>
  <c r="T76" i="4"/>
  <c r="T85" i="4"/>
  <c r="T95" i="4"/>
  <c r="T116" i="4"/>
  <c r="T121" i="4"/>
  <c r="T126" i="4"/>
  <c r="T130" i="4"/>
  <c r="T15" i="5"/>
  <c r="S8" i="15"/>
  <c r="S8" i="16"/>
  <c r="S30" i="16"/>
  <c r="S8" i="14"/>
  <c r="S15" i="14"/>
  <c r="S11" i="14"/>
  <c r="S8" i="13"/>
  <c r="S57" i="13"/>
  <c r="S11" i="13"/>
  <c r="S14" i="11"/>
  <c r="S23" i="11"/>
  <c r="S30" i="11"/>
  <c r="S38" i="11"/>
  <c r="S45" i="11"/>
  <c r="S54" i="11"/>
  <c r="S62" i="11"/>
  <c r="S70" i="11"/>
  <c r="S74" i="11"/>
  <c r="S80" i="11"/>
  <c r="S89" i="11"/>
  <c r="S14" i="12"/>
  <c r="S23" i="12"/>
  <c r="S30" i="12"/>
  <c r="S38" i="12"/>
  <c r="S45" i="12"/>
  <c r="S54" i="12"/>
  <c r="S62" i="12"/>
  <c r="S70" i="12"/>
  <c r="S74" i="12"/>
  <c r="S80" i="12"/>
  <c r="S89" i="12"/>
  <c r="S32" i="7"/>
  <c r="S25" i="7"/>
  <c r="S19" i="7"/>
  <c r="S18" i="7"/>
  <c r="S17" i="7"/>
  <c r="T17" i="15" s="1"/>
  <c r="S10" i="7"/>
  <c r="S8" i="7"/>
  <c r="S16" i="7"/>
  <c r="S48" i="13"/>
  <c r="S32" i="13"/>
  <c r="S48" i="14"/>
  <c r="S15" i="13"/>
  <c r="S66" i="13"/>
  <c r="S31" i="7"/>
  <c r="S39" i="13"/>
  <c r="S57" i="14"/>
  <c r="S76" i="5"/>
  <c r="S75" i="5"/>
  <c r="S74" i="5"/>
  <c r="S73" i="5"/>
  <c r="S72" i="5"/>
  <c r="S66" i="5"/>
  <c r="S65" i="5"/>
  <c r="S64" i="5"/>
  <c r="S63" i="5"/>
  <c r="S55" i="5"/>
  <c r="S54" i="5"/>
  <c r="S53" i="5"/>
  <c r="S52" i="5"/>
  <c r="S44" i="5"/>
  <c r="S43" i="5"/>
  <c r="S42" i="5"/>
  <c r="S41" i="5"/>
  <c r="S35" i="5"/>
  <c r="S34" i="5"/>
  <c r="W34" i="13" s="1"/>
  <c r="S33" i="5"/>
  <c r="S26" i="5"/>
  <c r="S25" i="5"/>
  <c r="S24" i="5"/>
  <c r="S18" i="5"/>
  <c r="S17" i="5"/>
  <c r="S16" i="5"/>
  <c r="S10" i="5"/>
  <c r="S8" i="5"/>
  <c r="S62" i="5"/>
  <c r="S117" i="4"/>
  <c r="S100" i="4"/>
  <c r="S99" i="4"/>
  <c r="S98" i="4"/>
  <c r="S97" i="4"/>
  <c r="S96" i="4"/>
  <c r="T90" i="11" s="1"/>
  <c r="R96" i="4"/>
  <c r="S89" i="4"/>
  <c r="S88" i="4"/>
  <c r="S87" i="4"/>
  <c r="S86" i="4"/>
  <c r="S77" i="4"/>
  <c r="S73" i="4"/>
  <c r="S68" i="4"/>
  <c r="W66" i="12" s="1"/>
  <c r="S67" i="4"/>
  <c r="S66" i="4"/>
  <c r="S65" i="4"/>
  <c r="W63" i="12" s="1"/>
  <c r="S59" i="4"/>
  <c r="S58" i="4"/>
  <c r="S57" i="4"/>
  <c r="S56" i="4"/>
  <c r="S51" i="4"/>
  <c r="T50" i="11" s="1"/>
  <c r="S50" i="4"/>
  <c r="S49" i="4"/>
  <c r="S48" i="4"/>
  <c r="S47" i="4"/>
  <c r="S42" i="4"/>
  <c r="S41" i="4"/>
  <c r="S40" i="4"/>
  <c r="S34" i="4"/>
  <c r="S33" i="4"/>
  <c r="S32" i="4"/>
  <c r="S31" i="4"/>
  <c r="S26" i="4"/>
  <c r="R26" i="4"/>
  <c r="N26" i="4"/>
  <c r="S25" i="4"/>
  <c r="S24" i="4"/>
  <c r="S19" i="4"/>
  <c r="W19" i="12" s="1"/>
  <c r="S18" i="4"/>
  <c r="S17" i="4"/>
  <c r="S15" i="4"/>
  <c r="S11" i="4"/>
  <c r="S10" i="4"/>
  <c r="S9" i="4"/>
  <c r="S14" i="4"/>
  <c r="S23" i="4"/>
  <c r="S30" i="4"/>
  <c r="S39" i="4"/>
  <c r="S46" i="4"/>
  <c r="S55" i="4"/>
  <c r="S64" i="4"/>
  <c r="S72" i="4"/>
  <c r="S76" i="4"/>
  <c r="S85" i="4"/>
  <c r="S95" i="4"/>
  <c r="S116" i="4"/>
  <c r="S121" i="4"/>
  <c r="S126" i="4"/>
  <c r="S130" i="4"/>
  <c r="R8" i="15"/>
  <c r="R16" i="15"/>
  <c r="R8" i="16"/>
  <c r="R16" i="16"/>
  <c r="R8" i="14"/>
  <c r="R15" i="14"/>
  <c r="R23" i="14"/>
  <c r="R11" i="14"/>
  <c r="R8" i="13"/>
  <c r="R11" i="13"/>
  <c r="R14" i="11"/>
  <c r="R23" i="11"/>
  <c r="R30" i="11"/>
  <c r="R38" i="11"/>
  <c r="R45" i="11"/>
  <c r="R54" i="11"/>
  <c r="R62" i="11"/>
  <c r="R70" i="11"/>
  <c r="R74" i="11"/>
  <c r="R80" i="11"/>
  <c r="R89" i="11"/>
  <c r="R14" i="12"/>
  <c r="R23" i="12"/>
  <c r="R30" i="12"/>
  <c r="R38" i="12"/>
  <c r="R45" i="12"/>
  <c r="R54" i="12"/>
  <c r="R62" i="12"/>
  <c r="R70" i="12"/>
  <c r="R74" i="12"/>
  <c r="R80" i="12"/>
  <c r="R89" i="12"/>
  <c r="R32" i="7"/>
  <c r="R19" i="7"/>
  <c r="R18" i="7"/>
  <c r="N18" i="7"/>
  <c r="R17" i="7"/>
  <c r="R10" i="7"/>
  <c r="R9" i="7"/>
  <c r="N9" i="7"/>
  <c r="R8" i="7"/>
  <c r="R24" i="7"/>
  <c r="R76" i="5"/>
  <c r="R75" i="5"/>
  <c r="R74" i="5"/>
  <c r="R73" i="5"/>
  <c r="R72" i="5"/>
  <c r="R66" i="5"/>
  <c r="R65" i="5"/>
  <c r="R64" i="5"/>
  <c r="R63" i="5"/>
  <c r="R54" i="5"/>
  <c r="R53" i="5"/>
  <c r="R52" i="5"/>
  <c r="R44" i="5"/>
  <c r="Q44" i="5"/>
  <c r="R43" i="5"/>
  <c r="S42" i="14" s="1"/>
  <c r="R42" i="5"/>
  <c r="R41" i="5"/>
  <c r="R35" i="5"/>
  <c r="R34" i="5"/>
  <c r="R33" i="5"/>
  <c r="R26" i="5"/>
  <c r="R25" i="5"/>
  <c r="R24" i="5"/>
  <c r="R18" i="5"/>
  <c r="R17" i="5"/>
  <c r="R16" i="5"/>
  <c r="R10" i="5"/>
  <c r="R8" i="5"/>
  <c r="R40" i="5"/>
  <c r="R117" i="4"/>
  <c r="R130" i="4"/>
  <c r="R100" i="4"/>
  <c r="R99" i="4"/>
  <c r="R98" i="4"/>
  <c r="R97" i="4"/>
  <c r="R89" i="4"/>
  <c r="R88" i="4"/>
  <c r="R87" i="4"/>
  <c r="Q87" i="4"/>
  <c r="R86" i="4"/>
  <c r="R77" i="4"/>
  <c r="R73" i="4"/>
  <c r="R68" i="4"/>
  <c r="R67" i="4"/>
  <c r="R66" i="4"/>
  <c r="R65" i="4"/>
  <c r="R59" i="4"/>
  <c r="Q59" i="4"/>
  <c r="R58" i="4"/>
  <c r="R57" i="4"/>
  <c r="R56" i="4"/>
  <c r="R51" i="4"/>
  <c r="R49" i="4"/>
  <c r="R48" i="4"/>
  <c r="R47" i="4"/>
  <c r="R42" i="4"/>
  <c r="R41" i="4"/>
  <c r="R40" i="4"/>
  <c r="R34" i="4"/>
  <c r="R33" i="4"/>
  <c r="R32" i="4"/>
  <c r="R31" i="4"/>
  <c r="R25" i="4"/>
  <c r="R24" i="4"/>
  <c r="R19" i="4"/>
  <c r="R18" i="4"/>
  <c r="R17" i="4"/>
  <c r="R15" i="4"/>
  <c r="R11" i="4"/>
  <c r="S11" i="11" s="1"/>
  <c r="R10" i="4"/>
  <c r="Q10" i="4"/>
  <c r="R9" i="4"/>
  <c r="R14" i="4"/>
  <c r="R23" i="4"/>
  <c r="R30" i="4"/>
  <c r="R39" i="4"/>
  <c r="R46" i="4"/>
  <c r="R55" i="4"/>
  <c r="R64" i="4"/>
  <c r="R72" i="4"/>
  <c r="R76" i="4"/>
  <c r="R85" i="4"/>
  <c r="R95" i="4"/>
  <c r="R116" i="4"/>
  <c r="R121" i="4"/>
  <c r="R126" i="4"/>
  <c r="R48" i="13"/>
  <c r="R32" i="13"/>
  <c r="R48" i="14"/>
  <c r="R66" i="13"/>
  <c r="R57" i="13"/>
  <c r="R39" i="13"/>
  <c r="R66" i="14"/>
  <c r="R32" i="14"/>
  <c r="R24" i="16"/>
  <c r="R57" i="14"/>
  <c r="R39" i="14"/>
  <c r="R30" i="16"/>
  <c r="R30" i="15"/>
  <c r="Q117" i="4"/>
  <c r="Q130" i="4"/>
  <c r="Q8" i="15"/>
  <c r="Q16" i="15"/>
  <c r="Q8" i="16"/>
  <c r="Q16" i="16"/>
  <c r="Q8" i="14"/>
  <c r="Q11" i="14"/>
  <c r="Q8" i="13"/>
  <c r="Q66" i="13"/>
  <c r="Q11" i="13"/>
  <c r="Q14" i="11"/>
  <c r="Q23" i="11"/>
  <c r="Q30" i="11"/>
  <c r="Q38" i="11"/>
  <c r="Q45" i="11"/>
  <c r="Q54" i="11"/>
  <c r="Q62" i="11"/>
  <c r="Q70" i="11"/>
  <c r="Q74" i="11"/>
  <c r="Q80" i="11"/>
  <c r="Q89" i="11"/>
  <c r="Q14" i="12"/>
  <c r="Q23" i="12"/>
  <c r="Q30" i="12"/>
  <c r="Q38" i="12"/>
  <c r="Q45" i="12"/>
  <c r="Q54" i="12"/>
  <c r="Q62" i="12"/>
  <c r="Q70" i="12"/>
  <c r="Q74" i="12"/>
  <c r="Q80" i="12"/>
  <c r="Q89" i="12"/>
  <c r="Q32" i="7"/>
  <c r="Q25" i="7"/>
  <c r="Q19" i="7"/>
  <c r="R19" i="15" s="1"/>
  <c r="Q18" i="7"/>
  <c r="Q17" i="7"/>
  <c r="Q10" i="7"/>
  <c r="Q9" i="7"/>
  <c r="Q8" i="7"/>
  <c r="Q24" i="7"/>
  <c r="Q76" i="5"/>
  <c r="Q74" i="5"/>
  <c r="Q73" i="5"/>
  <c r="Q72" i="5"/>
  <c r="Q65" i="5"/>
  <c r="Q64" i="5"/>
  <c r="Q63" i="5"/>
  <c r="Q55" i="5"/>
  <c r="Q54" i="5"/>
  <c r="Q53" i="5"/>
  <c r="Q52" i="5"/>
  <c r="Q43" i="5"/>
  <c r="Q42" i="5"/>
  <c r="Q41" i="5"/>
  <c r="Q35" i="5"/>
  <c r="Q34" i="5"/>
  <c r="U34" i="13" s="1"/>
  <c r="M34" i="5"/>
  <c r="Q33" i="5"/>
  <c r="U33" i="13" s="1"/>
  <c r="Q26" i="5"/>
  <c r="Q25" i="5"/>
  <c r="Q24" i="5"/>
  <c r="Q18" i="5"/>
  <c r="Q17" i="5"/>
  <c r="Q16" i="5"/>
  <c r="Q10" i="5"/>
  <c r="P10" i="5"/>
  <c r="P12" i="5" s="1"/>
  <c r="Q8" i="5"/>
  <c r="Q51" i="5"/>
  <c r="Q100" i="4"/>
  <c r="Q99" i="4"/>
  <c r="Q98" i="4"/>
  <c r="Q97" i="4"/>
  <c r="U91" i="12" s="1"/>
  <c r="Q96" i="4"/>
  <c r="Q89" i="4"/>
  <c r="U84" i="12" s="1"/>
  <c r="P89" i="4"/>
  <c r="Q88" i="4"/>
  <c r="Q86" i="4"/>
  <c r="Q77" i="4"/>
  <c r="Q73" i="4"/>
  <c r="Q68" i="4"/>
  <c r="Q67" i="4"/>
  <c r="Q66" i="4"/>
  <c r="Q65" i="4"/>
  <c r="Q58" i="4"/>
  <c r="Q57" i="4"/>
  <c r="Q56" i="4"/>
  <c r="Q51" i="4"/>
  <c r="Q50" i="4"/>
  <c r="Q49" i="4"/>
  <c r="P49" i="4"/>
  <c r="Q48" i="4"/>
  <c r="Q47" i="4"/>
  <c r="Q42" i="4"/>
  <c r="Q41" i="4"/>
  <c r="Q40" i="4"/>
  <c r="Q34" i="4"/>
  <c r="Q33" i="4"/>
  <c r="Q32" i="4"/>
  <c r="Q31" i="4"/>
  <c r="Q26" i="4"/>
  <c r="Q25" i="4"/>
  <c r="Q24" i="4"/>
  <c r="Q19" i="4"/>
  <c r="Q18" i="4"/>
  <c r="Q17" i="4"/>
  <c r="Q15" i="4"/>
  <c r="Q11" i="4"/>
  <c r="Q9" i="4"/>
  <c r="Q14" i="4"/>
  <c r="Q23" i="4"/>
  <c r="Q30" i="4"/>
  <c r="Q39" i="4"/>
  <c r="Q46" i="4"/>
  <c r="Q55" i="4"/>
  <c r="Q64" i="4"/>
  <c r="Q72" i="4"/>
  <c r="Q76" i="4"/>
  <c r="Q85" i="4"/>
  <c r="Q95" i="4"/>
  <c r="Q116" i="4"/>
  <c r="Q121" i="4"/>
  <c r="P8" i="15"/>
  <c r="P8" i="16"/>
  <c r="P16" i="16"/>
  <c r="P8" i="14"/>
  <c r="P48" i="14"/>
  <c r="P11" i="14"/>
  <c r="P8" i="13"/>
  <c r="P32" i="13"/>
  <c r="P11" i="13"/>
  <c r="P14" i="11"/>
  <c r="P23" i="11"/>
  <c r="P30" i="11"/>
  <c r="P38" i="11"/>
  <c r="P45" i="11"/>
  <c r="P54" i="11"/>
  <c r="P62" i="11"/>
  <c r="P70" i="11"/>
  <c r="P74" i="11"/>
  <c r="P80" i="11"/>
  <c r="P89" i="11"/>
  <c r="P14" i="12"/>
  <c r="P23" i="12"/>
  <c r="P30" i="12"/>
  <c r="P38" i="12"/>
  <c r="P45" i="12"/>
  <c r="P54" i="12"/>
  <c r="P62" i="12"/>
  <c r="P70" i="12"/>
  <c r="P74" i="12"/>
  <c r="P80" i="12"/>
  <c r="P89" i="12"/>
  <c r="P32" i="7"/>
  <c r="P25" i="7"/>
  <c r="P19" i="7"/>
  <c r="L19" i="7"/>
  <c r="P18" i="7"/>
  <c r="P17" i="7"/>
  <c r="P10" i="7"/>
  <c r="P9" i="7"/>
  <c r="P8" i="7"/>
  <c r="P76" i="5"/>
  <c r="P75" i="5"/>
  <c r="P74" i="5"/>
  <c r="P73" i="5"/>
  <c r="P72" i="5"/>
  <c r="P66" i="5"/>
  <c r="Q61" i="14" s="1"/>
  <c r="P65" i="5"/>
  <c r="P64" i="5"/>
  <c r="P63" i="5"/>
  <c r="P55" i="5"/>
  <c r="P54" i="5"/>
  <c r="P53" i="5"/>
  <c r="P52" i="5"/>
  <c r="P44" i="5"/>
  <c r="P43" i="5"/>
  <c r="P42" i="5"/>
  <c r="P41" i="5"/>
  <c r="P35" i="5"/>
  <c r="P34" i="5"/>
  <c r="P33" i="5"/>
  <c r="P26" i="5"/>
  <c r="P25" i="5"/>
  <c r="P24" i="5"/>
  <c r="P24" i="14" s="1"/>
  <c r="P18" i="5"/>
  <c r="P17" i="5"/>
  <c r="P16" i="5"/>
  <c r="P8" i="5"/>
  <c r="P117" i="4"/>
  <c r="P130" i="4"/>
  <c r="P100" i="4"/>
  <c r="P99" i="4"/>
  <c r="P98" i="4"/>
  <c r="P97" i="4"/>
  <c r="P96" i="4"/>
  <c r="O96" i="4"/>
  <c r="P88" i="4"/>
  <c r="P87" i="4"/>
  <c r="P86" i="4"/>
  <c r="P77" i="4"/>
  <c r="Q75" i="11" s="1"/>
  <c r="P73" i="4"/>
  <c r="P68" i="4"/>
  <c r="P67" i="4"/>
  <c r="P66" i="4"/>
  <c r="P65" i="4"/>
  <c r="P59" i="4"/>
  <c r="P58" i="4"/>
  <c r="Q57" i="11" s="1"/>
  <c r="P57" i="4"/>
  <c r="P56" i="11" s="1"/>
  <c r="P56" i="4"/>
  <c r="P51" i="4"/>
  <c r="P50" i="4"/>
  <c r="P48" i="4"/>
  <c r="P47" i="4"/>
  <c r="P42" i="4"/>
  <c r="P41" i="4"/>
  <c r="P40" i="4"/>
  <c r="P34" i="4"/>
  <c r="P33" i="4"/>
  <c r="P32" i="4"/>
  <c r="P31" i="4"/>
  <c r="P26" i="4"/>
  <c r="P25" i="4"/>
  <c r="P24" i="4"/>
  <c r="P19" i="4"/>
  <c r="P19" i="12" s="1"/>
  <c r="P18" i="4"/>
  <c r="P17" i="4"/>
  <c r="T17" i="12" s="1"/>
  <c r="P15" i="4"/>
  <c r="P11" i="4"/>
  <c r="P10" i="4"/>
  <c r="P9" i="4"/>
  <c r="P14" i="4"/>
  <c r="P23" i="4"/>
  <c r="O26" i="4"/>
  <c r="P30" i="4"/>
  <c r="P39" i="4"/>
  <c r="P46" i="4"/>
  <c r="P55" i="4"/>
  <c r="P64" i="4"/>
  <c r="P72" i="4"/>
  <c r="P76" i="4"/>
  <c r="P85" i="4"/>
  <c r="P95" i="4"/>
  <c r="P116" i="4"/>
  <c r="P121" i="4"/>
  <c r="P126" i="4"/>
  <c r="O32" i="7"/>
  <c r="O25" i="7"/>
  <c r="O19" i="7"/>
  <c r="O18" i="7"/>
  <c r="O17" i="7"/>
  <c r="O9" i="7"/>
  <c r="O10" i="7"/>
  <c r="K32" i="7"/>
  <c r="K25" i="7"/>
  <c r="K19" i="7"/>
  <c r="K18" i="7"/>
  <c r="K17" i="7"/>
  <c r="K9" i="7"/>
  <c r="K9" i="15" s="1"/>
  <c r="J9" i="7"/>
  <c r="K10" i="7"/>
  <c r="O8" i="7"/>
  <c r="O31" i="7"/>
  <c r="K8" i="7"/>
  <c r="K31" i="7"/>
  <c r="O73" i="5"/>
  <c r="K73" i="5"/>
  <c r="O74" i="5"/>
  <c r="K74" i="5"/>
  <c r="O64" i="5"/>
  <c r="K64" i="5"/>
  <c r="O65" i="5"/>
  <c r="K65" i="5"/>
  <c r="O53" i="5"/>
  <c r="K53" i="5"/>
  <c r="O54" i="5"/>
  <c r="K54" i="5"/>
  <c r="O42" i="5"/>
  <c r="K42" i="5"/>
  <c r="O43" i="5"/>
  <c r="K43" i="5"/>
  <c r="K76" i="5"/>
  <c r="K75" i="5"/>
  <c r="K72" i="5"/>
  <c r="K66" i="5"/>
  <c r="K63" i="5"/>
  <c r="K55" i="5"/>
  <c r="K52" i="5"/>
  <c r="K41" i="5"/>
  <c r="K44" i="5"/>
  <c r="K35" i="5"/>
  <c r="K34" i="5"/>
  <c r="K33" i="5"/>
  <c r="O33" i="5"/>
  <c r="K24" i="5"/>
  <c r="K25" i="5"/>
  <c r="K26" i="5"/>
  <c r="K18" i="5"/>
  <c r="K17" i="5"/>
  <c r="O17" i="13" s="1"/>
  <c r="O17" i="5"/>
  <c r="K16" i="5"/>
  <c r="K10" i="5"/>
  <c r="K9" i="5" s="1"/>
  <c r="O76" i="5"/>
  <c r="O75" i="5"/>
  <c r="O72" i="5"/>
  <c r="O66" i="5"/>
  <c r="O63" i="5"/>
  <c r="O55" i="5"/>
  <c r="O52" i="5"/>
  <c r="O41" i="5"/>
  <c r="O44" i="5"/>
  <c r="O35" i="5"/>
  <c r="O34" i="5"/>
  <c r="O24" i="5"/>
  <c r="O25" i="5"/>
  <c r="O26" i="5"/>
  <c r="O18" i="5"/>
  <c r="O16" i="5"/>
  <c r="N16" i="5"/>
  <c r="O10" i="5"/>
  <c r="O8" i="5"/>
  <c r="O15" i="5"/>
  <c r="K8" i="5"/>
  <c r="O100" i="4"/>
  <c r="O99" i="4"/>
  <c r="O98" i="4"/>
  <c r="O97" i="4"/>
  <c r="O89" i="4"/>
  <c r="O88" i="4"/>
  <c r="O83" i="11" s="1"/>
  <c r="O87" i="4"/>
  <c r="O86" i="4"/>
  <c r="O77" i="4"/>
  <c r="O73" i="4"/>
  <c r="O68" i="4"/>
  <c r="O67" i="4"/>
  <c r="O66" i="4"/>
  <c r="O65" i="4"/>
  <c r="O31" i="4"/>
  <c r="O33" i="4"/>
  <c r="O59" i="4"/>
  <c r="O58" i="4"/>
  <c r="O57" i="4"/>
  <c r="O56" i="4"/>
  <c r="O51" i="4"/>
  <c r="O50" i="4"/>
  <c r="O49" i="4"/>
  <c r="O48" i="4"/>
  <c r="O47" i="4"/>
  <c r="O42" i="4"/>
  <c r="O41" i="4"/>
  <c r="O40" i="4"/>
  <c r="O34" i="4"/>
  <c r="O32" i="4"/>
  <c r="O32" i="12" s="1"/>
  <c r="O25" i="4"/>
  <c r="O24" i="4"/>
  <c r="O19" i="4"/>
  <c r="O18" i="4"/>
  <c r="O17" i="4"/>
  <c r="O15" i="4"/>
  <c r="O11" i="4"/>
  <c r="O10" i="4"/>
  <c r="O9" i="4"/>
  <c r="K100" i="4"/>
  <c r="K99" i="4"/>
  <c r="K98" i="4"/>
  <c r="K97" i="4"/>
  <c r="K96" i="4"/>
  <c r="K89" i="4"/>
  <c r="K88" i="4"/>
  <c r="K87" i="4"/>
  <c r="K86" i="4"/>
  <c r="O81" i="12" s="1"/>
  <c r="K77" i="4"/>
  <c r="K73" i="4"/>
  <c r="K68" i="4"/>
  <c r="K67" i="4"/>
  <c r="K66" i="4"/>
  <c r="K65" i="4"/>
  <c r="K31" i="4"/>
  <c r="K33" i="4"/>
  <c r="K59" i="4"/>
  <c r="K58" i="4"/>
  <c r="K57" i="4"/>
  <c r="O56" i="12" s="1"/>
  <c r="K56" i="4"/>
  <c r="K51" i="4"/>
  <c r="K50" i="4"/>
  <c r="O49" i="12" s="1"/>
  <c r="K49" i="4"/>
  <c r="K48" i="4"/>
  <c r="K47" i="4"/>
  <c r="K42" i="4"/>
  <c r="J42" i="4"/>
  <c r="K41" i="4"/>
  <c r="K40" i="4"/>
  <c r="K34" i="4"/>
  <c r="K32" i="4"/>
  <c r="K26" i="4"/>
  <c r="K25" i="4"/>
  <c r="K24" i="4"/>
  <c r="K19" i="4"/>
  <c r="L19" i="4" s="1"/>
  <c r="L19" i="11" s="1"/>
  <c r="K18" i="4"/>
  <c r="L18" i="4" s="1"/>
  <c r="K17" i="4"/>
  <c r="L17" i="4" s="1"/>
  <c r="K15" i="4"/>
  <c r="K11" i="4"/>
  <c r="K10" i="4"/>
  <c r="K9" i="4"/>
  <c r="O8" i="15"/>
  <c r="O16" i="15"/>
  <c r="N10" i="7"/>
  <c r="N17" i="7"/>
  <c r="N19" i="7"/>
  <c r="N25" i="7"/>
  <c r="N32" i="7"/>
  <c r="O8" i="16"/>
  <c r="O30" i="16"/>
  <c r="O8" i="14"/>
  <c r="O15" i="14"/>
  <c r="N10" i="5"/>
  <c r="N9" i="5" s="1"/>
  <c r="O11" i="14"/>
  <c r="N17" i="5"/>
  <c r="N18" i="5"/>
  <c r="N24" i="5"/>
  <c r="N25" i="5"/>
  <c r="N26" i="5"/>
  <c r="N33" i="5"/>
  <c r="N34" i="5"/>
  <c r="N35" i="5"/>
  <c r="N41" i="5"/>
  <c r="M41" i="5"/>
  <c r="N42" i="5"/>
  <c r="N43" i="5"/>
  <c r="M43" i="5"/>
  <c r="N44" i="5"/>
  <c r="N52" i="5"/>
  <c r="N55" i="5"/>
  <c r="N63" i="5"/>
  <c r="N66" i="5"/>
  <c r="N64" i="5"/>
  <c r="N65" i="5"/>
  <c r="N72" i="5"/>
  <c r="N75" i="5"/>
  <c r="N76" i="5"/>
  <c r="O8" i="13"/>
  <c r="O11" i="13"/>
  <c r="N9" i="4"/>
  <c r="N10" i="4"/>
  <c r="N11" i="4"/>
  <c r="O14" i="11"/>
  <c r="O23" i="11"/>
  <c r="N24" i="4"/>
  <c r="N25" i="4"/>
  <c r="O30" i="11"/>
  <c r="N31" i="4"/>
  <c r="N32" i="4"/>
  <c r="N33" i="4"/>
  <c r="R33" i="12" s="1"/>
  <c r="N34" i="4"/>
  <c r="O38" i="11"/>
  <c r="N40" i="4"/>
  <c r="R39" i="12" s="1"/>
  <c r="N41" i="4"/>
  <c r="N42" i="4"/>
  <c r="O45" i="11"/>
  <c r="N47" i="4"/>
  <c r="N48" i="4"/>
  <c r="N49" i="4"/>
  <c r="N50" i="4"/>
  <c r="N51" i="4"/>
  <c r="O54" i="11"/>
  <c r="N56" i="4"/>
  <c r="M56" i="4"/>
  <c r="N57" i="4"/>
  <c r="N58" i="4"/>
  <c r="N59" i="4"/>
  <c r="O62" i="11"/>
  <c r="N65" i="4"/>
  <c r="J65" i="4"/>
  <c r="N66" i="4"/>
  <c r="N67" i="4"/>
  <c r="N68" i="4"/>
  <c r="O70" i="11"/>
  <c r="N73" i="4"/>
  <c r="O74" i="11"/>
  <c r="N77" i="4"/>
  <c r="O80" i="11"/>
  <c r="N86" i="4"/>
  <c r="N87" i="4"/>
  <c r="N88" i="4"/>
  <c r="R83" i="12" s="1"/>
  <c r="N89" i="4"/>
  <c r="O89" i="11"/>
  <c r="N96" i="4"/>
  <c r="N97" i="4"/>
  <c r="N98" i="4"/>
  <c r="R92" i="12" s="1"/>
  <c r="N99" i="4"/>
  <c r="N100" i="4"/>
  <c r="O14" i="12"/>
  <c r="O23" i="12"/>
  <c r="O30" i="12"/>
  <c r="O38" i="12"/>
  <c r="O45" i="12"/>
  <c r="O54" i="12"/>
  <c r="O62" i="12"/>
  <c r="O70" i="12"/>
  <c r="O74" i="12"/>
  <c r="O80" i="12"/>
  <c r="O89" i="12"/>
  <c r="O117" i="4"/>
  <c r="O130" i="4"/>
  <c r="K16" i="4"/>
  <c r="L16" i="4" s="1"/>
  <c r="O14" i="4"/>
  <c r="O23" i="4"/>
  <c r="O30" i="4"/>
  <c r="O39" i="4"/>
  <c r="O46" i="4"/>
  <c r="O55" i="4"/>
  <c r="O64" i="4"/>
  <c r="O72" i="4"/>
  <c r="O76" i="4"/>
  <c r="O85" i="4"/>
  <c r="O95" i="4"/>
  <c r="O116" i="4"/>
  <c r="O121" i="4"/>
  <c r="L26" i="4"/>
  <c r="N74" i="5"/>
  <c r="N73" i="5"/>
  <c r="N54" i="5"/>
  <c r="N53" i="5"/>
  <c r="J73" i="4"/>
  <c r="I73" i="4"/>
  <c r="J68" i="4"/>
  <c r="J67" i="4"/>
  <c r="J66" i="4"/>
  <c r="J31" i="4"/>
  <c r="J33" i="4"/>
  <c r="J59" i="4"/>
  <c r="J58" i="4"/>
  <c r="J57" i="4"/>
  <c r="J56" i="4"/>
  <c r="J51" i="4"/>
  <c r="J50" i="4"/>
  <c r="J49" i="4"/>
  <c r="K48" i="11" s="1"/>
  <c r="J48" i="4"/>
  <c r="J47" i="4"/>
  <c r="J41" i="4"/>
  <c r="J40" i="4"/>
  <c r="I40" i="4"/>
  <c r="J34" i="4"/>
  <c r="J32" i="4"/>
  <c r="J26" i="4"/>
  <c r="J25" i="4"/>
  <c r="I25" i="4"/>
  <c r="J24" i="4"/>
  <c r="G19" i="4"/>
  <c r="G18" i="4"/>
  <c r="H18" i="4" s="1"/>
  <c r="G17" i="4"/>
  <c r="G16" i="4"/>
  <c r="G15" i="4"/>
  <c r="H15" i="4" s="1"/>
  <c r="J11" i="4"/>
  <c r="J10" i="4"/>
  <c r="J9" i="4"/>
  <c r="M32" i="7"/>
  <c r="N8" i="15"/>
  <c r="M25" i="7"/>
  <c r="M19" i="7"/>
  <c r="M18" i="7"/>
  <c r="M17" i="7"/>
  <c r="M9" i="7"/>
  <c r="M10" i="7"/>
  <c r="J32" i="7"/>
  <c r="N8" i="16"/>
  <c r="N30" i="16"/>
  <c r="J25" i="7"/>
  <c r="I25" i="7"/>
  <c r="J19" i="7"/>
  <c r="J18" i="7"/>
  <c r="J17" i="7"/>
  <c r="J10" i="7"/>
  <c r="M76" i="5"/>
  <c r="M75" i="5"/>
  <c r="I75" i="5"/>
  <c r="M72" i="5"/>
  <c r="Q67" i="13" s="1"/>
  <c r="N8" i="14"/>
  <c r="N48" i="14"/>
  <c r="M63" i="5"/>
  <c r="M64" i="5"/>
  <c r="M65" i="5"/>
  <c r="M66" i="5"/>
  <c r="M55" i="5"/>
  <c r="M52" i="5"/>
  <c r="M42" i="5"/>
  <c r="M44" i="5"/>
  <c r="M35" i="5"/>
  <c r="M33" i="5"/>
  <c r="M24" i="5"/>
  <c r="M25" i="5"/>
  <c r="M26" i="5"/>
  <c r="M18" i="5"/>
  <c r="M17" i="5"/>
  <c r="M16" i="5"/>
  <c r="N11" i="14"/>
  <c r="M10" i="5"/>
  <c r="J76" i="5"/>
  <c r="F76" i="5"/>
  <c r="J75" i="5"/>
  <c r="F75" i="5"/>
  <c r="J72" i="5"/>
  <c r="N8" i="13"/>
  <c r="N23" i="13"/>
  <c r="J63" i="5"/>
  <c r="J66" i="5"/>
  <c r="J55" i="5"/>
  <c r="J52" i="5"/>
  <c r="J41" i="5"/>
  <c r="K40" i="14" s="1"/>
  <c r="J44" i="5"/>
  <c r="J35" i="5"/>
  <c r="J34" i="5"/>
  <c r="J33" i="5"/>
  <c r="J24" i="5"/>
  <c r="J25" i="5"/>
  <c r="J26" i="5"/>
  <c r="J18" i="5"/>
  <c r="J17" i="5"/>
  <c r="J16" i="5"/>
  <c r="N11" i="13"/>
  <c r="J10" i="5"/>
  <c r="J9" i="5" s="1"/>
  <c r="M100" i="4"/>
  <c r="M99" i="4"/>
  <c r="M98" i="4"/>
  <c r="M97" i="4"/>
  <c r="M96" i="4"/>
  <c r="N89" i="11"/>
  <c r="M86" i="4"/>
  <c r="M87" i="4"/>
  <c r="M88" i="4"/>
  <c r="M89" i="4"/>
  <c r="N80" i="11"/>
  <c r="M77" i="4"/>
  <c r="N74" i="11"/>
  <c r="M73" i="4"/>
  <c r="N70" i="11"/>
  <c r="M68" i="4"/>
  <c r="M67" i="4"/>
  <c r="M66" i="4"/>
  <c r="M65" i="4"/>
  <c r="N62" i="11"/>
  <c r="M59" i="4"/>
  <c r="M58" i="4"/>
  <c r="M57" i="4"/>
  <c r="N54" i="11"/>
  <c r="M51" i="4"/>
  <c r="M50" i="4"/>
  <c r="M49" i="4"/>
  <c r="M48" i="4"/>
  <c r="M47" i="4"/>
  <c r="N45" i="11"/>
  <c r="M42" i="4"/>
  <c r="M41" i="4"/>
  <c r="M40" i="4"/>
  <c r="N38" i="11"/>
  <c r="M34" i="4"/>
  <c r="M33" i="4"/>
  <c r="M32" i="4"/>
  <c r="M31" i="4"/>
  <c r="N30" i="11"/>
  <c r="M26" i="4"/>
  <c r="M25" i="4"/>
  <c r="M24" i="4"/>
  <c r="N23" i="11"/>
  <c r="N14" i="11"/>
  <c r="M11" i="4"/>
  <c r="M10" i="4"/>
  <c r="M9" i="4"/>
  <c r="J100" i="4"/>
  <c r="J99" i="4"/>
  <c r="J98" i="4"/>
  <c r="I98" i="4"/>
  <c r="J97" i="4"/>
  <c r="J96" i="4"/>
  <c r="N89" i="12"/>
  <c r="J86" i="4"/>
  <c r="J87" i="4"/>
  <c r="J88" i="4"/>
  <c r="J89" i="4"/>
  <c r="N80" i="12"/>
  <c r="J77" i="4"/>
  <c r="N74" i="12"/>
  <c r="N70" i="12"/>
  <c r="N62" i="12"/>
  <c r="N54" i="12"/>
  <c r="N45" i="12"/>
  <c r="N38" i="12"/>
  <c r="N30" i="12"/>
  <c r="N23" i="12"/>
  <c r="N14" i="12"/>
  <c r="N8" i="7"/>
  <c r="N8" i="5"/>
  <c r="N71" i="5"/>
  <c r="M117" i="4"/>
  <c r="M130" i="4"/>
  <c r="N117" i="4"/>
  <c r="N130" i="4"/>
  <c r="L117" i="4"/>
  <c r="L130" i="4"/>
  <c r="N14" i="4"/>
  <c r="N121" i="4"/>
  <c r="N116" i="4"/>
  <c r="N95" i="4"/>
  <c r="N85" i="4"/>
  <c r="N76" i="4"/>
  <c r="N72" i="4"/>
  <c r="N64" i="4"/>
  <c r="N55" i="4"/>
  <c r="N46" i="4"/>
  <c r="N39" i="4"/>
  <c r="N30" i="4"/>
  <c r="N23" i="4"/>
  <c r="L43" i="5"/>
  <c r="L42" i="14" s="1"/>
  <c r="L42" i="5"/>
  <c r="I32" i="7"/>
  <c r="I19" i="7"/>
  <c r="I18" i="7"/>
  <c r="I17" i="7"/>
  <c r="I9" i="7"/>
  <c r="I10" i="7"/>
  <c r="M8" i="7"/>
  <c r="M31" i="7"/>
  <c r="I8" i="7"/>
  <c r="I24" i="7"/>
  <c r="M74" i="5"/>
  <c r="M73" i="5"/>
  <c r="I76" i="5"/>
  <c r="I72" i="5"/>
  <c r="I66" i="5"/>
  <c r="I63" i="5"/>
  <c r="M54" i="5"/>
  <c r="M53" i="5"/>
  <c r="I55" i="5"/>
  <c r="I52" i="5"/>
  <c r="I41" i="5"/>
  <c r="I44" i="5"/>
  <c r="I35" i="5"/>
  <c r="I34" i="5"/>
  <c r="I33" i="5"/>
  <c r="I24" i="5"/>
  <c r="H24" i="5"/>
  <c r="D24" i="5"/>
  <c r="I25" i="5"/>
  <c r="I26" i="5"/>
  <c r="I18" i="5"/>
  <c r="I17" i="5"/>
  <c r="I16" i="5"/>
  <c r="I10" i="5"/>
  <c r="M8" i="5"/>
  <c r="I8" i="5"/>
  <c r="I23" i="5"/>
  <c r="I100" i="4"/>
  <c r="I99" i="4"/>
  <c r="J93" i="11" s="1"/>
  <c r="I97" i="4"/>
  <c r="E97" i="4"/>
  <c r="I96" i="4"/>
  <c r="E96" i="4"/>
  <c r="I89" i="4"/>
  <c r="I88" i="4"/>
  <c r="I87" i="4"/>
  <c r="I86" i="4"/>
  <c r="I77" i="4"/>
  <c r="I68" i="4"/>
  <c r="I67" i="4"/>
  <c r="I66" i="4"/>
  <c r="H66" i="4"/>
  <c r="I65" i="4"/>
  <c r="I106" i="4"/>
  <c r="I105" i="4"/>
  <c r="I31" i="4"/>
  <c r="H31" i="4"/>
  <c r="I33" i="4"/>
  <c r="I59" i="4"/>
  <c r="I58" i="4"/>
  <c r="I57" i="4"/>
  <c r="I56" i="4"/>
  <c r="I51" i="4"/>
  <c r="I50" i="4"/>
  <c r="I49" i="4"/>
  <c r="I48" i="4"/>
  <c r="I47" i="4"/>
  <c r="I42" i="4"/>
  <c r="I41" i="4"/>
  <c r="I34" i="4"/>
  <c r="I32" i="4"/>
  <c r="I26" i="4"/>
  <c r="I24" i="4"/>
  <c r="I11" i="4"/>
  <c r="I10" i="4"/>
  <c r="I9" i="4"/>
  <c r="I76" i="4"/>
  <c r="I72" i="4"/>
  <c r="I64" i="4"/>
  <c r="I55" i="4"/>
  <c r="I46" i="4"/>
  <c r="I39" i="4"/>
  <c r="I30" i="4"/>
  <c r="I23" i="4"/>
  <c r="I14" i="4"/>
  <c r="L32" i="7"/>
  <c r="M8" i="15"/>
  <c r="L25" i="7"/>
  <c r="L18" i="7"/>
  <c r="L17" i="7"/>
  <c r="P17" i="16" s="1"/>
  <c r="L9" i="7"/>
  <c r="L10" i="7"/>
  <c r="M8" i="16"/>
  <c r="M30" i="16"/>
  <c r="L76" i="5"/>
  <c r="L75" i="5"/>
  <c r="L72" i="5"/>
  <c r="P67" i="13" s="1"/>
  <c r="M8" i="14"/>
  <c r="M66" i="14"/>
  <c r="L63" i="5"/>
  <c r="L58" i="14" s="1"/>
  <c r="L64" i="5"/>
  <c r="L65" i="5"/>
  <c r="L66" i="5"/>
  <c r="L55" i="5"/>
  <c r="L52" i="5"/>
  <c r="L41" i="5"/>
  <c r="L44" i="5"/>
  <c r="L35" i="5"/>
  <c r="L34" i="5"/>
  <c r="L33" i="5"/>
  <c r="L24" i="5"/>
  <c r="L25" i="5"/>
  <c r="H25" i="5"/>
  <c r="L26" i="5"/>
  <c r="L18" i="5"/>
  <c r="L17" i="5"/>
  <c r="L16" i="5"/>
  <c r="M11" i="14"/>
  <c r="L10" i="5"/>
  <c r="M8" i="13"/>
  <c r="M66" i="13"/>
  <c r="M11" i="13"/>
  <c r="L100" i="4"/>
  <c r="L99" i="4"/>
  <c r="L98" i="4"/>
  <c r="L97" i="4"/>
  <c r="L96" i="4"/>
  <c r="H96" i="4"/>
  <c r="M89" i="11"/>
  <c r="L86" i="4"/>
  <c r="L87" i="4"/>
  <c r="L88" i="4"/>
  <c r="L89" i="4"/>
  <c r="H89" i="4"/>
  <c r="M80" i="11"/>
  <c r="L77" i="4"/>
  <c r="M74" i="11"/>
  <c r="L73" i="4"/>
  <c r="M70" i="11"/>
  <c r="L68" i="4"/>
  <c r="L67" i="4"/>
  <c r="L66" i="4"/>
  <c r="L65" i="4"/>
  <c r="M62" i="11"/>
  <c r="L59" i="4"/>
  <c r="L58" i="4"/>
  <c r="L57" i="4"/>
  <c r="L56" i="4"/>
  <c r="M54" i="11"/>
  <c r="L51" i="4"/>
  <c r="P50" i="12" s="1"/>
  <c r="L50" i="4"/>
  <c r="L49" i="4"/>
  <c r="L48" i="4"/>
  <c r="L47" i="4"/>
  <c r="M45" i="11"/>
  <c r="L42" i="4"/>
  <c r="L41" i="4"/>
  <c r="L40" i="4"/>
  <c r="H40" i="4"/>
  <c r="M38" i="11"/>
  <c r="L34" i="4"/>
  <c r="L33" i="4"/>
  <c r="L32" i="4"/>
  <c r="L31" i="4"/>
  <c r="M30" i="11"/>
  <c r="L25" i="4"/>
  <c r="L24" i="4"/>
  <c r="M23" i="11"/>
  <c r="M14" i="11"/>
  <c r="L11" i="4"/>
  <c r="H11" i="4"/>
  <c r="L10" i="4"/>
  <c r="L9" i="4"/>
  <c r="M89" i="12"/>
  <c r="M80" i="12"/>
  <c r="M74" i="12"/>
  <c r="M70" i="12"/>
  <c r="M62" i="12"/>
  <c r="M54" i="12"/>
  <c r="M45" i="12"/>
  <c r="M38" i="12"/>
  <c r="M30" i="12"/>
  <c r="M23" i="12"/>
  <c r="M14" i="12"/>
  <c r="M116" i="4"/>
  <c r="M95" i="4"/>
  <c r="M85" i="4"/>
  <c r="M76" i="4"/>
  <c r="M72" i="4"/>
  <c r="M64" i="4"/>
  <c r="M55" i="4"/>
  <c r="M46" i="4"/>
  <c r="M39" i="4"/>
  <c r="M30" i="4"/>
  <c r="M23" i="4"/>
  <c r="M14" i="4"/>
  <c r="K117" i="4"/>
  <c r="J117" i="4"/>
  <c r="J130" i="4"/>
  <c r="L8" i="15"/>
  <c r="L30" i="15"/>
  <c r="H32" i="7"/>
  <c r="L8" i="16"/>
  <c r="H25" i="7"/>
  <c r="D25" i="7"/>
  <c r="H19" i="7"/>
  <c r="D19" i="7"/>
  <c r="H18" i="7"/>
  <c r="H17" i="7"/>
  <c r="H9" i="7"/>
  <c r="H10" i="7"/>
  <c r="L8" i="14"/>
  <c r="L11" i="14"/>
  <c r="H76" i="5"/>
  <c r="H75" i="5"/>
  <c r="H72" i="5"/>
  <c r="D72" i="5"/>
  <c r="L8" i="13"/>
  <c r="L66" i="13"/>
  <c r="H63" i="5"/>
  <c r="H66" i="5"/>
  <c r="H55" i="5"/>
  <c r="H52" i="5"/>
  <c r="H11" i="5"/>
  <c r="I11" i="14" s="1"/>
  <c r="H41" i="5"/>
  <c r="H44" i="5"/>
  <c r="H35" i="5"/>
  <c r="H34" i="5"/>
  <c r="H33" i="5"/>
  <c r="H26" i="5"/>
  <c r="H18" i="5"/>
  <c r="H17" i="5"/>
  <c r="H16" i="5"/>
  <c r="H10" i="5"/>
  <c r="L89" i="11"/>
  <c r="L80" i="11"/>
  <c r="L74" i="11"/>
  <c r="L70" i="11"/>
  <c r="L62" i="11"/>
  <c r="L54" i="11"/>
  <c r="L45" i="11"/>
  <c r="L38" i="11"/>
  <c r="L30" i="11"/>
  <c r="L23" i="11"/>
  <c r="L14" i="11"/>
  <c r="H26" i="4"/>
  <c r="H100" i="4"/>
  <c r="H99" i="4"/>
  <c r="H98" i="4"/>
  <c r="H97" i="4"/>
  <c r="L89" i="12"/>
  <c r="H86" i="4"/>
  <c r="H87" i="4"/>
  <c r="H88" i="4"/>
  <c r="D89" i="4"/>
  <c r="L80" i="12"/>
  <c r="H77" i="4"/>
  <c r="L74" i="12"/>
  <c r="H73" i="4"/>
  <c r="L70" i="12"/>
  <c r="H68" i="4"/>
  <c r="I66" i="11" s="1"/>
  <c r="D68" i="4"/>
  <c r="H67" i="4"/>
  <c r="H65" i="4"/>
  <c r="L62" i="12"/>
  <c r="H59" i="4"/>
  <c r="H58" i="4"/>
  <c r="H57" i="4"/>
  <c r="H56" i="4"/>
  <c r="D56" i="4"/>
  <c r="L54" i="12"/>
  <c r="H51" i="4"/>
  <c r="H50" i="4"/>
  <c r="H49" i="4"/>
  <c r="H48" i="4"/>
  <c r="H47" i="4"/>
  <c r="L45" i="12"/>
  <c r="H42" i="4"/>
  <c r="H41" i="4"/>
  <c r="L38" i="12"/>
  <c r="H34" i="4"/>
  <c r="H33" i="4"/>
  <c r="H32" i="4"/>
  <c r="L30" i="12"/>
  <c r="H25" i="4"/>
  <c r="D25" i="4"/>
  <c r="H24" i="4"/>
  <c r="L23" i="12"/>
  <c r="L14" i="12"/>
  <c r="H10" i="4"/>
  <c r="H9" i="4"/>
  <c r="L8" i="7"/>
  <c r="L74" i="5"/>
  <c r="L73" i="5"/>
  <c r="L54" i="5"/>
  <c r="L53" i="5"/>
  <c r="L8" i="5"/>
  <c r="L121" i="4"/>
  <c r="L116" i="4"/>
  <c r="L95" i="4"/>
  <c r="L85" i="4"/>
  <c r="L76" i="4"/>
  <c r="L72" i="4"/>
  <c r="L64" i="4"/>
  <c r="L55" i="4"/>
  <c r="L46" i="4"/>
  <c r="L39" i="4"/>
  <c r="L30" i="4"/>
  <c r="L23" i="4"/>
  <c r="L14" i="4"/>
  <c r="G11" i="5"/>
  <c r="F11" i="5"/>
  <c r="G41" i="5"/>
  <c r="G44" i="5"/>
  <c r="G24" i="5"/>
  <c r="G25" i="5"/>
  <c r="C25" i="5"/>
  <c r="G26" i="5"/>
  <c r="G10" i="5"/>
  <c r="K8" i="15"/>
  <c r="K30" i="15"/>
  <c r="G32" i="7"/>
  <c r="K8" i="16"/>
  <c r="G25" i="7"/>
  <c r="G19" i="7"/>
  <c r="K19" i="16" s="1"/>
  <c r="G18" i="7"/>
  <c r="G17" i="7"/>
  <c r="G9" i="7"/>
  <c r="G10" i="7"/>
  <c r="K8" i="14"/>
  <c r="K66" i="14"/>
  <c r="K11" i="14"/>
  <c r="G76" i="5"/>
  <c r="G75" i="5"/>
  <c r="G72" i="5"/>
  <c r="K8" i="13"/>
  <c r="K66" i="13"/>
  <c r="G63" i="5"/>
  <c r="G66" i="5"/>
  <c r="G55" i="5"/>
  <c r="G52" i="5"/>
  <c r="C52" i="5"/>
  <c r="B52" i="5"/>
  <c r="G35" i="5"/>
  <c r="G34" i="5"/>
  <c r="G33" i="5"/>
  <c r="K33" i="13" s="1"/>
  <c r="G18" i="5"/>
  <c r="G17" i="5"/>
  <c r="G16" i="5"/>
  <c r="F16" i="5"/>
  <c r="K89" i="11"/>
  <c r="K80" i="11"/>
  <c r="K74" i="11"/>
  <c r="K70" i="11"/>
  <c r="K62" i="11"/>
  <c r="K54" i="11"/>
  <c r="K45" i="11"/>
  <c r="K38" i="11"/>
  <c r="K30" i="11"/>
  <c r="K23" i="11"/>
  <c r="K14" i="11"/>
  <c r="G26" i="4"/>
  <c r="G100" i="4"/>
  <c r="G99" i="4"/>
  <c r="G98" i="4"/>
  <c r="G97" i="4"/>
  <c r="G96" i="4"/>
  <c r="F96" i="4"/>
  <c r="K89" i="12"/>
  <c r="G86" i="4"/>
  <c r="G87" i="4"/>
  <c r="G88" i="4"/>
  <c r="G89" i="4"/>
  <c r="K80" i="12"/>
  <c r="G77" i="4"/>
  <c r="K74" i="12"/>
  <c r="G73" i="4"/>
  <c r="K70" i="12"/>
  <c r="G68" i="4"/>
  <c r="G67" i="4"/>
  <c r="G66" i="4"/>
  <c r="H64" i="11" s="1"/>
  <c r="C66" i="4"/>
  <c r="G65" i="4"/>
  <c r="F65" i="4"/>
  <c r="K62" i="12"/>
  <c r="G59" i="4"/>
  <c r="G58" i="4"/>
  <c r="F58" i="4"/>
  <c r="G57" i="4"/>
  <c r="G56" i="4"/>
  <c r="K54" i="12"/>
  <c r="G51" i="4"/>
  <c r="G50" i="4"/>
  <c r="G49" i="4"/>
  <c r="G48" i="4"/>
  <c r="G47" i="4"/>
  <c r="C47" i="4"/>
  <c r="K45" i="12"/>
  <c r="G42" i="4"/>
  <c r="G41" i="4"/>
  <c r="G40" i="4"/>
  <c r="C40" i="4"/>
  <c r="K38" i="12"/>
  <c r="G34" i="4"/>
  <c r="G33" i="4"/>
  <c r="H33" i="11" s="1"/>
  <c r="G32" i="4"/>
  <c r="C32" i="4"/>
  <c r="G31" i="4"/>
  <c r="K30" i="12"/>
  <c r="G25" i="4"/>
  <c r="G24" i="4"/>
  <c r="K23" i="12"/>
  <c r="K14" i="12"/>
  <c r="G11" i="4"/>
  <c r="G10" i="4"/>
  <c r="F10" i="4"/>
  <c r="G9" i="4"/>
  <c r="C9" i="4"/>
  <c r="D9" i="11" s="1"/>
  <c r="F9" i="7"/>
  <c r="F10" i="7"/>
  <c r="F41" i="5"/>
  <c r="F44" i="5"/>
  <c r="E11" i="5"/>
  <c r="E41" i="5"/>
  <c r="E44" i="5"/>
  <c r="K130" i="4"/>
  <c r="K121" i="4"/>
  <c r="K116" i="4"/>
  <c r="K95" i="4"/>
  <c r="K85" i="4"/>
  <c r="K76" i="4"/>
  <c r="K72" i="4"/>
  <c r="K64" i="4"/>
  <c r="K55" i="4"/>
  <c r="K46" i="4"/>
  <c r="K39" i="4"/>
  <c r="K30" i="4"/>
  <c r="K23" i="4"/>
  <c r="K14" i="4"/>
  <c r="H112" i="4"/>
  <c r="H119" i="4"/>
  <c r="E26" i="4"/>
  <c r="F26" i="4"/>
  <c r="D26" i="4"/>
  <c r="B11" i="17"/>
  <c r="C11" i="17" s="1"/>
  <c r="B10" i="17"/>
  <c r="B12" i="17"/>
  <c r="B13" i="17"/>
  <c r="B14" i="17"/>
  <c r="B15" i="17"/>
  <c r="B16" i="17"/>
  <c r="B17" i="17"/>
  <c r="B18" i="17"/>
  <c r="C19" i="17" s="1"/>
  <c r="B19" i="17"/>
  <c r="B9" i="17"/>
  <c r="G112" i="4"/>
  <c r="G119" i="4"/>
  <c r="A3" i="17"/>
  <c r="B3" i="17"/>
  <c r="A4" i="17"/>
  <c r="B4" i="17"/>
  <c r="A5" i="17"/>
  <c r="B5" i="17"/>
  <c r="A6" i="17"/>
  <c r="B6" i="17"/>
  <c r="A7" i="17"/>
  <c r="B7" i="17"/>
  <c r="A8" i="17"/>
  <c r="B8" i="17"/>
  <c r="A9" i="17"/>
  <c r="A10" i="17"/>
  <c r="A11" i="17"/>
  <c r="A12" i="17"/>
  <c r="A13" i="17"/>
  <c r="A14" i="17"/>
  <c r="A15" i="17"/>
  <c r="A16" i="17"/>
  <c r="A17" i="17"/>
  <c r="A18" i="17"/>
  <c r="A19" i="17"/>
  <c r="B2" i="17"/>
  <c r="A2" i="17"/>
  <c r="B1" i="17"/>
  <c r="A1" i="17"/>
  <c r="F32" i="7"/>
  <c r="J31" i="16" s="1"/>
  <c r="F8" i="7"/>
  <c r="F31" i="7"/>
  <c r="F25" i="7"/>
  <c r="B25" i="7"/>
  <c r="F19" i="7"/>
  <c r="F18" i="7"/>
  <c r="F17" i="7"/>
  <c r="J8" i="7"/>
  <c r="J31" i="7"/>
  <c r="J8" i="5"/>
  <c r="J71" i="5"/>
  <c r="F72" i="5"/>
  <c r="F8" i="5"/>
  <c r="F62" i="5"/>
  <c r="F66" i="5"/>
  <c r="F63" i="5"/>
  <c r="F55" i="5"/>
  <c r="F52" i="5"/>
  <c r="F49" i="13" s="1"/>
  <c r="F35" i="5"/>
  <c r="F34" i="5"/>
  <c r="F33" i="5"/>
  <c r="B33" i="5"/>
  <c r="F24" i="5"/>
  <c r="F25" i="5"/>
  <c r="F26" i="5"/>
  <c r="J26" i="13" s="1"/>
  <c r="F18" i="5"/>
  <c r="F17" i="5"/>
  <c r="B16" i="5"/>
  <c r="F10" i="5"/>
  <c r="F100" i="4"/>
  <c r="B100" i="4"/>
  <c r="F99" i="4"/>
  <c r="G93" i="11" s="1"/>
  <c r="F98" i="4"/>
  <c r="F97" i="4"/>
  <c r="F89" i="4"/>
  <c r="F88" i="4"/>
  <c r="F87" i="4"/>
  <c r="E87" i="4"/>
  <c r="F86" i="4"/>
  <c r="F77" i="4"/>
  <c r="F73" i="4"/>
  <c r="F68" i="4"/>
  <c r="B68" i="4"/>
  <c r="F67" i="4"/>
  <c r="F66" i="4"/>
  <c r="F106" i="4"/>
  <c r="F105" i="4"/>
  <c r="F31" i="4"/>
  <c r="F33" i="4"/>
  <c r="F59" i="4"/>
  <c r="F58" i="11" s="1"/>
  <c r="F57" i="4"/>
  <c r="F56" i="4"/>
  <c r="F51" i="4"/>
  <c r="G50" i="11" s="1"/>
  <c r="F50" i="4"/>
  <c r="E50" i="4"/>
  <c r="F49" i="4"/>
  <c r="F48" i="4"/>
  <c r="F47" i="4"/>
  <c r="F42" i="4"/>
  <c r="F41" i="4"/>
  <c r="F40" i="4"/>
  <c r="F34" i="4"/>
  <c r="F32" i="4"/>
  <c r="F25" i="4"/>
  <c r="F24" i="4"/>
  <c r="C19" i="4"/>
  <c r="D19" i="4" s="1"/>
  <c r="D19" i="11" s="1"/>
  <c r="C18" i="4"/>
  <c r="D18" i="4" s="1"/>
  <c r="C17" i="4"/>
  <c r="D17" i="4" s="1"/>
  <c r="C16" i="4"/>
  <c r="C15" i="4"/>
  <c r="F11" i="4"/>
  <c r="B11" i="4"/>
  <c r="F9" i="4"/>
  <c r="J8" i="15"/>
  <c r="J30" i="15"/>
  <c r="J8" i="16"/>
  <c r="J30" i="16"/>
  <c r="J8" i="14"/>
  <c r="J57" i="14"/>
  <c r="J11" i="14"/>
  <c r="J8" i="13"/>
  <c r="J89" i="11"/>
  <c r="J80" i="11"/>
  <c r="J74" i="11"/>
  <c r="J70" i="11"/>
  <c r="J62" i="11"/>
  <c r="J54" i="11"/>
  <c r="J45" i="11"/>
  <c r="J38" i="11"/>
  <c r="J30" i="11"/>
  <c r="J23" i="11"/>
  <c r="J14" i="11"/>
  <c r="J89" i="12"/>
  <c r="J80" i="12"/>
  <c r="J74" i="12"/>
  <c r="J70" i="12"/>
  <c r="J62" i="12"/>
  <c r="J54" i="12"/>
  <c r="J45" i="12"/>
  <c r="J38" i="12"/>
  <c r="J30" i="12"/>
  <c r="J23" i="12"/>
  <c r="J14" i="12"/>
  <c r="J121" i="4"/>
  <c r="J116" i="4"/>
  <c r="J95" i="4"/>
  <c r="J85" i="4"/>
  <c r="J76" i="4"/>
  <c r="J72" i="4"/>
  <c r="J64" i="4"/>
  <c r="J55" i="4"/>
  <c r="J46" i="4"/>
  <c r="J39" i="4"/>
  <c r="J30" i="4"/>
  <c r="J23" i="4"/>
  <c r="J14" i="4"/>
  <c r="D112" i="4"/>
  <c r="D119" i="4"/>
  <c r="E112" i="4"/>
  <c r="E119" i="4"/>
  <c r="F112" i="4"/>
  <c r="F119" i="4"/>
  <c r="C112" i="4"/>
  <c r="C119" i="4"/>
  <c r="G121" i="4"/>
  <c r="B112" i="4"/>
  <c r="B119" i="4"/>
  <c r="I8" i="15"/>
  <c r="E32" i="7"/>
  <c r="I8" i="16"/>
  <c r="E25" i="7"/>
  <c r="E19" i="7"/>
  <c r="E18" i="7"/>
  <c r="E17" i="7"/>
  <c r="E9" i="7"/>
  <c r="E10" i="7"/>
  <c r="I10" i="16" s="1"/>
  <c r="I8" i="14"/>
  <c r="I39" i="14"/>
  <c r="E76" i="5"/>
  <c r="E75" i="5"/>
  <c r="E72" i="5"/>
  <c r="I8" i="13"/>
  <c r="I66" i="13"/>
  <c r="E63" i="5"/>
  <c r="I58" i="13" s="1"/>
  <c r="E66" i="5"/>
  <c r="E55" i="5"/>
  <c r="E52" i="5"/>
  <c r="E35" i="5"/>
  <c r="E34" i="5"/>
  <c r="E33" i="5"/>
  <c r="E24" i="5"/>
  <c r="E25" i="5"/>
  <c r="E26" i="5"/>
  <c r="D26" i="5"/>
  <c r="E18" i="5"/>
  <c r="E17" i="5"/>
  <c r="E16" i="5"/>
  <c r="E10" i="5"/>
  <c r="I89" i="11"/>
  <c r="I80" i="11"/>
  <c r="I74" i="11"/>
  <c r="I70" i="11"/>
  <c r="I62" i="11"/>
  <c r="I54" i="11"/>
  <c r="I45" i="11"/>
  <c r="I38" i="11"/>
  <c r="I30" i="11"/>
  <c r="I23" i="11"/>
  <c r="I14" i="11"/>
  <c r="E100" i="4"/>
  <c r="E99" i="4"/>
  <c r="E98" i="4"/>
  <c r="I89" i="12"/>
  <c r="E86" i="4"/>
  <c r="E88" i="4"/>
  <c r="E89" i="4"/>
  <c r="I84" i="12" s="1"/>
  <c r="I80" i="12"/>
  <c r="E77" i="4"/>
  <c r="I74" i="12"/>
  <c r="E73" i="4"/>
  <c r="I70" i="12"/>
  <c r="E68" i="4"/>
  <c r="E66" i="11" s="1"/>
  <c r="E67" i="4"/>
  <c r="E66" i="4"/>
  <c r="E65" i="4"/>
  <c r="I62" i="12"/>
  <c r="E59" i="4"/>
  <c r="E58" i="4"/>
  <c r="E57" i="4"/>
  <c r="E56" i="4"/>
  <c r="I54" i="12"/>
  <c r="E51" i="4"/>
  <c r="E49" i="4"/>
  <c r="E48" i="4"/>
  <c r="E47" i="4"/>
  <c r="I45" i="12"/>
  <c r="E42" i="4"/>
  <c r="E41" i="4"/>
  <c r="E40" i="4"/>
  <c r="I38" i="12"/>
  <c r="E34" i="4"/>
  <c r="E33" i="4"/>
  <c r="E33" i="11" s="1"/>
  <c r="E32" i="4"/>
  <c r="E31" i="4"/>
  <c r="I30" i="12"/>
  <c r="E25" i="4"/>
  <c r="E24" i="4"/>
  <c r="I23" i="12"/>
  <c r="I14" i="12"/>
  <c r="E11" i="4"/>
  <c r="E10" i="4"/>
  <c r="E9" i="4"/>
  <c r="I95" i="4"/>
  <c r="I85" i="4"/>
  <c r="C26" i="4"/>
  <c r="C105" i="4"/>
  <c r="C31" i="4"/>
  <c r="C33" i="4"/>
  <c r="D105" i="4"/>
  <c r="D31" i="4"/>
  <c r="D33" i="4"/>
  <c r="E105" i="4"/>
  <c r="B105" i="4"/>
  <c r="B31" i="4"/>
  <c r="C31" i="11" s="1"/>
  <c r="B33" i="4"/>
  <c r="B106" i="4"/>
  <c r="E106" i="4"/>
  <c r="D106" i="4"/>
  <c r="C106" i="4"/>
  <c r="B26" i="4"/>
  <c r="D97" i="4"/>
  <c r="D57" i="4"/>
  <c r="D96" i="4"/>
  <c r="D100" i="4"/>
  <c r="D58" i="4"/>
  <c r="E57" i="11" s="1"/>
  <c r="H8" i="7"/>
  <c r="H31" i="7"/>
  <c r="D8" i="7"/>
  <c r="D31" i="7"/>
  <c r="H8" i="5"/>
  <c r="H71" i="5"/>
  <c r="D8" i="5"/>
  <c r="D73" i="4"/>
  <c r="H95" i="4"/>
  <c r="H85" i="4"/>
  <c r="H76" i="4"/>
  <c r="H72" i="4"/>
  <c r="H64" i="4"/>
  <c r="H55" i="4"/>
  <c r="H46" i="4"/>
  <c r="H39" i="4"/>
  <c r="H30" i="4"/>
  <c r="H23" i="4"/>
  <c r="H14" i="4"/>
  <c r="D99" i="4"/>
  <c r="D98" i="4"/>
  <c r="D95" i="4"/>
  <c r="D88" i="4"/>
  <c r="D87" i="4"/>
  <c r="D86" i="4"/>
  <c r="D85" i="4"/>
  <c r="D77" i="4"/>
  <c r="D76" i="4"/>
  <c r="D72" i="4"/>
  <c r="D67" i="4"/>
  <c r="D66" i="4"/>
  <c r="D65" i="4"/>
  <c r="D64" i="4"/>
  <c r="D59" i="4"/>
  <c r="D55" i="4"/>
  <c r="D51" i="4"/>
  <c r="D50" i="4"/>
  <c r="D49" i="4"/>
  <c r="D48" i="4"/>
  <c r="E47" i="11" s="1"/>
  <c r="D47" i="4"/>
  <c r="D46" i="4"/>
  <c r="D42" i="4"/>
  <c r="D41" i="4"/>
  <c r="C41" i="4"/>
  <c r="D40" i="11" s="1"/>
  <c r="D40" i="4"/>
  <c r="D39" i="4"/>
  <c r="D34" i="4"/>
  <c r="D32" i="4"/>
  <c r="D30" i="4"/>
  <c r="D24" i="4"/>
  <c r="E24" i="11" s="1"/>
  <c r="D23" i="4"/>
  <c r="D14" i="4"/>
  <c r="D11" i="4"/>
  <c r="D10" i="4"/>
  <c r="D32" i="7"/>
  <c r="C32" i="7"/>
  <c r="B32" i="7"/>
  <c r="C25" i="7"/>
  <c r="C19" i="7"/>
  <c r="B19" i="7"/>
  <c r="D18" i="7"/>
  <c r="C18" i="7"/>
  <c r="B18" i="7"/>
  <c r="D17" i="7"/>
  <c r="C17" i="7"/>
  <c r="B17" i="7"/>
  <c r="C10" i="7"/>
  <c r="B10" i="7"/>
  <c r="B11" i="7" s="1"/>
  <c r="B12" i="7" s="1"/>
  <c r="D10" i="7"/>
  <c r="D10" i="15" s="1"/>
  <c r="C9" i="7"/>
  <c r="D9" i="7"/>
  <c r="A1" i="16"/>
  <c r="A2" i="16"/>
  <c r="B8" i="16"/>
  <c r="B30" i="16"/>
  <c r="C8" i="16"/>
  <c r="D8" i="16"/>
  <c r="D30" i="16"/>
  <c r="E8" i="16"/>
  <c r="E24" i="16"/>
  <c r="F8" i="16"/>
  <c r="F30" i="16"/>
  <c r="G8" i="16"/>
  <c r="G30" i="16"/>
  <c r="H8" i="16"/>
  <c r="A1" i="15"/>
  <c r="A2" i="15"/>
  <c r="B8" i="15"/>
  <c r="C8" i="15"/>
  <c r="C24" i="15"/>
  <c r="D8" i="15"/>
  <c r="D30" i="15"/>
  <c r="E8" i="15"/>
  <c r="E30" i="15"/>
  <c r="F8" i="15"/>
  <c r="G8" i="15"/>
  <c r="G24" i="15"/>
  <c r="H8" i="15"/>
  <c r="H30" i="15"/>
  <c r="D76" i="5"/>
  <c r="C76" i="5"/>
  <c r="B76" i="5"/>
  <c r="F71" i="13" s="1"/>
  <c r="D75" i="5"/>
  <c r="C75" i="5"/>
  <c r="B75" i="5"/>
  <c r="C72" i="5"/>
  <c r="B72" i="5"/>
  <c r="D63" i="5"/>
  <c r="D66" i="5"/>
  <c r="C63" i="5"/>
  <c r="C66" i="5"/>
  <c r="C61" i="14" s="1"/>
  <c r="B63" i="5"/>
  <c r="B66" i="5"/>
  <c r="D55" i="5"/>
  <c r="C55" i="5"/>
  <c r="B55" i="5"/>
  <c r="D52" i="5"/>
  <c r="D11" i="5"/>
  <c r="D41" i="5"/>
  <c r="E40" i="14" s="1"/>
  <c r="D44" i="5"/>
  <c r="E43" i="14" s="1"/>
  <c r="C11" i="5"/>
  <c r="C41" i="5"/>
  <c r="C44" i="5"/>
  <c r="B11" i="5"/>
  <c r="B41" i="5"/>
  <c r="B44" i="5"/>
  <c r="D35" i="5"/>
  <c r="D35" i="14" s="1"/>
  <c r="C35" i="5"/>
  <c r="B35" i="5"/>
  <c r="D34" i="5"/>
  <c r="C34" i="5"/>
  <c r="B34" i="5"/>
  <c r="C34" i="14" s="1"/>
  <c r="D33" i="5"/>
  <c r="C33" i="5"/>
  <c r="C24" i="5"/>
  <c r="D25" i="5"/>
  <c r="C26" i="5"/>
  <c r="B24" i="5"/>
  <c r="B25" i="5"/>
  <c r="B26" i="5"/>
  <c r="D18" i="5"/>
  <c r="C18" i="5"/>
  <c r="B18" i="5"/>
  <c r="D17" i="5"/>
  <c r="C17" i="5"/>
  <c r="B17" i="5"/>
  <c r="D16" i="5"/>
  <c r="C16" i="5"/>
  <c r="C16" i="14" s="1"/>
  <c r="C10" i="5"/>
  <c r="B10" i="5"/>
  <c r="D10" i="5"/>
  <c r="E10" i="14" s="1"/>
  <c r="A1" i="14"/>
  <c r="A2" i="14"/>
  <c r="B8" i="14"/>
  <c r="B23" i="14"/>
  <c r="C8" i="14"/>
  <c r="D8" i="14"/>
  <c r="D32" i="14"/>
  <c r="E8" i="14"/>
  <c r="E66" i="14"/>
  <c r="F8" i="14"/>
  <c r="F15" i="14"/>
  <c r="G8" i="14"/>
  <c r="H8" i="14"/>
  <c r="H32" i="14"/>
  <c r="A1" i="13"/>
  <c r="A2" i="13"/>
  <c r="B8" i="13"/>
  <c r="B39" i="13"/>
  <c r="C8" i="13"/>
  <c r="C23" i="13"/>
  <c r="D8" i="13"/>
  <c r="E8" i="13"/>
  <c r="E23" i="13"/>
  <c r="F8" i="13"/>
  <c r="F15" i="13"/>
  <c r="G8" i="13"/>
  <c r="G32" i="13"/>
  <c r="G23" i="13"/>
  <c r="H8" i="13"/>
  <c r="H32" i="13"/>
  <c r="B97" i="4"/>
  <c r="C97" i="4"/>
  <c r="B98" i="4"/>
  <c r="C98" i="4"/>
  <c r="B99" i="4"/>
  <c r="C99" i="4"/>
  <c r="C100" i="4"/>
  <c r="C96" i="4"/>
  <c r="B96" i="4"/>
  <c r="B87" i="4"/>
  <c r="C87" i="4"/>
  <c r="B88" i="4"/>
  <c r="C88" i="4"/>
  <c r="B89" i="4"/>
  <c r="C89" i="4"/>
  <c r="B86" i="4"/>
  <c r="C86" i="4"/>
  <c r="C77" i="4"/>
  <c r="D75" i="11" s="1"/>
  <c r="B77" i="4"/>
  <c r="C73" i="4"/>
  <c r="C74" i="4" s="1"/>
  <c r="B73" i="4"/>
  <c r="B66" i="4"/>
  <c r="B67" i="4"/>
  <c r="C67" i="4"/>
  <c r="D65" i="11" s="1"/>
  <c r="C68" i="4"/>
  <c r="D66" i="11" s="1"/>
  <c r="C65" i="4"/>
  <c r="B65" i="4"/>
  <c r="C59" i="4"/>
  <c r="B59" i="4"/>
  <c r="C58" i="4"/>
  <c r="B58" i="4"/>
  <c r="C57" i="4"/>
  <c r="B57" i="4"/>
  <c r="C56" i="4"/>
  <c r="B56" i="4"/>
  <c r="C51" i="4"/>
  <c r="D50" i="11" s="1"/>
  <c r="B51" i="4"/>
  <c r="C50" i="4"/>
  <c r="B50" i="4"/>
  <c r="F49" i="12" s="1"/>
  <c r="C49" i="4"/>
  <c r="B49" i="4"/>
  <c r="C48" i="4"/>
  <c r="B48" i="4"/>
  <c r="B47" i="4"/>
  <c r="C42" i="4"/>
  <c r="B42" i="4"/>
  <c r="B41" i="4"/>
  <c r="B40" i="4"/>
  <c r="C34" i="4"/>
  <c r="G34" i="12" s="1"/>
  <c r="B34" i="4"/>
  <c r="B32" i="4"/>
  <c r="B25" i="4"/>
  <c r="C25" i="4"/>
  <c r="C24" i="4"/>
  <c r="B24" i="4"/>
  <c r="B16" i="4"/>
  <c r="B17" i="4"/>
  <c r="C17" i="11" s="1"/>
  <c r="B18" i="4"/>
  <c r="B19" i="4"/>
  <c r="B15" i="4"/>
  <c r="B10" i="4"/>
  <c r="C10" i="11" s="1"/>
  <c r="C10" i="4"/>
  <c r="C11" i="4"/>
  <c r="B14" i="12"/>
  <c r="C14" i="12"/>
  <c r="D14" i="12"/>
  <c r="E14" i="12"/>
  <c r="F14" i="12"/>
  <c r="G14" i="12"/>
  <c r="H14" i="12"/>
  <c r="B23" i="12"/>
  <c r="C23" i="12"/>
  <c r="D23" i="12"/>
  <c r="E23" i="12"/>
  <c r="F23" i="12"/>
  <c r="G23" i="12"/>
  <c r="H23" i="12"/>
  <c r="B30" i="12"/>
  <c r="C30" i="12"/>
  <c r="D30" i="12"/>
  <c r="E30" i="12"/>
  <c r="F30" i="12"/>
  <c r="G30" i="12"/>
  <c r="H30" i="12"/>
  <c r="B38" i="12"/>
  <c r="C38" i="12"/>
  <c r="D38" i="12"/>
  <c r="E38" i="12"/>
  <c r="F38" i="12"/>
  <c r="G38" i="12"/>
  <c r="H38" i="12"/>
  <c r="B45" i="12"/>
  <c r="C45" i="12"/>
  <c r="D45" i="12"/>
  <c r="E45" i="12"/>
  <c r="F45" i="12"/>
  <c r="G45" i="12"/>
  <c r="H45" i="12"/>
  <c r="B54" i="12"/>
  <c r="C54" i="12"/>
  <c r="D54" i="12"/>
  <c r="E54" i="12"/>
  <c r="F54" i="12"/>
  <c r="G54" i="12"/>
  <c r="H54" i="12"/>
  <c r="B62" i="12"/>
  <c r="C62" i="12"/>
  <c r="D62" i="12"/>
  <c r="E62" i="12"/>
  <c r="F62" i="12"/>
  <c r="G62" i="12"/>
  <c r="H62" i="12"/>
  <c r="B70" i="12"/>
  <c r="C70" i="12"/>
  <c r="D70" i="12"/>
  <c r="E70" i="12"/>
  <c r="F70" i="12"/>
  <c r="G70" i="12"/>
  <c r="H70" i="12"/>
  <c r="B74" i="12"/>
  <c r="C74" i="12"/>
  <c r="D74" i="12"/>
  <c r="E74" i="12"/>
  <c r="F74" i="12"/>
  <c r="G74" i="12"/>
  <c r="H74" i="12"/>
  <c r="B80" i="12"/>
  <c r="C80" i="12"/>
  <c r="D80" i="12"/>
  <c r="E80" i="12"/>
  <c r="F80" i="12"/>
  <c r="G80" i="12"/>
  <c r="H80" i="12"/>
  <c r="B89" i="12"/>
  <c r="C89" i="12"/>
  <c r="D89" i="12"/>
  <c r="E89" i="12"/>
  <c r="F89" i="12"/>
  <c r="G89" i="12"/>
  <c r="H89" i="12"/>
  <c r="B14" i="11"/>
  <c r="C14" i="11"/>
  <c r="D14" i="11"/>
  <c r="E14" i="11"/>
  <c r="F14" i="11"/>
  <c r="G14" i="11"/>
  <c r="H14" i="11"/>
  <c r="B23" i="11"/>
  <c r="C23" i="11"/>
  <c r="D23" i="11"/>
  <c r="E23" i="11"/>
  <c r="F23" i="11"/>
  <c r="G23" i="11"/>
  <c r="H23" i="11"/>
  <c r="B30" i="11"/>
  <c r="C30" i="11"/>
  <c r="D30" i="11"/>
  <c r="E30" i="11"/>
  <c r="F30" i="11"/>
  <c r="G30" i="11"/>
  <c r="H30" i="11"/>
  <c r="B38" i="11"/>
  <c r="C38" i="11"/>
  <c r="D38" i="11"/>
  <c r="E38" i="11"/>
  <c r="F38" i="11"/>
  <c r="G38" i="11"/>
  <c r="H38" i="11"/>
  <c r="B45" i="11"/>
  <c r="C45" i="11"/>
  <c r="D45" i="11"/>
  <c r="E45" i="11"/>
  <c r="F45" i="11"/>
  <c r="G45" i="11"/>
  <c r="H45" i="11"/>
  <c r="B54" i="11"/>
  <c r="C54" i="11"/>
  <c r="D54" i="11"/>
  <c r="E54" i="11"/>
  <c r="F54" i="11"/>
  <c r="G54" i="11"/>
  <c r="H54" i="11"/>
  <c r="B62" i="11"/>
  <c r="C62" i="11"/>
  <c r="D62" i="11"/>
  <c r="E62" i="11"/>
  <c r="F62" i="11"/>
  <c r="G62" i="11"/>
  <c r="H62" i="11"/>
  <c r="B70" i="11"/>
  <c r="C70" i="11"/>
  <c r="D70" i="11"/>
  <c r="E70" i="11"/>
  <c r="F70" i="11"/>
  <c r="G70" i="11"/>
  <c r="H70" i="11"/>
  <c r="B74" i="11"/>
  <c r="C74" i="11"/>
  <c r="D74" i="11"/>
  <c r="E74" i="11"/>
  <c r="F74" i="11"/>
  <c r="G74" i="11"/>
  <c r="H74" i="11"/>
  <c r="B80" i="11"/>
  <c r="C80" i="11"/>
  <c r="D80" i="11"/>
  <c r="E80" i="11"/>
  <c r="F80" i="11"/>
  <c r="G80" i="11"/>
  <c r="H80" i="11"/>
  <c r="B89" i="11"/>
  <c r="C89" i="11"/>
  <c r="D89" i="11"/>
  <c r="E89" i="11"/>
  <c r="F89" i="11"/>
  <c r="G89" i="11"/>
  <c r="H89" i="11"/>
  <c r="G8" i="7"/>
  <c r="G31" i="7"/>
  <c r="C8" i="7"/>
  <c r="C31" i="7"/>
  <c r="G8" i="5"/>
  <c r="G71" i="5"/>
  <c r="C8" i="5"/>
  <c r="C71" i="5"/>
  <c r="G95" i="4"/>
  <c r="G85" i="4"/>
  <c r="G76" i="4"/>
  <c r="G72" i="4"/>
  <c r="G64" i="4"/>
  <c r="G55" i="4"/>
  <c r="G46" i="4"/>
  <c r="G39" i="4"/>
  <c r="G30" i="4"/>
  <c r="G23" i="4"/>
  <c r="G14" i="4"/>
  <c r="B8" i="7"/>
  <c r="E8" i="7"/>
  <c r="E16" i="7"/>
  <c r="B8" i="5"/>
  <c r="C95" i="4"/>
  <c r="B95" i="4"/>
  <c r="C85" i="4"/>
  <c r="B85" i="4"/>
  <c r="C76" i="4"/>
  <c r="B76" i="4"/>
  <c r="C72" i="4"/>
  <c r="B72" i="4"/>
  <c r="C64" i="4"/>
  <c r="B64" i="4"/>
  <c r="C55" i="4"/>
  <c r="B55" i="4"/>
  <c r="C46" i="4"/>
  <c r="B46" i="4"/>
  <c r="C39" i="4"/>
  <c r="B39" i="4"/>
  <c r="C30" i="4"/>
  <c r="B30" i="4"/>
  <c r="C23" i="4"/>
  <c r="B23" i="4"/>
  <c r="C14" i="4"/>
  <c r="B14" i="4"/>
  <c r="F95" i="4"/>
  <c r="F85" i="4"/>
  <c r="F76" i="4"/>
  <c r="F72" i="4"/>
  <c r="F64" i="4"/>
  <c r="F55" i="4"/>
  <c r="F46" i="4"/>
  <c r="F39" i="4"/>
  <c r="F30" i="4"/>
  <c r="F23" i="4"/>
  <c r="F14" i="4"/>
  <c r="E8" i="5"/>
  <c r="E71" i="5"/>
  <c r="E95" i="4"/>
  <c r="E85" i="4"/>
  <c r="E76" i="4"/>
  <c r="E72" i="4"/>
  <c r="E64" i="4"/>
  <c r="E55" i="4"/>
  <c r="E46" i="4"/>
  <c r="E39" i="4"/>
  <c r="E30" i="4"/>
  <c r="E23" i="4"/>
  <c r="E14" i="4"/>
  <c r="A1" i="7"/>
  <c r="A2" i="5"/>
  <c r="A1" i="5"/>
  <c r="A2" i="7"/>
  <c r="E23" i="14"/>
  <c r="E15" i="14"/>
  <c r="E48" i="14"/>
  <c r="E39" i="14"/>
  <c r="K126" i="4"/>
  <c r="O24" i="7"/>
  <c r="I62" i="5"/>
  <c r="G39" i="13"/>
  <c r="M23" i="13"/>
  <c r="Q15" i="5"/>
  <c r="C30" i="15"/>
  <c r="D66" i="14"/>
  <c r="D57" i="14"/>
  <c r="D39" i="14"/>
  <c r="G66" i="13"/>
  <c r="H39" i="14"/>
  <c r="E31" i="7"/>
  <c r="H39" i="13"/>
  <c r="H57" i="14"/>
  <c r="D48" i="14"/>
  <c r="H23" i="14"/>
  <c r="D15" i="14"/>
  <c r="G16" i="15"/>
  <c r="K15" i="13"/>
  <c r="M32" i="13"/>
  <c r="O24" i="16"/>
  <c r="C16" i="15"/>
  <c r="O16" i="16"/>
  <c r="N126" i="4"/>
  <c r="F39" i="13"/>
  <c r="H66" i="14"/>
  <c r="H48" i="14"/>
  <c r="D23" i="14"/>
  <c r="G30" i="15"/>
  <c r="M15" i="13"/>
  <c r="Q48" i="13"/>
  <c r="J34" i="14"/>
  <c r="Q71" i="5"/>
  <c r="K23" i="13"/>
  <c r="K32" i="13"/>
  <c r="C32" i="13"/>
  <c r="C39" i="13"/>
  <c r="Q16" i="7"/>
  <c r="C66" i="13"/>
  <c r="B57" i="13"/>
  <c r="K48" i="13"/>
  <c r="Q31" i="7"/>
  <c r="N57" i="13"/>
  <c r="O30" i="15"/>
  <c r="E57" i="14"/>
  <c r="E32" i="14"/>
  <c r="L15" i="13"/>
  <c r="L23" i="13"/>
  <c r="M15" i="14"/>
  <c r="N24" i="16"/>
  <c r="O24" i="15"/>
  <c r="P48" i="13"/>
  <c r="I32" i="13"/>
  <c r="M57" i="13"/>
  <c r="M32" i="14"/>
  <c r="O16" i="7"/>
  <c r="B32" i="14"/>
  <c r="E30" i="16"/>
  <c r="L32" i="13"/>
  <c r="L48" i="13"/>
  <c r="N15" i="13"/>
  <c r="F57" i="13"/>
  <c r="F32" i="13"/>
  <c r="O74" i="4"/>
  <c r="K24" i="7"/>
  <c r="K16" i="7"/>
  <c r="B15" i="13"/>
  <c r="B16" i="15"/>
  <c r="B24" i="15"/>
  <c r="K30" i="16"/>
  <c r="K16" i="16"/>
  <c r="F23" i="13"/>
  <c r="C117" i="4"/>
  <c r="C130" i="4" s="1"/>
  <c r="P57" i="14"/>
  <c r="P16" i="15"/>
  <c r="P24" i="15"/>
  <c r="P30" i="15"/>
  <c r="B23" i="13"/>
  <c r="B48" i="13"/>
  <c r="B66" i="13"/>
  <c r="N31" i="7"/>
  <c r="N24" i="7"/>
  <c r="P71" i="5"/>
  <c r="P62" i="5"/>
  <c r="F48" i="13"/>
  <c r="F16" i="15"/>
  <c r="F30" i="15"/>
  <c r="F24" i="15"/>
  <c r="N30" i="15"/>
  <c r="N16" i="15"/>
  <c r="O126" i="4"/>
  <c r="B16" i="7"/>
  <c r="F66" i="13"/>
  <c r="B32" i="13"/>
  <c r="H16" i="16"/>
  <c r="H30" i="16"/>
  <c r="H24" i="16"/>
  <c r="D16" i="16"/>
  <c r="D24" i="16"/>
  <c r="I40" i="5"/>
  <c r="I51" i="5"/>
  <c r="I16" i="7"/>
  <c r="I31" i="7"/>
  <c r="P23" i="13"/>
  <c r="P66" i="13"/>
  <c r="P15" i="13"/>
  <c r="D24" i="11"/>
  <c r="G24" i="16"/>
  <c r="C24" i="16"/>
  <c r="C30" i="16"/>
  <c r="C16" i="16"/>
  <c r="J66" i="13"/>
  <c r="J15" i="13"/>
  <c r="M51" i="5"/>
  <c r="C71" i="11"/>
  <c r="G23" i="14"/>
  <c r="G32" i="14"/>
  <c r="G48" i="14"/>
  <c r="C23" i="14"/>
  <c r="C48" i="14"/>
  <c r="I30" i="15"/>
  <c r="I24" i="15"/>
  <c r="I16" i="15"/>
  <c r="P24" i="7"/>
  <c r="P16" i="7"/>
  <c r="Q126" i="4"/>
  <c r="B40" i="5"/>
  <c r="B74" i="4"/>
  <c r="E32" i="13"/>
  <c r="E15" i="13"/>
  <c r="E39" i="13"/>
  <c r="E57" i="13"/>
  <c r="E48" i="13"/>
  <c r="E16" i="15"/>
  <c r="E24" i="15"/>
  <c r="G16" i="16"/>
  <c r="L39" i="14"/>
  <c r="L23" i="14"/>
  <c r="L32" i="14"/>
  <c r="L15" i="14"/>
  <c r="J57" i="13"/>
  <c r="J66" i="14"/>
  <c r="J48" i="14"/>
  <c r="J39" i="14"/>
  <c r="J32" i="14"/>
  <c r="J23" i="14"/>
  <c r="J15" i="14"/>
  <c r="H16" i="15"/>
  <c r="O48" i="12"/>
  <c r="E74" i="4"/>
  <c r="E31" i="11"/>
  <c r="F48" i="14"/>
  <c r="F32" i="14"/>
  <c r="B16" i="16"/>
  <c r="J126" i="4"/>
  <c r="K39" i="13"/>
  <c r="B49" i="17"/>
  <c r="M16" i="7"/>
  <c r="B50" i="17"/>
  <c r="B24" i="16"/>
  <c r="K24" i="16"/>
  <c r="L126" i="4"/>
  <c r="I30" i="16"/>
  <c r="I24" i="16"/>
  <c r="B15" i="14"/>
  <c r="B48" i="14"/>
  <c r="F24" i="16"/>
  <c r="O15" i="13"/>
  <c r="O48" i="13"/>
  <c r="O25" i="12"/>
  <c r="R27" i="4"/>
  <c r="E9" i="11"/>
  <c r="C39" i="11"/>
  <c r="E65" i="11"/>
  <c r="E66" i="13"/>
  <c r="H57" i="13"/>
  <c r="G48" i="13"/>
  <c r="C48" i="13"/>
  <c r="H23" i="13"/>
  <c r="G15" i="13"/>
  <c r="C15" i="13"/>
  <c r="G66" i="14"/>
  <c r="C66" i="14"/>
  <c r="F57" i="14"/>
  <c r="B57" i="14"/>
  <c r="G39" i="14"/>
  <c r="C39" i="14"/>
  <c r="F23" i="14"/>
  <c r="H15" i="14"/>
  <c r="C15" i="14"/>
  <c r="B30" i="15"/>
  <c r="D24" i="15"/>
  <c r="F16" i="16"/>
  <c r="I15" i="14"/>
  <c r="I23" i="14"/>
  <c r="I32" i="14"/>
  <c r="K71" i="5"/>
  <c r="L30" i="16"/>
  <c r="L24" i="16"/>
  <c r="L16" i="16"/>
  <c r="K104" i="4"/>
  <c r="H48" i="13"/>
  <c r="D48" i="13"/>
  <c r="H15" i="13"/>
  <c r="G57" i="14"/>
  <c r="C57" i="14"/>
  <c r="I66" i="14"/>
  <c r="I57" i="14"/>
  <c r="Q23" i="14"/>
  <c r="Q15" i="14"/>
  <c r="Q48" i="14"/>
  <c r="H66" i="13"/>
  <c r="D66" i="13"/>
  <c r="G57" i="13"/>
  <c r="C57" i="13"/>
  <c r="F66" i="14"/>
  <c r="B66" i="14"/>
  <c r="F39" i="14"/>
  <c r="B39" i="14"/>
  <c r="C32" i="14"/>
  <c r="G15" i="14"/>
  <c r="H24" i="15"/>
  <c r="D16" i="15"/>
  <c r="E16" i="16"/>
  <c r="K23" i="5"/>
  <c r="M30" i="15"/>
  <c r="M24" i="15"/>
  <c r="M16" i="15"/>
  <c r="K48" i="14"/>
  <c r="L66" i="14"/>
  <c r="L48" i="14"/>
  <c r="M24" i="7"/>
  <c r="N66" i="13"/>
  <c r="N39" i="13"/>
  <c r="N32" i="13"/>
  <c r="N66" i="14"/>
  <c r="N32" i="14"/>
  <c r="N15" i="14"/>
  <c r="N23" i="14"/>
  <c r="P23" i="14"/>
  <c r="P15" i="14"/>
  <c r="P66" i="14"/>
  <c r="P32" i="14"/>
  <c r="Q23" i="13"/>
  <c r="Q15" i="13"/>
  <c r="Q32" i="13"/>
  <c r="K57" i="13"/>
  <c r="M48" i="14"/>
  <c r="P30" i="16"/>
  <c r="R56" i="11"/>
  <c r="I16" i="16"/>
  <c r="J23" i="13"/>
  <c r="J32" i="13"/>
  <c r="J39" i="13"/>
  <c r="M23" i="14"/>
  <c r="M39" i="14"/>
  <c r="M57" i="14"/>
  <c r="O66" i="14"/>
  <c r="O57" i="14"/>
  <c r="P31" i="7"/>
  <c r="P57" i="13"/>
  <c r="P39" i="13"/>
  <c r="P24" i="16"/>
  <c r="Q57" i="13"/>
  <c r="Q39" i="13"/>
  <c r="Q66" i="14"/>
  <c r="Q32" i="14"/>
  <c r="Q24" i="16"/>
  <c r="Q24" i="15"/>
  <c r="E23" i="5"/>
  <c r="G40" i="5"/>
  <c r="I39" i="13"/>
  <c r="J16" i="16"/>
  <c r="L24" i="7"/>
  <c r="N40" i="5"/>
  <c r="N39" i="14"/>
  <c r="N57" i="14"/>
  <c r="N16" i="16"/>
  <c r="N24" i="15"/>
  <c r="E40" i="5"/>
  <c r="B15" i="5"/>
  <c r="G23" i="5"/>
  <c r="G62" i="5"/>
  <c r="C24" i="7"/>
  <c r="G24" i="7"/>
  <c r="J16" i="15"/>
  <c r="L39" i="13"/>
  <c r="L57" i="13"/>
  <c r="M39" i="13"/>
  <c r="M16" i="16"/>
  <c r="M24" i="16"/>
  <c r="P51" i="5"/>
  <c r="P32" i="5"/>
  <c r="Q57" i="14"/>
  <c r="Q39" i="14"/>
  <c r="Q30" i="16"/>
  <c r="Q30" i="15"/>
  <c r="H40" i="5"/>
  <c r="D24" i="7"/>
  <c r="H24" i="7"/>
  <c r="I15" i="13"/>
  <c r="I23" i="13"/>
  <c r="I57" i="13"/>
  <c r="I48" i="14"/>
  <c r="J48" i="13"/>
  <c r="J40" i="5"/>
  <c r="K15" i="14"/>
  <c r="K23" i="14"/>
  <c r="K32" i="14"/>
  <c r="K39" i="14"/>
  <c r="K57" i="14"/>
  <c r="K16" i="15"/>
  <c r="L16" i="7"/>
  <c r="L31" i="7"/>
  <c r="L57" i="14"/>
  <c r="L16" i="15"/>
  <c r="N48" i="13"/>
  <c r="O66" i="13"/>
  <c r="O57" i="13"/>
  <c r="O39" i="13"/>
  <c r="O32" i="13"/>
  <c r="O23" i="13"/>
  <c r="O48" i="14"/>
  <c r="O39" i="14"/>
  <c r="O32" i="14"/>
  <c r="O23" i="14"/>
  <c r="P39" i="14"/>
  <c r="E15" i="5"/>
  <c r="E32" i="5"/>
  <c r="E62" i="5"/>
  <c r="C70" i="14"/>
  <c r="N23" i="5"/>
  <c r="N62" i="5"/>
  <c r="Q32" i="5"/>
  <c r="R70" i="14"/>
  <c r="G15" i="5"/>
  <c r="G32" i="5"/>
  <c r="G51" i="5"/>
  <c r="J23" i="5"/>
  <c r="J62" i="5"/>
  <c r="L15" i="5"/>
  <c r="Q62" i="5"/>
  <c r="Q23" i="5"/>
  <c r="U67" i="13"/>
  <c r="S40" i="12"/>
  <c r="O104" i="4"/>
  <c r="M11" i="7"/>
  <c r="M12" i="7" s="1"/>
  <c r="R91" i="12"/>
  <c r="O18" i="15"/>
  <c r="Q49" i="14"/>
  <c r="Q67" i="14"/>
  <c r="Q17" i="15"/>
  <c r="Q10" i="12"/>
  <c r="Q18" i="15"/>
  <c r="Q40" i="5"/>
  <c r="C16" i="7"/>
  <c r="G16" i="7"/>
  <c r="D32" i="5"/>
  <c r="D51" i="5"/>
  <c r="H15" i="5"/>
  <c r="D16" i="7"/>
  <c r="H16" i="7"/>
  <c r="E51" i="5"/>
  <c r="I48" i="13"/>
  <c r="J15" i="5"/>
  <c r="J32" i="5"/>
  <c r="J51" i="5"/>
  <c r="J16" i="7"/>
  <c r="F16" i="7"/>
  <c r="F24" i="7"/>
  <c r="K24" i="15"/>
  <c r="N15" i="5"/>
  <c r="N32" i="5"/>
  <c r="N51" i="5"/>
  <c r="N16" i="7"/>
  <c r="J24" i="16"/>
  <c r="J24" i="15"/>
  <c r="L24" i="15"/>
  <c r="M48" i="13"/>
  <c r="P47" i="12"/>
  <c r="P18" i="11"/>
  <c r="P49" i="14"/>
  <c r="B13" i="7"/>
  <c r="AT82" i="11"/>
  <c r="AT65" i="12"/>
  <c r="AO125" i="4"/>
  <c r="AR31" i="12"/>
  <c r="S40" i="13"/>
  <c r="AJ90" i="11"/>
  <c r="AO75" i="11"/>
  <c r="AN75" i="11"/>
  <c r="AC74" i="4"/>
  <c r="AF15" i="11"/>
  <c r="AE15" i="11"/>
  <c r="AI15" i="12"/>
  <c r="AE32" i="11"/>
  <c r="AF26" i="14"/>
  <c r="AL34" i="11"/>
  <c r="AO34" i="12"/>
  <c r="AQ48" i="12"/>
  <c r="AF18" i="15"/>
  <c r="AI18" i="16"/>
  <c r="S17" i="11"/>
  <c r="AF39" i="12"/>
  <c r="X63" i="12"/>
  <c r="T9" i="5"/>
  <c r="T12" i="5"/>
  <c r="AC81" i="11"/>
  <c r="AT109" i="4"/>
  <c r="AH66" i="12"/>
  <c r="Y104" i="4"/>
  <c r="Z84" i="11"/>
  <c r="AG25" i="12"/>
  <c r="AC25" i="11"/>
  <c r="AK33" i="13"/>
  <c r="Y91" i="11"/>
  <c r="AE18" i="15"/>
  <c r="AI63" i="12"/>
  <c r="AK31" i="15"/>
  <c r="AN75" i="12"/>
  <c r="AE26" i="11"/>
  <c r="AM10" i="11"/>
  <c r="AF104" i="4"/>
  <c r="AL84" i="11"/>
  <c r="AL31" i="15"/>
  <c r="Y84" i="12"/>
  <c r="AD18" i="12"/>
  <c r="AE18" i="16"/>
  <c r="AR26" i="13"/>
  <c r="AR49" i="13"/>
  <c r="AI40" i="13"/>
  <c r="AS35" i="13"/>
  <c r="AI71" i="13"/>
  <c r="AG18" i="11"/>
  <c r="T47" i="12"/>
  <c r="AD33" i="11"/>
  <c r="AK50" i="12"/>
  <c r="AM82" i="12"/>
  <c r="AK50" i="11"/>
  <c r="AR67" i="14"/>
  <c r="AR47" i="11"/>
  <c r="AR56" i="11"/>
  <c r="AR75" i="11"/>
  <c r="AW90" i="12"/>
  <c r="AW48" i="12"/>
  <c r="AW90" i="11"/>
  <c r="AX94" i="12"/>
  <c r="AT31" i="16"/>
  <c r="AT9" i="14"/>
  <c r="AU49" i="11"/>
  <c r="AT25" i="12"/>
  <c r="AT41" i="12"/>
  <c r="AU83" i="11"/>
  <c r="AK18" i="15"/>
  <c r="AJ9" i="15"/>
  <c r="AJ66" i="11"/>
  <c r="V84" i="11"/>
  <c r="Z11" i="12"/>
  <c r="Z46" i="12"/>
  <c r="V94" i="11"/>
  <c r="W67" i="14"/>
  <c r="AD11" i="11"/>
  <c r="AC84" i="12"/>
  <c r="AA40" i="11"/>
  <c r="Z11" i="7"/>
  <c r="AA10" i="16"/>
  <c r="X61" i="14"/>
  <c r="X102" i="4"/>
  <c r="W94" i="11"/>
  <c r="AE41" i="12"/>
  <c r="AF11" i="12"/>
  <c r="AF33" i="12"/>
  <c r="AC92" i="11"/>
  <c r="AF92" i="12"/>
  <c r="X41" i="11"/>
  <c r="AC75" i="12"/>
  <c r="AE102" i="4"/>
  <c r="AD11" i="7"/>
  <c r="AH45" i="5"/>
  <c r="AK27" i="4"/>
  <c r="AP58" i="12"/>
  <c r="AN82" i="11"/>
  <c r="AU33" i="13"/>
  <c r="AT40" i="12"/>
  <c r="AU31" i="11"/>
  <c r="AN17" i="16"/>
  <c r="AK20" i="7"/>
  <c r="AO75" i="12"/>
  <c r="AM31" i="15"/>
  <c r="AT47" i="12"/>
  <c r="AS18" i="11"/>
  <c r="AS34" i="11"/>
  <c r="AT16" i="14"/>
  <c r="AU32" i="12"/>
  <c r="AX61" i="14"/>
  <c r="AM49" i="11"/>
  <c r="AS9" i="14"/>
  <c r="AT10" i="15"/>
  <c r="AV11" i="15"/>
  <c r="AR50" i="11"/>
  <c r="AH42" i="14"/>
  <c r="AN65" i="12"/>
  <c r="AM66" i="12"/>
  <c r="AO25" i="12"/>
  <c r="AP18" i="12"/>
  <c r="AU49" i="14"/>
  <c r="AV63" i="12"/>
  <c r="AV75" i="12"/>
  <c r="AD101" i="4"/>
  <c r="AB11" i="11"/>
  <c r="AF56" i="12"/>
  <c r="AK39" i="12"/>
  <c r="AJ17" i="11"/>
  <c r="AO17" i="16"/>
  <c r="AT19" i="12"/>
  <c r="AR65" i="12"/>
  <c r="AR82" i="12"/>
  <c r="AB92" i="12"/>
  <c r="AC52" i="14"/>
  <c r="AR47" i="12"/>
  <c r="AP41" i="11"/>
  <c r="AS47" i="11"/>
  <c r="AD18" i="13"/>
  <c r="AI71" i="12"/>
  <c r="AG94" i="11"/>
  <c r="AK17" i="16"/>
  <c r="AJ24" i="14"/>
  <c r="AR32" i="12"/>
  <c r="AS55" i="12"/>
  <c r="AS9" i="16"/>
  <c r="AU50" i="11"/>
  <c r="AX83" i="11"/>
  <c r="AX83" i="12"/>
  <c r="AX65" i="12"/>
  <c r="AW35" i="14"/>
  <c r="AW16" i="13"/>
  <c r="AW31" i="15"/>
  <c r="AW25" i="11"/>
  <c r="AW18" i="14"/>
  <c r="AW9" i="12"/>
  <c r="AX94" i="11"/>
  <c r="AV24" i="11"/>
  <c r="AV9" i="13"/>
  <c r="AV11" i="13"/>
  <c r="AV9" i="14"/>
  <c r="AV40" i="11"/>
  <c r="AV17" i="16"/>
  <c r="AV25" i="12"/>
  <c r="AV27" i="4"/>
  <c r="AV85" i="12"/>
  <c r="AV49" i="14"/>
  <c r="AW63" i="11"/>
  <c r="AV49" i="12"/>
  <c r="AV39" i="11"/>
  <c r="AW19" i="15"/>
  <c r="AV18" i="15"/>
  <c r="AU58" i="12"/>
  <c r="AU91" i="12"/>
  <c r="AV31" i="11"/>
  <c r="AV50" i="11"/>
  <c r="AU93" i="12"/>
  <c r="AU50" i="12"/>
  <c r="AU82" i="11"/>
  <c r="AU18" i="15"/>
  <c r="AU41" i="14"/>
  <c r="AV71" i="11"/>
  <c r="AV83" i="11"/>
  <c r="AU71" i="12"/>
  <c r="AU9" i="13"/>
  <c r="AV82" i="11"/>
  <c r="AU11" i="11"/>
  <c r="AU74" i="4"/>
  <c r="AU47" i="12"/>
  <c r="AU19" i="11"/>
  <c r="AU39" i="11"/>
  <c r="AU40" i="11"/>
  <c r="AU71" i="14"/>
  <c r="AT17" i="15"/>
  <c r="AR17" i="16"/>
  <c r="AR65" i="11"/>
  <c r="AR94" i="11"/>
  <c r="AR61" i="13"/>
  <c r="AR61" i="14"/>
  <c r="AV56" i="12"/>
  <c r="AS11" i="14"/>
  <c r="AR34" i="12"/>
  <c r="AR50" i="12"/>
  <c r="AR41" i="11"/>
  <c r="AS92" i="11"/>
  <c r="AV50" i="12"/>
  <c r="AS94" i="11"/>
  <c r="AR41" i="12"/>
  <c r="AR75" i="12"/>
  <c r="AV18" i="12"/>
  <c r="AR85" i="11"/>
  <c r="AS50" i="11"/>
  <c r="AQ61" i="13"/>
  <c r="AU46" i="12"/>
  <c r="AR46" i="11"/>
  <c r="AQ10" i="12"/>
  <c r="AQ41" i="12"/>
  <c r="AQ94" i="12"/>
  <c r="AQ9" i="12"/>
  <c r="AR49" i="14"/>
  <c r="AR83" i="11"/>
  <c r="AP34" i="14"/>
  <c r="AQ34" i="14"/>
  <c r="AQ33" i="11"/>
  <c r="AP10" i="14"/>
  <c r="AP63" i="12"/>
  <c r="AQ33" i="14"/>
  <c r="AP40" i="13"/>
  <c r="AP10" i="11"/>
  <c r="AP70" i="13"/>
  <c r="AP19" i="16"/>
  <c r="AP66" i="11"/>
  <c r="AP70" i="14"/>
  <c r="AP61" i="14"/>
  <c r="AP91" i="12"/>
  <c r="AQ65" i="11"/>
  <c r="AQ85" i="11"/>
  <c r="AN19" i="12"/>
  <c r="AN18" i="12"/>
  <c r="AN31" i="12"/>
  <c r="AN32" i="12"/>
  <c r="AN18" i="16"/>
  <c r="AN90" i="12"/>
  <c r="AR90" i="12"/>
  <c r="AN93" i="12"/>
  <c r="AN66" i="12"/>
  <c r="AR10" i="16"/>
  <c r="AO82" i="11"/>
  <c r="AO47" i="11"/>
  <c r="AN34" i="12"/>
  <c r="AN92" i="12"/>
  <c r="AO93" i="11"/>
  <c r="AO49" i="11"/>
  <c r="AO10" i="11"/>
  <c r="AN10" i="11"/>
  <c r="AO18" i="11"/>
  <c r="AM11" i="5"/>
  <c r="AQ11" i="13" s="1"/>
  <c r="AQ49" i="13"/>
  <c r="AQ17" i="12"/>
  <c r="AM9" i="14"/>
  <c r="AN41" i="11"/>
  <c r="AM49" i="12"/>
  <c r="AN49" i="11"/>
  <c r="AQ83" i="12"/>
  <c r="AQ65" i="12"/>
  <c r="AM65" i="11"/>
  <c r="AM46" i="12"/>
  <c r="AN18" i="15"/>
  <c r="AM52" i="14"/>
  <c r="AN24" i="14"/>
  <c r="AM24" i="13"/>
  <c r="AJ71" i="13"/>
  <c r="AJ71" i="11"/>
  <c r="AK71" i="11"/>
  <c r="AJ101" i="4"/>
  <c r="AJ16" i="14"/>
  <c r="AJ74" i="4"/>
  <c r="AJ71" i="12"/>
  <c r="AJ83" i="12"/>
  <c r="AJ16" i="13"/>
  <c r="AJ25" i="16"/>
  <c r="AK25" i="15"/>
  <c r="AJ17" i="12"/>
  <c r="AK33" i="14"/>
  <c r="AJ52" i="13"/>
  <c r="AK17" i="15"/>
  <c r="AN17" i="12"/>
  <c r="AJ24" i="11"/>
  <c r="AJ19" i="5"/>
  <c r="AJ20" i="7"/>
  <c r="AL31" i="11"/>
  <c r="AL63" i="11"/>
  <c r="AP49" i="13"/>
  <c r="AL57" i="11"/>
  <c r="AL70" i="13"/>
  <c r="AM46" i="11"/>
  <c r="AL71" i="13"/>
  <c r="AL41" i="11"/>
  <c r="AM94" i="11"/>
  <c r="B27" i="17"/>
  <c r="AP9" i="13"/>
  <c r="AL11" i="12"/>
  <c r="AM9" i="11"/>
  <c r="AL9" i="14"/>
  <c r="AL35" i="4"/>
  <c r="AL43" i="14"/>
  <c r="AM41" i="11"/>
  <c r="AM81" i="11"/>
  <c r="T31" i="15"/>
  <c r="W66" i="11"/>
  <c r="W92" i="12"/>
  <c r="V17" i="15"/>
  <c r="AB15" i="14"/>
  <c r="AD104" i="4"/>
  <c r="AJ18" i="12"/>
  <c r="AK9" i="11"/>
  <c r="W17" i="13"/>
  <c r="AB48" i="14"/>
  <c r="AD31" i="7"/>
  <c r="AJ35" i="13"/>
  <c r="U30" i="15"/>
  <c r="U16" i="16"/>
  <c r="AH32" i="11"/>
  <c r="AG16" i="15"/>
  <c r="AG30" i="15"/>
  <c r="AH56" i="11"/>
  <c r="AL75" i="12"/>
  <c r="AL25" i="13"/>
  <c r="AL43" i="13"/>
  <c r="AI43" i="14"/>
  <c r="AH31" i="7"/>
  <c r="AH24" i="7"/>
  <c r="AH16" i="7"/>
  <c r="AH16" i="15"/>
  <c r="AH24" i="15"/>
  <c r="AH30" i="15"/>
  <c r="U9" i="15"/>
  <c r="AA19" i="11"/>
  <c r="AH16" i="13"/>
  <c r="AG102" i="4"/>
  <c r="AH34" i="14"/>
  <c r="AG40" i="14"/>
  <c r="AG15" i="13"/>
  <c r="AG57" i="13"/>
  <c r="AG32" i="13"/>
  <c r="AG66" i="13"/>
  <c r="AG39" i="13"/>
  <c r="AI39" i="11"/>
  <c r="AJ75" i="11"/>
  <c r="AI75" i="11"/>
  <c r="AM75" i="12"/>
  <c r="AK39" i="13"/>
  <c r="AK23" i="13"/>
  <c r="AK32" i="13"/>
  <c r="AK57" i="13"/>
  <c r="AK15" i="13"/>
  <c r="AK48" i="13"/>
  <c r="AK66" i="13"/>
  <c r="AM23" i="13"/>
  <c r="AM66" i="13"/>
  <c r="AM32" i="13"/>
  <c r="AM48" i="13"/>
  <c r="AM39" i="13"/>
  <c r="AM15" i="13"/>
  <c r="AM57" i="13"/>
  <c r="T58" i="11"/>
  <c r="X9" i="16"/>
  <c r="Y9" i="16"/>
  <c r="U16" i="15"/>
  <c r="AG50" i="11"/>
  <c r="AJ94" i="12"/>
  <c r="AJ18" i="13"/>
  <c r="AG17" i="11"/>
  <c r="AG19" i="5"/>
  <c r="AG17" i="14"/>
  <c r="AK31" i="16"/>
  <c r="AG31" i="15"/>
  <c r="AH31" i="15"/>
  <c r="AJ48" i="14"/>
  <c r="AJ39" i="14"/>
  <c r="AJ15" i="14"/>
  <c r="AJ32" i="14"/>
  <c r="AJ23" i="14"/>
  <c r="AK31" i="7"/>
  <c r="AK24" i="7"/>
  <c r="AK16" i="7"/>
  <c r="AK35" i="14"/>
  <c r="AL58" i="14"/>
  <c r="AO58" i="13"/>
  <c r="AK19" i="15"/>
  <c r="AL19" i="15"/>
  <c r="AO19" i="16"/>
  <c r="S24" i="7"/>
  <c r="S25" i="15"/>
  <c r="T19" i="16"/>
  <c r="AB23" i="14"/>
  <c r="AH17" i="12"/>
  <c r="AG67" i="14"/>
  <c r="AG34" i="11"/>
  <c r="AJ9" i="16"/>
  <c r="AG9" i="5"/>
  <c r="AK9" i="13" s="1"/>
  <c r="AJ16" i="7"/>
  <c r="AJ24" i="7"/>
  <c r="AJ31" i="7"/>
  <c r="AM112" i="4"/>
  <c r="AM126" i="4"/>
  <c r="AM19" i="15"/>
  <c r="AM19" i="16"/>
  <c r="AG47" i="11"/>
  <c r="AG81" i="11"/>
  <c r="AK41" i="14"/>
  <c r="AO25" i="16"/>
  <c r="AK17" i="11"/>
  <c r="AK17" i="12"/>
  <c r="AL71" i="11"/>
  <c r="AF93" i="11"/>
  <c r="AH23" i="5"/>
  <c r="AI31" i="7"/>
  <c r="AJ52" i="14"/>
  <c r="AK24" i="11"/>
  <c r="AK16" i="15"/>
  <c r="AK40" i="14"/>
  <c r="AN15" i="11"/>
  <c r="AR9" i="13"/>
  <c r="AO33" i="14"/>
  <c r="AR33" i="13"/>
  <c r="AN33" i="14"/>
  <c r="AN33" i="13"/>
  <c r="AO70" i="14"/>
  <c r="AR70" i="13"/>
  <c r="AQ10" i="13"/>
  <c r="AH23" i="14"/>
  <c r="AI40" i="5"/>
  <c r="AI39" i="13"/>
  <c r="AI24" i="16"/>
  <c r="AI71" i="5"/>
  <c r="AI79" i="5"/>
  <c r="AJ40" i="11"/>
  <c r="AJ35" i="14"/>
  <c r="AM18" i="16"/>
  <c r="AJ16" i="16"/>
  <c r="AL35" i="14"/>
  <c r="AK34" i="11"/>
  <c r="AL16" i="15"/>
  <c r="AL24" i="15"/>
  <c r="AL30" i="15"/>
  <c r="AM16" i="7"/>
  <c r="AM24" i="7"/>
  <c r="AM31" i="7"/>
  <c r="AN90" i="11"/>
  <c r="AN41" i="14"/>
  <c r="AR16" i="7"/>
  <c r="AR31" i="7"/>
  <c r="AR24" i="7"/>
  <c r="AR27" i="4"/>
  <c r="AV24" i="12"/>
  <c r="AV40" i="12"/>
  <c r="AK24" i="15"/>
  <c r="AN57" i="11"/>
  <c r="AN47" i="11"/>
  <c r="AQ47" i="12"/>
  <c r="AM47" i="11"/>
  <c r="AN26" i="11"/>
  <c r="AQ26" i="12"/>
  <c r="AN63" i="11"/>
  <c r="AN52" i="4"/>
  <c r="AN46" i="11"/>
  <c r="AR57" i="12"/>
  <c r="AN57" i="12"/>
  <c r="AH57" i="14"/>
  <c r="AH32" i="14"/>
  <c r="AI62" i="5"/>
  <c r="AI66" i="13"/>
  <c r="AI24" i="15"/>
  <c r="AI48" i="13"/>
  <c r="AM57" i="12"/>
  <c r="AO56" i="12"/>
  <c r="AM26" i="11"/>
  <c r="AL71" i="14"/>
  <c r="AP115" i="4"/>
  <c r="AM116" i="4"/>
  <c r="AO33" i="11"/>
  <c r="AN35" i="4"/>
  <c r="AO85" i="11"/>
  <c r="AN85" i="11"/>
  <c r="AR85" i="12"/>
  <c r="AT34" i="14"/>
  <c r="AS34" i="14"/>
  <c r="AW49" i="13"/>
  <c r="AT49" i="14"/>
  <c r="AS49" i="14"/>
  <c r="AI51" i="5"/>
  <c r="AJ30" i="15"/>
  <c r="AJ24" i="15"/>
  <c r="AJ130" i="4"/>
  <c r="AP83" i="11"/>
  <c r="AT83" i="12"/>
  <c r="AP83" i="12"/>
  <c r="AP9" i="16"/>
  <c r="AN31" i="11"/>
  <c r="AQ31" i="12"/>
  <c r="AN66" i="11"/>
  <c r="AQ66" i="12"/>
  <c r="AN11" i="15"/>
  <c r="AM11" i="15"/>
  <c r="AN48" i="11"/>
  <c r="AN64" i="11"/>
  <c r="AO34" i="11"/>
  <c r="AO50" i="11"/>
  <c r="AP50" i="11"/>
  <c r="AS50" i="12"/>
  <c r="AO66" i="11"/>
  <c r="AT31" i="12"/>
  <c r="AP104" i="4"/>
  <c r="AP57" i="11"/>
  <c r="AI39" i="14"/>
  <c r="AJ71" i="14"/>
  <c r="AJ30" i="16"/>
  <c r="AK71" i="14"/>
  <c r="AK40" i="5"/>
  <c r="AK23" i="5"/>
  <c r="AO40" i="13"/>
  <c r="AL33" i="14"/>
  <c r="AM90" i="11"/>
  <c r="AO48" i="11"/>
  <c r="AR25" i="12"/>
  <c r="AP18" i="15"/>
  <c r="AT19" i="11"/>
  <c r="AW39" i="12"/>
  <c r="AT39" i="11"/>
  <c r="AS75" i="12"/>
  <c r="AM32" i="11"/>
  <c r="AL66" i="13"/>
  <c r="AM71" i="5"/>
  <c r="AM79" i="5"/>
  <c r="AQ91" i="12"/>
  <c r="AO46" i="11"/>
  <c r="AO30" i="15"/>
  <c r="AO71" i="5"/>
  <c r="AO79" i="5"/>
  <c r="AO51" i="5"/>
  <c r="AO32" i="14"/>
  <c r="AO39" i="14"/>
  <c r="AO57" i="14"/>
  <c r="AO23" i="14"/>
  <c r="AP33" i="14"/>
  <c r="AP32" i="13"/>
  <c r="AP48" i="13"/>
  <c r="AP15" i="13"/>
  <c r="AP66" i="13"/>
  <c r="AP39" i="13"/>
  <c r="AQ58" i="11"/>
  <c r="AP58" i="11"/>
  <c r="AT75" i="12"/>
  <c r="AP75" i="11"/>
  <c r="AQ84" i="11"/>
  <c r="AU39" i="12"/>
  <c r="AM62" i="5"/>
  <c r="AN17" i="15"/>
  <c r="AN40" i="5"/>
  <c r="AN16" i="16"/>
  <c r="AN15" i="14"/>
  <c r="AN66" i="13"/>
  <c r="AN32" i="13"/>
  <c r="AO16" i="14"/>
  <c r="AO16" i="16"/>
  <c r="AS93" i="12"/>
  <c r="AP43" i="14"/>
  <c r="AP20" i="7"/>
  <c r="AP48" i="14"/>
  <c r="AP32" i="14"/>
  <c r="AP23" i="14"/>
  <c r="AQ52" i="14"/>
  <c r="AP52" i="13"/>
  <c r="AU66" i="11"/>
  <c r="AU41" i="11"/>
  <c r="AS46" i="12"/>
  <c r="AV71" i="14"/>
  <c r="AO27" i="4"/>
  <c r="AT18" i="12"/>
  <c r="AU70" i="13"/>
  <c r="AR70" i="14"/>
  <c r="AR27" i="5"/>
  <c r="AU34" i="11"/>
  <c r="AX10" i="16"/>
  <c r="AV31" i="7"/>
  <c r="AV24" i="7"/>
  <c r="AV16" i="7"/>
  <c r="AV65" i="12"/>
  <c r="AM67" i="5"/>
  <c r="AP56" i="11"/>
  <c r="AQ91" i="11"/>
  <c r="AP91" i="11"/>
  <c r="AU81" i="11"/>
  <c r="AM23" i="5"/>
  <c r="AQ34" i="13"/>
  <c r="AN32" i="14"/>
  <c r="AO35" i="4"/>
  <c r="AS11" i="13"/>
  <c r="AT48" i="12"/>
  <c r="AW18" i="11"/>
  <c r="AW50" i="12"/>
  <c r="AW50" i="11"/>
  <c r="AN48" i="14"/>
  <c r="AO43" i="14"/>
  <c r="AQ11" i="14"/>
  <c r="AP11" i="14"/>
  <c r="AT49" i="13"/>
  <c r="AQ49" i="14"/>
  <c r="AQ24" i="15"/>
  <c r="AQ16" i="15"/>
  <c r="AQ30" i="15"/>
  <c r="AS30" i="16"/>
  <c r="AS24" i="16"/>
  <c r="AS16" i="16"/>
  <c r="AN23" i="5"/>
  <c r="AN62" i="5"/>
  <c r="AS18" i="13"/>
  <c r="AP18" i="14"/>
  <c r="AO18" i="14"/>
  <c r="AU82" i="12"/>
  <c r="AU18" i="16"/>
  <c r="AQ16" i="7"/>
  <c r="AQ24" i="7"/>
  <c r="AQ31" i="7"/>
  <c r="AV90" i="12"/>
  <c r="AS31" i="7"/>
  <c r="AS16" i="7"/>
  <c r="AS24" i="7"/>
  <c r="AU92" i="11"/>
  <c r="AO116" i="4"/>
  <c r="AP15" i="5"/>
  <c r="AQ23" i="5"/>
  <c r="AR9" i="11"/>
  <c r="AR84" i="11"/>
  <c r="AR64" i="11"/>
  <c r="AR25" i="11"/>
  <c r="AQ41" i="11"/>
  <c r="AQ57" i="14"/>
  <c r="AQ32" i="13"/>
  <c r="AS82" i="11"/>
  <c r="AS10" i="16"/>
  <c r="AS10" i="15"/>
  <c r="AT16" i="16"/>
  <c r="AT24" i="16"/>
  <c r="AV39" i="13"/>
  <c r="AV32" i="13"/>
  <c r="AV57" i="13"/>
  <c r="AV66" i="13"/>
  <c r="AV15" i="13"/>
  <c r="AV23" i="13"/>
  <c r="AV49" i="11"/>
  <c r="AW125" i="4"/>
  <c r="AW84" i="11"/>
  <c r="AW81" i="12"/>
  <c r="AU58" i="14"/>
  <c r="AT58" i="14"/>
  <c r="AW15" i="5"/>
  <c r="AW40" i="5"/>
  <c r="AW23" i="5"/>
  <c r="AW62" i="5"/>
  <c r="AW32" i="5"/>
  <c r="AW116" i="4"/>
  <c r="AR23" i="5"/>
  <c r="AR15" i="5"/>
  <c r="AS25" i="11"/>
  <c r="AS58" i="11"/>
  <c r="AR40" i="5"/>
  <c r="AS17" i="15"/>
  <c r="AW32" i="12"/>
  <c r="AS23" i="13"/>
  <c r="AS39" i="13"/>
  <c r="AS15" i="13"/>
  <c r="AT79" i="5"/>
  <c r="AX82" i="12"/>
  <c r="AT94" i="11"/>
  <c r="AT25" i="15"/>
  <c r="AV16" i="16"/>
  <c r="AV24" i="16"/>
  <c r="AS9" i="11"/>
  <c r="AW64" i="12"/>
  <c r="AS15" i="5"/>
  <c r="AS32" i="5"/>
  <c r="AS71" i="5"/>
  <c r="AS79" i="5"/>
  <c r="AS51" i="5"/>
  <c r="AS40" i="5"/>
  <c r="AS18" i="15"/>
  <c r="AT16" i="7"/>
  <c r="AU9" i="14"/>
  <c r="AU15" i="14"/>
  <c r="AU48" i="14"/>
  <c r="AU57" i="14"/>
  <c r="AV55" i="11"/>
  <c r="AU94" i="11"/>
  <c r="AU47" i="11"/>
  <c r="AV92" i="11"/>
  <c r="AW9" i="15"/>
  <c r="AW9" i="16"/>
  <c r="AP62" i="5"/>
  <c r="AP40" i="5"/>
  <c r="AQ70" i="14"/>
  <c r="AQ15" i="5"/>
  <c r="AQ32" i="5"/>
  <c r="AR58" i="11"/>
  <c r="AR91" i="11"/>
  <c r="AR11" i="14"/>
  <c r="AQ10" i="14"/>
  <c r="AR17" i="15"/>
  <c r="AR32" i="5"/>
  <c r="AR125" i="4"/>
  <c r="AU10" i="15"/>
  <c r="AW10" i="13"/>
  <c r="AX23" i="14"/>
  <c r="AX66" i="14"/>
  <c r="AX32" i="14"/>
  <c r="AX48" i="14"/>
  <c r="AX39" i="14"/>
  <c r="AX15" i="14"/>
  <c r="AX57" i="14"/>
  <c r="AW16" i="15"/>
  <c r="AW24" i="15"/>
  <c r="AW30" i="15"/>
  <c r="AX40" i="14"/>
  <c r="AX25" i="16"/>
  <c r="AP63" i="11"/>
  <c r="AP52" i="14"/>
  <c r="AQ61" i="14"/>
  <c r="AR31" i="11"/>
  <c r="AV82" i="12"/>
  <c r="AS32" i="13"/>
  <c r="AW35" i="13"/>
  <c r="AT35" i="14"/>
  <c r="AT30" i="16"/>
  <c r="AU66" i="14"/>
  <c r="AU40" i="14"/>
  <c r="AW51" i="5"/>
  <c r="AT39" i="14"/>
  <c r="B67" i="19"/>
  <c r="B77" i="19" s="1"/>
  <c r="B23" i="19"/>
  <c r="AU31" i="7"/>
  <c r="C16" i="20"/>
  <c r="D8" i="20"/>
  <c r="C31" i="20"/>
  <c r="C24" i="20"/>
  <c r="D24" i="20" s="1"/>
  <c r="AW57" i="13"/>
  <c r="AW57" i="14"/>
  <c r="AW15" i="14"/>
  <c r="AW84" i="12"/>
  <c r="AT66" i="14"/>
  <c r="AT27" i="4"/>
  <c r="AU66" i="13"/>
  <c r="AU39" i="13"/>
  <c r="AV18" i="14"/>
  <c r="AX48" i="13"/>
  <c r="AX15" i="13"/>
  <c r="AX16" i="16"/>
  <c r="AV19" i="16"/>
  <c r="AT115" i="4"/>
  <c r="AS57" i="11"/>
  <c r="AU48" i="13"/>
  <c r="C57" i="19"/>
  <c r="D57" i="19" s="1"/>
  <c r="AU23" i="13"/>
  <c r="AX66" i="13"/>
  <c r="Y18" i="11"/>
  <c r="AC24" i="11"/>
  <c r="AB24" i="12"/>
  <c r="AB24" i="11"/>
  <c r="AF83" i="12"/>
  <c r="AB17" i="14"/>
  <c r="AC17" i="14"/>
  <c r="AF17" i="13"/>
  <c r="AB42" i="14"/>
  <c r="AB61" i="14"/>
  <c r="AD19" i="11"/>
  <c r="AG19" i="12"/>
  <c r="AC19" i="12"/>
  <c r="AC39" i="12"/>
  <c r="AD39" i="11"/>
  <c r="AC39" i="11"/>
  <c r="AG55" i="12"/>
  <c r="AC55" i="11"/>
  <c r="AC55" i="12"/>
  <c r="AG93" i="12"/>
  <c r="AC93" i="12"/>
  <c r="AC93" i="11"/>
  <c r="AC42" i="14"/>
  <c r="AD42" i="14"/>
  <c r="G10" i="16"/>
  <c r="S55" i="11"/>
  <c r="X46" i="12"/>
  <c r="X58" i="12"/>
  <c r="X66" i="12"/>
  <c r="X82" i="12"/>
  <c r="Z91" i="12"/>
  <c r="Z52" i="13"/>
  <c r="B23" i="17"/>
  <c r="W27" i="5"/>
  <c r="AA41" i="12"/>
  <c r="AB66" i="12"/>
  <c r="Z17" i="15"/>
  <c r="AD55" i="11"/>
  <c r="AE25" i="11"/>
  <c r="AD25" i="11"/>
  <c r="AD41" i="11"/>
  <c r="AE41" i="11"/>
  <c r="AD41" i="12"/>
  <c r="AE57" i="11"/>
  <c r="AD57" i="11"/>
  <c r="AD82" i="11"/>
  <c r="AE82" i="11"/>
  <c r="AH82" i="12"/>
  <c r="AK41" i="12"/>
  <c r="AG41" i="12"/>
  <c r="AK58" i="13"/>
  <c r="AG58" i="14"/>
  <c r="AG58" i="13"/>
  <c r="AG70" i="14"/>
  <c r="AH70" i="14"/>
  <c r="W71" i="12"/>
  <c r="W39" i="12"/>
  <c r="U32" i="11"/>
  <c r="U65" i="11"/>
  <c r="U17" i="15"/>
  <c r="V91" i="11"/>
  <c r="W10" i="11"/>
  <c r="Z17" i="16"/>
  <c r="X92" i="11"/>
  <c r="X50" i="11"/>
  <c r="AD48" i="12"/>
  <c r="AA48" i="11"/>
  <c r="AE10" i="12"/>
  <c r="AB10" i="11"/>
  <c r="AA45" i="5"/>
  <c r="AA61" i="14"/>
  <c r="AE61" i="13"/>
  <c r="AB9" i="15"/>
  <c r="AA9" i="15"/>
  <c r="AA11" i="7"/>
  <c r="AE10" i="11"/>
  <c r="AP50" i="12"/>
  <c r="AL50" i="11"/>
  <c r="AL50" i="12"/>
  <c r="AM50" i="11"/>
  <c r="AL66" i="12"/>
  <c r="AM66" i="11"/>
  <c r="S92" i="11"/>
  <c r="V17" i="16"/>
  <c r="T27" i="4"/>
  <c r="T82" i="11"/>
  <c r="T46" i="11"/>
  <c r="T10" i="11"/>
  <c r="Y15" i="12"/>
  <c r="Y50" i="12"/>
  <c r="Z39" i="12"/>
  <c r="W17" i="15"/>
  <c r="X18" i="11"/>
  <c r="AB50" i="12"/>
  <c r="X27" i="5"/>
  <c r="V66" i="12"/>
  <c r="V34" i="12"/>
  <c r="V19" i="12"/>
  <c r="W67" i="13"/>
  <c r="T25" i="15"/>
  <c r="V16" i="14"/>
  <c r="AE92" i="12"/>
  <c r="AB92" i="11"/>
  <c r="AC90" i="11"/>
  <c r="AE17" i="14"/>
  <c r="AD17" i="13"/>
  <c r="AE52" i="14"/>
  <c r="AD52" i="14"/>
  <c r="AH52" i="13"/>
  <c r="AD52" i="13"/>
  <c r="AE70" i="14"/>
  <c r="C11" i="7"/>
  <c r="C13" i="7" s="1"/>
  <c r="T90" i="12"/>
  <c r="V64" i="12"/>
  <c r="V33" i="13"/>
  <c r="X19" i="16"/>
  <c r="V18" i="11"/>
  <c r="Z93" i="12"/>
  <c r="W18" i="14"/>
  <c r="Y92" i="11"/>
  <c r="AB17" i="13"/>
  <c r="AB67" i="13"/>
  <c r="Y67" i="14"/>
  <c r="Y70" i="14"/>
  <c r="Y25" i="15"/>
  <c r="Z39" i="11"/>
  <c r="AA39" i="11"/>
  <c r="AD39" i="12"/>
  <c r="AD93" i="11"/>
  <c r="AM17" i="16"/>
  <c r="AI17" i="16"/>
  <c r="AI20" i="7"/>
  <c r="AJ17" i="15"/>
  <c r="T49" i="12"/>
  <c r="T65" i="12"/>
  <c r="S94" i="11"/>
  <c r="W55" i="12"/>
  <c r="W70" i="13"/>
  <c r="U18" i="11"/>
  <c r="U90" i="11"/>
  <c r="X26" i="12"/>
  <c r="V64" i="11"/>
  <c r="V66" i="11"/>
  <c r="X66" i="11"/>
  <c r="X34" i="11"/>
  <c r="Y15" i="11"/>
  <c r="AB15" i="12"/>
  <c r="AB61" i="13"/>
  <c r="AC24" i="12"/>
  <c r="Z40" i="11"/>
  <c r="B24" i="17"/>
  <c r="AD11" i="12"/>
  <c r="Z11" i="11"/>
  <c r="AE83" i="12"/>
  <c r="AE9" i="16"/>
  <c r="AE19" i="15"/>
  <c r="AD19" i="16"/>
  <c r="AI19" i="11"/>
  <c r="AJ19" i="11"/>
  <c r="AI19" i="12"/>
  <c r="Y34" i="11"/>
  <c r="Z48" i="11"/>
  <c r="Z75" i="11"/>
  <c r="AD75" i="12"/>
  <c r="AE18" i="12"/>
  <c r="AA18" i="11"/>
  <c r="AB25" i="15"/>
  <c r="AC25" i="15"/>
  <c r="AG39" i="12"/>
  <c r="AD49" i="12"/>
  <c r="AB93" i="11"/>
  <c r="AE11" i="12"/>
  <c r="AE19" i="12"/>
  <c r="AD52" i="4"/>
  <c r="B25" i="17"/>
  <c r="AF81" i="11"/>
  <c r="AE91" i="4"/>
  <c r="AI94" i="12"/>
  <c r="AF102" i="4"/>
  <c r="AI101" i="4"/>
  <c r="AF35" i="14"/>
  <c r="AI35" i="13"/>
  <c r="AF70" i="14"/>
  <c r="AG33" i="11"/>
  <c r="AM17" i="13"/>
  <c r="AI19" i="5"/>
  <c r="AI17" i="13"/>
  <c r="AJ17" i="14"/>
  <c r="AJ40" i="14"/>
  <c r="AM40" i="13"/>
  <c r="AI40" i="14"/>
  <c r="AN70" i="13"/>
  <c r="AL39" i="12"/>
  <c r="AP39" i="12"/>
  <c r="AP18" i="16"/>
  <c r="AL18" i="15"/>
  <c r="AM18" i="15"/>
  <c r="AM42" i="14"/>
  <c r="AM25" i="15"/>
  <c r="AQ25" i="16"/>
  <c r="AK19" i="12"/>
  <c r="AH19" i="11"/>
  <c r="AK71" i="12"/>
  <c r="AG71" i="12"/>
  <c r="AG74" i="4"/>
  <c r="AG71" i="11"/>
  <c r="AH71" i="11"/>
  <c r="AK40" i="13"/>
  <c r="AO18" i="12"/>
  <c r="AL18" i="11"/>
  <c r="AK18" i="11"/>
  <c r="AK18" i="12"/>
  <c r="AH67" i="5"/>
  <c r="AD35" i="4"/>
  <c r="AD45" i="5"/>
  <c r="AG24" i="11"/>
  <c r="AJ24" i="12"/>
  <c r="AF27" i="4"/>
  <c r="AG40" i="11"/>
  <c r="AJ40" i="12"/>
  <c r="AF40" i="11"/>
  <c r="AF56" i="11"/>
  <c r="AG56" i="11"/>
  <c r="AF75" i="11"/>
  <c r="AG75" i="11"/>
  <c r="AJ75" i="12"/>
  <c r="AF67" i="5"/>
  <c r="AM11" i="12"/>
  <c r="AI11" i="11"/>
  <c r="AI11" i="12"/>
  <c r="AK39" i="11"/>
  <c r="AJ39" i="11"/>
  <c r="AJ39" i="12"/>
  <c r="AK64" i="12"/>
  <c r="AL94" i="11"/>
  <c r="AK94" i="12"/>
  <c r="AO94" i="12"/>
  <c r="AK94" i="11"/>
  <c r="AL58" i="11"/>
  <c r="AO58" i="12"/>
  <c r="AK58" i="12"/>
  <c r="AO49" i="13"/>
  <c r="AR40" i="12"/>
  <c r="AA26" i="11"/>
  <c r="AF52" i="13"/>
  <c r="AG67" i="13"/>
  <c r="AH40" i="13"/>
  <c r="AP15" i="11"/>
  <c r="AP15" i="12"/>
  <c r="AP32" i="11"/>
  <c r="AH47" i="12"/>
  <c r="AH11" i="12"/>
  <c r="AG11" i="11"/>
  <c r="AN64" i="12"/>
  <c r="AJ64" i="12"/>
  <c r="AL16" i="14"/>
  <c r="AO16" i="13"/>
  <c r="AK16" i="13"/>
  <c r="AK16" i="14"/>
  <c r="AB16" i="14"/>
  <c r="AH18" i="13"/>
  <c r="AK25" i="12"/>
  <c r="AG27" i="4"/>
  <c r="AH25" i="11"/>
  <c r="AG25" i="11"/>
  <c r="AK24" i="14"/>
  <c r="AJ24" i="13"/>
  <c r="AL26" i="13"/>
  <c r="AI17" i="11"/>
  <c r="AL49" i="12"/>
  <c r="AI49" i="11"/>
  <c r="AH49" i="11"/>
  <c r="AI65" i="11"/>
  <c r="AL65" i="12"/>
  <c r="AL90" i="12"/>
  <c r="AI90" i="11"/>
  <c r="AH90" i="11"/>
  <c r="AH19" i="5"/>
  <c r="AH17" i="14"/>
  <c r="AH40" i="14"/>
  <c r="AH58" i="14"/>
  <c r="AL58" i="13"/>
  <c r="AI71" i="14"/>
  <c r="AK34" i="14"/>
  <c r="AP18" i="11"/>
  <c r="AS18" i="12"/>
  <c r="AO64" i="11"/>
  <c r="AP84" i="11"/>
  <c r="AS84" i="12"/>
  <c r="AS94" i="12"/>
  <c r="AR17" i="11"/>
  <c r="AR17" i="12"/>
  <c r="AS17" i="11"/>
  <c r="AV17" i="12"/>
  <c r="AS33" i="11"/>
  <c r="AV33" i="12"/>
  <c r="AR33" i="11"/>
  <c r="AR33" i="12"/>
  <c r="AR66" i="11"/>
  <c r="AV83" i="12"/>
  <c r="AR104" i="4"/>
  <c r="AT11" i="14"/>
  <c r="AT27" i="5"/>
  <c r="AT28" i="5" s="1"/>
  <c r="AT45" i="5" s="1"/>
  <c r="AT11" i="13"/>
  <c r="AM9" i="12"/>
  <c r="AO11" i="15"/>
  <c r="AR11" i="16"/>
  <c r="AS34" i="12"/>
  <c r="AP17" i="14"/>
  <c r="AP10" i="15"/>
  <c r="AT10" i="16"/>
  <c r="AS43" i="14"/>
  <c r="AR43" i="14"/>
  <c r="AV43" i="13"/>
  <c r="AR43" i="13"/>
  <c r="AV61" i="13"/>
  <c r="AS52" i="13"/>
  <c r="AM24" i="12"/>
  <c r="AJ93" i="4"/>
  <c r="AS48" i="12"/>
  <c r="AO67" i="5"/>
  <c r="AP58" i="14"/>
  <c r="AS58" i="13"/>
  <c r="AO71" i="14"/>
  <c r="AU31" i="12"/>
  <c r="AQ31" i="11"/>
  <c r="AU55" i="12"/>
  <c r="AU66" i="12"/>
  <c r="AQ83" i="11"/>
  <c r="AU83" i="12"/>
  <c r="AQ104" i="4"/>
  <c r="AS10" i="14"/>
  <c r="AR33" i="14"/>
  <c r="AS33" i="14"/>
  <c r="AT61" i="13"/>
  <c r="AX61" i="13"/>
  <c r="AT61" i="14"/>
  <c r="AO18" i="15"/>
  <c r="AO27" i="5"/>
  <c r="AS17" i="16"/>
  <c r="AP17" i="15"/>
  <c r="AO17" i="15"/>
  <c r="AQ9" i="15"/>
  <c r="AQ31" i="15"/>
  <c r="AS9" i="13"/>
  <c r="AO9" i="14"/>
  <c r="AO26" i="14"/>
  <c r="AP26" i="14"/>
  <c r="AS26" i="13"/>
  <c r="AU10" i="11"/>
  <c r="AP92" i="11"/>
  <c r="AT92" i="12"/>
  <c r="AO52" i="4"/>
  <c r="AP19" i="15"/>
  <c r="AT19" i="16"/>
  <c r="AS26" i="12"/>
  <c r="AS63" i="12"/>
  <c r="AT63" i="11"/>
  <c r="AS63" i="11"/>
  <c r="AT92" i="11"/>
  <c r="AW92" i="12"/>
  <c r="AS92" i="12"/>
  <c r="AP47" i="11"/>
  <c r="AQ25" i="11"/>
  <c r="AQ40" i="14"/>
  <c r="AQ18" i="15"/>
  <c r="AU41" i="12"/>
  <c r="AU64" i="12"/>
  <c r="AV31" i="16"/>
  <c r="AP31" i="11"/>
  <c r="AU25" i="12"/>
  <c r="AU40" i="12"/>
  <c r="AV11" i="12"/>
  <c r="AS116" i="4"/>
  <c r="AW18" i="12"/>
  <c r="AQ27" i="4"/>
  <c r="AR25" i="14"/>
  <c r="AR35" i="4"/>
  <c r="AR35" i="12" s="1"/>
  <c r="AS90" i="11"/>
  <c r="AS25" i="15"/>
  <c r="AT75" i="11"/>
  <c r="AT40" i="11"/>
  <c r="AP31" i="15"/>
  <c r="AQ10" i="11"/>
  <c r="AQ16" i="14"/>
  <c r="AT17" i="16"/>
  <c r="AR31" i="15"/>
  <c r="AV31" i="12"/>
  <c r="AS17" i="12"/>
  <c r="AS33" i="12"/>
  <c r="AO45" i="5"/>
  <c r="AO46" i="5" s="1"/>
  <c r="AP9" i="15"/>
  <c r="AQ43" i="14"/>
  <c r="AP40" i="14"/>
  <c r="AX75" i="12"/>
  <c r="AH48" i="5"/>
  <c r="O9" i="16"/>
  <c r="K32" i="12"/>
  <c r="Y81" i="12"/>
  <c r="Y67" i="13"/>
  <c r="AA24" i="13"/>
  <c r="W11" i="7"/>
  <c r="AB9" i="16"/>
  <c r="AG58" i="12"/>
  <c r="AH75" i="12"/>
  <c r="AI45" i="5"/>
  <c r="AX19" i="12"/>
  <c r="AX56" i="12"/>
  <c r="Y24" i="12"/>
  <c r="Q12" i="5"/>
  <c r="R26" i="11"/>
  <c r="M31" i="12"/>
  <c r="V19" i="15"/>
  <c r="Z71" i="12"/>
  <c r="W92" i="11"/>
  <c r="V24" i="13"/>
  <c r="X58" i="11"/>
  <c r="Y10" i="11"/>
  <c r="Y58" i="11"/>
  <c r="Y16" i="13"/>
  <c r="Z41" i="12"/>
  <c r="W11" i="12"/>
  <c r="AA91" i="4"/>
  <c r="Z16" i="14"/>
  <c r="AI58" i="11"/>
  <c r="AI25" i="16"/>
  <c r="AJ49" i="13"/>
  <c r="AK17" i="13"/>
  <c r="AL19" i="12"/>
  <c r="AP71" i="12"/>
  <c r="AM26" i="13"/>
  <c r="AQ9" i="14"/>
  <c r="AP27" i="5"/>
  <c r="AQ90" i="11"/>
  <c r="AQ17" i="13"/>
  <c r="AQ40" i="13"/>
  <c r="AR39" i="11"/>
  <c r="AT10" i="12"/>
  <c r="AT26" i="11"/>
  <c r="AR48" i="11"/>
  <c r="AU46" i="11"/>
  <c r="AV91" i="11"/>
  <c r="O17" i="16"/>
  <c r="T17" i="11"/>
  <c r="S33" i="11"/>
  <c r="S49" i="11"/>
  <c r="T24" i="14"/>
  <c r="T42" i="14"/>
  <c r="U47" i="11"/>
  <c r="U63" i="11"/>
  <c r="U83" i="11"/>
  <c r="U25" i="16"/>
  <c r="V25" i="12"/>
  <c r="Z40" i="12"/>
  <c r="V43" i="14"/>
  <c r="W70" i="14"/>
  <c r="W31" i="15"/>
  <c r="X91" i="11"/>
  <c r="AD10" i="11"/>
  <c r="AG18" i="13"/>
  <c r="AL16" i="13"/>
  <c r="AI52" i="14"/>
  <c r="AI34" i="12"/>
  <c r="AI90" i="12"/>
  <c r="AL27" i="4"/>
  <c r="AX63" i="12"/>
  <c r="O41" i="14"/>
  <c r="K9" i="11"/>
  <c r="K25" i="11"/>
  <c r="O25" i="14"/>
  <c r="P25" i="11"/>
  <c r="Q56" i="12"/>
  <c r="R34" i="12"/>
  <c r="U75" i="11"/>
  <c r="AC25" i="14"/>
  <c r="AL31" i="16"/>
  <c r="M34" i="13"/>
  <c r="J9" i="12"/>
  <c r="J24" i="12"/>
  <c r="K10" i="11"/>
  <c r="P46" i="12"/>
  <c r="Z33" i="13"/>
  <c r="AE18" i="11"/>
  <c r="AE34" i="12"/>
  <c r="AE16" i="13"/>
  <c r="AG57" i="12"/>
  <c r="AX41" i="12"/>
  <c r="K11" i="7"/>
  <c r="AD81" i="11"/>
  <c r="AD67" i="5"/>
  <c r="AH62" i="13" s="1"/>
  <c r="B121" i="4"/>
  <c r="AX55" i="11"/>
  <c r="AW27" i="4"/>
  <c r="AW93" i="12"/>
  <c r="AX24" i="11"/>
  <c r="AW24" i="11"/>
  <c r="AW40" i="11"/>
  <c r="AW91" i="4"/>
  <c r="BA85" i="12" s="1"/>
  <c r="AX25" i="11"/>
  <c r="AW71" i="12"/>
  <c r="AX9" i="11"/>
  <c r="AX19" i="15"/>
  <c r="AX93" i="11"/>
  <c r="AW93" i="11"/>
  <c r="AW56" i="11"/>
  <c r="AX47" i="11"/>
  <c r="AW25" i="13"/>
  <c r="AX24" i="12"/>
  <c r="AX56" i="11"/>
  <c r="AX83" i="5"/>
  <c r="AX19" i="16"/>
  <c r="AX19" i="11"/>
  <c r="AX75" i="11"/>
  <c r="AX35" i="14"/>
  <c r="AX9" i="12"/>
  <c r="X34" i="14"/>
  <c r="Z10" i="11"/>
  <c r="AD10" i="12"/>
  <c r="AG18" i="15"/>
  <c r="AG20" i="7"/>
  <c r="AG18" i="16"/>
  <c r="AL26" i="12"/>
  <c r="AH26" i="12"/>
  <c r="AI28" i="4"/>
  <c r="AH9" i="5"/>
  <c r="AH34" i="13"/>
  <c r="AI35" i="4"/>
  <c r="AI104" i="4"/>
  <c r="AM48" i="12"/>
  <c r="AJ48" i="11"/>
  <c r="AI64" i="12"/>
  <c r="AI64" i="11"/>
  <c r="AI18" i="14"/>
  <c r="AI18" i="13"/>
  <c r="AM18" i="13"/>
  <c r="AJ10" i="11"/>
  <c r="AN25" i="12"/>
  <c r="AJ25" i="12"/>
  <c r="AN41" i="12"/>
  <c r="AJ41" i="12"/>
  <c r="AK41" i="11"/>
  <c r="AK11" i="13"/>
  <c r="AK90" i="11"/>
  <c r="AL90" i="11"/>
  <c r="AM49" i="14"/>
  <c r="AP90" i="12"/>
  <c r="AW40" i="12"/>
  <c r="AS40" i="12"/>
  <c r="AW65" i="12"/>
  <c r="AT65" i="11"/>
  <c r="AS65" i="11"/>
  <c r="AW83" i="12"/>
  <c r="AT83" i="11"/>
  <c r="AU71" i="11"/>
  <c r="AT74" i="4"/>
  <c r="AT71" i="11"/>
  <c r="AT84" i="11"/>
  <c r="AU84" i="11"/>
  <c r="AT10" i="14"/>
  <c r="AT10" i="13"/>
  <c r="AZ15" i="12"/>
  <c r="AV15" i="12"/>
  <c r="AZ33" i="12"/>
  <c r="AV104" i="4"/>
  <c r="AZ48" i="12"/>
  <c r="AW48" i="11"/>
  <c r="AZ64" i="12"/>
  <c r="AV64" i="11"/>
  <c r="AW64" i="11"/>
  <c r="AW81" i="11"/>
  <c r="AZ25" i="13"/>
  <c r="AW25" i="14"/>
  <c r="AZ49" i="13"/>
  <c r="AW49" i="14"/>
  <c r="U46" i="12"/>
  <c r="V46" i="11"/>
  <c r="AB83" i="11"/>
  <c r="S65" i="11"/>
  <c r="W65" i="12"/>
  <c r="U12" i="5"/>
  <c r="U9" i="5"/>
  <c r="U9" i="14" s="1"/>
  <c r="X65" i="11"/>
  <c r="X65" i="12"/>
  <c r="Y65" i="11"/>
  <c r="AN10" i="12"/>
  <c r="AA16" i="14"/>
  <c r="Z26" i="11"/>
  <c r="AO64" i="12"/>
  <c r="AO26" i="12"/>
  <c r="AC58" i="12"/>
  <c r="AH19" i="16"/>
  <c r="Y64" i="11"/>
  <c r="V11" i="11"/>
  <c r="T65" i="11"/>
  <c r="X70" i="14"/>
  <c r="AV52" i="4"/>
  <c r="AM11" i="13"/>
  <c r="AL74" i="4"/>
  <c r="AH10" i="14"/>
  <c r="AI48" i="12"/>
  <c r="AH29" i="4"/>
  <c r="AP39" i="11"/>
  <c r="AV10" i="16"/>
  <c r="AB65" i="12"/>
  <c r="Y63" i="12"/>
  <c r="G17" i="13"/>
  <c r="G24" i="14"/>
  <c r="H104" i="4"/>
  <c r="H33" i="12"/>
  <c r="P49" i="12"/>
  <c r="L63" i="12"/>
  <c r="M58" i="14"/>
  <c r="L58" i="13"/>
  <c r="I67" i="5"/>
  <c r="N83" i="12"/>
  <c r="O47" i="12"/>
  <c r="O33" i="11"/>
  <c r="P33" i="11"/>
  <c r="S81" i="12"/>
  <c r="P58" i="14"/>
  <c r="T9" i="12"/>
  <c r="P41" i="12"/>
  <c r="P57" i="12"/>
  <c r="P94" i="11"/>
  <c r="U24" i="12"/>
  <c r="R40" i="11"/>
  <c r="R75" i="11"/>
  <c r="U75" i="12"/>
  <c r="Q11" i="7"/>
  <c r="U9" i="16"/>
  <c r="Q9" i="16"/>
  <c r="W26" i="11"/>
  <c r="W49" i="12"/>
  <c r="AS65" i="12"/>
  <c r="AV91" i="12"/>
  <c r="AV25" i="13"/>
  <c r="AQ17" i="14"/>
  <c r="AK19" i="5"/>
  <c r="AD26" i="12"/>
  <c r="AQ15" i="11"/>
  <c r="X52" i="14"/>
  <c r="V83" i="11"/>
  <c r="AA58" i="11"/>
  <c r="U26" i="11"/>
  <c r="T49" i="11"/>
  <c r="Z10" i="12"/>
  <c r="Z58" i="11"/>
  <c r="AV81" i="11"/>
  <c r="AT67" i="13"/>
  <c r="AT84" i="12"/>
  <c r="AO83" i="12"/>
  <c r="AS24" i="11"/>
  <c r="AK67" i="5"/>
  <c r="AM18" i="14"/>
  <c r="AT71" i="12"/>
  <c r="Y47" i="12"/>
  <c r="G34" i="11"/>
  <c r="F34" i="12"/>
  <c r="K84" i="12"/>
  <c r="L64" i="11"/>
  <c r="L92" i="11"/>
  <c r="M92" i="11"/>
  <c r="L17" i="14"/>
  <c r="L43" i="14"/>
  <c r="J10" i="15"/>
  <c r="J11" i="7"/>
  <c r="M10" i="16"/>
  <c r="M13" i="7"/>
  <c r="I74" i="4"/>
  <c r="I71" i="12"/>
  <c r="L26" i="11"/>
  <c r="L100" i="11" s="1"/>
  <c r="L27" i="4"/>
  <c r="O48" i="11"/>
  <c r="Q10" i="11"/>
  <c r="P10" i="12"/>
  <c r="T26" i="12"/>
  <c r="P26" i="12"/>
  <c r="Q9" i="12"/>
  <c r="Q9" i="11"/>
  <c r="R25" i="11"/>
  <c r="Q25" i="11"/>
  <c r="Q41" i="12"/>
  <c r="Q41" i="11"/>
  <c r="R57" i="11"/>
  <c r="Q25" i="13"/>
  <c r="U25" i="13"/>
  <c r="U43" i="13"/>
  <c r="Q43" i="14"/>
  <c r="Q43" i="13"/>
  <c r="Q10" i="15"/>
  <c r="Q10" i="16"/>
  <c r="R10" i="15"/>
  <c r="U10" i="16"/>
  <c r="AE10" i="16"/>
  <c r="AF10" i="15"/>
  <c r="AE10" i="15"/>
  <c r="AK10" i="13"/>
  <c r="Z25" i="15"/>
  <c r="AK17" i="14"/>
  <c r="W33" i="12"/>
  <c r="X49" i="11"/>
  <c r="X49" i="12"/>
  <c r="AT24" i="11"/>
  <c r="AU40" i="13"/>
  <c r="AP9" i="14"/>
  <c r="AT24" i="12"/>
  <c r="AS83" i="11"/>
  <c r="AL19" i="16"/>
  <c r="Z28" i="4"/>
  <c r="AK46" i="12"/>
  <c r="AM26" i="14"/>
  <c r="W29" i="4"/>
  <c r="U58" i="11"/>
  <c r="AA10" i="11"/>
  <c r="X11" i="11"/>
  <c r="AQ57" i="11"/>
  <c r="AQ26" i="14"/>
  <c r="AT9" i="13"/>
  <c r="AS83" i="12"/>
  <c r="AV49" i="13"/>
  <c r="AA10" i="12"/>
  <c r="AX10" i="13"/>
  <c r="AH10" i="13"/>
  <c r="AV39" i="12"/>
  <c r="S33" i="12"/>
  <c r="Z92" i="12"/>
  <c r="V92" i="12"/>
  <c r="V92" i="11"/>
  <c r="W9" i="5"/>
  <c r="W12" i="5"/>
  <c r="X10" i="14"/>
  <c r="AM41" i="14"/>
  <c r="AH58" i="11"/>
  <c r="AW24" i="12"/>
  <c r="AU17" i="13"/>
  <c r="AS42" i="14"/>
  <c r="AQ24" i="11"/>
  <c r="AI33" i="11"/>
  <c r="AJ64" i="11"/>
  <c r="AM34" i="11"/>
  <c r="AO46" i="12"/>
  <c r="AJ91" i="12"/>
  <c r="AQ26" i="13"/>
  <c r="AL20" i="7"/>
  <c r="W104" i="4"/>
  <c r="X31" i="15"/>
  <c r="AV10" i="15"/>
  <c r="AR40" i="14"/>
  <c r="AR90" i="11"/>
  <c r="AL92" i="12"/>
  <c r="AH58" i="12"/>
  <c r="AW82" i="12"/>
  <c r="T27" i="5"/>
  <c r="X27" i="13" s="1"/>
  <c r="W71" i="11"/>
  <c r="AI10" i="14"/>
  <c r="AD10" i="15"/>
  <c r="AC11" i="7"/>
  <c r="AE9" i="15"/>
  <c r="AD9" i="16"/>
  <c r="AT10" i="11"/>
  <c r="AP27" i="4"/>
  <c r="AU61" i="14"/>
  <c r="AD29" i="4"/>
  <c r="AQ93" i="12"/>
  <c r="AL46" i="11"/>
  <c r="AJ91" i="11"/>
  <c r="AN26" i="14"/>
  <c r="AA83" i="11"/>
  <c r="AB32" i="12"/>
  <c r="V34" i="14"/>
  <c r="V43" i="13"/>
  <c r="W35" i="4"/>
  <c r="AA70" i="13"/>
  <c r="W25" i="16"/>
  <c r="AH10" i="12"/>
  <c r="V9" i="15"/>
  <c r="AH28" i="4"/>
  <c r="AQ15" i="12"/>
  <c r="AU17" i="11"/>
  <c r="AH82" i="11"/>
  <c r="AM17" i="15"/>
  <c r="AR19" i="12"/>
  <c r="AV27" i="5"/>
  <c r="AV27" i="13" s="1"/>
  <c r="W10" i="13"/>
  <c r="V74" i="4"/>
  <c r="U10" i="14"/>
  <c r="AC31" i="11"/>
  <c r="AB104" i="4"/>
  <c r="Y10" i="12"/>
  <c r="AM25" i="16"/>
  <c r="U27" i="4"/>
  <c r="AJ27" i="4"/>
  <c r="W83" i="11"/>
  <c r="R90" i="12"/>
  <c r="V10" i="15"/>
  <c r="W10" i="15"/>
  <c r="AL10" i="12"/>
  <c r="AR17" i="14"/>
  <c r="AP26" i="13"/>
  <c r="U19" i="15"/>
  <c r="W52" i="14"/>
  <c r="AO11" i="13"/>
  <c r="AS40" i="11"/>
  <c r="AM64" i="12"/>
  <c r="AN49" i="14"/>
  <c r="AV15" i="11"/>
  <c r="AT55" i="11"/>
  <c r="AC16" i="13"/>
  <c r="AA34" i="13"/>
  <c r="W17" i="12"/>
  <c r="AA41" i="11"/>
  <c r="AA52" i="14"/>
  <c r="AH13" i="4"/>
  <c r="AI25" i="15"/>
  <c r="AG17" i="16"/>
  <c r="AF94" i="11"/>
  <c r="AN16" i="13"/>
  <c r="AK66" i="11"/>
  <c r="AL10" i="15"/>
  <c r="AL10" i="11"/>
  <c r="AP25" i="12"/>
  <c r="AP57" i="12"/>
  <c r="AR24" i="14"/>
  <c r="AT85" i="11"/>
  <c r="AC17" i="16"/>
  <c r="U11" i="12"/>
  <c r="U47" i="12"/>
  <c r="U63" i="12"/>
  <c r="U83" i="12"/>
  <c r="V67" i="13"/>
  <c r="X33" i="13"/>
  <c r="AA18" i="13"/>
  <c r="AC71" i="13"/>
  <c r="AA41" i="14"/>
  <c r="AS84" i="11"/>
  <c r="AV11" i="16"/>
  <c r="AT33" i="12"/>
  <c r="AT58" i="12"/>
  <c r="AW19" i="16"/>
  <c r="AC9" i="15"/>
  <c r="K10" i="12"/>
  <c r="M25" i="14"/>
  <c r="X47" i="12"/>
  <c r="AI24" i="14"/>
  <c r="AI42" i="14"/>
  <c r="AJ33" i="14"/>
  <c r="AP33" i="13"/>
  <c r="AR24" i="13"/>
  <c r="AG35" i="13"/>
  <c r="F75" i="12"/>
  <c r="U39" i="11"/>
  <c r="U55" i="12"/>
  <c r="V71" i="11"/>
  <c r="AS16" i="14"/>
  <c r="AV67" i="5"/>
  <c r="AD66" i="12"/>
  <c r="T55" i="12"/>
  <c r="X32" i="12"/>
  <c r="W90" i="11"/>
  <c r="Z40" i="13"/>
  <c r="Y39" i="11"/>
  <c r="AB46" i="11"/>
  <c r="AG82" i="12"/>
  <c r="F90" i="12"/>
  <c r="L11" i="7"/>
  <c r="M11" i="15" s="1"/>
  <c r="S91" i="11"/>
  <c r="W71" i="13"/>
  <c r="AB9" i="11"/>
  <c r="AJ93" i="12"/>
  <c r="AT56" i="12"/>
  <c r="C11" i="15"/>
  <c r="D26" i="14"/>
  <c r="D32" i="13"/>
  <c r="D15" i="13"/>
  <c r="D57" i="13"/>
  <c r="D23" i="13"/>
  <c r="D39" i="13"/>
  <c r="B24" i="7"/>
  <c r="B31" i="7"/>
  <c r="D17" i="15"/>
  <c r="E40" i="11"/>
  <c r="H40" i="12"/>
  <c r="AU56" i="12"/>
  <c r="AX84" i="12"/>
  <c r="J24" i="7"/>
  <c r="E24" i="7"/>
  <c r="D10" i="14"/>
  <c r="D33" i="11"/>
  <c r="F33" i="12"/>
  <c r="I58" i="12"/>
  <c r="M43" i="13"/>
  <c r="I67" i="13"/>
  <c r="N32" i="12"/>
  <c r="P39" i="12"/>
  <c r="S24" i="16"/>
  <c r="U11" i="11"/>
  <c r="V23" i="5"/>
  <c r="V51" i="5"/>
  <c r="V62" i="5"/>
  <c r="AD63" i="12"/>
  <c r="AA24" i="7"/>
  <c r="AE62" i="5"/>
  <c r="AE39" i="14"/>
  <c r="AF16" i="16"/>
  <c r="AH57" i="13"/>
  <c r="AI71" i="11"/>
  <c r="AH39" i="14"/>
  <c r="AI23" i="13"/>
  <c r="AN24" i="7"/>
  <c r="AP16" i="16"/>
  <c r="AP11" i="11"/>
  <c r="AP26" i="12"/>
  <c r="AP93" i="11"/>
  <c r="AQ35" i="14"/>
  <c r="AP11" i="16"/>
  <c r="AQ16" i="16"/>
  <c r="AQ10" i="15"/>
  <c r="AS26" i="11"/>
  <c r="AS55" i="11"/>
  <c r="AR57" i="14"/>
  <c r="AR18" i="16"/>
  <c r="AS104" i="4"/>
  <c r="AV23" i="5"/>
  <c r="AX40" i="5"/>
  <c r="AW32" i="13"/>
  <c r="C18" i="14"/>
  <c r="E34" i="14"/>
  <c r="C40" i="14"/>
  <c r="I26" i="13"/>
  <c r="S32" i="5"/>
  <c r="S32" i="14"/>
  <c r="S23" i="13"/>
  <c r="T32" i="5"/>
  <c r="V40" i="5"/>
  <c r="V15" i="14"/>
  <c r="W16" i="7"/>
  <c r="X66" i="14"/>
  <c r="X24" i="15"/>
  <c r="Y91" i="4"/>
  <c r="Y92" i="4" s="1"/>
  <c r="AA23" i="5"/>
  <c r="AA57" i="13"/>
  <c r="AB40" i="5"/>
  <c r="AB66" i="13"/>
  <c r="AC24" i="15"/>
  <c r="AE57" i="14"/>
  <c r="AF30" i="16"/>
  <c r="AG62" i="5"/>
  <c r="AH15" i="13"/>
  <c r="AH24" i="16"/>
  <c r="AK24" i="16"/>
  <c r="AK91" i="11"/>
  <c r="AL93" i="12"/>
  <c r="AL42" i="14"/>
  <c r="AM92" i="11"/>
  <c r="AN51" i="5"/>
  <c r="AN55" i="11"/>
  <c r="AN94" i="11"/>
  <c r="AN58" i="13"/>
  <c r="AO19" i="15"/>
  <c r="AQ24" i="16"/>
  <c r="AR32" i="14"/>
  <c r="AT31" i="7"/>
  <c r="AU32" i="14"/>
  <c r="AU39" i="14"/>
  <c r="AV51" i="5"/>
  <c r="AX15" i="5"/>
  <c r="AW15" i="13"/>
  <c r="G35" i="13"/>
  <c r="C18" i="11"/>
  <c r="C94" i="11"/>
  <c r="G75" i="12"/>
  <c r="I48" i="12"/>
  <c r="I31" i="12"/>
  <c r="I81" i="12"/>
  <c r="M35" i="14"/>
  <c r="O26" i="12"/>
  <c r="S66" i="14"/>
  <c r="T40" i="5"/>
  <c r="T58" i="14"/>
  <c r="U66" i="13"/>
  <c r="V57" i="14"/>
  <c r="V71" i="5"/>
  <c r="W71" i="5"/>
  <c r="W32" i="5"/>
  <c r="AD33" i="12"/>
  <c r="AA15" i="5"/>
  <c r="AB41" i="14"/>
  <c r="AA30" i="15"/>
  <c r="AB62" i="5"/>
  <c r="AB39" i="13"/>
  <c r="AB24" i="7"/>
  <c r="AB15" i="13"/>
  <c r="AC16" i="15"/>
  <c r="AE40" i="5"/>
  <c r="AF64" i="12"/>
  <c r="AF10" i="13"/>
  <c r="AG81" i="12"/>
  <c r="AK90" i="12"/>
  <c r="AH17" i="15"/>
  <c r="AH48" i="14"/>
  <c r="AI91" i="4"/>
  <c r="AI92" i="4" s="1"/>
  <c r="AI27" i="4"/>
  <c r="AN33" i="12"/>
  <c r="AN81" i="12"/>
  <c r="AM32" i="14"/>
  <c r="AN16" i="7"/>
  <c r="AO23" i="5"/>
  <c r="AR9" i="14"/>
  <c r="AR26" i="14"/>
  <c r="AQ48" i="14"/>
  <c r="AR15" i="11"/>
  <c r="AR15" i="13"/>
  <c r="AT39" i="13"/>
  <c r="AS47" i="12"/>
  <c r="AX23" i="5"/>
  <c r="AW16" i="16"/>
  <c r="F32" i="12"/>
  <c r="T10" i="12"/>
  <c r="R24" i="15"/>
  <c r="T62" i="5"/>
  <c r="X9" i="12"/>
  <c r="AB15" i="5"/>
  <c r="AB19" i="11"/>
  <c r="AB91" i="12"/>
  <c r="AD17" i="14"/>
  <c r="AC19" i="16"/>
  <c r="AD24" i="15"/>
  <c r="AD9" i="15"/>
  <c r="AE45" i="5"/>
  <c r="AE11" i="7"/>
  <c r="AE13" i="7" s="1"/>
  <c r="AH126" i="4"/>
  <c r="AR48" i="13"/>
  <c r="AT66" i="13"/>
  <c r="AU16" i="15"/>
  <c r="AX62" i="5"/>
  <c r="AX51" i="5"/>
  <c r="AW66" i="13"/>
  <c r="AW23" i="13"/>
  <c r="G18" i="12"/>
  <c r="C34" i="11"/>
  <c r="D34" i="11"/>
  <c r="E75" i="11"/>
  <c r="F63" i="12"/>
  <c r="C10" i="17"/>
  <c r="G93" i="12"/>
  <c r="R34" i="13"/>
  <c r="S23" i="14"/>
  <c r="T71" i="5"/>
  <c r="T23" i="13"/>
  <c r="V32" i="14"/>
  <c r="W23" i="5"/>
  <c r="AB71" i="5"/>
  <c r="AE71" i="5"/>
  <c r="AE79" i="5"/>
  <c r="AH66" i="13"/>
  <c r="AI24" i="7"/>
  <c r="AI15" i="13"/>
  <c r="AK16" i="16"/>
  <c r="AR71" i="5"/>
  <c r="AR79" i="5"/>
  <c r="AR32" i="13"/>
  <c r="AR66" i="13"/>
  <c r="AS57" i="13"/>
  <c r="F84" i="12"/>
  <c r="G40" i="13"/>
  <c r="S17" i="16"/>
  <c r="T51" i="5"/>
  <c r="V16" i="16"/>
  <c r="V24" i="16"/>
  <c r="AB90" i="12"/>
  <c r="Z18" i="14"/>
  <c r="AA61" i="13"/>
  <c r="AB23" i="5"/>
  <c r="AE16" i="15"/>
  <c r="AO81" i="12"/>
  <c r="AN39" i="14"/>
  <c r="AX71" i="5"/>
  <c r="AX79" i="5"/>
  <c r="F90" i="11"/>
  <c r="G66" i="12"/>
  <c r="F71" i="14"/>
  <c r="Q17" i="16"/>
  <c r="S39" i="14"/>
  <c r="S16" i="16"/>
  <c r="T48" i="13"/>
  <c r="V48" i="14"/>
  <c r="AC18" i="12"/>
  <c r="AA56" i="12"/>
  <c r="AB51" i="5"/>
  <c r="AB23" i="13"/>
  <c r="AD15" i="13"/>
  <c r="AE24" i="15"/>
  <c r="AG51" i="5"/>
  <c r="AJ23" i="5"/>
  <c r="AJ40" i="5"/>
  <c r="AM24" i="15"/>
  <c r="AN15" i="5"/>
  <c r="AP25" i="11"/>
  <c r="AQ15" i="14"/>
  <c r="AR23" i="13"/>
  <c r="AR39" i="14"/>
  <c r="AS41" i="12"/>
  <c r="AT23" i="13"/>
  <c r="AT32" i="5"/>
  <c r="AX16" i="7"/>
  <c r="AX39" i="13"/>
  <c r="D116" i="4"/>
  <c r="AL115" i="4"/>
  <c r="I121" i="4"/>
  <c r="AP116" i="4"/>
  <c r="H121" i="4"/>
  <c r="G117" i="4"/>
  <c r="F116" i="4"/>
  <c r="AU116" i="4"/>
  <c r="B45" i="5"/>
  <c r="C116" i="4"/>
  <c r="AN116" i="4"/>
  <c r="I116" i="4"/>
  <c r="AI9" i="5"/>
  <c r="T16" i="13"/>
  <c r="Y92" i="12"/>
  <c r="U92" i="12"/>
  <c r="Y75" i="11"/>
  <c r="Y75" i="12"/>
  <c r="Y102" i="4"/>
  <c r="Y94" i="11"/>
  <c r="F74" i="4"/>
  <c r="F71" i="12"/>
  <c r="F92" i="12"/>
  <c r="F18" i="14"/>
  <c r="K11" i="12"/>
  <c r="G47" i="12"/>
  <c r="H47" i="11"/>
  <c r="G71" i="12"/>
  <c r="L25" i="11"/>
  <c r="P25" i="12"/>
  <c r="P65" i="12"/>
  <c r="I46" i="12"/>
  <c r="J66" i="11"/>
  <c r="I66" i="12"/>
  <c r="I18" i="13"/>
  <c r="M25" i="11"/>
  <c r="M39" i="11"/>
  <c r="Q64" i="12"/>
  <c r="N64" i="11"/>
  <c r="Q84" i="12"/>
  <c r="M93" i="11"/>
  <c r="Q93" i="12"/>
  <c r="M93" i="12"/>
  <c r="J27" i="5"/>
  <c r="N25" i="13"/>
  <c r="M61" i="13"/>
  <c r="Q61" i="13"/>
  <c r="H19" i="4"/>
  <c r="I19" i="4" s="1"/>
  <c r="I19" i="11" s="1"/>
  <c r="G19" i="12"/>
  <c r="K19" i="12"/>
  <c r="K56" i="11"/>
  <c r="J66" i="12"/>
  <c r="K66" i="11"/>
  <c r="S75" i="12"/>
  <c r="O75" i="12"/>
  <c r="P75" i="11"/>
  <c r="K18" i="16"/>
  <c r="O19" i="16"/>
  <c r="S19" i="16"/>
  <c r="T71" i="12"/>
  <c r="P74" i="4"/>
  <c r="P71" i="12"/>
  <c r="T92" i="12"/>
  <c r="P92" i="12"/>
  <c r="Q92" i="11"/>
  <c r="AQ18" i="12"/>
  <c r="X39" i="11"/>
  <c r="AB39" i="12"/>
  <c r="AB56" i="12"/>
  <c r="Y56" i="11"/>
  <c r="AB94" i="12"/>
  <c r="AB101" i="4"/>
  <c r="AK32" i="11"/>
  <c r="AK32" i="12"/>
  <c r="AA12" i="7"/>
  <c r="H41" i="12"/>
  <c r="M66" i="12"/>
  <c r="AH9" i="12"/>
  <c r="AH57" i="12"/>
  <c r="AL57" i="12"/>
  <c r="AH81" i="11"/>
  <c r="X27" i="4"/>
  <c r="X28" i="4"/>
  <c r="AA26" i="12"/>
  <c r="W46" i="11"/>
  <c r="X46" i="11"/>
  <c r="AD41" i="14"/>
  <c r="AD40" i="11"/>
  <c r="AH40" i="12"/>
  <c r="AF28" i="4"/>
  <c r="AE28" i="4"/>
  <c r="AF47" i="11"/>
  <c r="AI47" i="12"/>
  <c r="AC71" i="11"/>
  <c r="AB74" i="4"/>
  <c r="AB71" i="11"/>
  <c r="F71" i="11"/>
  <c r="X19" i="12"/>
  <c r="S17" i="13"/>
  <c r="W40" i="13"/>
  <c r="W58" i="13"/>
  <c r="S67" i="5"/>
  <c r="S58" i="13"/>
  <c r="Z83" i="12"/>
  <c r="V91" i="4"/>
  <c r="V92" i="4" s="1"/>
  <c r="V83" i="12"/>
  <c r="AA26" i="13"/>
  <c r="AE26" i="13"/>
  <c r="F33" i="11"/>
  <c r="Q19" i="15"/>
  <c r="P19" i="15"/>
  <c r="Q31" i="12"/>
  <c r="Q104" i="4"/>
  <c r="Q33" i="13"/>
  <c r="B22" i="17"/>
  <c r="R11" i="11"/>
  <c r="V11" i="12"/>
  <c r="R31" i="11"/>
  <c r="R104" i="4"/>
  <c r="R47" i="11"/>
  <c r="R47" i="12"/>
  <c r="R83" i="11"/>
  <c r="AB40" i="11"/>
  <c r="M35" i="13"/>
  <c r="I45" i="5"/>
  <c r="T52" i="13"/>
  <c r="S34" i="14"/>
  <c r="W18" i="16"/>
  <c r="X39" i="12"/>
  <c r="X25" i="16"/>
  <c r="Y43" i="13"/>
  <c r="AD46" i="12"/>
  <c r="AB10" i="14"/>
  <c r="AE104" i="4"/>
  <c r="AU11" i="16"/>
  <c r="X94" i="12"/>
  <c r="Y26" i="13"/>
  <c r="W11" i="11"/>
  <c r="AA83" i="12"/>
  <c r="AF10" i="16"/>
  <c r="H65" i="12"/>
  <c r="G49" i="11"/>
  <c r="K26" i="11"/>
  <c r="K100" i="11" s="1"/>
  <c r="T24" i="13"/>
  <c r="T9" i="11"/>
  <c r="Y18" i="13"/>
  <c r="V33" i="14"/>
  <c r="AE84" i="12"/>
  <c r="AH70" i="13"/>
  <c r="G70" i="13"/>
  <c r="G67" i="5"/>
  <c r="L11" i="11"/>
  <c r="P10" i="15"/>
  <c r="S94" i="12"/>
  <c r="W31" i="16"/>
  <c r="U67" i="14"/>
  <c r="AB10" i="13"/>
  <c r="X67" i="13"/>
  <c r="X10" i="16"/>
  <c r="AE17" i="11"/>
  <c r="AE33" i="11"/>
  <c r="AK34" i="13"/>
  <c r="AJ84" i="11"/>
  <c r="G26" i="13"/>
  <c r="H65" i="11"/>
  <c r="O9" i="15"/>
  <c r="S56" i="11"/>
  <c r="W33" i="13"/>
  <c r="AC32" i="12"/>
  <c r="AE91" i="12"/>
  <c r="AD34" i="13"/>
  <c r="AE49" i="11"/>
  <c r="AG19" i="11"/>
  <c r="AK34" i="12"/>
  <c r="AG49" i="12"/>
  <c r="L93" i="12"/>
  <c r="M16" i="13"/>
  <c r="V10" i="16"/>
  <c r="U17" i="11"/>
  <c r="W41" i="11"/>
  <c r="AC49" i="12"/>
  <c r="AE65" i="11"/>
  <c r="AI16" i="13"/>
  <c r="AJ43" i="14"/>
  <c r="F18" i="13"/>
  <c r="T34" i="12"/>
  <c r="S17" i="15"/>
  <c r="V90" i="12"/>
  <c r="AE61" i="14"/>
  <c r="AK71" i="13"/>
  <c r="AK18" i="16"/>
  <c r="X71" i="13"/>
  <c r="T71" i="13"/>
  <c r="AC63" i="12"/>
  <c r="AD63" i="11"/>
  <c r="AJ67" i="14"/>
  <c r="AP56" i="12"/>
  <c r="AM56" i="11"/>
  <c r="AL56" i="11"/>
  <c r="AM67" i="14"/>
  <c r="AM67" i="13"/>
  <c r="AQ67" i="13"/>
  <c r="AQ71" i="12"/>
  <c r="AM71" i="12"/>
  <c r="AN71" i="13"/>
  <c r="AR71" i="13"/>
  <c r="AP46" i="11"/>
  <c r="AP46" i="12"/>
  <c r="AU34" i="12"/>
  <c r="AR34" i="11"/>
  <c r="AR35" i="14"/>
  <c r="AV35" i="13"/>
  <c r="AY33" i="12"/>
  <c r="AU35" i="4"/>
  <c r="AU33" i="11"/>
  <c r="AY90" i="12"/>
  <c r="AU90" i="12"/>
  <c r="AY48" i="12"/>
  <c r="AU48" i="11"/>
  <c r="AU52" i="4"/>
  <c r="AV48" i="11"/>
  <c r="AZ9" i="12"/>
  <c r="AW9" i="11"/>
  <c r="AV9" i="12"/>
  <c r="AV9" i="11"/>
  <c r="AZ41" i="12"/>
  <c r="AW41" i="11"/>
  <c r="AW66" i="11"/>
  <c r="AV16" i="13"/>
  <c r="AW16" i="14"/>
  <c r="AU91" i="11"/>
  <c r="AR55" i="11"/>
  <c r="AO94" i="11"/>
  <c r="AI81" i="11"/>
  <c r="AL27" i="5"/>
  <c r="AL27" i="13" s="1"/>
  <c r="AK49" i="14"/>
  <c r="AN49" i="13"/>
  <c r="AN39" i="12"/>
  <c r="AM45" i="5"/>
  <c r="AH41" i="12"/>
  <c r="AF63" i="12"/>
  <c r="AS35" i="14"/>
  <c r="AT18" i="15"/>
  <c r="AW24" i="13"/>
  <c r="AR16" i="13"/>
  <c r="AM25" i="14"/>
  <c r="AN94" i="12"/>
  <c r="AL56" i="12"/>
  <c r="AR94" i="12"/>
  <c r="AQ84" i="12"/>
  <c r="AN71" i="14"/>
  <c r="L92" i="12"/>
  <c r="X56" i="12"/>
  <c r="T56" i="11"/>
  <c r="U56" i="11"/>
  <c r="U93" i="11"/>
  <c r="T93" i="11"/>
  <c r="AT91" i="12"/>
  <c r="AM33" i="13"/>
  <c r="AI56" i="11"/>
  <c r="AM39" i="11"/>
  <c r="AI41" i="11"/>
  <c r="AI17" i="15"/>
  <c r="AK70" i="13"/>
  <c r="AC19" i="15"/>
  <c r="AC63" i="11"/>
  <c r="AU56" i="11"/>
  <c r="AX66" i="11"/>
  <c r="AV17" i="11"/>
  <c r="AQ26" i="11"/>
  <c r="AW10" i="16"/>
  <c r="AX25" i="12"/>
  <c r="AW24" i="14"/>
  <c r="AQ18" i="11"/>
  <c r="AS56" i="12"/>
  <c r="AL40" i="11"/>
  <c r="AR48" i="12"/>
  <c r="AQ42" i="14"/>
  <c r="AN19" i="15"/>
  <c r="AL40" i="12"/>
  <c r="AJ81" i="12"/>
  <c r="AJ13" i="7"/>
  <c r="AU61" i="13"/>
  <c r="AX84" i="11"/>
  <c r="AH17" i="16"/>
  <c r="AC9" i="12"/>
  <c r="Z9" i="11"/>
  <c r="Y18" i="16"/>
  <c r="Y18" i="15"/>
  <c r="AC18" i="16"/>
  <c r="Z18" i="15"/>
  <c r="AD47" i="12"/>
  <c r="Z47" i="11"/>
  <c r="AA29" i="4"/>
  <c r="AE29" i="4"/>
  <c r="AA27" i="4"/>
  <c r="AA28" i="4"/>
  <c r="AE26" i="12"/>
  <c r="AE46" i="12"/>
  <c r="AA46" i="12"/>
  <c r="AK15" i="11"/>
  <c r="AN15" i="12"/>
  <c r="AN18" i="11"/>
  <c r="AM18" i="11"/>
  <c r="AM18" i="12"/>
  <c r="AQ43" i="13"/>
  <c r="AM43" i="14"/>
  <c r="AO11" i="14"/>
  <c r="AR10" i="15"/>
  <c r="AU10" i="16"/>
  <c r="AQ10" i="16"/>
  <c r="AR10" i="11"/>
  <c r="AR10" i="12"/>
  <c r="AV10" i="12"/>
  <c r="AV52" i="13"/>
  <c r="AR52" i="14"/>
  <c r="AY31" i="16"/>
  <c r="AV31" i="15"/>
  <c r="AU31" i="15"/>
  <c r="AZ26" i="12"/>
  <c r="AV26" i="12"/>
  <c r="AV10" i="14"/>
  <c r="AT42" i="14"/>
  <c r="AM25" i="12"/>
  <c r="AQ24" i="14"/>
  <c r="AK81" i="11"/>
  <c r="AI56" i="12"/>
  <c r="AJ25" i="11"/>
  <c r="AL24" i="11"/>
  <c r="AM41" i="12"/>
  <c r="AD19" i="15"/>
  <c r="AL66" i="11"/>
  <c r="AB46" i="12"/>
  <c r="AW40" i="14"/>
  <c r="AT104" i="4"/>
  <c r="AW92" i="11"/>
  <c r="AS56" i="11"/>
  <c r="AW19" i="12"/>
  <c r="AO66" i="12"/>
  <c r="AK11" i="7"/>
  <c r="AL18" i="14"/>
  <c r="AL17" i="16"/>
  <c r="AN49" i="12"/>
  <c r="S61" i="13"/>
  <c r="AK84" i="12"/>
  <c r="AG84" i="12"/>
  <c r="AB26" i="11"/>
  <c r="AB26" i="12"/>
  <c r="AB29" i="4"/>
  <c r="AB28" i="4"/>
  <c r="AB27" i="4"/>
  <c r="AC47" i="12"/>
  <c r="AD47" i="11"/>
  <c r="AG47" i="12"/>
  <c r="AK55" i="12"/>
  <c r="AM9" i="16"/>
  <c r="AM9" i="15"/>
  <c r="AN83" i="12"/>
  <c r="AR83" i="12"/>
  <c r="AN83" i="11"/>
  <c r="AP93" i="12"/>
  <c r="AT93" i="12"/>
  <c r="AT11" i="16"/>
  <c r="AP11" i="15"/>
  <c r="AQ11" i="15"/>
  <c r="AR92" i="11"/>
  <c r="AQ92" i="12"/>
  <c r="AV18" i="16"/>
  <c r="AR18" i="15"/>
  <c r="AV48" i="12"/>
  <c r="AR52" i="4"/>
  <c r="AS48" i="11"/>
  <c r="AT56" i="11"/>
  <c r="B28" i="17"/>
  <c r="C28" i="17" s="1"/>
  <c r="AQ27" i="5"/>
  <c r="AJ104" i="4"/>
  <c r="AU24" i="13"/>
  <c r="AU58" i="11"/>
  <c r="AQ35" i="4"/>
  <c r="AK33" i="11"/>
  <c r="AJ56" i="11"/>
  <c r="AI25" i="12"/>
  <c r="AM24" i="11"/>
  <c r="AK70" i="14"/>
  <c r="AG19" i="16"/>
  <c r="AF46" i="12"/>
  <c r="AV40" i="13"/>
  <c r="AT33" i="11"/>
  <c r="AQ64" i="11"/>
  <c r="AX92" i="11"/>
  <c r="AN71" i="11"/>
  <c r="AM71" i="11"/>
  <c r="AH12" i="4"/>
  <c r="AQ9" i="16"/>
  <c r="AN19" i="16"/>
  <c r="AR11" i="13"/>
  <c r="AT58" i="11"/>
  <c r="U19" i="12"/>
  <c r="Q19" i="11"/>
  <c r="Q39" i="11"/>
  <c r="U39" i="12"/>
  <c r="Q39" i="12"/>
  <c r="Q55" i="12"/>
  <c r="Q55" i="11"/>
  <c r="Q74" i="4"/>
  <c r="U71" i="12"/>
  <c r="Q71" i="11"/>
  <c r="Q71" i="12"/>
  <c r="Q92" i="12"/>
  <c r="R92" i="11"/>
  <c r="Q18" i="14"/>
  <c r="Q18" i="13"/>
  <c r="U18" i="13"/>
  <c r="U31" i="16"/>
  <c r="R31" i="15"/>
  <c r="R19" i="11"/>
  <c r="V39" i="12"/>
  <c r="R39" i="11"/>
  <c r="R55" i="11"/>
  <c r="R74" i="4"/>
  <c r="V71" i="12"/>
  <c r="R71" i="11"/>
  <c r="R18" i="14"/>
  <c r="R18" i="13"/>
  <c r="S18" i="14"/>
  <c r="W10" i="12"/>
  <c r="S26" i="12"/>
  <c r="W26" i="12"/>
  <c r="S46" i="11"/>
  <c r="W46" i="12"/>
  <c r="W58" i="12"/>
  <c r="S82" i="12"/>
  <c r="S82" i="11"/>
  <c r="AA34" i="12"/>
  <c r="W34" i="11"/>
  <c r="AB25" i="13"/>
  <c r="Y25" i="14"/>
  <c r="X40" i="13"/>
  <c r="T40" i="13"/>
  <c r="T40" i="14"/>
  <c r="AI11" i="7"/>
  <c r="AJ11" i="15" s="1"/>
  <c r="AI10" i="16"/>
  <c r="AO10" i="16"/>
  <c r="AK10" i="15"/>
  <c r="AL24" i="13"/>
  <c r="AM25" i="13"/>
  <c r="AQ25" i="13"/>
  <c r="AN24" i="11"/>
  <c r="AO24" i="11"/>
  <c r="AN24" i="12"/>
  <c r="AN27" i="4"/>
  <c r="AN34" i="13"/>
  <c r="AN34" i="14"/>
  <c r="AT16" i="13"/>
  <c r="AP16" i="13"/>
  <c r="AX71" i="12"/>
  <c r="AX71" i="11"/>
  <c r="AH19" i="15"/>
  <c r="AC46" i="11"/>
  <c r="AV40" i="14"/>
  <c r="AP16" i="14"/>
  <c r="AX33" i="12"/>
  <c r="AV57" i="11"/>
  <c r="AV41" i="11"/>
  <c r="AP11" i="12"/>
  <c r="AN10" i="14"/>
  <c r="AJ33" i="11"/>
  <c r="AQ46" i="11"/>
  <c r="AX27" i="4"/>
  <c r="AX74" i="4"/>
  <c r="G70" i="14"/>
  <c r="P10" i="16"/>
  <c r="M10" i="15"/>
  <c r="J55" i="11"/>
  <c r="M84" i="12"/>
  <c r="N75" i="12"/>
  <c r="K75" i="11"/>
  <c r="K91" i="11"/>
  <c r="N91" i="12"/>
  <c r="N33" i="11"/>
  <c r="M33" i="12"/>
  <c r="M104" i="4"/>
  <c r="N47" i="11"/>
  <c r="M58" i="11"/>
  <c r="N58" i="11"/>
  <c r="J17" i="14"/>
  <c r="N43" i="13"/>
  <c r="K43" i="14"/>
  <c r="J43" i="14"/>
  <c r="J34" i="12"/>
  <c r="N34" i="12"/>
  <c r="O63" i="11"/>
  <c r="R49" i="12"/>
  <c r="N24" i="12"/>
  <c r="R24" i="12"/>
  <c r="N33" i="13"/>
  <c r="K65" i="12"/>
  <c r="O90" i="12"/>
  <c r="O12" i="5"/>
  <c r="P10" i="14"/>
  <c r="O9" i="5"/>
  <c r="S10" i="13"/>
  <c r="O10" i="14"/>
  <c r="O35" i="14"/>
  <c r="P35" i="14"/>
  <c r="T15" i="12"/>
  <c r="P15" i="11"/>
  <c r="Q32" i="11"/>
  <c r="P32" i="11"/>
  <c r="P64" i="12"/>
  <c r="Q64" i="11"/>
  <c r="T26" i="13"/>
  <c r="P26" i="14"/>
  <c r="Q26" i="14"/>
  <c r="V9" i="12"/>
  <c r="V9" i="11"/>
  <c r="W9" i="11"/>
  <c r="W56" i="11"/>
  <c r="V56" i="11"/>
  <c r="V56" i="12"/>
  <c r="Z56" i="12"/>
  <c r="W93" i="11"/>
  <c r="V93" i="11"/>
  <c r="V24" i="14"/>
  <c r="Z24" i="13"/>
  <c r="W24" i="14"/>
  <c r="AE10" i="14"/>
  <c r="AF10" i="14"/>
  <c r="AE9" i="5"/>
  <c r="AE10" i="13"/>
  <c r="AE34" i="13"/>
  <c r="AG57" i="11"/>
  <c r="AJ57" i="12"/>
  <c r="AJ63" i="12"/>
  <c r="AR55" i="12"/>
  <c r="AO55" i="11"/>
  <c r="AR58" i="13"/>
  <c r="AN67" i="5"/>
  <c r="AN58" i="14"/>
  <c r="AR18" i="11"/>
  <c r="AU18" i="12"/>
  <c r="AX26" i="13"/>
  <c r="AT26" i="14"/>
  <c r="AU26" i="14"/>
  <c r="AT26" i="13"/>
  <c r="AY25" i="13"/>
  <c r="AV25" i="14"/>
  <c r="AU31" i="16"/>
  <c r="AP19" i="5"/>
  <c r="AI25" i="11"/>
  <c r="AP24" i="12"/>
  <c r="AT26" i="12"/>
  <c r="AU9" i="16"/>
  <c r="AO58" i="14"/>
  <c r="AP64" i="11"/>
  <c r="AM43" i="13"/>
  <c r="AI81" i="12"/>
  <c r="AM93" i="11"/>
  <c r="AH41" i="11"/>
  <c r="AH25" i="12"/>
  <c r="AC19" i="11"/>
  <c r="AS35" i="4"/>
  <c r="AV45" i="5"/>
  <c r="AT17" i="11"/>
  <c r="AT52" i="4"/>
  <c r="AR26" i="11"/>
  <c r="AV90" i="11"/>
  <c r="AS85" i="11"/>
  <c r="AT11" i="12"/>
  <c r="AO18" i="13"/>
  <c r="AL55" i="11"/>
  <c r="AC52" i="4"/>
  <c r="AJ33" i="12"/>
  <c r="AU104" i="4"/>
  <c r="AV84" i="12"/>
  <c r="J43" i="13"/>
  <c r="Y58" i="13"/>
  <c r="U58" i="13"/>
  <c r="AH24" i="13"/>
  <c r="AD27" i="5"/>
  <c r="AE40" i="12"/>
  <c r="AE40" i="11"/>
  <c r="AC27" i="4"/>
  <c r="AC28" i="4"/>
  <c r="AI18" i="12"/>
  <c r="AJ18" i="11"/>
  <c r="AM93" i="12"/>
  <c r="AI93" i="11"/>
  <c r="AJ93" i="11"/>
  <c r="AN92" i="11"/>
  <c r="AM92" i="12"/>
  <c r="AN11" i="14"/>
  <c r="AQ93" i="11"/>
  <c r="AQ92" i="11"/>
  <c r="AV10" i="13"/>
  <c r="AQ11" i="11"/>
  <c r="AS52" i="14"/>
  <c r="AM10" i="16"/>
  <c r="AM81" i="12"/>
  <c r="AM40" i="11"/>
  <c r="AQ34" i="12"/>
  <c r="AV55" i="12"/>
  <c r="AT31" i="11"/>
  <c r="AW67" i="14"/>
  <c r="AR35" i="13"/>
  <c r="AJ35" i="4"/>
  <c r="AU17" i="12"/>
  <c r="AM39" i="12"/>
  <c r="AJ67" i="13"/>
  <c r="AN39" i="11"/>
  <c r="AW10" i="15"/>
  <c r="AM84" i="11"/>
  <c r="V27" i="5"/>
  <c r="AG58" i="11"/>
  <c r="AU25" i="13"/>
  <c r="AS31" i="11"/>
  <c r="AT19" i="15"/>
  <c r="N92" i="11"/>
  <c r="AT70" i="13"/>
  <c r="AQ64" i="12"/>
  <c r="AT39" i="12"/>
  <c r="F57" i="12"/>
  <c r="H55" i="12"/>
  <c r="M58" i="12"/>
  <c r="T39" i="12"/>
  <c r="S58" i="11"/>
  <c r="AF94" i="12"/>
  <c r="AB35" i="4"/>
  <c r="AB66" i="11"/>
  <c r="AE94" i="11"/>
  <c r="AL9" i="11"/>
  <c r="AL47" i="11"/>
  <c r="AL81" i="11"/>
  <c r="T56" i="12"/>
  <c r="T75" i="12"/>
  <c r="Y9" i="12"/>
  <c r="AC41" i="14"/>
  <c r="AD75" i="11"/>
  <c r="AJ18" i="14"/>
  <c r="N10" i="13"/>
  <c r="S15" i="11"/>
  <c r="R32" i="11"/>
  <c r="R84" i="11"/>
  <c r="T39" i="11"/>
  <c r="T71" i="14"/>
  <c r="Y17" i="14"/>
  <c r="Y35" i="4"/>
  <c r="AB25" i="14"/>
  <c r="AB19" i="15"/>
  <c r="AJ15" i="12"/>
  <c r="AK10" i="16"/>
  <c r="F70" i="13"/>
  <c r="T75" i="11"/>
  <c r="Y34" i="13"/>
  <c r="AF34" i="12"/>
  <c r="J67" i="14"/>
  <c r="N50" i="12"/>
  <c r="N52" i="14"/>
  <c r="S81" i="11"/>
  <c r="AE82" i="12"/>
  <c r="AG34" i="12"/>
  <c r="AG33" i="14"/>
  <c r="AI92" i="12"/>
  <c r="AU33" i="12"/>
  <c r="W27" i="4"/>
  <c r="W28" i="4"/>
  <c r="V26" i="12"/>
  <c r="V29" i="4"/>
  <c r="Z26" i="12"/>
  <c r="Z81" i="12"/>
  <c r="V81" i="11"/>
  <c r="V94" i="12"/>
  <c r="V102" i="4"/>
  <c r="Z43" i="13"/>
  <c r="W43" i="14"/>
  <c r="W61" i="14"/>
  <c r="Z61" i="13"/>
  <c r="W9" i="15"/>
  <c r="V11" i="7"/>
  <c r="AC11" i="11"/>
  <c r="AC11" i="12"/>
  <c r="AG11" i="12"/>
  <c r="AC104" i="4"/>
  <c r="AC35" i="4"/>
  <c r="AC31" i="12"/>
  <c r="AD31" i="11"/>
  <c r="AY9" i="16"/>
  <c r="AU9" i="15"/>
  <c r="BA19" i="12"/>
  <c r="AW19" i="11"/>
  <c r="BA39" i="12"/>
  <c r="AW39" i="11"/>
  <c r="BA55" i="12"/>
  <c r="AW55" i="11"/>
  <c r="X25" i="12"/>
  <c r="T25" i="11"/>
  <c r="AY63" i="12"/>
  <c r="AU63" i="11"/>
  <c r="AB49" i="12"/>
  <c r="AB58" i="12"/>
  <c r="AC58" i="11"/>
  <c r="AF58" i="12"/>
  <c r="AG55" i="11"/>
  <c r="AH55" i="11"/>
  <c r="AQ17" i="15"/>
  <c r="AR32" i="11"/>
  <c r="AS32" i="11"/>
  <c r="AV57" i="12"/>
  <c r="AT64" i="12"/>
  <c r="AT64" i="11"/>
  <c r="S33" i="14"/>
  <c r="R33" i="14"/>
  <c r="R33" i="13"/>
  <c r="W18" i="12"/>
  <c r="S18" i="12"/>
  <c r="T34" i="11"/>
  <c r="W50" i="12"/>
  <c r="S50" i="12"/>
  <c r="W90" i="12"/>
  <c r="S90" i="12"/>
  <c r="W16" i="13"/>
  <c r="S35" i="14"/>
  <c r="W35" i="13"/>
  <c r="S35" i="13"/>
  <c r="W52" i="13"/>
  <c r="S52" i="13"/>
  <c r="S70" i="13"/>
  <c r="S70" i="14"/>
  <c r="S11" i="7"/>
  <c r="S10" i="16"/>
  <c r="S10" i="15"/>
  <c r="Z16" i="13"/>
  <c r="AD16" i="13"/>
  <c r="AA27" i="5"/>
  <c r="AA24" i="14"/>
  <c r="AE24" i="13"/>
  <c r="AA31" i="15"/>
  <c r="AB31" i="15"/>
  <c r="AG31" i="12"/>
  <c r="AH31" i="11"/>
  <c r="AL25" i="16"/>
  <c r="AO26" i="11"/>
  <c r="AR26" i="12"/>
  <c r="R48" i="12"/>
  <c r="S64" i="11"/>
  <c r="R64" i="12"/>
  <c r="R10" i="14"/>
  <c r="R10" i="13"/>
  <c r="Y93" i="11"/>
  <c r="Z93" i="11"/>
  <c r="AC25" i="13"/>
  <c r="Y25" i="13"/>
  <c r="Y9" i="15"/>
  <c r="Z9" i="15"/>
  <c r="AC9" i="16"/>
  <c r="AD9" i="12"/>
  <c r="Z9" i="12"/>
  <c r="AD25" i="12"/>
  <c r="Z25" i="11"/>
  <c r="Z57" i="11"/>
  <c r="Z101" i="4"/>
  <c r="Z94" i="12"/>
  <c r="AA55" i="11"/>
  <c r="AB55" i="11"/>
  <c r="AE55" i="12"/>
  <c r="AJ92" i="12"/>
  <c r="AJ92" i="11"/>
  <c r="F83" i="12"/>
  <c r="U19" i="16"/>
  <c r="AF17" i="11"/>
  <c r="AF17" i="12"/>
  <c r="AI27" i="5"/>
  <c r="AI25" i="13"/>
  <c r="AN26" i="12"/>
  <c r="H93" i="11"/>
  <c r="K93" i="12"/>
  <c r="K31" i="16"/>
  <c r="G31" i="15"/>
  <c r="G43" i="13"/>
  <c r="K43" i="13"/>
  <c r="G43" i="14"/>
  <c r="H9" i="16"/>
  <c r="P33" i="12"/>
  <c r="M33" i="11"/>
  <c r="L33" i="12"/>
  <c r="L33" i="11"/>
  <c r="M47" i="11"/>
  <c r="L47" i="11"/>
  <c r="P58" i="12"/>
  <c r="L58" i="12"/>
  <c r="I50" i="11"/>
  <c r="J83" i="11"/>
  <c r="I31" i="16"/>
  <c r="J90" i="12"/>
  <c r="Q11" i="12"/>
  <c r="M32" i="12"/>
  <c r="Q32" i="12"/>
  <c r="M32" i="11"/>
  <c r="M46" i="11"/>
  <c r="M46" i="12"/>
  <c r="M57" i="11"/>
  <c r="Q57" i="12"/>
  <c r="M74" i="4"/>
  <c r="M71" i="12"/>
  <c r="M71" i="11"/>
  <c r="K16" i="14"/>
  <c r="N93" i="11"/>
  <c r="O81" i="11"/>
  <c r="R81" i="12"/>
  <c r="N39" i="11"/>
  <c r="N39" i="12"/>
  <c r="N25" i="11"/>
  <c r="O25" i="11"/>
  <c r="R25" i="12"/>
  <c r="O17" i="15"/>
  <c r="R17" i="16"/>
  <c r="L15" i="4"/>
  <c r="L50" i="11"/>
  <c r="K84" i="11"/>
  <c r="O11" i="12"/>
  <c r="S11" i="12"/>
  <c r="O34" i="11"/>
  <c r="O35" i="4"/>
  <c r="P34" i="11"/>
  <c r="O50" i="12"/>
  <c r="P50" i="11"/>
  <c r="O64" i="12"/>
  <c r="O64" i="11"/>
  <c r="S64" i="12"/>
  <c r="P64" i="11"/>
  <c r="O91" i="4"/>
  <c r="O84" i="12"/>
  <c r="O34" i="14"/>
  <c r="P67" i="14"/>
  <c r="O67" i="13"/>
  <c r="S67" i="13"/>
  <c r="T11" i="12"/>
  <c r="P11" i="11"/>
  <c r="P11" i="12"/>
  <c r="Q11" i="11"/>
  <c r="P104" i="4"/>
  <c r="P31" i="11"/>
  <c r="Q31" i="11"/>
  <c r="P31" i="12"/>
  <c r="Q47" i="11"/>
  <c r="P47" i="11"/>
  <c r="Q63" i="11"/>
  <c r="P63" i="11"/>
  <c r="P63" i="12"/>
  <c r="Q83" i="11"/>
  <c r="P83" i="11"/>
  <c r="T83" i="12"/>
  <c r="Q25" i="14"/>
  <c r="P25" i="13"/>
  <c r="P25" i="14"/>
  <c r="P41" i="14"/>
  <c r="U50" i="12"/>
  <c r="Q50" i="11"/>
  <c r="Q50" i="12"/>
  <c r="Q66" i="12"/>
  <c r="R66" i="11"/>
  <c r="U66" i="12"/>
  <c r="Q66" i="11"/>
  <c r="Q91" i="12"/>
  <c r="R91" i="11"/>
  <c r="Q91" i="11"/>
  <c r="Q40" i="14"/>
  <c r="Q40" i="13"/>
  <c r="Q58" i="13"/>
  <c r="R58" i="14"/>
  <c r="Q25" i="15"/>
  <c r="Q25" i="16"/>
  <c r="R25" i="15"/>
  <c r="AB43" i="13"/>
  <c r="Y43" i="14"/>
  <c r="X11" i="7"/>
  <c r="X11" i="15" s="1"/>
  <c r="X9" i="15"/>
  <c r="AI33" i="13"/>
  <c r="AF67" i="14"/>
  <c r="AI67" i="13"/>
  <c r="AE67" i="14"/>
  <c r="AF19" i="15"/>
  <c r="AI19" i="16"/>
  <c r="AH67" i="14"/>
  <c r="AI67" i="14"/>
  <c r="AI55" i="11"/>
  <c r="AM55" i="12"/>
  <c r="J39" i="12"/>
  <c r="F39" i="12"/>
  <c r="F39" i="11"/>
  <c r="V65" i="11"/>
  <c r="U65" i="12"/>
  <c r="V90" i="11"/>
  <c r="Y90" i="12"/>
  <c r="Y17" i="13"/>
  <c r="Y40" i="13"/>
  <c r="U40" i="14"/>
  <c r="U40" i="13"/>
  <c r="U45" i="5"/>
  <c r="Y71" i="13"/>
  <c r="W45" i="5"/>
  <c r="X41" i="14"/>
  <c r="AE34" i="11"/>
  <c r="AD34" i="12"/>
  <c r="AE17" i="15"/>
  <c r="AD17" i="15"/>
  <c r="AG19" i="15"/>
  <c r="AH57" i="11"/>
  <c r="AI57" i="11"/>
  <c r="AH81" i="12"/>
  <c r="AH91" i="4"/>
  <c r="P35" i="4"/>
  <c r="S19" i="15"/>
  <c r="Z82" i="12"/>
  <c r="AB10" i="16"/>
  <c r="Z94" i="11"/>
  <c r="AE56" i="12"/>
  <c r="AE81" i="12"/>
  <c r="AJ56" i="12"/>
  <c r="AQ17" i="16"/>
  <c r="AS58" i="12"/>
  <c r="AS91" i="11"/>
  <c r="AS49" i="11"/>
  <c r="M17" i="14"/>
  <c r="F57" i="11"/>
  <c r="W18" i="13"/>
  <c r="AH26" i="13"/>
  <c r="AF58" i="11"/>
  <c r="AB10" i="15"/>
  <c r="AD65" i="12"/>
  <c r="AA11" i="12"/>
  <c r="AC18" i="11"/>
  <c r="AM63" i="12"/>
  <c r="AT125" i="4"/>
  <c r="F46" i="11"/>
  <c r="F58" i="12"/>
  <c r="S41" i="11"/>
  <c r="T11" i="11"/>
  <c r="W50" i="11"/>
  <c r="Y47" i="11"/>
  <c r="AC25" i="16"/>
  <c r="AC91" i="11"/>
  <c r="AK65" i="11"/>
  <c r="AV41" i="12"/>
  <c r="T25" i="12"/>
  <c r="AE84" i="11"/>
  <c r="N17" i="15"/>
  <c r="T58" i="12"/>
  <c r="AB10" i="12"/>
  <c r="Z67" i="14"/>
  <c r="AK40" i="12"/>
  <c r="AM10" i="15"/>
  <c r="AU63" i="12"/>
  <c r="D121" i="4"/>
  <c r="C121" i="4"/>
  <c r="C126" i="4" s="1"/>
  <c r="E117" i="4"/>
  <c r="F104" i="4"/>
  <c r="V26" i="14"/>
  <c r="W19" i="11"/>
  <c r="X67" i="14"/>
  <c r="AF11" i="11"/>
  <c r="AF65" i="11"/>
  <c r="AF17" i="15"/>
  <c r="AQ33" i="13"/>
  <c r="BB32" i="12"/>
  <c r="BB25" i="12"/>
  <c r="BB57" i="12"/>
  <c r="BB33" i="13"/>
  <c r="BB11" i="16"/>
  <c r="BB71" i="12"/>
  <c r="BB84" i="12"/>
  <c r="AY24" i="14"/>
  <c r="BB24" i="13"/>
  <c r="N65" i="12"/>
  <c r="N58" i="13"/>
  <c r="N35" i="14"/>
  <c r="W61" i="13"/>
  <c r="AF33" i="11"/>
  <c r="AY9" i="11"/>
  <c r="BB9" i="12"/>
  <c r="BB58" i="12"/>
  <c r="BB35" i="13"/>
  <c r="BB17" i="16"/>
  <c r="BB33" i="12"/>
  <c r="BB75" i="12"/>
  <c r="BB90" i="12"/>
  <c r="AY43" i="14"/>
  <c r="BB43" i="13"/>
  <c r="H34" i="11"/>
  <c r="N81" i="11"/>
  <c r="N50" i="11"/>
  <c r="Z64" i="12"/>
  <c r="AS13" i="5"/>
  <c r="BB11" i="12"/>
  <c r="BB46" i="12"/>
  <c r="BB39" i="12"/>
  <c r="BB34" i="13"/>
  <c r="AY18" i="15"/>
  <c r="BB18" i="16"/>
  <c r="AY31" i="11"/>
  <c r="BB31" i="12"/>
  <c r="BB58" i="13"/>
  <c r="BB71" i="13"/>
  <c r="W13" i="7"/>
  <c r="H49" i="11"/>
  <c r="M67" i="13"/>
  <c r="W33" i="14"/>
  <c r="AJ70" i="13"/>
  <c r="AM34" i="12"/>
  <c r="AL91" i="11"/>
  <c r="BB10" i="12"/>
  <c r="BB47" i="12"/>
  <c r="BB40" i="12"/>
  <c r="BB19" i="16"/>
  <c r="AY92" i="11"/>
  <c r="BB92" i="12"/>
  <c r="AY40" i="14"/>
  <c r="BB40" i="13"/>
  <c r="W12" i="7"/>
  <c r="O58" i="13"/>
  <c r="AE9" i="11"/>
  <c r="AG32" i="12"/>
  <c r="AP10" i="16"/>
  <c r="AQ31" i="16"/>
  <c r="AR13" i="5"/>
  <c r="BB15" i="12"/>
  <c r="AX48" i="11"/>
  <c r="BB48" i="12"/>
  <c r="AX41" i="11"/>
  <c r="BB41" i="12"/>
  <c r="AY85" i="11"/>
  <c r="BB62" i="13"/>
  <c r="BB93" i="12"/>
  <c r="AY10" i="14"/>
  <c r="BB10" i="13"/>
  <c r="AR28" i="5"/>
  <c r="O18" i="16"/>
  <c r="AE63" i="11"/>
  <c r="AE70" i="13"/>
  <c r="AF25" i="13"/>
  <c r="AF43" i="13"/>
  <c r="AR16" i="14"/>
  <c r="AX17" i="12"/>
  <c r="BB17" i="12"/>
  <c r="BB49" i="12"/>
  <c r="BB16" i="13"/>
  <c r="AY25" i="15"/>
  <c r="BB25" i="16"/>
  <c r="AY64" i="11"/>
  <c r="BB64" i="12"/>
  <c r="BB81" i="12"/>
  <c r="BB94" i="12"/>
  <c r="BB9" i="13"/>
  <c r="BB61" i="13"/>
  <c r="O49" i="14"/>
  <c r="X63" i="11"/>
  <c r="Z33" i="14"/>
  <c r="AH33" i="12"/>
  <c r="AH65" i="12"/>
  <c r="AH84" i="11"/>
  <c r="AP65" i="12"/>
  <c r="AP82" i="12"/>
  <c r="BB18" i="12"/>
  <c r="AY50" i="11"/>
  <c r="BB50" i="12"/>
  <c r="AY55" i="11"/>
  <c r="BB55" i="12"/>
  <c r="AY17" i="14"/>
  <c r="BB17" i="13"/>
  <c r="AY9" i="15"/>
  <c r="BB9" i="16"/>
  <c r="BB65" i="12"/>
  <c r="BB82" i="12"/>
  <c r="BB26" i="13"/>
  <c r="BB49" i="13"/>
  <c r="BB67" i="13"/>
  <c r="K81" i="11"/>
  <c r="V81" i="12"/>
  <c r="V101" i="4"/>
  <c r="X48" i="11"/>
  <c r="AH50" i="11"/>
  <c r="AN32" i="11"/>
  <c r="AO39" i="11"/>
  <c r="AW25" i="15"/>
  <c r="BB19" i="12"/>
  <c r="AY24" i="11"/>
  <c r="BB24" i="12"/>
  <c r="BB56" i="12"/>
  <c r="AY18" i="14"/>
  <c r="BB18" i="13"/>
  <c r="BB10" i="16"/>
  <c r="BB31" i="16"/>
  <c r="BB66" i="12"/>
  <c r="AY83" i="11"/>
  <c r="BB83" i="12"/>
  <c r="AY25" i="14"/>
  <c r="BB25" i="13"/>
  <c r="S24" i="15"/>
  <c r="S16" i="15"/>
  <c r="U48" i="14"/>
  <c r="U66" i="14"/>
  <c r="U23" i="14"/>
  <c r="U15" i="14"/>
  <c r="U57" i="14"/>
  <c r="U39" i="14"/>
  <c r="X24" i="16"/>
  <c r="X30" i="16"/>
  <c r="X16" i="16"/>
  <c r="U24" i="16"/>
  <c r="U30" i="16"/>
  <c r="R23" i="13"/>
  <c r="R15" i="13"/>
  <c r="U32" i="14"/>
  <c r="R16" i="7"/>
  <c r="S30" i="15"/>
  <c r="Z57" i="14"/>
  <c r="Z66" i="14"/>
  <c r="Z39" i="14"/>
  <c r="Z32" i="14"/>
  <c r="Z48" i="14"/>
  <c r="Z15" i="14"/>
  <c r="R31" i="7"/>
  <c r="Y57" i="13"/>
  <c r="Y23" i="13"/>
  <c r="Y15" i="13"/>
  <c r="Y48" i="13"/>
  <c r="Y32" i="13"/>
  <c r="Y66" i="13"/>
  <c r="R15" i="5"/>
  <c r="R62" i="5"/>
  <c r="U23" i="13"/>
  <c r="U32" i="13"/>
  <c r="U57" i="13"/>
  <c r="U39" i="13"/>
  <c r="U48" i="13"/>
  <c r="Y39" i="13"/>
  <c r="Y24" i="7"/>
  <c r="Y16" i="7"/>
  <c r="U24" i="7"/>
  <c r="X23" i="5"/>
  <c r="X66" i="13"/>
  <c r="Z39" i="13"/>
  <c r="Z23" i="13"/>
  <c r="AA66" i="13"/>
  <c r="AD57" i="13"/>
  <c r="AD40" i="5"/>
  <c r="AD32" i="14"/>
  <c r="AD66" i="14"/>
  <c r="AE16" i="7"/>
  <c r="AE24" i="16"/>
  <c r="AF23" i="14"/>
  <c r="AH62" i="5"/>
  <c r="AI57" i="14"/>
  <c r="AK32" i="5"/>
  <c r="AL23" i="13"/>
  <c r="AN48" i="13"/>
  <c r="AO32" i="13"/>
  <c r="AO32" i="5"/>
  <c r="AO40" i="5"/>
  <c r="AP23" i="5"/>
  <c r="AQ62" i="5"/>
  <c r="AR66" i="14"/>
  <c r="AS23" i="14"/>
  <c r="AT23" i="5"/>
  <c r="AV23" i="14"/>
  <c r="W23" i="14"/>
  <c r="W31" i="7"/>
  <c r="X32" i="5"/>
  <c r="X15" i="14"/>
  <c r="X48" i="13"/>
  <c r="Y39" i="14"/>
  <c r="Y32" i="14"/>
  <c r="Z32" i="13"/>
  <c r="Z66" i="13"/>
  <c r="AA40" i="5"/>
  <c r="AA62" i="5"/>
  <c r="AA57" i="14"/>
  <c r="AA66" i="14"/>
  <c r="AA15" i="13"/>
  <c r="AB16" i="15"/>
  <c r="AC30" i="16"/>
  <c r="AD23" i="13"/>
  <c r="AD23" i="14"/>
  <c r="AD48" i="14"/>
  <c r="AD24" i="16"/>
  <c r="AE32" i="5"/>
  <c r="AE16" i="16"/>
  <c r="AE31" i="7"/>
  <c r="AF32" i="13"/>
  <c r="AF15" i="14"/>
  <c r="AF39" i="14"/>
  <c r="AG66" i="14"/>
  <c r="AH40" i="5"/>
  <c r="AG16" i="7"/>
  <c r="AH15" i="5"/>
  <c r="AI48" i="14"/>
  <c r="AJ66" i="14"/>
  <c r="AK62" i="5"/>
  <c r="AL31" i="7"/>
  <c r="AL15" i="13"/>
  <c r="AM15" i="5"/>
  <c r="AN23" i="13"/>
  <c r="AO66" i="13"/>
  <c r="AP24" i="15"/>
  <c r="AP30" i="15"/>
  <c r="AQ71" i="5"/>
  <c r="AQ79" i="5"/>
  <c r="AO16" i="7"/>
  <c r="AR15" i="14"/>
  <c r="AS66" i="14"/>
  <c r="AS24" i="15"/>
  <c r="AT40" i="5"/>
  <c r="AT15" i="5"/>
  <c r="AU30" i="16"/>
  <c r="AU16" i="7"/>
  <c r="AU15" i="13"/>
  <c r="AV66" i="14"/>
  <c r="AV39" i="14"/>
  <c r="AX23" i="13"/>
  <c r="AW32" i="14"/>
  <c r="AX30" i="16"/>
  <c r="W48" i="14"/>
  <c r="X23" i="13"/>
  <c r="X39" i="13"/>
  <c r="Y71" i="5"/>
  <c r="Y62" i="5"/>
  <c r="Y16" i="16"/>
  <c r="Z24" i="7"/>
  <c r="AA30" i="16"/>
  <c r="AD16" i="16"/>
  <c r="AE51" i="5"/>
  <c r="AE23" i="14"/>
  <c r="AF23" i="13"/>
  <c r="AF24" i="15"/>
  <c r="AH16" i="16"/>
  <c r="AI32" i="14"/>
  <c r="AK15" i="14"/>
  <c r="AK66" i="14"/>
  <c r="AL24" i="16"/>
  <c r="AL32" i="13"/>
  <c r="AL32" i="14"/>
  <c r="AM40" i="5"/>
  <c r="AM23" i="14"/>
  <c r="AN30" i="16"/>
  <c r="AN23" i="14"/>
  <c r="AO23" i="13"/>
  <c r="AS57" i="14"/>
  <c r="AX24" i="7"/>
  <c r="AW24" i="16"/>
  <c r="T24" i="7"/>
  <c r="U40" i="5"/>
  <c r="W40" i="5"/>
  <c r="W57" i="14"/>
  <c r="X40" i="5"/>
  <c r="X16" i="7"/>
  <c r="Y66" i="14"/>
  <c r="Y48" i="14"/>
  <c r="Y23" i="5"/>
  <c r="Y32" i="5"/>
  <c r="AA51" i="5"/>
  <c r="AA23" i="13"/>
  <c r="AA32" i="14"/>
  <c r="AA48" i="14"/>
  <c r="AB24" i="15"/>
  <c r="AD24" i="7"/>
  <c r="AE23" i="5"/>
  <c r="AF15" i="13"/>
  <c r="AL48" i="13"/>
  <c r="AO57" i="13"/>
  <c r="AP51" i="5"/>
  <c r="AS62" i="5"/>
  <c r="AS16" i="15"/>
  <c r="AT62" i="5"/>
  <c r="AV15" i="14"/>
  <c r="X71" i="5"/>
  <c r="Y24" i="16"/>
  <c r="Z48" i="13"/>
  <c r="AD39" i="13"/>
  <c r="AE66" i="14"/>
  <c r="AF39" i="13"/>
  <c r="AF66" i="14"/>
  <c r="AH71" i="5"/>
  <c r="AH79" i="5"/>
  <c r="AI15" i="14"/>
  <c r="AK71" i="5"/>
  <c r="AK79" i="5"/>
  <c r="AL16" i="7"/>
  <c r="AM16" i="16"/>
  <c r="AO24" i="7"/>
  <c r="AR16" i="15"/>
  <c r="AV57" i="14"/>
  <c r="U71" i="5"/>
  <c r="W15" i="14"/>
  <c r="X51" i="5"/>
  <c r="AA32" i="13"/>
  <c r="AD32" i="13"/>
  <c r="AF57" i="13"/>
  <c r="AF57" i="14"/>
  <c r="AG24" i="7"/>
  <c r="AK51" i="5"/>
  <c r="AL16" i="16"/>
  <c r="AL57" i="13"/>
  <c r="AN57" i="13"/>
  <c r="AO48" i="13"/>
  <c r="AS32" i="14"/>
  <c r="AU32" i="13"/>
  <c r="AV32" i="14"/>
  <c r="AF32" i="14"/>
  <c r="AF31" i="11"/>
  <c r="AJ84" i="12"/>
  <c r="AF84" i="11"/>
  <c r="AV13" i="5"/>
  <c r="F93" i="11"/>
  <c r="K83" i="12"/>
  <c r="AO10" i="14"/>
  <c r="AY52" i="14"/>
  <c r="AX52" i="14"/>
  <c r="C82" i="11"/>
  <c r="C52" i="14"/>
  <c r="D47" i="11"/>
  <c r="H64" i="12"/>
  <c r="E64" i="11"/>
  <c r="D82" i="11"/>
  <c r="E41" i="11"/>
  <c r="I55" i="12"/>
  <c r="E55" i="11"/>
  <c r="F49" i="14"/>
  <c r="E49" i="14"/>
  <c r="F25" i="15"/>
  <c r="E25" i="15"/>
  <c r="AA64" i="12"/>
  <c r="AA64" i="11"/>
  <c r="AI52" i="13"/>
  <c r="AU35" i="14"/>
  <c r="AY35" i="13"/>
  <c r="AW43" i="14"/>
  <c r="BA43" i="13"/>
  <c r="C19" i="15"/>
  <c r="H10" i="12"/>
  <c r="D10" i="11"/>
  <c r="D48" i="11"/>
  <c r="H31" i="12"/>
  <c r="D31" i="11"/>
  <c r="E24" i="14"/>
  <c r="V27" i="4"/>
  <c r="V28" i="4"/>
  <c r="AW17" i="16"/>
  <c r="BA17" i="16"/>
  <c r="L49" i="12"/>
  <c r="K24" i="11"/>
  <c r="L24" i="11"/>
  <c r="L93" i="11"/>
  <c r="O46" i="12"/>
  <c r="K10" i="16"/>
  <c r="L10" i="15"/>
  <c r="K10" i="15"/>
  <c r="O10" i="16"/>
  <c r="X84" i="12"/>
  <c r="Z29" i="4"/>
  <c r="AA25" i="13"/>
  <c r="W25" i="13"/>
  <c r="X64" i="12"/>
  <c r="AB64" i="11"/>
  <c r="AB17" i="15"/>
  <c r="AU85" i="12"/>
  <c r="AQ85" i="12"/>
  <c r="AW11" i="11"/>
  <c r="BA11" i="12"/>
  <c r="AW26" i="11"/>
  <c r="BA26" i="12"/>
  <c r="BA46" i="12"/>
  <c r="AW58" i="12"/>
  <c r="BA58" i="12"/>
  <c r="AW9" i="13"/>
  <c r="BA9" i="13"/>
  <c r="AW33" i="14"/>
  <c r="BA33" i="13"/>
  <c r="AW70" i="13"/>
  <c r="BA70" i="13"/>
  <c r="F9" i="16"/>
  <c r="G65" i="11"/>
  <c r="G65" i="12"/>
  <c r="G40" i="14"/>
  <c r="H58" i="12"/>
  <c r="H10" i="13"/>
  <c r="H90" i="12"/>
  <c r="H90" i="11"/>
  <c r="N48" i="11"/>
  <c r="M48" i="12"/>
  <c r="M40" i="13"/>
  <c r="K18" i="15"/>
  <c r="J18" i="15"/>
  <c r="N18" i="16"/>
  <c r="B20" i="17"/>
  <c r="N16" i="14"/>
  <c r="O33" i="12"/>
  <c r="O94" i="12"/>
  <c r="K34" i="14"/>
  <c r="K67" i="14"/>
  <c r="K67" i="13"/>
  <c r="X18" i="12"/>
  <c r="T18" i="12"/>
  <c r="AE17" i="16"/>
  <c r="AA17" i="16"/>
  <c r="AM91" i="12"/>
  <c r="AN91" i="11"/>
  <c r="AT35" i="13"/>
  <c r="AP35" i="13"/>
  <c r="G26" i="14"/>
  <c r="F26" i="13"/>
  <c r="F26" i="14"/>
  <c r="H75" i="11"/>
  <c r="H75" i="12"/>
  <c r="H17" i="16"/>
  <c r="H17" i="15"/>
  <c r="L33" i="14"/>
  <c r="I49" i="11"/>
  <c r="I49" i="12"/>
  <c r="J82" i="11"/>
  <c r="I82" i="12"/>
  <c r="I25" i="14"/>
  <c r="I17" i="15"/>
  <c r="J26" i="14"/>
  <c r="J49" i="13"/>
  <c r="N49" i="13"/>
  <c r="N25" i="14"/>
  <c r="M25" i="13"/>
  <c r="K32" i="11"/>
  <c r="N48" i="12"/>
  <c r="J48" i="11"/>
  <c r="J31" i="11"/>
  <c r="N52" i="13"/>
  <c r="O52" i="14"/>
  <c r="N34" i="14"/>
  <c r="N34" i="13"/>
  <c r="AV116" i="4"/>
  <c r="C48" i="11"/>
  <c r="I25" i="12"/>
  <c r="Y19" i="12"/>
  <c r="Y39" i="12"/>
  <c r="Y55" i="12"/>
  <c r="V40" i="12"/>
  <c r="X24" i="14"/>
  <c r="AE47" i="12"/>
  <c r="AD24" i="13"/>
  <c r="AD43" i="13"/>
  <c r="AA49" i="13"/>
  <c r="AE71" i="12"/>
  <c r="AG10" i="15"/>
  <c r="AM58" i="12"/>
  <c r="AP26" i="11"/>
  <c r="AP13" i="5"/>
  <c r="AQ71" i="11"/>
  <c r="AQ9" i="13"/>
  <c r="AS81" i="12"/>
  <c r="AV41" i="14"/>
  <c r="AX57" i="11"/>
  <c r="BA57" i="12"/>
  <c r="AW75" i="11"/>
  <c r="BA75" i="12"/>
  <c r="AW94" i="11"/>
  <c r="BA94" i="12"/>
  <c r="AX26" i="14"/>
  <c r="BA26" i="13"/>
  <c r="AX11" i="15"/>
  <c r="BA11" i="16"/>
  <c r="AX10" i="12"/>
  <c r="AX47" i="12"/>
  <c r="AU33" i="14"/>
  <c r="AY33" i="13"/>
  <c r="Z25" i="13"/>
  <c r="J115" i="4"/>
  <c r="AE35" i="13"/>
  <c r="AF31" i="12"/>
  <c r="AF48" i="12"/>
  <c r="AJ17" i="13"/>
  <c r="AP31" i="12"/>
  <c r="AQ116" i="4"/>
  <c r="AQ13" i="5"/>
  <c r="AS27" i="4"/>
  <c r="AV70" i="14"/>
  <c r="AY70" i="13"/>
  <c r="AT13" i="5"/>
  <c r="AW10" i="12"/>
  <c r="BA10" i="12"/>
  <c r="BA31" i="12"/>
  <c r="AW47" i="12"/>
  <c r="BA47" i="12"/>
  <c r="BA63" i="12"/>
  <c r="AW34" i="14"/>
  <c r="BA34" i="13"/>
  <c r="AW58" i="14"/>
  <c r="BA58" i="13"/>
  <c r="AW18" i="15"/>
  <c r="BA18" i="16"/>
  <c r="AW82" i="11"/>
  <c r="BA82" i="12"/>
  <c r="AY34" i="13"/>
  <c r="C49" i="11"/>
  <c r="C10" i="15"/>
  <c r="I67" i="14"/>
  <c r="V82" i="11"/>
  <c r="Z32" i="12"/>
  <c r="Z47" i="12"/>
  <c r="Z63" i="12"/>
  <c r="AA18" i="16"/>
  <c r="AE17" i="13"/>
  <c r="AE40" i="13"/>
  <c r="AE52" i="13"/>
  <c r="AF91" i="11"/>
  <c r="AH55" i="12"/>
  <c r="AJ25" i="15"/>
  <c r="AP33" i="11"/>
  <c r="AO24" i="13"/>
  <c r="AV25" i="16"/>
  <c r="AV58" i="14"/>
  <c r="AY58" i="13"/>
  <c r="AW91" i="11"/>
  <c r="AZ91" i="12"/>
  <c r="AW32" i="11"/>
  <c r="BA32" i="12"/>
  <c r="AX81" i="11"/>
  <c r="BA81" i="12"/>
  <c r="N94" i="12"/>
  <c r="W24" i="12"/>
  <c r="S40" i="11"/>
  <c r="S66" i="11"/>
  <c r="S90" i="11"/>
  <c r="AA47" i="12"/>
  <c r="X17" i="15"/>
  <c r="AC34" i="13"/>
  <c r="Z49" i="12"/>
  <c r="AB91" i="11"/>
  <c r="AA39" i="12"/>
  <c r="AC71" i="14"/>
  <c r="AD40" i="12"/>
  <c r="AF49" i="11"/>
  <c r="AF18" i="12"/>
  <c r="AB93" i="12"/>
  <c r="AO19" i="12"/>
  <c r="AN61" i="14"/>
  <c r="AN9" i="16"/>
  <c r="AV24" i="13"/>
  <c r="AW18" i="16"/>
  <c r="AV25" i="15"/>
  <c r="AY25" i="16"/>
  <c r="AV46" i="12"/>
  <c r="AW17" i="11"/>
  <c r="AZ17" i="12"/>
  <c r="E34" i="11"/>
  <c r="E91" i="11"/>
  <c r="E16" i="14"/>
  <c r="G116" i="4"/>
  <c r="G71" i="14"/>
  <c r="V46" i="12"/>
  <c r="V18" i="13"/>
  <c r="X10" i="12"/>
  <c r="Y31" i="16"/>
  <c r="X32" i="11"/>
  <c r="W48" i="11"/>
  <c r="X64" i="11"/>
  <c r="AA35" i="13"/>
  <c r="X75" i="11"/>
  <c r="X93" i="11"/>
  <c r="AC33" i="12"/>
  <c r="Y10" i="14"/>
  <c r="AA17" i="15"/>
  <c r="AQ70" i="13"/>
  <c r="AO26" i="13"/>
  <c r="AS70" i="13"/>
  <c r="AP85" i="11"/>
  <c r="AW41" i="14"/>
  <c r="AW61" i="14"/>
  <c r="BA61" i="13"/>
  <c r="C104" i="4"/>
  <c r="C13" i="17"/>
  <c r="H116" i="4"/>
  <c r="K75" i="12"/>
  <c r="H91" i="11"/>
  <c r="I10" i="12"/>
  <c r="I57" i="12"/>
  <c r="N9" i="16"/>
  <c r="K17" i="12"/>
  <c r="O90" i="11"/>
  <c r="O67" i="14"/>
  <c r="R34" i="14"/>
  <c r="U18" i="16"/>
  <c r="V31" i="12"/>
  <c r="S24" i="14"/>
  <c r="T94" i="11"/>
  <c r="T16" i="14"/>
  <c r="U46" i="11"/>
  <c r="V63" i="11"/>
  <c r="Y33" i="12"/>
  <c r="Y49" i="12"/>
  <c r="Y65" i="12"/>
  <c r="W39" i="11"/>
  <c r="V19" i="16"/>
  <c r="AB52" i="13"/>
  <c r="AE11" i="11"/>
  <c r="AE31" i="11"/>
  <c r="AE16" i="14"/>
  <c r="AG18" i="14"/>
  <c r="B26" i="17"/>
  <c r="C27" i="17" s="1"/>
  <c r="AI57" i="12"/>
  <c r="AQ11" i="12"/>
  <c r="AP65" i="11"/>
  <c r="AO91" i="12"/>
  <c r="AQ40" i="11"/>
  <c r="AQ82" i="11"/>
  <c r="AS58" i="14"/>
  <c r="B29" i="17"/>
  <c r="AV61" i="14"/>
  <c r="AY61" i="13"/>
  <c r="AT46" i="11"/>
  <c r="AV74" i="4"/>
  <c r="AZ71" i="12"/>
  <c r="AX10" i="15"/>
  <c r="AV52" i="14"/>
  <c r="AY52" i="13"/>
  <c r="L81" i="11"/>
  <c r="T19" i="12"/>
  <c r="T50" i="12"/>
  <c r="T64" i="12"/>
  <c r="W93" i="12"/>
  <c r="X29" i="4"/>
  <c r="V39" i="11"/>
  <c r="AA18" i="12"/>
  <c r="Z64" i="11"/>
  <c r="AB41" i="12"/>
  <c r="AF70" i="13"/>
  <c r="AF35" i="13"/>
  <c r="AB11" i="7"/>
  <c r="AB13" i="7" s="1"/>
  <c r="AG33" i="12"/>
  <c r="AF9" i="12"/>
  <c r="AF25" i="11"/>
  <c r="AG35" i="14"/>
  <c r="AN58" i="12"/>
  <c r="AO40" i="12"/>
  <c r="AK57" i="12"/>
  <c r="AK58" i="14"/>
  <c r="AL67" i="13"/>
  <c r="AQ90" i="12"/>
  <c r="AO48" i="12"/>
  <c r="AU9" i="12"/>
  <c r="AP125" i="4"/>
  <c r="AT47" i="11"/>
  <c r="AV58" i="11"/>
  <c r="AZ58" i="12"/>
  <c r="AW74" i="4"/>
  <c r="BA71" i="12"/>
  <c r="AX49" i="14"/>
  <c r="BA49" i="13"/>
  <c r="AY71" i="14"/>
  <c r="AX71" i="14"/>
  <c r="AY42" i="14"/>
  <c r="AY41" i="14"/>
  <c r="AX48" i="12"/>
  <c r="AX41" i="14"/>
  <c r="AY61" i="14"/>
  <c r="AY34" i="14"/>
  <c r="AY17" i="15"/>
  <c r="AX34" i="13"/>
  <c r="AY70" i="14"/>
  <c r="AX24" i="13"/>
  <c r="AY19" i="15"/>
  <c r="AX31" i="12"/>
  <c r="AX34" i="14"/>
  <c r="AX33" i="13"/>
  <c r="AY33" i="14"/>
  <c r="AY10" i="15"/>
  <c r="AY31" i="15"/>
  <c r="AY26" i="14"/>
  <c r="AY49" i="14"/>
  <c r="AY67" i="14"/>
  <c r="AX17" i="16"/>
  <c r="AX15" i="11"/>
  <c r="AY58" i="14"/>
  <c r="AX42" i="14"/>
  <c r="AY11" i="11"/>
  <c r="B30" i="17"/>
  <c r="AY35" i="14"/>
  <c r="AY11" i="15"/>
  <c r="AW26" i="12"/>
  <c r="AW67" i="5"/>
  <c r="BA62" i="13" s="1"/>
  <c r="AW58" i="11"/>
  <c r="AW26" i="14"/>
  <c r="AW31" i="11"/>
  <c r="AW11" i="12"/>
  <c r="AX32" i="11"/>
  <c r="AW11" i="15"/>
  <c r="AX31" i="11"/>
  <c r="AX82" i="11"/>
  <c r="AX58" i="14"/>
  <c r="AX11" i="11"/>
  <c r="AW15" i="11"/>
  <c r="AX10" i="14"/>
  <c r="AW10" i="11"/>
  <c r="AX17" i="15"/>
  <c r="AW46" i="11"/>
  <c r="AW57" i="11"/>
  <c r="AW52" i="4"/>
  <c r="AW57" i="12"/>
  <c r="AW34" i="13"/>
  <c r="AW17" i="15"/>
  <c r="AW26" i="13"/>
  <c r="AW70" i="14"/>
  <c r="AW94" i="12"/>
  <c r="B12" i="5"/>
  <c r="B9" i="5"/>
  <c r="G104" i="4"/>
  <c r="N49" i="14"/>
  <c r="M49" i="13"/>
  <c r="D32" i="11"/>
  <c r="C32" i="11"/>
  <c r="D41" i="11"/>
  <c r="C65" i="11"/>
  <c r="D15" i="4"/>
  <c r="D15" i="11" s="1"/>
  <c r="K82" i="12"/>
  <c r="G9" i="16"/>
  <c r="H9" i="15"/>
  <c r="G11" i="7"/>
  <c r="G12" i="7" s="1"/>
  <c r="K9" i="16"/>
  <c r="M18" i="16"/>
  <c r="M18" i="15"/>
  <c r="C10" i="14"/>
  <c r="I24" i="13"/>
  <c r="I19" i="16"/>
  <c r="J91" i="4"/>
  <c r="J92" i="4" s="1"/>
  <c r="N82" i="12"/>
  <c r="N27" i="4"/>
  <c r="N83" i="11"/>
  <c r="M91" i="4"/>
  <c r="M83" i="11"/>
  <c r="J67" i="5"/>
  <c r="M9" i="5"/>
  <c r="Q9" i="5"/>
  <c r="AE9" i="12"/>
  <c r="AA9" i="11"/>
  <c r="AA24" i="11"/>
  <c r="AA24" i="12"/>
  <c r="P91" i="12"/>
  <c r="H66" i="11"/>
  <c r="E9" i="15"/>
  <c r="E11" i="7"/>
  <c r="E13" i="7" s="1"/>
  <c r="F9" i="15"/>
  <c r="E17" i="4"/>
  <c r="D17" i="11"/>
  <c r="AD19" i="12"/>
  <c r="Z19" i="12"/>
  <c r="K9" i="12"/>
  <c r="G9" i="11"/>
  <c r="AM85" i="12"/>
  <c r="G66" i="11"/>
  <c r="B104" i="4"/>
  <c r="M41" i="12"/>
  <c r="I41" i="12"/>
  <c r="J65" i="11"/>
  <c r="I65" i="12"/>
  <c r="I65" i="11"/>
  <c r="J91" i="11"/>
  <c r="I91" i="11"/>
  <c r="L39" i="11"/>
  <c r="K39" i="11"/>
  <c r="L55" i="11"/>
  <c r="K55" i="11"/>
  <c r="K65" i="11"/>
  <c r="K90" i="11"/>
  <c r="K90" i="12"/>
  <c r="L90" i="11"/>
  <c r="S39" i="12"/>
  <c r="O39" i="12"/>
  <c r="O65" i="12"/>
  <c r="O34" i="13"/>
  <c r="S34" i="13"/>
  <c r="L25" i="14"/>
  <c r="K25" i="13"/>
  <c r="K25" i="14"/>
  <c r="O25" i="13"/>
  <c r="U32" i="12"/>
  <c r="Q35" i="4"/>
  <c r="U10" i="13"/>
  <c r="X17" i="16"/>
  <c r="T17" i="16"/>
  <c r="Y17" i="12"/>
  <c r="V70" i="13"/>
  <c r="V70" i="14"/>
  <c r="C81" i="11"/>
  <c r="J81" i="12"/>
  <c r="G56" i="12"/>
  <c r="K56" i="12"/>
  <c r="K34" i="13"/>
  <c r="J19" i="15"/>
  <c r="N19" i="16"/>
  <c r="K19" i="15"/>
  <c r="I35" i="13"/>
  <c r="D43" i="14"/>
  <c r="H91" i="12"/>
  <c r="D91" i="11"/>
  <c r="L31" i="11"/>
  <c r="M31" i="11"/>
  <c r="L104" i="4"/>
  <c r="L31" i="12"/>
  <c r="L67" i="13"/>
  <c r="L67" i="14"/>
  <c r="O84" i="11"/>
  <c r="N84" i="12"/>
  <c r="N84" i="11"/>
  <c r="R84" i="12"/>
  <c r="N56" i="12"/>
  <c r="N56" i="11"/>
  <c r="R56" i="12"/>
  <c r="N10" i="11"/>
  <c r="R10" i="12"/>
  <c r="V55" i="12"/>
  <c r="Z55" i="12"/>
  <c r="C91" i="11"/>
  <c r="E27" i="4"/>
  <c r="D27" i="4"/>
  <c r="E26" i="11"/>
  <c r="E99" i="11" s="1"/>
  <c r="C18" i="15"/>
  <c r="D18" i="15"/>
  <c r="C31" i="15"/>
  <c r="G31" i="16"/>
  <c r="D46" i="11"/>
  <c r="E81" i="11"/>
  <c r="D81" i="11"/>
  <c r="D91" i="4"/>
  <c r="H57" i="12"/>
  <c r="L71" i="12"/>
  <c r="H71" i="12"/>
  <c r="I71" i="11"/>
  <c r="H71" i="11"/>
  <c r="H74" i="4"/>
  <c r="I58" i="14"/>
  <c r="H58" i="14"/>
  <c r="H31" i="15"/>
  <c r="I31" i="15"/>
  <c r="H31" i="16"/>
  <c r="L31" i="16"/>
  <c r="J74" i="4"/>
  <c r="J71" i="11"/>
  <c r="K71" i="11"/>
  <c r="J71" i="12"/>
  <c r="T31" i="12"/>
  <c r="M67" i="14"/>
  <c r="Q18" i="16"/>
  <c r="D58" i="14"/>
  <c r="D67" i="5"/>
  <c r="E58" i="14"/>
  <c r="C71" i="14"/>
  <c r="D11" i="7"/>
  <c r="D12" i="7" s="1"/>
  <c r="E10" i="15"/>
  <c r="I48" i="11"/>
  <c r="H48" i="12"/>
  <c r="N47" i="12"/>
  <c r="K47" i="11"/>
  <c r="J47" i="12"/>
  <c r="J104" i="4"/>
  <c r="N33" i="12"/>
  <c r="J33" i="12"/>
  <c r="T61" i="13"/>
  <c r="P67" i="5"/>
  <c r="T10" i="16"/>
  <c r="S34" i="11"/>
  <c r="V50" i="12"/>
  <c r="R50" i="12"/>
  <c r="R50" i="11"/>
  <c r="W24" i="13"/>
  <c r="S24" i="13"/>
  <c r="AL91" i="12"/>
  <c r="AI91" i="11"/>
  <c r="AI126" i="4"/>
  <c r="AI130" i="4"/>
  <c r="AS90" i="12"/>
  <c r="AO90" i="12"/>
  <c r="AO90" i="11"/>
  <c r="C90" i="11"/>
  <c r="E49" i="11"/>
  <c r="E17" i="15"/>
  <c r="F34" i="11"/>
  <c r="I93" i="12"/>
  <c r="N81" i="12"/>
  <c r="K33" i="14"/>
  <c r="J58" i="13"/>
  <c r="M33" i="14"/>
  <c r="I70" i="13"/>
  <c r="S19" i="11"/>
  <c r="X26" i="13"/>
  <c r="V26" i="11"/>
  <c r="Y66" i="12"/>
  <c r="X15" i="11"/>
  <c r="AA91" i="11"/>
  <c r="AA71" i="14"/>
  <c r="AD43" i="14"/>
  <c r="AC43" i="13"/>
  <c r="AM47" i="12"/>
  <c r="AP84" i="12"/>
  <c r="AX43" i="14"/>
  <c r="E48" i="11"/>
  <c r="E93" i="11"/>
  <c r="L11" i="12"/>
  <c r="O11" i="7"/>
  <c r="O12" i="7" s="1"/>
  <c r="S61" i="14"/>
  <c r="T19" i="15"/>
  <c r="AB94" i="11"/>
  <c r="AB102" i="4"/>
  <c r="AE101" i="4"/>
  <c r="AE94" i="12"/>
  <c r="AE19" i="16"/>
  <c r="AC66" i="12"/>
  <c r="AH17" i="13"/>
  <c r="AH71" i="13"/>
  <c r="AD71" i="14"/>
  <c r="AF18" i="11"/>
  <c r="AG56" i="12"/>
  <c r="AI10" i="13"/>
  <c r="AJ46" i="12"/>
  <c r="C25" i="14"/>
  <c r="H63" i="12"/>
  <c r="H17" i="13"/>
  <c r="AA32" i="12"/>
  <c r="W32" i="11"/>
  <c r="W16" i="14"/>
  <c r="AA16" i="13"/>
  <c r="Z66" i="11"/>
  <c r="Y66" i="11"/>
  <c r="AD71" i="13"/>
  <c r="Z71" i="14"/>
  <c r="AH91" i="12"/>
  <c r="AI94" i="11"/>
  <c r="AH94" i="12"/>
  <c r="D40" i="14"/>
  <c r="E19" i="15"/>
  <c r="S26" i="11"/>
  <c r="Y26" i="12"/>
  <c r="W64" i="11"/>
  <c r="V17" i="11"/>
  <c r="W49" i="11"/>
  <c r="AA17" i="13"/>
  <c r="AA71" i="13"/>
  <c r="AB49" i="14"/>
  <c r="Z58" i="14"/>
  <c r="AF81" i="12"/>
  <c r="AB81" i="11"/>
  <c r="AC34" i="12"/>
  <c r="AC34" i="11"/>
  <c r="AI102" i="4"/>
  <c r="AJ94" i="11"/>
  <c r="AL19" i="5"/>
  <c r="AL17" i="14"/>
  <c r="AM17" i="14"/>
  <c r="AS25" i="16"/>
  <c r="AV56" i="11"/>
  <c r="AY56" i="12"/>
  <c r="AY19" i="11"/>
  <c r="AX17" i="13"/>
  <c r="N10" i="14"/>
  <c r="N18" i="15"/>
  <c r="K11" i="11"/>
  <c r="K31" i="11"/>
  <c r="W15" i="12"/>
  <c r="X75" i="12"/>
  <c r="T35" i="14"/>
  <c r="AB40" i="12"/>
  <c r="Y10" i="16"/>
  <c r="Y10" i="15"/>
  <c r="AD83" i="11"/>
  <c r="AC83" i="12"/>
  <c r="AC10" i="14"/>
  <c r="AH25" i="13"/>
  <c r="AD25" i="14"/>
  <c r="AH94" i="11"/>
  <c r="AQ67" i="14"/>
  <c r="AP67" i="13"/>
  <c r="C15" i="11"/>
  <c r="C40" i="11"/>
  <c r="H25" i="16"/>
  <c r="I91" i="4"/>
  <c r="N10" i="12"/>
  <c r="N67" i="14"/>
  <c r="V35" i="13"/>
  <c r="T40" i="11"/>
  <c r="X93" i="12"/>
  <c r="T70" i="14"/>
  <c r="V47" i="11"/>
  <c r="X19" i="11"/>
  <c r="AA19" i="12"/>
  <c r="AB52" i="14"/>
  <c r="AF33" i="14"/>
  <c r="AM10" i="12"/>
  <c r="AI10" i="11"/>
  <c r="AI10" i="12"/>
  <c r="V24" i="12"/>
  <c r="Z34" i="11"/>
  <c r="AA33" i="13"/>
  <c r="AB18" i="14"/>
  <c r="Z9" i="5"/>
  <c r="Z12" i="5"/>
  <c r="AA71" i="11"/>
  <c r="Z74" i="4"/>
  <c r="AF18" i="13"/>
  <c r="AJ58" i="13"/>
  <c r="AF58" i="13"/>
  <c r="AJ19" i="16"/>
  <c r="AF19" i="16"/>
  <c r="Y50" i="11"/>
  <c r="AC31" i="16"/>
  <c r="AD55" i="12"/>
  <c r="AA34" i="14"/>
  <c r="AC9" i="14"/>
  <c r="AD34" i="11"/>
  <c r="AD90" i="11"/>
  <c r="AE19" i="11"/>
  <c r="AE39" i="12"/>
  <c r="AE43" i="14"/>
  <c r="AF19" i="12"/>
  <c r="AF40" i="12"/>
  <c r="AG10" i="13"/>
  <c r="AI92" i="11"/>
  <c r="AI46" i="12"/>
  <c r="AJ41" i="14"/>
  <c r="AK40" i="11"/>
  <c r="AS91" i="12"/>
  <c r="AO17" i="13"/>
  <c r="AP17" i="11"/>
  <c r="AV46" i="11"/>
  <c r="AY46" i="12"/>
  <c r="AV92" i="12"/>
  <c r="AY32" i="11"/>
  <c r="AY56" i="11"/>
  <c r="AX9" i="16"/>
  <c r="AY63" i="11"/>
  <c r="Z34" i="12"/>
  <c r="AA9" i="12"/>
  <c r="Y19" i="11"/>
  <c r="X43" i="14"/>
  <c r="Y11" i="7"/>
  <c r="Z92" i="11"/>
  <c r="AA56" i="11"/>
  <c r="AA75" i="11"/>
  <c r="AB70" i="14"/>
  <c r="I117" i="4"/>
  <c r="AC56" i="11"/>
  <c r="AD91" i="12"/>
  <c r="AF82" i="11"/>
  <c r="AF41" i="11"/>
  <c r="AJ58" i="12"/>
  <c r="AJ31" i="16"/>
  <c r="AJ102" i="4"/>
  <c r="AJ31" i="15"/>
  <c r="AO39" i="12"/>
  <c r="AO11" i="12"/>
  <c r="AM11" i="11"/>
  <c r="AM91" i="11"/>
  <c r="AO9" i="15"/>
  <c r="AO19" i="11"/>
  <c r="AO65" i="11"/>
  <c r="AQ56" i="11"/>
  <c r="AR10" i="14"/>
  <c r="AT11" i="11"/>
  <c r="AU24" i="11"/>
  <c r="AY24" i="12"/>
  <c r="AV18" i="11"/>
  <c r="AW83" i="11"/>
  <c r="AX34" i="11"/>
  <c r="AY34" i="11"/>
  <c r="AY25" i="11"/>
  <c r="AY57" i="11"/>
  <c r="AY81" i="11"/>
  <c r="AO18" i="16"/>
  <c r="AW55" i="12"/>
  <c r="AU27" i="4"/>
  <c r="AY25" i="12"/>
  <c r="AY10" i="11"/>
  <c r="AY46" i="11"/>
  <c r="AY58" i="11"/>
  <c r="AY65" i="11"/>
  <c r="AY82" i="11"/>
  <c r="AY93" i="11"/>
  <c r="W41" i="12"/>
  <c r="Y57" i="11"/>
  <c r="AC10" i="12"/>
  <c r="AC26" i="12"/>
  <c r="Z41" i="11"/>
  <c r="AA15" i="11"/>
  <c r="AE63" i="12"/>
  <c r="Z67" i="5"/>
  <c r="AD26" i="11"/>
  <c r="AD67" i="14"/>
  <c r="AI26" i="14"/>
  <c r="AK57" i="11"/>
  <c r="AO70" i="13"/>
  <c r="AL32" i="12"/>
  <c r="AL81" i="12"/>
  <c r="AP24" i="14"/>
  <c r="AS70" i="14"/>
  <c r="AV84" i="11"/>
  <c r="AY15" i="11"/>
  <c r="AY47" i="11"/>
  <c r="AY39" i="11"/>
  <c r="AY66" i="11"/>
  <c r="AY94" i="11"/>
  <c r="AX9" i="13"/>
  <c r="AA19" i="15"/>
  <c r="AA17" i="14"/>
  <c r="AC26" i="11"/>
  <c r="AC31" i="15"/>
  <c r="AC58" i="13"/>
  <c r="AE46" i="11"/>
  <c r="AH101" i="4"/>
  <c r="AJ29" i="4"/>
  <c r="AJ65" i="12"/>
  <c r="AF34" i="14"/>
  <c r="AG10" i="12"/>
  <c r="AH43" i="13"/>
  <c r="AI84" i="12"/>
  <c r="AN9" i="15"/>
  <c r="AO91" i="11"/>
  <c r="AV94" i="12"/>
  <c r="AS16" i="13"/>
  <c r="AQ47" i="11"/>
  <c r="AY17" i="11"/>
  <c r="AY48" i="11"/>
  <c r="AY40" i="11"/>
  <c r="AY71" i="11"/>
  <c r="U16" i="14"/>
  <c r="X84" i="11"/>
  <c r="Y34" i="14"/>
  <c r="Z17" i="14"/>
  <c r="Y35" i="14"/>
  <c r="AD64" i="12"/>
  <c r="AD61" i="13"/>
  <c r="AD40" i="13"/>
  <c r="AG17" i="12"/>
  <c r="AE47" i="11"/>
  <c r="AD10" i="13"/>
  <c r="AF9" i="15"/>
  <c r="AF17" i="14"/>
  <c r="AK81" i="12"/>
  <c r="AL84" i="12"/>
  <c r="AI33" i="14"/>
  <c r="AH49" i="14"/>
  <c r="AJ49" i="12"/>
  <c r="AO47" i="12"/>
  <c r="AO52" i="13"/>
  <c r="AO55" i="12"/>
  <c r="AQ55" i="12"/>
  <c r="AL116" i="4"/>
  <c r="AP71" i="11"/>
  <c r="AP10" i="12"/>
  <c r="AP40" i="11"/>
  <c r="AP42" i="14"/>
  <c r="AQ71" i="13"/>
  <c r="AU48" i="12"/>
  <c r="AY18" i="11"/>
  <c r="AY49" i="11"/>
  <c r="AY41" i="11"/>
  <c r="AY33" i="11"/>
  <c r="AY75" i="11"/>
  <c r="AY84" i="11"/>
  <c r="AC10" i="11"/>
  <c r="AB32" i="11"/>
  <c r="AC66" i="11"/>
  <c r="AB34" i="13"/>
  <c r="AE58" i="12"/>
  <c r="AF31" i="16"/>
  <c r="AD49" i="11"/>
  <c r="AF41" i="14"/>
  <c r="AE67" i="5"/>
  <c r="AF62" i="14" s="1"/>
  <c r="AF9" i="5"/>
  <c r="AF9" i="13" s="1"/>
  <c r="AG65" i="11"/>
  <c r="AH48" i="11"/>
  <c r="AN50" i="12"/>
  <c r="AJ82" i="11"/>
  <c r="AL32" i="11"/>
  <c r="AP31" i="16"/>
  <c r="AM33" i="14"/>
  <c r="AN46" i="12"/>
  <c r="AO41" i="12"/>
  <c r="AO57" i="12"/>
  <c r="AO35" i="13"/>
  <c r="AO61" i="13"/>
  <c r="AQ125" i="4"/>
  <c r="AY90" i="11"/>
  <c r="AV35" i="14"/>
  <c r="AU35" i="13"/>
  <c r="AU34" i="13"/>
  <c r="AV43" i="14"/>
  <c r="J32" i="12"/>
  <c r="F32" i="11"/>
  <c r="F61" i="14"/>
  <c r="F61" i="13"/>
  <c r="F67" i="5"/>
  <c r="F17" i="16"/>
  <c r="G17" i="15"/>
  <c r="F17" i="15"/>
  <c r="C17" i="17"/>
  <c r="C18" i="17"/>
  <c r="E116" i="4"/>
  <c r="D26" i="11"/>
  <c r="D99" i="11"/>
  <c r="C27" i="4"/>
  <c r="E63" i="11"/>
  <c r="F63" i="11"/>
  <c r="F92" i="11"/>
  <c r="E92" i="11"/>
  <c r="I17" i="13"/>
  <c r="E17" i="14"/>
  <c r="I43" i="13"/>
  <c r="F43" i="14"/>
  <c r="D83" i="11"/>
  <c r="C12" i="17"/>
  <c r="H49" i="12"/>
  <c r="D49" i="11"/>
  <c r="D63" i="11"/>
  <c r="G63" i="12"/>
  <c r="C63" i="11"/>
  <c r="C91" i="4"/>
  <c r="G83" i="12"/>
  <c r="F93" i="12"/>
  <c r="C93" i="11"/>
  <c r="C17" i="14"/>
  <c r="C24" i="14"/>
  <c r="B27" i="5"/>
  <c r="F27" i="5"/>
  <c r="C58" i="14"/>
  <c r="B67" i="5"/>
  <c r="F58" i="13"/>
  <c r="G52" i="13"/>
  <c r="C56" i="11"/>
  <c r="J11" i="13"/>
  <c r="F11" i="13"/>
  <c r="F12" i="5"/>
  <c r="K10" i="14"/>
  <c r="N33" i="14"/>
  <c r="F16" i="13"/>
  <c r="H117" i="4"/>
  <c r="G46" i="11"/>
  <c r="H34" i="12"/>
  <c r="L83" i="11"/>
  <c r="N82" i="11"/>
  <c r="P91" i="4"/>
  <c r="P92" i="4" s="1"/>
  <c r="P42" i="14"/>
  <c r="V91" i="12"/>
  <c r="V32" i="12"/>
  <c r="T19" i="11"/>
  <c r="U92" i="11"/>
  <c r="U25" i="11"/>
  <c r="T9" i="15"/>
  <c r="V33" i="11"/>
  <c r="W17" i="14"/>
  <c r="V15" i="12"/>
  <c r="AB57" i="12"/>
  <c r="AA71" i="12"/>
  <c r="W74" i="4"/>
  <c r="Y41" i="11"/>
  <c r="AE93" i="12"/>
  <c r="AG10" i="16"/>
  <c r="AJ33" i="13"/>
  <c r="AK31" i="11"/>
  <c r="AK31" i="12"/>
  <c r="AS17" i="13"/>
  <c r="AX18" i="13"/>
  <c r="H67" i="14"/>
  <c r="D25" i="14"/>
  <c r="T25" i="16"/>
  <c r="X71" i="12"/>
  <c r="X43" i="13"/>
  <c r="Y18" i="12"/>
  <c r="Z19" i="16"/>
  <c r="AA31" i="11"/>
  <c r="Z31" i="11"/>
  <c r="Z35" i="4"/>
  <c r="AD35" i="12" s="1"/>
  <c r="Z104" i="4"/>
  <c r="AG24" i="12"/>
  <c r="AG64" i="12"/>
  <c r="AG64" i="11"/>
  <c r="AS82" i="12"/>
  <c r="AU24" i="12"/>
  <c r="AQ24" i="12"/>
  <c r="AT58" i="13"/>
  <c r="AX11" i="12"/>
  <c r="C43" i="14"/>
  <c r="J10" i="14"/>
  <c r="J25" i="16"/>
  <c r="O10" i="13"/>
  <c r="L19" i="15"/>
  <c r="K58" i="14"/>
  <c r="F24" i="11"/>
  <c r="F47" i="11"/>
  <c r="G33" i="11"/>
  <c r="T32" i="12"/>
  <c r="T94" i="12"/>
  <c r="T33" i="14"/>
  <c r="U33" i="14"/>
  <c r="U19" i="11"/>
  <c r="T43" i="14"/>
  <c r="W33" i="11"/>
  <c r="W35" i="14"/>
  <c r="V49" i="14"/>
  <c r="Z19" i="15"/>
  <c r="Y19" i="15"/>
  <c r="AF58" i="14"/>
  <c r="AE25" i="15"/>
  <c r="AF39" i="11"/>
  <c r="AI34" i="11"/>
  <c r="AL34" i="12"/>
  <c r="AH34" i="11"/>
  <c r="AH90" i="12"/>
  <c r="AI16" i="14"/>
  <c r="AI11" i="13"/>
  <c r="AP35" i="14"/>
  <c r="AR66" i="12"/>
  <c r="N67" i="13"/>
  <c r="M52" i="14"/>
  <c r="J58" i="14"/>
  <c r="J12" i="5"/>
  <c r="E33" i="14"/>
  <c r="K12" i="5"/>
  <c r="L17" i="13"/>
  <c r="O10" i="15"/>
  <c r="D117" i="4"/>
  <c r="F25" i="12"/>
  <c r="F48" i="11"/>
  <c r="K71" i="13"/>
  <c r="H92" i="11"/>
  <c r="N12" i="5"/>
  <c r="T35" i="13"/>
  <c r="T49" i="13"/>
  <c r="Q67" i="5"/>
  <c r="T18" i="11"/>
  <c r="T49" i="14"/>
  <c r="U9" i="11"/>
  <c r="T92" i="11"/>
  <c r="X35" i="13"/>
  <c r="X49" i="13"/>
  <c r="Z65" i="11"/>
  <c r="AC65" i="12"/>
  <c r="Z91" i="11"/>
  <c r="AC91" i="12"/>
  <c r="Y70" i="13"/>
  <c r="AD31" i="12"/>
  <c r="AF66" i="11"/>
  <c r="AF92" i="11"/>
  <c r="AE18" i="13"/>
  <c r="AE18" i="14"/>
  <c r="AF18" i="14"/>
  <c r="AF71" i="14"/>
  <c r="AE71" i="13"/>
  <c r="AE71" i="14"/>
  <c r="AK24" i="12"/>
  <c r="AG84" i="11"/>
  <c r="AL33" i="13"/>
  <c r="AH33" i="14"/>
  <c r="AH67" i="13"/>
  <c r="AN17" i="11"/>
  <c r="AM75" i="11"/>
  <c r="Z31" i="15"/>
  <c r="Z50" i="11"/>
  <c r="AA50" i="11"/>
  <c r="AD25" i="15"/>
  <c r="AD25" i="16"/>
  <c r="AH25" i="16"/>
  <c r="AF55" i="11"/>
  <c r="AE55" i="11"/>
  <c r="AI75" i="12"/>
  <c r="AE75" i="11"/>
  <c r="AI93" i="12"/>
  <c r="AE93" i="11"/>
  <c r="AE25" i="14"/>
  <c r="AE25" i="13"/>
  <c r="AF16" i="14"/>
  <c r="AF16" i="13"/>
  <c r="AG49" i="14"/>
  <c r="AF49" i="13"/>
  <c r="AH9" i="11"/>
  <c r="AS64" i="12"/>
  <c r="AS64" i="11"/>
  <c r="AW61" i="13"/>
  <c r="AS61" i="13"/>
  <c r="AW33" i="11"/>
  <c r="AW33" i="12"/>
  <c r="AU18" i="13"/>
  <c r="AU18" i="14"/>
  <c r="H40" i="13"/>
  <c r="F24" i="13"/>
  <c r="G25" i="13"/>
  <c r="M70" i="13"/>
  <c r="J58" i="11"/>
  <c r="T48" i="12"/>
  <c r="T67" i="13"/>
  <c r="X24" i="13"/>
  <c r="W24" i="11"/>
  <c r="Z49" i="11"/>
  <c r="AD90" i="12"/>
  <c r="Z90" i="11"/>
  <c r="AC10" i="16"/>
  <c r="AC10" i="15"/>
  <c r="AD50" i="12"/>
  <c r="AF74" i="4"/>
  <c r="AF71" i="12"/>
  <c r="AF71" i="11"/>
  <c r="AJ15" i="11"/>
  <c r="AI15" i="11"/>
  <c r="AJ49" i="11"/>
  <c r="AI49" i="12"/>
  <c r="AK43" i="14"/>
  <c r="AO43" i="13"/>
  <c r="AK67" i="13"/>
  <c r="AL67" i="14"/>
  <c r="AI11" i="14"/>
  <c r="AL75" i="11"/>
  <c r="AK75" i="11"/>
  <c r="AS10" i="12"/>
  <c r="AS10" i="11"/>
  <c r="AW43" i="13"/>
  <c r="AS43" i="13"/>
  <c r="AX18" i="16"/>
  <c r="I58" i="11"/>
  <c r="H40" i="14"/>
  <c r="M71" i="13"/>
  <c r="T26" i="11"/>
  <c r="U25" i="14"/>
  <c r="V49" i="11"/>
  <c r="Z90" i="12"/>
  <c r="AA9" i="5"/>
  <c r="AE9" i="13" s="1"/>
  <c r="AA12" i="5"/>
  <c r="AA10" i="14"/>
  <c r="AF50" i="12"/>
  <c r="AB50" i="11"/>
  <c r="AB58" i="11"/>
  <c r="AG15" i="12"/>
  <c r="AC15" i="11"/>
  <c r="AD15" i="11"/>
  <c r="AC32" i="11"/>
  <c r="AC90" i="12"/>
  <c r="AG90" i="12"/>
  <c r="AE39" i="11"/>
  <c r="AM17" i="12"/>
  <c r="AI17" i="12"/>
  <c r="AM40" i="12"/>
  <c r="AI40" i="12"/>
  <c r="AJ50" i="11"/>
  <c r="AI50" i="11"/>
  <c r="AO84" i="12"/>
  <c r="AK84" i="11"/>
  <c r="AK9" i="15"/>
  <c r="AL9" i="15"/>
  <c r="AO9" i="16"/>
  <c r="AO61" i="14"/>
  <c r="AL126" i="4"/>
  <c r="AO31" i="12"/>
  <c r="C25" i="15"/>
  <c r="F84" i="11"/>
  <c r="F34" i="14"/>
  <c r="G94" i="12"/>
  <c r="H25" i="13"/>
  <c r="M67" i="5"/>
  <c r="M62" i="13" s="1"/>
  <c r="AB9" i="12"/>
  <c r="X9" i="11"/>
  <c r="Y9" i="11"/>
  <c r="AB15" i="11"/>
  <c r="AF15" i="12"/>
  <c r="AG48" i="12"/>
  <c r="AC48" i="12"/>
  <c r="AC48" i="11"/>
  <c r="AD64" i="11"/>
  <c r="AC64" i="12"/>
  <c r="AD91" i="11"/>
  <c r="AG17" i="13"/>
  <c r="AC17" i="13"/>
  <c r="AF57" i="12"/>
  <c r="AF57" i="11"/>
  <c r="AL104" i="4"/>
  <c r="AN18" i="13"/>
  <c r="AO32" i="11"/>
  <c r="AS32" i="12"/>
  <c r="AU65" i="12"/>
  <c r="X49" i="14"/>
  <c r="Z41" i="14"/>
  <c r="Z32" i="11"/>
  <c r="AA32" i="11"/>
  <c r="AD49" i="13"/>
  <c r="AC17" i="11"/>
  <c r="AD65" i="11"/>
  <c r="AD18" i="15"/>
  <c r="AE27" i="5"/>
  <c r="AH16" i="14"/>
  <c r="AI55" i="12"/>
  <c r="AM90" i="12"/>
  <c r="AO15" i="12"/>
  <c r="AO58" i="11"/>
  <c r="AX39" i="12"/>
  <c r="W42" i="14"/>
  <c r="V31" i="15"/>
  <c r="X35" i="14"/>
  <c r="W17" i="11"/>
  <c r="W63" i="11"/>
  <c r="Y55" i="11"/>
  <c r="AC50" i="11"/>
  <c r="AF26" i="11"/>
  <c r="AF63" i="11"/>
  <c r="AF75" i="12"/>
  <c r="AH91" i="11"/>
  <c r="AR49" i="12"/>
  <c r="AP67" i="14"/>
  <c r="AR24" i="12"/>
  <c r="AW18" i="13"/>
  <c r="AX25" i="14"/>
  <c r="X17" i="14"/>
  <c r="Y49" i="11"/>
  <c r="Y25" i="11"/>
  <c r="Z43" i="14"/>
  <c r="AF41" i="12"/>
  <c r="AF9" i="16"/>
  <c r="AC102" i="4"/>
  <c r="AE81" i="11"/>
  <c r="AI24" i="13"/>
  <c r="AF13" i="4"/>
  <c r="AF93" i="12"/>
  <c r="AI17" i="14"/>
  <c r="AJ40" i="13"/>
  <c r="AO65" i="12"/>
  <c r="AO71" i="13"/>
  <c r="AN18" i="14"/>
  <c r="AQ32" i="12"/>
  <c r="AS40" i="13"/>
  <c r="AX26" i="11"/>
  <c r="AX18" i="14"/>
  <c r="AX24" i="14"/>
  <c r="Y52" i="14"/>
  <c r="AB25" i="16"/>
  <c r="Y49" i="14"/>
  <c r="Z19" i="11"/>
  <c r="AA93" i="11"/>
  <c r="AE24" i="14"/>
  <c r="AE41" i="14"/>
  <c r="AF24" i="14"/>
  <c r="AE67" i="13"/>
  <c r="AK75" i="12"/>
  <c r="AG92" i="12"/>
  <c r="AH41" i="14"/>
  <c r="AO71" i="12"/>
  <c r="AQ24" i="13"/>
  <c r="AS33" i="13"/>
  <c r="AP41" i="12"/>
  <c r="AP41" i="14"/>
  <c r="AU49" i="13"/>
  <c r="AS57" i="12"/>
  <c r="AS10" i="13"/>
  <c r="AS24" i="13"/>
  <c r="AX92" i="12"/>
  <c r="AX50" i="12"/>
  <c r="X40" i="14"/>
  <c r="X47" i="11"/>
  <c r="Y17" i="15"/>
  <c r="AD67" i="13"/>
  <c r="AC64" i="11"/>
  <c r="AB33" i="14"/>
  <c r="AE42" i="14"/>
  <c r="AH9" i="16"/>
  <c r="AI82" i="12"/>
  <c r="AF42" i="14"/>
  <c r="AH43" i="14"/>
  <c r="AH15" i="11"/>
  <c r="AL48" i="12"/>
  <c r="AI33" i="12"/>
  <c r="AJ18" i="15"/>
  <c r="AK25" i="11"/>
  <c r="AL49" i="14"/>
  <c r="AL18" i="13"/>
  <c r="AL17" i="15"/>
  <c r="AO25" i="11"/>
  <c r="AS11" i="12"/>
  <c r="AT46" i="12"/>
  <c r="AR25" i="15"/>
  <c r="AS11" i="11"/>
  <c r="AS81" i="11"/>
  <c r="AS26" i="14"/>
  <c r="AA93" i="12"/>
  <c r="AA9" i="16"/>
  <c r="AC58" i="14"/>
  <c r="AD46" i="11"/>
  <c r="AE91" i="11"/>
  <c r="AJ50" i="12"/>
  <c r="AH49" i="12"/>
  <c r="AI48" i="11"/>
  <c r="AI83" i="11"/>
  <c r="AS9" i="12"/>
  <c r="AV33" i="11"/>
  <c r="AX109" i="4"/>
  <c r="AX25" i="13"/>
  <c r="AX9" i="15"/>
  <c r="AX67" i="13"/>
  <c r="AX63" i="11"/>
  <c r="AX11" i="5"/>
  <c r="AX11" i="13" s="1"/>
  <c r="AX58" i="12"/>
  <c r="AX49" i="12"/>
  <c r="AX67" i="14"/>
  <c r="AX11" i="16"/>
  <c r="AX90" i="11"/>
  <c r="AX10" i="11"/>
  <c r="AX39" i="11"/>
  <c r="AX40" i="12"/>
  <c r="AX18" i="15"/>
  <c r="AX18" i="12"/>
  <c r="AX52" i="4"/>
  <c r="AX91" i="11"/>
  <c r="AX9" i="14"/>
  <c r="AX91" i="12"/>
  <c r="AX33" i="14"/>
  <c r="AX40" i="11"/>
  <c r="AX90" i="12"/>
  <c r="AX49" i="11"/>
  <c r="AX66" i="12"/>
  <c r="AX58" i="11"/>
  <c r="AX18" i="11"/>
  <c r="F94" i="12"/>
  <c r="J94" i="12"/>
  <c r="F10" i="15"/>
  <c r="G10" i="15"/>
  <c r="F10" i="16"/>
  <c r="J10" i="16"/>
  <c r="L34" i="11"/>
  <c r="L34" i="12"/>
  <c r="L75" i="11"/>
  <c r="L75" i="12"/>
  <c r="M75" i="11"/>
  <c r="L71" i="14"/>
  <c r="I33" i="12"/>
  <c r="J33" i="11"/>
  <c r="I104" i="4"/>
  <c r="I33" i="11"/>
  <c r="J27" i="4"/>
  <c r="J26" i="11"/>
  <c r="J100" i="11" s="1"/>
  <c r="K27" i="4"/>
  <c r="N26" i="12"/>
  <c r="J46" i="11"/>
  <c r="K46" i="11"/>
  <c r="J46" i="12"/>
  <c r="N57" i="11"/>
  <c r="N57" i="12"/>
  <c r="O32" i="11"/>
  <c r="R32" i="12"/>
  <c r="AE25" i="12"/>
  <c r="AB25" i="11"/>
  <c r="AA25" i="11"/>
  <c r="AA90" i="11"/>
  <c r="AA90" i="12"/>
  <c r="AB47" i="12"/>
  <c r="AF47" i="12"/>
  <c r="AB47" i="11"/>
  <c r="AC47" i="11"/>
  <c r="AM11" i="14"/>
  <c r="AV28" i="5"/>
  <c r="P34" i="12"/>
  <c r="S9" i="15"/>
  <c r="R11" i="7"/>
  <c r="R13" i="7" s="1"/>
  <c r="V9" i="16"/>
  <c r="R9" i="15"/>
  <c r="R31" i="16"/>
  <c r="S31" i="15"/>
  <c r="V31" i="16"/>
  <c r="T33" i="12"/>
  <c r="X33" i="12"/>
  <c r="T35" i="4"/>
  <c r="U33" i="11"/>
  <c r="T33" i="11"/>
  <c r="T104" i="4"/>
  <c r="Y41" i="12"/>
  <c r="V41" i="11"/>
  <c r="U41" i="12"/>
  <c r="U41" i="11"/>
  <c r="Y57" i="12"/>
  <c r="V57" i="11"/>
  <c r="U57" i="12"/>
  <c r="D9" i="5"/>
  <c r="H11" i="13"/>
  <c r="D12" i="5"/>
  <c r="D27" i="5"/>
  <c r="D45" i="5"/>
  <c r="H40" i="11"/>
  <c r="G25" i="15"/>
  <c r="H25" i="15"/>
  <c r="G25" i="16"/>
  <c r="L48" i="12"/>
  <c r="M48" i="11"/>
  <c r="L48" i="11"/>
  <c r="L12" i="5"/>
  <c r="L9" i="5"/>
  <c r="L9" i="14" s="1"/>
  <c r="M10" i="14"/>
  <c r="L10" i="13"/>
  <c r="L10" i="14"/>
  <c r="M61" i="14"/>
  <c r="L61" i="14"/>
  <c r="P61" i="13"/>
  <c r="L25" i="16"/>
  <c r="L25" i="15"/>
  <c r="P25" i="16"/>
  <c r="I47" i="12"/>
  <c r="J47" i="11"/>
  <c r="J75" i="11"/>
  <c r="N58" i="12"/>
  <c r="K58" i="11"/>
  <c r="J58" i="12"/>
  <c r="N71" i="12"/>
  <c r="N74" i="4"/>
  <c r="R71" i="12"/>
  <c r="N46" i="11"/>
  <c r="O46" i="11"/>
  <c r="N46" i="12"/>
  <c r="N11" i="11"/>
  <c r="N11" i="12"/>
  <c r="O11" i="11"/>
  <c r="R11" i="12"/>
  <c r="B21" i="17"/>
  <c r="Z42" i="14"/>
  <c r="AA42" i="14"/>
  <c r="AF33" i="13"/>
  <c r="AU71" i="13"/>
  <c r="AB52" i="4"/>
  <c r="P45" i="5"/>
  <c r="N71" i="11"/>
  <c r="T82" i="12"/>
  <c r="P82" i="11"/>
  <c r="Q82" i="11"/>
  <c r="Q70" i="14"/>
  <c r="P70" i="14"/>
  <c r="AA75" i="12"/>
  <c r="AE75" i="12"/>
  <c r="AF40" i="13"/>
  <c r="AB40" i="14"/>
  <c r="AB45" i="5"/>
  <c r="AB44" i="14" s="1"/>
  <c r="AO24" i="14"/>
  <c r="AN27" i="5"/>
  <c r="AO27" i="14" s="1"/>
  <c r="AP81" i="12"/>
  <c r="AT81" i="12"/>
  <c r="AP81" i="11"/>
  <c r="AQ81" i="11"/>
  <c r="AR58" i="14"/>
  <c r="AQ67" i="5"/>
  <c r="AQ62" i="13" s="1"/>
  <c r="AR74" i="4"/>
  <c r="AR71" i="12"/>
  <c r="AR71" i="11"/>
  <c r="AS71" i="11"/>
  <c r="AV71" i="12"/>
  <c r="AQ58" i="13"/>
  <c r="AE90" i="12"/>
  <c r="P70" i="13"/>
  <c r="O71" i="11"/>
  <c r="N32" i="11"/>
  <c r="V57" i="12"/>
  <c r="S57" i="11"/>
  <c r="S41" i="14"/>
  <c r="T71" i="11"/>
  <c r="S71" i="12"/>
  <c r="S71" i="11"/>
  <c r="S74" i="4"/>
  <c r="T66" i="11"/>
  <c r="T66" i="12"/>
  <c r="X58" i="13"/>
  <c r="U58" i="14"/>
  <c r="T58" i="13"/>
  <c r="Y32" i="12"/>
  <c r="V32" i="11"/>
  <c r="Z15" i="12"/>
  <c r="W15" i="11"/>
  <c r="V15" i="11"/>
  <c r="T33" i="13"/>
  <c r="Q33" i="14"/>
  <c r="P33" i="13"/>
  <c r="P33" i="14"/>
  <c r="AA70" i="14"/>
  <c r="Z70" i="13"/>
  <c r="Z70" i="14"/>
  <c r="AU58" i="13"/>
  <c r="AN24" i="13"/>
  <c r="R57" i="12"/>
  <c r="F52" i="13"/>
  <c r="G52" i="14"/>
  <c r="F52" i="14"/>
  <c r="J52" i="13"/>
  <c r="G10" i="14"/>
  <c r="K10" i="13"/>
  <c r="G10" i="13"/>
  <c r="H35" i="14"/>
  <c r="I35" i="14"/>
  <c r="L35" i="13"/>
  <c r="M26" i="14"/>
  <c r="L27" i="5"/>
  <c r="L26" i="14"/>
  <c r="P26" i="13"/>
  <c r="L40" i="13"/>
  <c r="M40" i="14"/>
  <c r="L17" i="15"/>
  <c r="L17" i="16"/>
  <c r="M17" i="15"/>
  <c r="I9" i="12"/>
  <c r="M9" i="12"/>
  <c r="J9" i="11"/>
  <c r="I9" i="11"/>
  <c r="J40" i="11"/>
  <c r="M56" i="12"/>
  <c r="I56" i="12"/>
  <c r="J64" i="11"/>
  <c r="I64" i="12"/>
  <c r="M64" i="12"/>
  <c r="J71" i="13"/>
  <c r="K71" i="14"/>
  <c r="O43" i="13"/>
  <c r="S43" i="13"/>
  <c r="O71" i="14"/>
  <c r="P71" i="14"/>
  <c r="S71" i="13"/>
  <c r="O71" i="13"/>
  <c r="L24" i="14"/>
  <c r="K24" i="14"/>
  <c r="O49" i="13"/>
  <c r="K49" i="13"/>
  <c r="K49" i="14"/>
  <c r="O45" i="5"/>
  <c r="K25" i="16"/>
  <c r="K25" i="15"/>
  <c r="O31" i="16"/>
  <c r="S31" i="16"/>
  <c r="O31" i="15"/>
  <c r="AB90" i="11"/>
  <c r="AE12" i="7"/>
  <c r="P10" i="13"/>
  <c r="M25" i="15"/>
  <c r="R46" i="12"/>
  <c r="G40" i="12"/>
  <c r="P31" i="15"/>
  <c r="R15" i="11"/>
  <c r="Q15" i="11"/>
  <c r="U15" i="12"/>
  <c r="U26" i="12"/>
  <c r="Q27" i="4"/>
  <c r="Q26" i="11"/>
  <c r="Q46" i="11"/>
  <c r="Q46" i="12"/>
  <c r="R46" i="11"/>
  <c r="U58" i="12"/>
  <c r="Q58" i="12"/>
  <c r="Q58" i="11"/>
  <c r="Q91" i="4"/>
  <c r="R81" i="11"/>
  <c r="R94" i="11"/>
  <c r="U94" i="12"/>
  <c r="Q94" i="11"/>
  <c r="Q94" i="12"/>
  <c r="Q27" i="5"/>
  <c r="R42" i="14"/>
  <c r="AB75" i="11"/>
  <c r="AB40" i="13"/>
  <c r="Q42" i="14"/>
  <c r="I75" i="11"/>
  <c r="F94" i="11"/>
  <c r="F31" i="12"/>
  <c r="F31" i="11"/>
  <c r="J31" i="12"/>
  <c r="G31" i="11"/>
  <c r="J75" i="12"/>
  <c r="F75" i="11"/>
  <c r="G49" i="13"/>
  <c r="G49" i="14"/>
  <c r="G18" i="16"/>
  <c r="H18" i="15"/>
  <c r="H16" i="13"/>
  <c r="M26" i="11"/>
  <c r="M27" i="4"/>
  <c r="J61" i="14"/>
  <c r="T46" i="12"/>
  <c r="T52" i="14"/>
  <c r="S52" i="14"/>
  <c r="F25" i="14"/>
  <c r="G25" i="14"/>
  <c r="J25" i="13"/>
  <c r="F25" i="13"/>
  <c r="I16" i="14"/>
  <c r="I16" i="13"/>
  <c r="I33" i="14"/>
  <c r="J33" i="14"/>
  <c r="M42" i="14"/>
  <c r="S18" i="11"/>
  <c r="X70" i="13"/>
  <c r="T70" i="13"/>
  <c r="X57" i="11"/>
  <c r="W57" i="11"/>
  <c r="W57" i="12"/>
  <c r="X82" i="11"/>
  <c r="AA82" i="12"/>
  <c r="W82" i="11"/>
  <c r="W82" i="12"/>
  <c r="AD84" i="12"/>
  <c r="Z84" i="12"/>
  <c r="G58" i="14"/>
  <c r="K58" i="13"/>
  <c r="G58" i="13"/>
  <c r="I71" i="14"/>
  <c r="R24" i="13"/>
  <c r="N10" i="16"/>
  <c r="N10" i="15"/>
  <c r="N11" i="7"/>
  <c r="N11" i="15" s="1"/>
  <c r="J34" i="13"/>
  <c r="G34" i="14"/>
  <c r="F34" i="13"/>
  <c r="G83" i="11"/>
  <c r="L52" i="13"/>
  <c r="H52" i="14"/>
  <c r="M18" i="13"/>
  <c r="M18" i="14"/>
  <c r="N18" i="14"/>
  <c r="O24" i="13"/>
  <c r="O18" i="13"/>
  <c r="K18" i="14"/>
  <c r="L18" i="14"/>
  <c r="K35" i="14"/>
  <c r="K17" i="15"/>
  <c r="K17" i="16"/>
  <c r="O27" i="4"/>
  <c r="S47" i="11"/>
  <c r="V47" i="12"/>
  <c r="R9" i="5"/>
  <c r="R12" i="5"/>
  <c r="X90" i="12"/>
  <c r="X90" i="11"/>
  <c r="Y90" i="11"/>
  <c r="Y101" i="4"/>
  <c r="AC101" i="4"/>
  <c r="AC94" i="12"/>
  <c r="Y94" i="12"/>
  <c r="Z17" i="12"/>
  <c r="Z17" i="11"/>
  <c r="AD17" i="12"/>
  <c r="G10" i="12"/>
  <c r="H10" i="11"/>
  <c r="G32" i="11"/>
  <c r="L81" i="12"/>
  <c r="J92" i="11"/>
  <c r="I92" i="11"/>
  <c r="M34" i="11"/>
  <c r="J18" i="14"/>
  <c r="J18" i="13"/>
  <c r="J40" i="13"/>
  <c r="J49" i="11"/>
  <c r="K63" i="11"/>
  <c r="J63" i="12"/>
  <c r="R17" i="15"/>
  <c r="U17" i="16"/>
  <c r="S93" i="11"/>
  <c r="V93" i="12"/>
  <c r="S34" i="12"/>
  <c r="W34" i="12"/>
  <c r="T18" i="15"/>
  <c r="T18" i="16"/>
  <c r="V25" i="15"/>
  <c r="U25" i="15"/>
  <c r="Y25" i="16"/>
  <c r="J17" i="13"/>
  <c r="G9" i="5"/>
  <c r="K9" i="13" s="1"/>
  <c r="H10" i="16"/>
  <c r="I10" i="15"/>
  <c r="H10" i="15"/>
  <c r="H11" i="7"/>
  <c r="J49" i="14"/>
  <c r="M17" i="16"/>
  <c r="I17" i="16"/>
  <c r="J84" i="11"/>
  <c r="J84" i="12"/>
  <c r="J17" i="16"/>
  <c r="J17" i="15"/>
  <c r="N17" i="16"/>
  <c r="M9" i="15"/>
  <c r="N9" i="15"/>
  <c r="O57" i="12"/>
  <c r="L57" i="11"/>
  <c r="K57" i="11"/>
  <c r="V41" i="12"/>
  <c r="U104" i="4"/>
  <c r="X31" i="12"/>
  <c r="X104" i="4"/>
  <c r="AB31" i="12"/>
  <c r="Z40" i="14"/>
  <c r="AC40" i="13"/>
  <c r="Y45" i="5"/>
  <c r="Y40" i="14"/>
  <c r="AF25" i="12"/>
  <c r="AB25" i="12"/>
  <c r="AT40" i="13"/>
  <c r="Y24" i="14"/>
  <c r="Y24" i="13"/>
  <c r="Y27" i="5"/>
  <c r="Z24" i="14"/>
  <c r="AB34" i="14"/>
  <c r="X34" i="13"/>
  <c r="U34" i="14"/>
  <c r="T34" i="14"/>
  <c r="U40" i="11"/>
  <c r="V40" i="11"/>
  <c r="Y56" i="12"/>
  <c r="Z56" i="11"/>
  <c r="AA57" i="12"/>
  <c r="AA57" i="11"/>
  <c r="AE57" i="12"/>
  <c r="AB57" i="11"/>
  <c r="AF82" i="12"/>
  <c r="AB82" i="11"/>
  <c r="AB82" i="12"/>
  <c r="AC82" i="11"/>
  <c r="AM16" i="14"/>
  <c r="S75" i="11"/>
  <c r="W75" i="12"/>
  <c r="U71" i="11"/>
  <c r="AB58" i="13"/>
  <c r="Y58" i="14"/>
  <c r="X58" i="14"/>
  <c r="Y71" i="14"/>
  <c r="Y46" i="12"/>
  <c r="Z46" i="11"/>
  <c r="AC46" i="12"/>
  <c r="AA18" i="15"/>
  <c r="AD18" i="16"/>
  <c r="AH66" i="11"/>
  <c r="AK66" i="12"/>
  <c r="AG66" i="12"/>
  <c r="AL35" i="13"/>
  <c r="AH35" i="13"/>
  <c r="AH35" i="14"/>
  <c r="S50" i="11"/>
  <c r="U74" i="4"/>
  <c r="X71" i="14"/>
  <c r="AA102" i="4"/>
  <c r="AA94" i="11"/>
  <c r="Z102" i="4"/>
  <c r="AB48" i="11"/>
  <c r="AA48" i="12"/>
  <c r="AH58" i="13"/>
  <c r="AE58" i="14"/>
  <c r="AD58" i="14"/>
  <c r="U55" i="11"/>
  <c r="T55" i="11"/>
  <c r="V104" i="4"/>
  <c r="V31" i="11"/>
  <c r="W31" i="11"/>
  <c r="Z31" i="12"/>
  <c r="Z15" i="11"/>
  <c r="AC15" i="12"/>
  <c r="AB18" i="15"/>
  <c r="AB18" i="16"/>
  <c r="AG40" i="12"/>
  <c r="AC40" i="11"/>
  <c r="AH48" i="12"/>
  <c r="AD48" i="11"/>
  <c r="AD58" i="11"/>
  <c r="AE58" i="11"/>
  <c r="W47" i="11"/>
  <c r="AB19" i="12"/>
  <c r="Z18" i="11"/>
  <c r="AF31" i="15"/>
  <c r="AE31" i="15"/>
  <c r="AI31" i="16"/>
  <c r="AF9" i="11"/>
  <c r="AH40" i="11"/>
  <c r="AI40" i="11"/>
  <c r="AJ19" i="12"/>
  <c r="AK19" i="11"/>
  <c r="AP43" i="13"/>
  <c r="AT43" i="13"/>
  <c r="AS66" i="11"/>
  <c r="Z31" i="16"/>
  <c r="AA63" i="12"/>
  <c r="Y41" i="14"/>
  <c r="Z83" i="11"/>
  <c r="AC82" i="12"/>
  <c r="AA46" i="11"/>
  <c r="AA47" i="11"/>
  <c r="AA34" i="11"/>
  <c r="Z45" i="5"/>
  <c r="Z44" i="13" s="1"/>
  <c r="AB31" i="11"/>
  <c r="AA49" i="14"/>
  <c r="AC94" i="11"/>
  <c r="AE27" i="4"/>
  <c r="AE83" i="11"/>
  <c r="AF83" i="11"/>
  <c r="AF52" i="14"/>
  <c r="AI35" i="14"/>
  <c r="AP19" i="12"/>
  <c r="AL19" i="11"/>
  <c r="AS40" i="14"/>
  <c r="AX46" i="11"/>
  <c r="AF34" i="13"/>
  <c r="AK47" i="12"/>
  <c r="AH47" i="11"/>
  <c r="AT63" i="12"/>
  <c r="T74" i="4"/>
  <c r="Y82" i="12"/>
  <c r="W18" i="15"/>
  <c r="X25" i="15"/>
  <c r="X12" i="5"/>
  <c r="Y31" i="15"/>
  <c r="Z49" i="14"/>
  <c r="Z34" i="14"/>
  <c r="AD93" i="12"/>
  <c r="AB56" i="11"/>
  <c r="AA40" i="14"/>
  <c r="AC65" i="11"/>
  <c r="AF91" i="12"/>
  <c r="AD17" i="11"/>
  <c r="AF34" i="11"/>
  <c r="AG24" i="14"/>
  <c r="AK24" i="13"/>
  <c r="AG11" i="7"/>
  <c r="AH64" i="12"/>
  <c r="AH64" i="11"/>
  <c r="AL64" i="12"/>
  <c r="AK10" i="12"/>
  <c r="AO10" i="12"/>
  <c r="AK10" i="11"/>
  <c r="AL40" i="14"/>
  <c r="AL40" i="13"/>
  <c r="AR57" i="11"/>
  <c r="AQ57" i="12"/>
  <c r="AQ75" i="11"/>
  <c r="AQ75" i="12"/>
  <c r="AR19" i="15"/>
  <c r="AS19" i="15"/>
  <c r="AR19" i="16"/>
  <c r="AT85" i="12"/>
  <c r="AX85" i="12"/>
  <c r="AG40" i="13"/>
  <c r="AD40" i="14"/>
  <c r="AD28" i="4"/>
  <c r="AD27" i="4"/>
  <c r="AD10" i="14"/>
  <c r="AD9" i="5"/>
  <c r="AD9" i="14" s="1"/>
  <c r="AE40" i="14"/>
  <c r="AF40" i="14"/>
  <c r="AV34" i="13"/>
  <c r="AV34" i="14"/>
  <c r="AV17" i="14"/>
  <c r="AW17" i="14"/>
  <c r="AX64" i="11"/>
  <c r="V50" i="11"/>
  <c r="V25" i="14"/>
  <c r="W84" i="11"/>
  <c r="Z65" i="12"/>
  <c r="Z50" i="12"/>
  <c r="AA84" i="12"/>
  <c r="AC43" i="14"/>
  <c r="AG43" i="13"/>
  <c r="AC18" i="15"/>
  <c r="AI9" i="12"/>
  <c r="AF19" i="11"/>
  <c r="Y82" i="11"/>
  <c r="AA84" i="11"/>
  <c r="AD50" i="11"/>
  <c r="AG50" i="12"/>
  <c r="AD32" i="11"/>
  <c r="AH32" i="12"/>
  <c r="AE56" i="11"/>
  <c r="AH56" i="12"/>
  <c r="AD34" i="14"/>
  <c r="AE34" i="14"/>
  <c r="AE71" i="11"/>
  <c r="AD71" i="12"/>
  <c r="AG39" i="11"/>
  <c r="AI10" i="15"/>
  <c r="AH10" i="16"/>
  <c r="AI65" i="12"/>
  <c r="AJ65" i="11"/>
  <c r="AJ34" i="11"/>
  <c r="AJ34" i="12"/>
  <c r="AK83" i="11"/>
  <c r="AL83" i="11"/>
  <c r="AL47" i="12"/>
  <c r="AP47" i="12"/>
  <c r="AM58" i="11"/>
  <c r="AL58" i="12"/>
  <c r="AX40" i="13"/>
  <c r="AG91" i="11"/>
  <c r="AJ18" i="16"/>
  <c r="AR58" i="12"/>
  <c r="AH61" i="13"/>
  <c r="AI41" i="14"/>
  <c r="AO32" i="12"/>
  <c r="AK74" i="4"/>
  <c r="AH49" i="13"/>
  <c r="AK91" i="12"/>
  <c r="AK43" i="13"/>
  <c r="AL15" i="12"/>
  <c r="AL46" i="12"/>
  <c r="AN58" i="11"/>
  <c r="AG26" i="11"/>
  <c r="AJ26" i="12"/>
  <c r="AX104" i="4"/>
  <c r="AX17" i="14"/>
  <c r="K13" i="7"/>
  <c r="K12" i="7"/>
  <c r="AX85" i="11"/>
  <c r="AW85" i="12"/>
  <c r="AW85" i="11"/>
  <c r="AC35" i="12"/>
  <c r="AC12" i="7"/>
  <c r="AC13" i="7"/>
  <c r="AD11" i="15"/>
  <c r="AE11" i="15"/>
  <c r="AE11" i="16"/>
  <c r="B31" i="20"/>
  <c r="B24" i="20"/>
  <c r="B16" i="20"/>
  <c r="AE46" i="5"/>
  <c r="AM11" i="16"/>
  <c r="AI11" i="16"/>
  <c r="D130" i="4"/>
  <c r="AM9" i="13"/>
  <c r="G130" i="4"/>
  <c r="G126" i="4"/>
  <c r="AI9" i="13"/>
  <c r="AI85" i="11"/>
  <c r="AO11" i="16"/>
  <c r="AK11" i="15"/>
  <c r="AL11" i="15"/>
  <c r="P17" i="12"/>
  <c r="M17" i="4"/>
  <c r="N17" i="4" s="1"/>
  <c r="L17" i="11"/>
  <c r="O92" i="4"/>
  <c r="E15" i="4"/>
  <c r="F15" i="4" s="1"/>
  <c r="AX13" i="5"/>
  <c r="AX62" i="14"/>
  <c r="AW62" i="14"/>
  <c r="Y12" i="7"/>
  <c r="Z11" i="15"/>
  <c r="E12" i="7"/>
  <c r="Y13" i="7"/>
  <c r="AC11" i="16"/>
  <c r="AD62" i="13"/>
  <c r="U9" i="13"/>
  <c r="F17" i="4"/>
  <c r="F17" i="11" s="1"/>
  <c r="E17" i="11"/>
  <c r="H130" i="4"/>
  <c r="H126" i="4"/>
  <c r="D126" i="4"/>
  <c r="J27" i="13"/>
  <c r="AH9" i="13"/>
  <c r="T35" i="12"/>
  <c r="BE149" i="4"/>
  <c r="BE67" i="13"/>
  <c r="BE41" i="14"/>
  <c r="BE49" i="14"/>
  <c r="BE67" i="14"/>
  <c r="M11" i="12"/>
  <c r="I11" i="11"/>
  <c r="I11" i="12"/>
  <c r="R31" i="12"/>
  <c r="N104" i="4"/>
  <c r="O31" i="11"/>
  <c r="AB9" i="14"/>
  <c r="K63" i="12"/>
  <c r="P18" i="16"/>
  <c r="G91" i="12"/>
  <c r="K91" i="12"/>
  <c r="I41" i="11"/>
  <c r="J41" i="11"/>
  <c r="M57" i="12"/>
  <c r="I57" i="11"/>
  <c r="J57" i="11"/>
  <c r="K24" i="12"/>
  <c r="O24" i="12"/>
  <c r="L46" i="11"/>
  <c r="K46" i="12"/>
  <c r="L58" i="11"/>
  <c r="O58" i="12"/>
  <c r="O9" i="11"/>
  <c r="N9" i="11"/>
  <c r="N9" i="12"/>
  <c r="R9" i="12"/>
  <c r="AN62" i="14"/>
  <c r="G41" i="11"/>
  <c r="H41" i="11"/>
  <c r="G41" i="12"/>
  <c r="O94" i="11"/>
  <c r="R94" i="12"/>
  <c r="O82" i="11"/>
  <c r="N91" i="4"/>
  <c r="BE19" i="12"/>
  <c r="BB19" i="11"/>
  <c r="BA19" i="11"/>
  <c r="BE49" i="12"/>
  <c r="BA49" i="11"/>
  <c r="BB49" i="11"/>
  <c r="BA49" i="12"/>
  <c r="BE66" i="12"/>
  <c r="BA66" i="11"/>
  <c r="BA66" i="12"/>
  <c r="BB83" i="11"/>
  <c r="BE83" i="12"/>
  <c r="BA83" i="12"/>
  <c r="BA83" i="11"/>
  <c r="BE10" i="12"/>
  <c r="BE10" i="11"/>
  <c r="BE26" i="11"/>
  <c r="BE26" i="12"/>
  <c r="BF43" i="14"/>
  <c r="BF43" i="13"/>
  <c r="BF9" i="16"/>
  <c r="H63" i="11"/>
  <c r="J11" i="11"/>
  <c r="O40" i="14"/>
  <c r="G10" i="11"/>
  <c r="J10" i="12"/>
  <c r="F10" i="12"/>
  <c r="F10" i="11"/>
  <c r="G31" i="12"/>
  <c r="K31" i="12"/>
  <c r="H31" i="11"/>
  <c r="O17" i="14"/>
  <c r="N17" i="14"/>
  <c r="N17" i="13"/>
  <c r="N40" i="13"/>
  <c r="AA13" i="7"/>
  <c r="AA11" i="16"/>
  <c r="F24" i="14"/>
  <c r="L24" i="13"/>
  <c r="P24" i="13"/>
  <c r="BB63" i="11"/>
  <c r="BB63" i="12"/>
  <c r="R61" i="13"/>
  <c r="N61" i="14"/>
  <c r="N12" i="7"/>
  <c r="N31" i="12"/>
  <c r="AS35" i="11"/>
  <c r="AS35" i="12"/>
  <c r="F83" i="11"/>
  <c r="J83" i="12"/>
  <c r="M49" i="11"/>
  <c r="N49" i="11"/>
  <c r="M49" i="12"/>
  <c r="M63" i="11"/>
  <c r="N63" i="11"/>
  <c r="Q63" i="12"/>
  <c r="M91" i="11"/>
  <c r="M91" i="12"/>
  <c r="N91" i="11"/>
  <c r="Q49" i="13"/>
  <c r="H16" i="4"/>
  <c r="I16" i="4" s="1"/>
  <c r="K16" i="12"/>
  <c r="N25" i="15"/>
  <c r="R25" i="16"/>
  <c r="N25" i="16"/>
  <c r="N31" i="11"/>
  <c r="N61" i="13"/>
  <c r="K41" i="12"/>
  <c r="F55" i="12"/>
  <c r="J55" i="12"/>
  <c r="G55" i="11"/>
  <c r="F55" i="11"/>
  <c r="F64" i="12"/>
  <c r="G64" i="11"/>
  <c r="J93" i="12"/>
  <c r="N93" i="12"/>
  <c r="K93" i="11"/>
  <c r="M25" i="12"/>
  <c r="Q25" i="12"/>
  <c r="P17" i="11"/>
  <c r="O17" i="12"/>
  <c r="S17" i="12"/>
  <c r="P55" i="11"/>
  <c r="O65" i="11"/>
  <c r="P65" i="11"/>
  <c r="S65" i="12"/>
  <c r="P91" i="11"/>
  <c r="P16" i="14"/>
  <c r="O16" i="13"/>
  <c r="S16" i="13"/>
  <c r="O33" i="13"/>
  <c r="O33" i="14"/>
  <c r="V63" i="12"/>
  <c r="V82" i="12"/>
  <c r="R82" i="12"/>
  <c r="R91" i="4"/>
  <c r="V25" i="13"/>
  <c r="R25" i="13"/>
  <c r="R25" i="14"/>
  <c r="S25" i="14"/>
  <c r="R61" i="14"/>
  <c r="V61" i="13"/>
  <c r="X18" i="16"/>
  <c r="U18" i="15"/>
  <c r="Y25" i="12"/>
  <c r="U25" i="12"/>
  <c r="V25" i="11"/>
  <c r="Y11" i="11"/>
  <c r="X11" i="12"/>
  <c r="AB11" i="12"/>
  <c r="Y31" i="11"/>
  <c r="X35" i="4"/>
  <c r="X31" i="11"/>
  <c r="Y48" i="11"/>
  <c r="AB48" i="12"/>
  <c r="X48" i="12"/>
  <c r="AB83" i="12"/>
  <c r="X83" i="11"/>
  <c r="X71" i="11"/>
  <c r="AB71" i="12"/>
  <c r="X74" i="4"/>
  <c r="Y83" i="12"/>
  <c r="Y83" i="11"/>
  <c r="AC10" i="13"/>
  <c r="Y9" i="5"/>
  <c r="AC9" i="13" s="1"/>
  <c r="Y10" i="13"/>
  <c r="Z10" i="14"/>
  <c r="Y12" i="5"/>
  <c r="Y33" i="14"/>
  <c r="Y33" i="13"/>
  <c r="AD57" i="12"/>
  <c r="Z57" i="12"/>
  <c r="Z91" i="4"/>
  <c r="Z92" i="4" s="1"/>
  <c r="AD82" i="12"/>
  <c r="AA82" i="11"/>
  <c r="Z82" i="11"/>
  <c r="AF26" i="13"/>
  <c r="AC26" i="14"/>
  <c r="AB26" i="14"/>
  <c r="AB26" i="13"/>
  <c r="AC70" i="14"/>
  <c r="AG70" i="13"/>
  <c r="AC70" i="13"/>
  <c r="AD70" i="14"/>
  <c r="AH33" i="11"/>
  <c r="AG35" i="4"/>
  <c r="AG37" i="4" s="1"/>
  <c r="AG104" i="4"/>
  <c r="AG48" i="11"/>
  <c r="AK48" i="12"/>
  <c r="AH65" i="11"/>
  <c r="AK65" i="12"/>
  <c r="AG65" i="12"/>
  <c r="AF45" i="5"/>
  <c r="AF49" i="5" s="1"/>
  <c r="AK61" i="13"/>
  <c r="AG67" i="5"/>
  <c r="AH62" i="14" s="1"/>
  <c r="AG29" i="4"/>
  <c r="AG26" i="12"/>
  <c r="AK26" i="12"/>
  <c r="AG28" i="4"/>
  <c r="AH26" i="11"/>
  <c r="AL9" i="12"/>
  <c r="AI9" i="11"/>
  <c r="AH24" i="11"/>
  <c r="AL24" i="12"/>
  <c r="AI24" i="11"/>
  <c r="AH27" i="4"/>
  <c r="AH24" i="12"/>
  <c r="AP17" i="12"/>
  <c r="AL17" i="12"/>
  <c r="AL17" i="11"/>
  <c r="AP33" i="12"/>
  <c r="AL33" i="12"/>
  <c r="AM48" i="11"/>
  <c r="AL52" i="4"/>
  <c r="AL48" i="11"/>
  <c r="AP64" i="12"/>
  <c r="AL64" i="11"/>
  <c r="AM64" i="11"/>
  <c r="AL91" i="4"/>
  <c r="AL85" i="12" s="1"/>
  <c r="AM82" i="11"/>
  <c r="AL82" i="11"/>
  <c r="AL10" i="14"/>
  <c r="AP10" i="13"/>
  <c r="AL10" i="13"/>
  <c r="AM10" i="14"/>
  <c r="AO25" i="15"/>
  <c r="AN25" i="15"/>
  <c r="AN25" i="16"/>
  <c r="AR25" i="16"/>
  <c r="AO52" i="14"/>
  <c r="AR52" i="13"/>
  <c r="AN52" i="13"/>
  <c r="AL11" i="13"/>
  <c r="AL11" i="14"/>
  <c r="AL45" i="5"/>
  <c r="AL44" i="13" s="1"/>
  <c r="AP11" i="13"/>
  <c r="AS45" i="5"/>
  <c r="AS44" i="13" s="1"/>
  <c r="AY75" i="12"/>
  <c r="AU75" i="11"/>
  <c r="AU75" i="12"/>
  <c r="AV75" i="11"/>
  <c r="AZ34" i="12"/>
  <c r="AV35" i="4"/>
  <c r="AW34" i="11"/>
  <c r="AV34" i="11"/>
  <c r="AV34" i="12"/>
  <c r="AY26" i="11"/>
  <c r="BB26" i="12"/>
  <c r="AX26" i="12"/>
  <c r="BA25" i="16"/>
  <c r="AX25" i="15"/>
  <c r="AV16" i="14"/>
  <c r="AZ16" i="13"/>
  <c r="G50" i="12"/>
  <c r="K50" i="12"/>
  <c r="S13" i="7"/>
  <c r="Q62" i="13"/>
  <c r="H50" i="11"/>
  <c r="AZ62" i="13"/>
  <c r="F40" i="11"/>
  <c r="F40" i="12"/>
  <c r="H81" i="12"/>
  <c r="I34" i="14"/>
  <c r="H34" i="13"/>
  <c r="H67" i="5"/>
  <c r="H62" i="13" s="1"/>
  <c r="H58" i="13"/>
  <c r="M9" i="11"/>
  <c r="P9" i="12"/>
  <c r="L9" i="11"/>
  <c r="L40" i="12"/>
  <c r="L65" i="12"/>
  <c r="L65" i="11"/>
  <c r="I9" i="5"/>
  <c r="M10" i="13"/>
  <c r="I12" i="5"/>
  <c r="M33" i="13"/>
  <c r="I33" i="13"/>
  <c r="J82" i="12"/>
  <c r="K74" i="4"/>
  <c r="O71" i="12"/>
  <c r="K71" i="12"/>
  <c r="K92" i="11"/>
  <c r="K92" i="12"/>
  <c r="C24" i="17"/>
  <c r="I10" i="11"/>
  <c r="O66" i="11"/>
  <c r="O92" i="12"/>
  <c r="AZ81" i="11"/>
  <c r="BC81" i="12"/>
  <c r="P19" i="16"/>
  <c r="BC55" i="12"/>
  <c r="AZ55" i="11"/>
  <c r="AY55" i="12"/>
  <c r="BC65" i="12"/>
  <c r="AZ65" i="11"/>
  <c r="BB11" i="15"/>
  <c r="BD16" i="14"/>
  <c r="AA9" i="14"/>
  <c r="L71" i="11"/>
  <c r="O75" i="11"/>
  <c r="O26" i="14"/>
  <c r="AX141" i="4"/>
  <c r="AX35" i="4"/>
  <c r="L70" i="13"/>
  <c r="M11" i="11"/>
  <c r="N90" i="12"/>
  <c r="R43" i="13"/>
  <c r="Z33" i="12"/>
  <c r="V33" i="12"/>
  <c r="BC10" i="12"/>
  <c r="AY10" i="12"/>
  <c r="AZ10" i="11"/>
  <c r="B62" i="19"/>
  <c r="AY151" i="4"/>
  <c r="AZ41" i="11"/>
  <c r="G67" i="14"/>
  <c r="L84" i="11"/>
  <c r="O27" i="5"/>
  <c r="Z18" i="13"/>
  <c r="AH46" i="5"/>
  <c r="BB83" i="5"/>
  <c r="BB27" i="4"/>
  <c r="BB24" i="11"/>
  <c r="BE55" i="11"/>
  <c r="BD55" i="12"/>
  <c r="BD55" i="11"/>
  <c r="BE66" i="11"/>
  <c r="BD66" i="12"/>
  <c r="BE151" i="4"/>
  <c r="BE41" i="11"/>
  <c r="BF10" i="11"/>
  <c r="G58" i="11"/>
  <c r="L39" i="12"/>
  <c r="I52" i="14"/>
  <c r="J16" i="13"/>
  <c r="J35" i="13"/>
  <c r="M17" i="13"/>
  <c r="N41" i="14"/>
  <c r="N67" i="5"/>
  <c r="L56" i="11"/>
  <c r="AA67" i="14"/>
  <c r="AJ10" i="16"/>
  <c r="AJ10" i="15"/>
  <c r="B31" i="17"/>
  <c r="BC11" i="11"/>
  <c r="BB11" i="11"/>
  <c r="BE47" i="11"/>
  <c r="BD47" i="12"/>
  <c r="BE9" i="13"/>
  <c r="BA9" i="14"/>
  <c r="BB9" i="14"/>
  <c r="BE19" i="16"/>
  <c r="BB19" i="15"/>
  <c r="AY141" i="4"/>
  <c r="AZ31" i="11"/>
  <c r="BA40" i="11"/>
  <c r="BA40" i="12"/>
  <c r="BB40" i="11"/>
  <c r="O16" i="14"/>
  <c r="AC41" i="12"/>
  <c r="AT41" i="14"/>
  <c r="BB75" i="11"/>
  <c r="BD31" i="15"/>
  <c r="BC31" i="15"/>
  <c r="AZ19" i="11"/>
  <c r="BD19" i="12"/>
  <c r="BD49" i="12"/>
  <c r="AZ49" i="11"/>
  <c r="AZ52" i="4"/>
  <c r="BB34" i="12"/>
  <c r="BC34" i="11"/>
  <c r="Q33" i="11"/>
  <c r="S27" i="4"/>
  <c r="U61" i="13"/>
  <c r="AA18" i="14"/>
  <c r="AB34" i="11"/>
  <c r="AG42" i="14"/>
  <c r="AH10" i="11"/>
  <c r="AK19" i="16"/>
  <c r="AS61" i="14"/>
  <c r="AW25" i="16"/>
  <c r="AY41" i="12"/>
  <c r="AU42" i="14"/>
  <c r="AX52" i="13"/>
  <c r="BC18" i="14"/>
  <c r="BC34" i="13"/>
  <c r="BC26" i="13"/>
  <c r="BC71" i="14"/>
  <c r="AZ61" i="14"/>
  <c r="BE11" i="12"/>
  <c r="BE58" i="11"/>
  <c r="BE35" i="13"/>
  <c r="AX149" i="4"/>
  <c r="AY149" i="4"/>
  <c r="BF10" i="13"/>
  <c r="BF18" i="12"/>
  <c r="BF48" i="11"/>
  <c r="BF10" i="15"/>
  <c r="Q49" i="11"/>
  <c r="W43" i="13"/>
  <c r="X17" i="13"/>
  <c r="U81" i="12"/>
  <c r="X18" i="15"/>
  <c r="AC24" i="13"/>
  <c r="AF61" i="14"/>
  <c r="AL17" i="13"/>
  <c r="AS71" i="13"/>
  <c r="AU43" i="13"/>
  <c r="BA52" i="13"/>
  <c r="BC26" i="11"/>
  <c r="BC55" i="11"/>
  <c r="AY104" i="4"/>
  <c r="BD66" i="11"/>
  <c r="BE15" i="11"/>
  <c r="BE63" i="12"/>
  <c r="BE93" i="11"/>
  <c r="BA42" i="14"/>
  <c r="BE25" i="13"/>
  <c r="BE61" i="14"/>
  <c r="BE18" i="15"/>
  <c r="F22" i="21"/>
  <c r="F40" i="21"/>
  <c r="BF11" i="15"/>
  <c r="P17" i="15"/>
  <c r="W26" i="13"/>
  <c r="S67" i="14"/>
  <c r="T41" i="14"/>
  <c r="T67" i="5"/>
  <c r="T62" i="14" s="1"/>
  <c r="X55" i="12"/>
  <c r="AB35" i="14"/>
  <c r="AF49" i="14"/>
  <c r="AH25" i="14"/>
  <c r="AK61" i="14"/>
  <c r="AL39" i="11"/>
  <c r="AP18" i="13"/>
  <c r="AY65" i="12"/>
  <c r="AZ49" i="12"/>
  <c r="AY17" i="13"/>
  <c r="BC17" i="11"/>
  <c r="BD47" i="11"/>
  <c r="BD92" i="11"/>
  <c r="BC24" i="13"/>
  <c r="BD61" i="14"/>
  <c r="BE81" i="11"/>
  <c r="AZ150" i="4"/>
  <c r="F16" i="21"/>
  <c r="BF31" i="12"/>
  <c r="BF50" i="11"/>
  <c r="BF25" i="15"/>
  <c r="Q58" i="14"/>
  <c r="Z10" i="16"/>
  <c r="X92" i="12"/>
  <c r="AC67" i="13"/>
  <c r="AJ26" i="13"/>
  <c r="AP40" i="12"/>
  <c r="AV70" i="13"/>
  <c r="AY81" i="12"/>
  <c r="BB66" i="11"/>
  <c r="BD18" i="11"/>
  <c r="BC48" i="11"/>
  <c r="BC93" i="11"/>
  <c r="BD24" i="12"/>
  <c r="BD75" i="12"/>
  <c r="BD49" i="13"/>
  <c r="BA43" i="14"/>
  <c r="BB149" i="4"/>
  <c r="BF26" i="14"/>
  <c r="BF61" i="14"/>
  <c r="BF9" i="11"/>
  <c r="BF32" i="11"/>
  <c r="B91" i="18"/>
  <c r="K35" i="13"/>
  <c r="P90" i="11"/>
  <c r="T34" i="13"/>
  <c r="U24" i="13"/>
  <c r="Q45" i="5"/>
  <c r="Q44" i="14" s="1"/>
  <c r="R82" i="11"/>
  <c r="X61" i="13"/>
  <c r="U16" i="13"/>
  <c r="U35" i="14"/>
  <c r="V55" i="11"/>
  <c r="V34" i="13"/>
  <c r="W91" i="11"/>
  <c r="AC16" i="14"/>
  <c r="AC52" i="13"/>
  <c r="AG82" i="11"/>
  <c r="AI19" i="15"/>
  <c r="AK46" i="11"/>
  <c r="AL41" i="14"/>
  <c r="AU92" i="12"/>
  <c r="AX50" i="11"/>
  <c r="AY62" i="14"/>
  <c r="AX71" i="13"/>
  <c r="BC19" i="11"/>
  <c r="BD24" i="14"/>
  <c r="BD25" i="15"/>
  <c r="BD50" i="12"/>
  <c r="BB150" i="4"/>
  <c r="F15" i="21"/>
  <c r="BF62" i="14"/>
  <c r="BF10" i="12"/>
  <c r="AI82" i="11"/>
  <c r="BA19" i="15"/>
  <c r="BE34" i="14"/>
  <c r="BE71" i="12"/>
  <c r="BE84" i="12"/>
  <c r="BE9" i="15"/>
  <c r="E22" i="21"/>
  <c r="BF34" i="11"/>
  <c r="BF65" i="11"/>
  <c r="O61" i="14"/>
  <c r="R49" i="13"/>
  <c r="V18" i="14"/>
  <c r="V41" i="14"/>
  <c r="U71" i="14"/>
  <c r="V45" i="5"/>
  <c r="X26" i="11"/>
  <c r="X83" i="12"/>
  <c r="AG41" i="14"/>
  <c r="AH19" i="12"/>
  <c r="AJ67" i="5"/>
  <c r="AK62" i="14" s="1"/>
  <c r="AM63" i="11"/>
  <c r="AP45" i="5"/>
  <c r="AP46" i="5" s="1"/>
  <c r="AP67" i="5"/>
  <c r="AU10" i="12"/>
  <c r="AQ18" i="13"/>
  <c r="AQ45" i="5"/>
  <c r="AY31" i="12"/>
  <c r="AW10" i="14"/>
  <c r="BC50" i="11"/>
  <c r="BC63" i="11"/>
  <c r="BC49" i="13"/>
  <c r="BD17" i="12"/>
  <c r="BD52" i="4"/>
  <c r="BD65" i="12"/>
  <c r="AX142" i="4"/>
  <c r="BD150" i="4"/>
  <c r="BF66" i="12"/>
  <c r="BF83" i="12"/>
  <c r="BF81" i="12"/>
  <c r="BC50" i="12"/>
  <c r="BC33" i="11"/>
  <c r="BC16" i="13"/>
  <c r="BC26" i="14"/>
  <c r="BC49" i="14"/>
  <c r="BC17" i="15"/>
  <c r="BD34" i="11"/>
  <c r="BC81" i="11"/>
  <c r="BC17" i="16"/>
  <c r="BC104" i="4"/>
  <c r="BC149" i="4"/>
  <c r="BC33" i="12"/>
  <c r="E33" i="21"/>
  <c r="BC48" i="12"/>
  <c r="BC58" i="12"/>
  <c r="BC25" i="15"/>
  <c r="BC150" i="4"/>
  <c r="BC75" i="11"/>
  <c r="BC85" i="11"/>
  <c r="BC25" i="16"/>
  <c r="BC25" i="12"/>
  <c r="BC39" i="12"/>
  <c r="BC65" i="11"/>
  <c r="BC40" i="13"/>
  <c r="BD40" i="14"/>
  <c r="D17" i="18"/>
  <c r="BF9" i="12"/>
  <c r="BF25" i="14"/>
  <c r="BF18" i="11"/>
  <c r="BF40" i="14"/>
  <c r="BF11" i="16"/>
  <c r="BF9" i="15"/>
  <c r="BF50" i="12"/>
  <c r="BF19" i="11"/>
  <c r="BF41" i="14"/>
  <c r="BF10" i="14"/>
  <c r="BF42" i="14"/>
  <c r="C14" i="17"/>
  <c r="BF48" i="12"/>
  <c r="BF75" i="12"/>
  <c r="BF64" i="11"/>
  <c r="BF81" i="11"/>
  <c r="BF61" i="13"/>
  <c r="BF25" i="16"/>
  <c r="E46" i="18"/>
  <c r="D66" i="18"/>
  <c r="BF62" i="13"/>
  <c r="BF31" i="11"/>
  <c r="BF66" i="11"/>
  <c r="BF83" i="11"/>
  <c r="BF40" i="13"/>
  <c r="BF9" i="13"/>
  <c r="BF33" i="12"/>
  <c r="C67" i="19"/>
  <c r="C77" i="19" s="1"/>
  <c r="C32" i="19"/>
  <c r="C39" i="19"/>
  <c r="D39" i="19" s="1"/>
  <c r="D8" i="19"/>
  <c r="C23" i="19"/>
  <c r="D23" i="19"/>
  <c r="C48" i="19"/>
  <c r="B57" i="19"/>
  <c r="B32" i="19"/>
  <c r="B39" i="19"/>
  <c r="B48" i="19"/>
  <c r="D14" i="18"/>
  <c r="D95" i="18"/>
  <c r="D22" i="18"/>
  <c r="D52" i="18"/>
  <c r="D29" i="18"/>
  <c r="E43" i="18"/>
  <c r="E8" i="20"/>
  <c r="D31" i="20" s="1"/>
  <c r="D59" i="18"/>
  <c r="E8" i="19"/>
  <c r="E39" i="19" s="1"/>
  <c r="BF57" i="14"/>
  <c r="BF15" i="14"/>
  <c r="BF32" i="14"/>
  <c r="BF66" i="14"/>
  <c r="BF48" i="14"/>
  <c r="BF23" i="14"/>
  <c r="BF23" i="13"/>
  <c r="BF57" i="13"/>
  <c r="BF15" i="13"/>
  <c r="BF66" i="13"/>
  <c r="BF32" i="13"/>
  <c r="E18" i="14"/>
  <c r="D18" i="14"/>
  <c r="H18" i="13"/>
  <c r="C35" i="14"/>
  <c r="F35" i="13"/>
  <c r="C11" i="14"/>
  <c r="C12" i="5"/>
  <c r="D52" i="14"/>
  <c r="E52" i="14"/>
  <c r="E71" i="14"/>
  <c r="H71" i="13"/>
  <c r="R9" i="14"/>
  <c r="R9" i="13"/>
  <c r="D71" i="14"/>
  <c r="AO28" i="5"/>
  <c r="W27" i="14"/>
  <c r="R17" i="14"/>
  <c r="U17" i="13"/>
  <c r="Q17" i="14"/>
  <c r="Q17" i="13"/>
  <c r="R35" i="14"/>
  <c r="Q35" i="14"/>
  <c r="Q35" i="13"/>
  <c r="Q52" i="14"/>
  <c r="Q52" i="13"/>
  <c r="R71" i="14"/>
  <c r="Q71" i="14"/>
  <c r="Q71" i="13"/>
  <c r="L62" i="5"/>
  <c r="L51" i="5"/>
  <c r="L71" i="5"/>
  <c r="L23" i="5"/>
  <c r="L32" i="5"/>
  <c r="L40" i="5"/>
  <c r="H10" i="14"/>
  <c r="H9" i="5"/>
  <c r="H9" i="13" s="1"/>
  <c r="H12" i="5"/>
  <c r="I10" i="14"/>
  <c r="H43" i="13"/>
  <c r="I43" i="14"/>
  <c r="H43" i="14"/>
  <c r="L16" i="13"/>
  <c r="P16" i="13"/>
  <c r="M34" i="14"/>
  <c r="L34" i="14"/>
  <c r="L34" i="13"/>
  <c r="AV46" i="5"/>
  <c r="U52" i="13"/>
  <c r="AD33" i="13"/>
  <c r="AJ25" i="13"/>
  <c r="AQ35" i="13"/>
  <c r="AM35" i="14"/>
  <c r="AM35" i="13"/>
  <c r="AP71" i="13"/>
  <c r="AP71" i="14"/>
  <c r="BE71" i="13"/>
  <c r="BE71" i="14"/>
  <c r="M9" i="14"/>
  <c r="AM44" i="14"/>
  <c r="AM58" i="13"/>
  <c r="U41" i="14"/>
  <c r="L35" i="14"/>
  <c r="N27" i="5"/>
  <c r="O27" i="14" s="1"/>
  <c r="J16" i="14"/>
  <c r="R24" i="14"/>
  <c r="L45" i="5"/>
  <c r="P44" i="13" s="1"/>
  <c r="H35" i="13"/>
  <c r="Y16" i="14"/>
  <c r="V67" i="5"/>
  <c r="AB71" i="14"/>
  <c r="AD62" i="5"/>
  <c r="AM44" i="13"/>
  <c r="AB24" i="14"/>
  <c r="M41" i="14"/>
  <c r="X33" i="14"/>
  <c r="M45" i="5"/>
  <c r="M44" i="13" s="1"/>
  <c r="AP24" i="13"/>
  <c r="T45" i="5"/>
  <c r="T44" i="13" s="1"/>
  <c r="AB27" i="5"/>
  <c r="AB28" i="5" s="1"/>
  <c r="H45" i="5"/>
  <c r="I44" i="14" s="1"/>
  <c r="N24" i="13"/>
  <c r="N45" i="5"/>
  <c r="O44" i="14" s="1"/>
  <c r="P58" i="13"/>
  <c r="R27" i="5"/>
  <c r="AP58" i="13"/>
  <c r="U35" i="13"/>
  <c r="O71" i="5"/>
  <c r="B23" i="5"/>
  <c r="B32" i="5"/>
  <c r="B62" i="5"/>
  <c r="B51" i="5"/>
  <c r="B71" i="5"/>
  <c r="C40" i="5"/>
  <c r="C23" i="5"/>
  <c r="C15" i="5"/>
  <c r="C62" i="5"/>
  <c r="C32" i="5"/>
  <c r="C51" i="5"/>
  <c r="D16" i="14"/>
  <c r="G67" i="13"/>
  <c r="P23" i="5"/>
  <c r="P15" i="5"/>
  <c r="P40" i="5"/>
  <c r="S71" i="5"/>
  <c r="S23" i="5"/>
  <c r="S15" i="5"/>
  <c r="S51" i="5"/>
  <c r="S40" i="5"/>
  <c r="AC62" i="5"/>
  <c r="AE49" i="14"/>
  <c r="AI49" i="13"/>
  <c r="AE49" i="13"/>
  <c r="AH61" i="14"/>
  <c r="AG61" i="14"/>
  <c r="AZ35" i="14"/>
  <c r="BA35" i="14"/>
  <c r="AZ35" i="13"/>
  <c r="BA24" i="14"/>
  <c r="AZ24" i="14"/>
  <c r="BB16" i="14"/>
  <c r="BA16" i="13"/>
  <c r="BA16" i="14"/>
  <c r="Z32" i="5"/>
  <c r="Z51" i="5"/>
  <c r="Z71" i="5"/>
  <c r="Z23" i="5"/>
  <c r="Z40" i="5"/>
  <c r="AB49" i="13"/>
  <c r="AD35" i="14"/>
  <c r="AE35" i="14"/>
  <c r="AD35" i="13"/>
  <c r="AG27" i="5"/>
  <c r="AH27" i="14" s="1"/>
  <c r="AH24" i="14"/>
  <c r="AL34" i="14"/>
  <c r="AP34" i="13"/>
  <c r="AS25" i="14"/>
  <c r="AS25" i="13"/>
  <c r="AS27" i="5"/>
  <c r="AS28" i="5" s="1"/>
  <c r="BD43" i="14"/>
  <c r="BD24" i="13"/>
  <c r="Y67" i="5"/>
  <c r="Z62" i="14" s="1"/>
  <c r="AD51" i="5"/>
  <c r="AA27" i="13"/>
  <c r="AQ18" i="14"/>
  <c r="K62" i="5"/>
  <c r="K32" i="5"/>
  <c r="AC34" i="14"/>
  <c r="W71" i="14"/>
  <c r="AQ58" i="14"/>
  <c r="O42" i="14"/>
  <c r="L67" i="5"/>
  <c r="M62" i="14" s="1"/>
  <c r="M52" i="13"/>
  <c r="T26" i="14"/>
  <c r="I52" i="13"/>
  <c r="AD23" i="5"/>
  <c r="AD32" i="5"/>
  <c r="F33" i="14"/>
  <c r="AB24" i="13"/>
  <c r="J52" i="14"/>
  <c r="P61" i="14"/>
  <c r="O26" i="13"/>
  <c r="AL9" i="13"/>
  <c r="V40" i="13"/>
  <c r="AQ41" i="14"/>
  <c r="AK42" i="14"/>
  <c r="AG9" i="13"/>
  <c r="R49" i="14"/>
  <c r="K70" i="13"/>
  <c r="U67" i="5"/>
  <c r="U62" i="13" s="1"/>
  <c r="AG45" i="5"/>
  <c r="AG50" i="5" s="1"/>
  <c r="AG43" i="14"/>
  <c r="AY26" i="13"/>
  <c r="AU26" i="13"/>
  <c r="AV26" i="14"/>
  <c r="AY67" i="13"/>
  <c r="AV67" i="14"/>
  <c r="AU67" i="13"/>
  <c r="AU67" i="14"/>
  <c r="BC62" i="14"/>
  <c r="BB62" i="14"/>
  <c r="AD15" i="5"/>
  <c r="Z58" i="13"/>
  <c r="Y61" i="13"/>
  <c r="S26" i="13"/>
  <c r="F71" i="5"/>
  <c r="F40" i="5"/>
  <c r="F32" i="5"/>
  <c r="F23" i="5"/>
  <c r="F15" i="5"/>
  <c r="O23" i="5"/>
  <c r="O62" i="5"/>
  <c r="O32" i="5"/>
  <c r="O40" i="5"/>
  <c r="R26" i="14"/>
  <c r="R26" i="13"/>
  <c r="R67" i="14"/>
  <c r="R67" i="13"/>
  <c r="V40" i="14"/>
  <c r="W40" i="14"/>
  <c r="AC40" i="5"/>
  <c r="AC32" i="5"/>
  <c r="AC71" i="5"/>
  <c r="AC79" i="5"/>
  <c r="AC51" i="5"/>
  <c r="AC23" i="5"/>
  <c r="AI67" i="5"/>
  <c r="AI58" i="13"/>
  <c r="AI58" i="14"/>
  <c r="BC43" i="14"/>
  <c r="BB43" i="14"/>
  <c r="AI9" i="14"/>
  <c r="V58" i="14"/>
  <c r="AB71" i="13"/>
  <c r="AM16" i="13"/>
  <c r="G45" i="5"/>
  <c r="K16" i="13"/>
  <c r="H16" i="14"/>
  <c r="Q62" i="14"/>
  <c r="Z35" i="13"/>
  <c r="AT52" i="13"/>
  <c r="V17" i="14"/>
  <c r="T18" i="13"/>
  <c r="X16" i="14"/>
  <c r="E35" i="14"/>
  <c r="U18" i="14"/>
  <c r="Q41" i="14"/>
  <c r="P34" i="13"/>
  <c r="AZ10" i="13"/>
  <c r="T18" i="14"/>
  <c r="X16" i="13"/>
  <c r="S49" i="14"/>
  <c r="AG25" i="14"/>
  <c r="AJ42" i="14"/>
  <c r="AJ25" i="14"/>
  <c r="F51" i="5"/>
  <c r="K40" i="5"/>
  <c r="D71" i="5"/>
  <c r="D23" i="5"/>
  <c r="D62" i="5"/>
  <c r="D40" i="5"/>
  <c r="D15" i="5"/>
  <c r="E9" i="5"/>
  <c r="E9" i="14" s="1"/>
  <c r="E12" i="5"/>
  <c r="M40" i="5"/>
  <c r="M71" i="5"/>
  <c r="M32" i="5"/>
  <c r="M62" i="5"/>
  <c r="M15" i="5"/>
  <c r="M23" i="5"/>
  <c r="R32" i="5"/>
  <c r="R71" i="5"/>
  <c r="R51" i="5"/>
  <c r="R23" i="5"/>
  <c r="Y35" i="13"/>
  <c r="AC35" i="13"/>
  <c r="AO62" i="5"/>
  <c r="AO15" i="5"/>
  <c r="AV17" i="13"/>
  <c r="AR17" i="13"/>
  <c r="AU52" i="13"/>
  <c r="AU52" i="14"/>
  <c r="BD9" i="14"/>
  <c r="BC9" i="14"/>
  <c r="BA40" i="14"/>
  <c r="AN16" i="14"/>
  <c r="K11" i="13"/>
  <c r="L70" i="14"/>
  <c r="O61" i="13"/>
  <c r="G16" i="13"/>
  <c r="G12" i="5"/>
  <c r="R41" i="14"/>
  <c r="Z35" i="14"/>
  <c r="H11" i="14"/>
  <c r="O67" i="5"/>
  <c r="L43" i="13"/>
  <c r="U71" i="13"/>
  <c r="P34" i="14"/>
  <c r="Y61" i="14"/>
  <c r="Q34" i="14"/>
  <c r="L11" i="13"/>
  <c r="AH33" i="13"/>
  <c r="AG25" i="13"/>
  <c r="U52" i="14"/>
  <c r="Q24" i="14"/>
  <c r="K17" i="13"/>
  <c r="H24" i="14"/>
  <c r="AT52" i="14"/>
  <c r="AF25" i="14"/>
  <c r="D49" i="14"/>
  <c r="K15" i="5"/>
  <c r="O70" i="13"/>
  <c r="AZ10" i="14"/>
  <c r="AY10" i="13"/>
  <c r="BC52" i="13"/>
  <c r="AZ52" i="14"/>
  <c r="BC70" i="13"/>
  <c r="AZ70" i="14"/>
  <c r="AE33" i="14"/>
  <c r="AQ71" i="14"/>
  <c r="V35" i="14"/>
  <c r="K17" i="14"/>
  <c r="AC24" i="14"/>
  <c r="V49" i="13"/>
  <c r="W34" i="14"/>
  <c r="Y52" i="13"/>
  <c r="S26" i="14"/>
  <c r="K51" i="5"/>
  <c r="O51" i="5"/>
  <c r="H32" i="5"/>
  <c r="H51" i="5"/>
  <c r="H23" i="5"/>
  <c r="H62" i="5"/>
  <c r="S27" i="5"/>
  <c r="S27" i="13" s="1"/>
  <c r="AK52" i="14"/>
  <c r="AL52" i="14"/>
  <c r="AM70" i="14"/>
  <c r="AN70" i="14"/>
  <c r="AN35" i="14"/>
  <c r="AN35" i="13"/>
  <c r="AM52" i="13"/>
  <c r="AN52" i="14"/>
  <c r="AQ52" i="13"/>
  <c r="BD33" i="14"/>
  <c r="BC33" i="13"/>
  <c r="BC33" i="14"/>
  <c r="BE34" i="13"/>
  <c r="BB34" i="14"/>
  <c r="BA34" i="14"/>
  <c r="BC42" i="14"/>
  <c r="BE43" i="13"/>
  <c r="AT71" i="13"/>
  <c r="AZ24" i="13"/>
  <c r="AZ58" i="13"/>
  <c r="AY23" i="5"/>
  <c r="AZ32" i="5"/>
  <c r="BA61" i="14"/>
  <c r="BB33" i="14"/>
  <c r="BC58" i="13"/>
  <c r="BD40" i="13"/>
  <c r="BC41" i="14"/>
  <c r="BD49" i="14"/>
  <c r="BE33" i="13"/>
  <c r="BE70" i="13"/>
  <c r="I71" i="5"/>
  <c r="N43" i="14"/>
  <c r="U32" i="5"/>
  <c r="AF23" i="5"/>
  <c r="AJ62" i="5"/>
  <c r="AL40" i="5"/>
  <c r="AS34" i="13"/>
  <c r="AV40" i="5"/>
  <c r="AZ71" i="13"/>
  <c r="BA40" i="13"/>
  <c r="AY15" i="5"/>
  <c r="BA58" i="14"/>
  <c r="BB70" i="14"/>
  <c r="BC61" i="13"/>
  <c r="BB40" i="14"/>
  <c r="BC67" i="14"/>
  <c r="BD18" i="13"/>
  <c r="BD43" i="13"/>
  <c r="I32" i="5"/>
  <c r="H52" i="13"/>
  <c r="AF15" i="5"/>
  <c r="AP25" i="13"/>
  <c r="AT34" i="13"/>
  <c r="AT70" i="14"/>
  <c r="AY71" i="13"/>
  <c r="AZ26" i="13"/>
  <c r="BA25" i="13"/>
  <c r="AY51" i="5"/>
  <c r="AZ58" i="14"/>
  <c r="AZ71" i="5"/>
  <c r="AZ79" i="5"/>
  <c r="BA33" i="14"/>
  <c r="BB35" i="14"/>
  <c r="AZ62" i="14"/>
  <c r="BD18" i="14"/>
  <c r="BE58" i="14"/>
  <c r="V52" i="14"/>
  <c r="I15" i="5"/>
  <c r="Q10" i="14"/>
  <c r="U51" i="5"/>
  <c r="AA67" i="13"/>
  <c r="AH32" i="5"/>
  <c r="AZ61" i="13"/>
  <c r="AY16" i="13"/>
  <c r="AY62" i="5"/>
  <c r="AZ26" i="14"/>
  <c r="BA25" i="14"/>
  <c r="BA83" i="5"/>
  <c r="BC58" i="14"/>
  <c r="BA70" i="14"/>
  <c r="BD17" i="13"/>
  <c r="BE52" i="13"/>
  <c r="U70" i="14"/>
  <c r="P52" i="13"/>
  <c r="S33" i="13"/>
  <c r="AB35" i="13"/>
  <c r="AZ40" i="5"/>
  <c r="S49" i="13"/>
  <c r="Q34" i="13"/>
  <c r="AE26" i="14"/>
  <c r="AH18" i="14"/>
  <c r="BB17" i="14"/>
  <c r="BC67" i="13"/>
  <c r="BB25" i="14"/>
  <c r="BD33" i="13"/>
  <c r="BE70" i="14"/>
  <c r="BE65" i="11"/>
  <c r="BE10" i="13"/>
  <c r="BE25" i="16"/>
  <c r="G22" i="21"/>
  <c r="BE65" i="12"/>
  <c r="BE11" i="11"/>
  <c r="BE17" i="15"/>
  <c r="BE91" i="12"/>
  <c r="BE57" i="11"/>
  <c r="BE91" i="11"/>
  <c r="BE17" i="13"/>
  <c r="BE9" i="16"/>
  <c r="BE52" i="4"/>
  <c r="BE27" i="4"/>
  <c r="BE17" i="11"/>
  <c r="BE16" i="14"/>
  <c r="BE10" i="14"/>
  <c r="BE16" i="13"/>
  <c r="BE17" i="16"/>
  <c r="G14" i="21"/>
  <c r="BE9" i="11"/>
  <c r="BE46" i="11"/>
  <c r="BE64" i="11"/>
  <c r="BE75" i="11"/>
  <c r="BE58" i="13"/>
  <c r="BE11" i="15"/>
  <c r="BE25" i="15"/>
  <c r="BE57" i="12"/>
  <c r="BE18" i="11"/>
  <c r="BE62" i="13"/>
  <c r="BE17" i="14"/>
  <c r="BE49" i="13"/>
  <c r="BE58" i="12"/>
  <c r="BE142" i="4"/>
  <c r="G33" i="21"/>
  <c r="BE92" i="11"/>
  <c r="BE33" i="12"/>
  <c r="BE48" i="12"/>
  <c r="BE92" i="12"/>
  <c r="BE141" i="4"/>
  <c r="BE143" i="4"/>
  <c r="BE104" i="4"/>
  <c r="BE74" i="4"/>
  <c r="G32" i="21"/>
  <c r="H34" i="21"/>
  <c r="O13" i="7"/>
  <c r="AI44" i="13"/>
  <c r="AP28" i="5"/>
  <c r="AT27" i="13"/>
  <c r="AP27" i="14"/>
  <c r="AP27" i="13"/>
  <c r="AD35" i="11"/>
  <c r="I83" i="11"/>
  <c r="H83" i="12"/>
  <c r="H91" i="4"/>
  <c r="L83" i="12"/>
  <c r="H83" i="11"/>
  <c r="Q48" i="11"/>
  <c r="P48" i="11"/>
  <c r="P48" i="12"/>
  <c r="P84" i="12"/>
  <c r="P84" i="11"/>
  <c r="T84" i="12"/>
  <c r="R93" i="12"/>
  <c r="R93" i="11"/>
  <c r="V17" i="13"/>
  <c r="R17" i="13"/>
  <c r="S17" i="14"/>
  <c r="R40" i="13"/>
  <c r="R40" i="14"/>
  <c r="R45" i="5"/>
  <c r="R44" i="13" s="1"/>
  <c r="S40" i="14"/>
  <c r="R58" i="13"/>
  <c r="S58" i="14"/>
  <c r="V58" i="13"/>
  <c r="V71" i="13"/>
  <c r="R71" i="13"/>
  <c r="S71" i="14"/>
  <c r="W32" i="12"/>
  <c r="S32" i="12"/>
  <c r="S32" i="11"/>
  <c r="S35" i="4"/>
  <c r="S35" i="12" s="1"/>
  <c r="T32" i="11"/>
  <c r="S48" i="12"/>
  <c r="T48" i="11"/>
  <c r="S48" i="11"/>
  <c r="W48" i="12"/>
  <c r="W64" i="12"/>
  <c r="T64" i="11"/>
  <c r="S84" i="12"/>
  <c r="S84" i="11"/>
  <c r="T84" i="11"/>
  <c r="S91" i="4"/>
  <c r="S92" i="4" s="1"/>
  <c r="W84" i="12"/>
  <c r="T57" i="12"/>
  <c r="T57" i="11"/>
  <c r="U57" i="11"/>
  <c r="T81" i="12"/>
  <c r="T81" i="11"/>
  <c r="X81" i="12"/>
  <c r="U81" i="11"/>
  <c r="T91" i="4"/>
  <c r="T92" i="4" s="1"/>
  <c r="U48" i="11"/>
  <c r="V48" i="11"/>
  <c r="Y48" i="12"/>
  <c r="U48" i="12"/>
  <c r="W58" i="11"/>
  <c r="V58" i="12"/>
  <c r="Z58" i="12"/>
  <c r="V58" i="11"/>
  <c r="V75" i="12"/>
  <c r="W75" i="11"/>
  <c r="Z75" i="12"/>
  <c r="V75" i="11"/>
  <c r="AA58" i="13"/>
  <c r="AB58" i="14"/>
  <c r="AE58" i="13"/>
  <c r="AA58" i="14"/>
  <c r="AA67" i="5"/>
  <c r="AE62" i="13" s="1"/>
  <c r="AA25" i="16"/>
  <c r="AA25" i="15"/>
  <c r="AE25" i="16"/>
  <c r="AC18" i="14"/>
  <c r="AD18" i="14"/>
  <c r="AC18" i="13"/>
  <c r="AC45" i="5"/>
  <c r="AC46" i="5" s="1"/>
  <c r="AC40" i="14"/>
  <c r="AD31" i="15"/>
  <c r="AH31" i="16"/>
  <c r="AD31" i="16"/>
  <c r="AE24" i="11"/>
  <c r="AE24" i="12"/>
  <c r="AF24" i="11"/>
  <c r="AI24" i="12"/>
  <c r="AF20" i="7"/>
  <c r="AF17" i="16"/>
  <c r="AG17" i="15"/>
  <c r="AJ17" i="16"/>
  <c r="AG9" i="11"/>
  <c r="AK9" i="12"/>
  <c r="AG12" i="4"/>
  <c r="AG9" i="12"/>
  <c r="AJ32" i="12"/>
  <c r="AG32" i="11"/>
  <c r="AF32" i="12"/>
  <c r="AF35" i="4"/>
  <c r="AF35" i="12" s="1"/>
  <c r="AH46" i="11"/>
  <c r="AG46" i="12"/>
  <c r="AG52" i="4"/>
  <c r="AG53" i="4" s="1"/>
  <c r="AG46" i="11"/>
  <c r="AJ55" i="12"/>
  <c r="AK55" i="11"/>
  <c r="AJ55" i="11"/>
  <c r="AN55" i="12"/>
  <c r="F50" i="11"/>
  <c r="J50" i="12"/>
  <c r="F50" i="12"/>
  <c r="I46" i="11"/>
  <c r="H56" i="12"/>
  <c r="L56" i="12"/>
  <c r="H56" i="11"/>
  <c r="K31" i="15"/>
  <c r="N31" i="16"/>
  <c r="J31" i="15"/>
  <c r="M31" i="16"/>
  <c r="N31" i="15"/>
  <c r="M31" i="15"/>
  <c r="Q31" i="16"/>
  <c r="J39" i="11"/>
  <c r="M39" i="12"/>
  <c r="K49" i="11"/>
  <c r="N49" i="12"/>
  <c r="J49" i="12"/>
  <c r="J64" i="12"/>
  <c r="K64" i="11"/>
  <c r="N64" i="12"/>
  <c r="L94" i="11"/>
  <c r="K94" i="11"/>
  <c r="K94" i="12"/>
  <c r="P19" i="11"/>
  <c r="S19" i="12"/>
  <c r="O19" i="12"/>
  <c r="O41" i="12"/>
  <c r="S41" i="12"/>
  <c r="P41" i="11"/>
  <c r="P57" i="11"/>
  <c r="S57" i="12"/>
  <c r="O57" i="11"/>
  <c r="O93" i="11"/>
  <c r="O93" i="12"/>
  <c r="P93" i="11"/>
  <c r="O25" i="16"/>
  <c r="O25" i="15"/>
  <c r="S25" i="16"/>
  <c r="T40" i="12"/>
  <c r="P40" i="12"/>
  <c r="P40" i="11"/>
  <c r="AP85" i="12"/>
  <c r="AM85" i="11"/>
  <c r="AO35" i="11"/>
  <c r="I39" i="11"/>
  <c r="J40" i="12"/>
  <c r="G40" i="11"/>
  <c r="G27" i="4"/>
  <c r="K26" i="12"/>
  <c r="K100" i="12" s="1"/>
  <c r="G26" i="11"/>
  <c r="G99" i="11" s="1"/>
  <c r="G26" i="12"/>
  <c r="G99" i="12" s="1"/>
  <c r="H34" i="14"/>
  <c r="G34" i="13"/>
  <c r="K24" i="13"/>
  <c r="G27" i="5"/>
  <c r="G24" i="13"/>
  <c r="H9" i="11"/>
  <c r="H9" i="12"/>
  <c r="L9" i="12"/>
  <c r="J63" i="11"/>
  <c r="M63" i="12"/>
  <c r="I63" i="11"/>
  <c r="I63" i="12"/>
  <c r="I11" i="7"/>
  <c r="I11" i="16" s="1"/>
  <c r="I9" i="16"/>
  <c r="M9" i="16"/>
  <c r="I9" i="15"/>
  <c r="M82" i="11"/>
  <c r="AC35" i="11"/>
  <c r="H48" i="11"/>
  <c r="G48" i="11"/>
  <c r="G57" i="12"/>
  <c r="H57" i="11"/>
  <c r="G57" i="11"/>
  <c r="K57" i="12"/>
  <c r="BC64" i="12"/>
  <c r="BD64" i="11"/>
  <c r="BC64" i="11"/>
  <c r="F26" i="12"/>
  <c r="F99" i="12" s="1"/>
  <c r="J26" i="12"/>
  <c r="J100" i="12" s="1"/>
  <c r="F27" i="4"/>
  <c r="F26" i="11"/>
  <c r="F99" i="11" s="1"/>
  <c r="G25" i="12"/>
  <c r="H25" i="11"/>
  <c r="K25" i="12"/>
  <c r="G25" i="11"/>
  <c r="L91" i="4"/>
  <c r="L92" i="4" s="1"/>
  <c r="P82" i="12"/>
  <c r="L82" i="11"/>
  <c r="M16" i="14"/>
  <c r="L16" i="14"/>
  <c r="AD9" i="13"/>
  <c r="AI13" i="7"/>
  <c r="P25" i="15"/>
  <c r="L66" i="12"/>
  <c r="D11" i="14"/>
  <c r="G11" i="13"/>
  <c r="C45" i="5"/>
  <c r="C44" i="14" s="1"/>
  <c r="C27" i="5"/>
  <c r="C9" i="5"/>
  <c r="G9" i="13" s="1"/>
  <c r="L18" i="16"/>
  <c r="H18" i="16"/>
  <c r="I18" i="15"/>
  <c r="S11" i="16"/>
  <c r="AH27" i="13"/>
  <c r="F91" i="12"/>
  <c r="J91" i="12"/>
  <c r="F91" i="11"/>
  <c r="G91" i="11"/>
  <c r="F17" i="13"/>
  <c r="G17" i="14"/>
  <c r="F17" i="14"/>
  <c r="G35" i="14"/>
  <c r="F35" i="14"/>
  <c r="F67" i="13"/>
  <c r="F67" i="14"/>
  <c r="J67" i="13"/>
  <c r="F19" i="15"/>
  <c r="F19" i="16"/>
  <c r="J19" i="16"/>
  <c r="G19" i="15"/>
  <c r="H70" i="14"/>
  <c r="I70" i="14"/>
  <c r="H70" i="13"/>
  <c r="AI85" i="12"/>
  <c r="AE92" i="4"/>
  <c r="AE85" i="12"/>
  <c r="AG62" i="14"/>
  <c r="L46" i="12"/>
  <c r="I39" i="12"/>
  <c r="F81" i="12"/>
  <c r="F81" i="11"/>
  <c r="F91" i="4"/>
  <c r="G81" i="11"/>
  <c r="L94" i="12"/>
  <c r="I94" i="11"/>
  <c r="H94" i="12"/>
  <c r="H94" i="11"/>
  <c r="I18" i="14"/>
  <c r="L18" i="13"/>
  <c r="I49" i="14"/>
  <c r="H49" i="14"/>
  <c r="H49" i="13"/>
  <c r="AK10" i="14"/>
  <c r="AJ10" i="14"/>
  <c r="AJ10" i="13"/>
  <c r="AN10" i="13"/>
  <c r="AS15" i="12"/>
  <c r="AS15" i="11"/>
  <c r="AT15" i="11"/>
  <c r="AT31" i="15"/>
  <c r="AS31" i="16"/>
  <c r="AS31" i="15"/>
  <c r="AW31" i="16"/>
  <c r="AY17" i="16"/>
  <c r="AU17" i="16"/>
  <c r="AU17" i="15"/>
  <c r="AV17" i="15"/>
  <c r="AS66" i="12"/>
  <c r="AT66" i="11"/>
  <c r="AW66" i="12"/>
  <c r="AU43" i="14"/>
  <c r="AT43" i="14"/>
  <c r="AX43" i="13"/>
  <c r="G58" i="12"/>
  <c r="AZ19" i="12"/>
  <c r="AV19" i="12"/>
  <c r="BC83" i="11"/>
  <c r="BC83" i="12"/>
  <c r="BD83" i="11"/>
  <c r="Q84" i="11"/>
  <c r="AN31" i="15"/>
  <c r="BB52" i="4"/>
  <c r="BB47" i="11"/>
  <c r="BC47" i="11"/>
  <c r="BC31" i="16"/>
  <c r="AZ31" i="15"/>
  <c r="R33" i="11"/>
  <c r="Q65" i="11"/>
  <c r="BA9" i="11"/>
  <c r="BE9" i="12"/>
  <c r="BA9" i="12"/>
  <c r="BB9" i="11"/>
  <c r="BE50" i="12"/>
  <c r="BA50" i="11"/>
  <c r="BB50" i="11"/>
  <c r="BA52" i="4"/>
  <c r="BA50" i="12"/>
  <c r="AR35" i="11"/>
  <c r="Q82" i="12"/>
  <c r="L74" i="4"/>
  <c r="G49" i="12"/>
  <c r="AB67" i="14"/>
  <c r="AC67" i="14"/>
  <c r="AF67" i="13"/>
  <c r="AI39" i="12"/>
  <c r="AM55" i="11"/>
  <c r="M82" i="12"/>
  <c r="BC92" i="12"/>
  <c r="AZ92" i="11"/>
  <c r="BA71" i="11"/>
  <c r="AZ71" i="11"/>
  <c r="AZ74" i="4"/>
  <c r="BD71" i="12"/>
  <c r="BD84" i="12"/>
  <c r="AZ84" i="12"/>
  <c r="BA84" i="11"/>
  <c r="AZ84" i="11"/>
  <c r="I31" i="11"/>
  <c r="S93" i="12"/>
  <c r="X57" i="12"/>
  <c r="AH15" i="12"/>
  <c r="AD15" i="12"/>
  <c r="BA17" i="13"/>
  <c r="AW17" i="13"/>
  <c r="AT33" i="13"/>
  <c r="AT33" i="14"/>
  <c r="BC11" i="12"/>
  <c r="AZ11" i="11"/>
  <c r="AY11" i="12"/>
  <c r="BC43" i="13"/>
  <c r="AZ43" i="14"/>
  <c r="AY43" i="13"/>
  <c r="BC17" i="14"/>
  <c r="BC17" i="13"/>
  <c r="BD17" i="14"/>
  <c r="U24" i="11"/>
  <c r="U91" i="4"/>
  <c r="V85" i="11" s="1"/>
  <c r="AA91" i="12"/>
  <c r="BC25" i="11"/>
  <c r="BB25" i="11"/>
  <c r="BC62" i="13"/>
  <c r="BD25" i="12"/>
  <c r="AZ27" i="4"/>
  <c r="BE42" i="14"/>
  <c r="BD42" i="14"/>
  <c r="BE64" i="12"/>
  <c r="BA64" i="11"/>
  <c r="BE90" i="12"/>
  <c r="BB90" i="11"/>
  <c r="BA90" i="11"/>
  <c r="BE40" i="13"/>
  <c r="BE40" i="14"/>
  <c r="BE32" i="11"/>
  <c r="BE32" i="12"/>
  <c r="E16" i="21"/>
  <c r="E14" i="21"/>
  <c r="BC94" i="12"/>
  <c r="BC94" i="11"/>
  <c r="X34" i="12"/>
  <c r="BC92" i="11"/>
  <c r="BC27" i="4"/>
  <c r="BC24" i="11"/>
  <c r="BC24" i="12"/>
  <c r="BC49" i="12"/>
  <c r="BC52" i="4"/>
  <c r="BD49" i="11"/>
  <c r="BC49" i="11"/>
  <c r="BE94" i="11"/>
  <c r="BD94" i="11"/>
  <c r="BD94" i="12"/>
  <c r="BE19" i="15"/>
  <c r="BD19" i="15"/>
  <c r="BD19" i="16"/>
  <c r="BE56" i="12"/>
  <c r="BE56" i="11"/>
  <c r="AY142" i="4"/>
  <c r="BC84" i="11"/>
  <c r="BB84" i="11"/>
  <c r="BC15" i="12"/>
  <c r="BD15" i="11"/>
  <c r="BC15" i="11"/>
  <c r="BC57" i="11"/>
  <c r="BC57" i="12"/>
  <c r="BC11" i="16"/>
  <c r="BC11" i="15"/>
  <c r="BA25" i="11"/>
  <c r="BE25" i="12"/>
  <c r="BA27" i="4"/>
  <c r="BE81" i="12"/>
  <c r="BA81" i="11"/>
  <c r="BB81" i="11"/>
  <c r="AY150" i="4"/>
  <c r="W91" i="12"/>
  <c r="BB10" i="11"/>
  <c r="BC10" i="11"/>
  <c r="BC9" i="13"/>
  <c r="BC40" i="14"/>
  <c r="BC90" i="12"/>
  <c r="BC90" i="11"/>
  <c r="AZ9" i="14"/>
  <c r="BE85" i="12"/>
  <c r="BA85" i="11"/>
  <c r="BD90" i="12"/>
  <c r="BE90" i="11"/>
  <c r="BD90" i="11"/>
  <c r="BE24" i="11"/>
  <c r="BE35" i="14"/>
  <c r="BC141" i="4"/>
  <c r="BC31" i="12"/>
  <c r="BD31" i="11"/>
  <c r="BC31" i="11"/>
  <c r="BA32" i="11"/>
  <c r="BA142" i="4"/>
  <c r="BD10" i="14"/>
  <c r="BC10" i="14"/>
  <c r="BC10" i="13"/>
  <c r="BE83" i="11"/>
  <c r="BD83" i="12"/>
  <c r="BD26" i="13"/>
  <c r="BE26" i="14"/>
  <c r="BD26" i="14"/>
  <c r="BD11" i="15"/>
  <c r="BA17" i="11"/>
  <c r="BE17" i="12"/>
  <c r="BE94" i="12"/>
  <c r="BC66" i="12"/>
  <c r="AZ66" i="11"/>
  <c r="AZ91" i="11"/>
  <c r="BC91" i="12"/>
  <c r="BB24" i="14"/>
  <c r="BC24" i="14"/>
  <c r="BC9" i="11"/>
  <c r="BC9" i="12"/>
  <c r="BC71" i="13"/>
  <c r="BE75" i="12"/>
  <c r="BA75" i="11"/>
  <c r="BE24" i="13"/>
  <c r="BE24" i="14"/>
  <c r="BE34" i="11"/>
  <c r="BC142" i="4"/>
  <c r="BC32" i="11"/>
  <c r="BC32" i="12"/>
  <c r="BD26" i="12"/>
  <c r="BE15" i="12"/>
  <c r="BE40" i="12"/>
  <c r="BE48" i="11"/>
  <c r="BE63" i="11"/>
  <c r="BE43" i="14"/>
  <c r="BC25" i="14"/>
  <c r="BC52" i="14"/>
  <c r="BD19" i="11"/>
  <c r="BD39" i="11"/>
  <c r="BD48" i="11"/>
  <c r="BD63" i="11"/>
  <c r="BD93" i="11"/>
  <c r="BD62" i="14"/>
  <c r="BD71" i="14"/>
  <c r="BE93" i="12"/>
  <c r="BE109" i="4"/>
  <c r="BE40" i="11"/>
  <c r="BE71" i="11"/>
  <c r="BE18" i="16"/>
  <c r="BA141" i="4"/>
  <c r="BD25" i="14"/>
  <c r="BE25" i="14"/>
  <c r="BE52" i="14"/>
  <c r="BE31" i="15"/>
  <c r="AZ141" i="4"/>
  <c r="BE150" i="4"/>
  <c r="BA150" i="4"/>
  <c r="E32" i="21"/>
  <c r="G40" i="21"/>
  <c r="BC25" i="13"/>
  <c r="BC61" i="14"/>
  <c r="BC70" i="14"/>
  <c r="BC9" i="15"/>
  <c r="BD25" i="13"/>
  <c r="BD41" i="14"/>
  <c r="BE61" i="13"/>
  <c r="X35" i="11"/>
  <c r="X35" i="12"/>
  <c r="R92" i="4"/>
  <c r="R85" i="11"/>
  <c r="V85" i="12"/>
  <c r="R85" i="12"/>
  <c r="AX144" i="4"/>
  <c r="AP44" i="14"/>
  <c r="AN62" i="13"/>
  <c r="AP44" i="13"/>
  <c r="N85" i="11"/>
  <c r="N92" i="4"/>
  <c r="O85" i="11"/>
  <c r="D86" i="18"/>
  <c r="D65" i="18"/>
  <c r="D77" i="18" s="1"/>
  <c r="D73" i="18"/>
  <c r="D16" i="20"/>
  <c r="E24" i="20"/>
  <c r="AM62" i="13"/>
  <c r="S62" i="13"/>
  <c r="AB27" i="13"/>
  <c r="C27" i="14"/>
  <c r="AJ35" i="12"/>
  <c r="W35" i="12"/>
  <c r="T35" i="11"/>
  <c r="G27" i="14"/>
  <c r="AY13" i="5"/>
  <c r="AY11" i="13"/>
  <c r="D69" i="19"/>
  <c r="D50" i="19"/>
  <c r="BF56" i="5"/>
  <c r="BF36" i="5"/>
  <c r="BF60" i="4"/>
  <c r="BF43" i="4"/>
  <c r="BF152" i="4" s="1"/>
  <c r="BF92" i="11"/>
  <c r="BF92" i="12"/>
  <c r="BF91" i="11"/>
  <c r="BF57" i="11"/>
  <c r="BF40" i="12"/>
  <c r="BF40" i="11"/>
  <c r="BF67" i="13"/>
  <c r="BF39" i="12"/>
  <c r="BF33" i="13"/>
  <c r="BF33" i="14"/>
  <c r="D71" i="19"/>
  <c r="BF70" i="13"/>
  <c r="BF70" i="14"/>
  <c r="BF56" i="12"/>
  <c r="BF56" i="11"/>
  <c r="BF17" i="13"/>
  <c r="BF17" i="14"/>
  <c r="BF31" i="15"/>
  <c r="BF31" i="16"/>
  <c r="BF26" i="11"/>
  <c r="BF26" i="12"/>
  <c r="BF35" i="13"/>
  <c r="BF35" i="14"/>
  <c r="BF49" i="13"/>
  <c r="BF49" i="14"/>
  <c r="BF18" i="15"/>
  <c r="BF18" i="16"/>
  <c r="D18" i="20"/>
  <c r="H33" i="21"/>
  <c r="BF18" i="14"/>
  <c r="BF55" i="11"/>
  <c r="BF84" i="11"/>
  <c r="BF71" i="11"/>
  <c r="BF24" i="14"/>
  <c r="D16" i="18"/>
  <c r="BF93" i="12"/>
  <c r="BF52" i="14"/>
  <c r="BF47" i="12"/>
  <c r="BF17" i="11"/>
  <c r="BF63" i="11"/>
  <c r="BF84" i="12"/>
  <c r="BF25" i="11"/>
  <c r="BF24" i="13"/>
  <c r="BF27" i="4"/>
  <c r="H32" i="21"/>
  <c r="BG63" i="11"/>
  <c r="BG91" i="11"/>
  <c r="BG24" i="14"/>
  <c r="BG58" i="14"/>
  <c r="BF26" i="13"/>
  <c r="BF9" i="14"/>
  <c r="BG41" i="14"/>
  <c r="AG49" i="5"/>
  <c r="AH44" i="14"/>
  <c r="AG46" i="5"/>
  <c r="AV35" i="11"/>
  <c r="AV35" i="12"/>
  <c r="H15" i="12"/>
  <c r="AE62" i="14"/>
  <c r="V12" i="7"/>
  <c r="Q49" i="12"/>
  <c r="H61" i="13"/>
  <c r="H61" i="14"/>
  <c r="I61" i="14"/>
  <c r="Q19" i="16"/>
  <c r="AG24" i="13"/>
  <c r="AC27" i="5"/>
  <c r="AD24" i="14"/>
  <c r="AG10" i="11"/>
  <c r="AJ10" i="12"/>
  <c r="AG31" i="11"/>
  <c r="AJ31" i="12"/>
  <c r="AF49" i="12"/>
  <c r="AG49" i="11"/>
  <c r="AF66" i="12"/>
  <c r="AJ66" i="12"/>
  <c r="AJ90" i="12"/>
  <c r="AF90" i="12"/>
  <c r="AG90" i="11"/>
  <c r="AF19" i="5"/>
  <c r="AG16" i="14"/>
  <c r="AI46" i="11"/>
  <c r="AH46" i="12"/>
  <c r="AH52" i="4"/>
  <c r="AH53" i="4" s="1"/>
  <c r="AL63" i="12"/>
  <c r="AI63" i="11"/>
  <c r="AI49" i="14"/>
  <c r="AM49" i="13"/>
  <c r="AJ49" i="14"/>
  <c r="AM61" i="13"/>
  <c r="AJ61" i="14"/>
  <c r="AI61" i="14"/>
  <c r="AO92" i="12"/>
  <c r="AK92" i="12"/>
  <c r="AK26" i="13"/>
  <c r="AK26" i="14"/>
  <c r="AL26" i="14"/>
  <c r="AR34" i="13"/>
  <c r="AO34" i="14"/>
  <c r="AT25" i="16"/>
  <c r="AQ25" i="15"/>
  <c r="AP25" i="16"/>
  <c r="AT12" i="4"/>
  <c r="AU11" i="12"/>
  <c r="AX15" i="12"/>
  <c r="AU15" i="11"/>
  <c r="AT32" i="12"/>
  <c r="AT32" i="11"/>
  <c r="AU32" i="11"/>
  <c r="AX32" i="12"/>
  <c r="AT57" i="12"/>
  <c r="AU57" i="11"/>
  <c r="AT57" i="11"/>
  <c r="AT90" i="11"/>
  <c r="AT90" i="12"/>
  <c r="AU10" i="13"/>
  <c r="AU10" i="14"/>
  <c r="AU11" i="14"/>
  <c r="AU27" i="5"/>
  <c r="AV27" i="14" s="1"/>
  <c r="AU11" i="13"/>
  <c r="AV11" i="14"/>
  <c r="BA34" i="12"/>
  <c r="AW34" i="12"/>
  <c r="AW11" i="5"/>
  <c r="AW11" i="13" s="1"/>
  <c r="AW9" i="14"/>
  <c r="AH50" i="5"/>
  <c r="AH49" i="5"/>
  <c r="AH47" i="5"/>
  <c r="F11" i="11"/>
  <c r="G11" i="11"/>
  <c r="F11" i="12"/>
  <c r="N70" i="14"/>
  <c r="M70" i="14"/>
  <c r="Q70" i="13"/>
  <c r="K26" i="14"/>
  <c r="K26" i="13"/>
  <c r="P93" i="12"/>
  <c r="Q93" i="11"/>
  <c r="T9" i="16"/>
  <c r="P9" i="15"/>
  <c r="P9" i="16"/>
  <c r="U18" i="12"/>
  <c r="Q18" i="11"/>
  <c r="Q90" i="11"/>
  <c r="R90" i="11"/>
  <c r="R18" i="16"/>
  <c r="R18" i="15"/>
  <c r="W31" i="12"/>
  <c r="S104" i="4"/>
  <c r="S31" i="12"/>
  <c r="S31" i="11"/>
  <c r="T47" i="11"/>
  <c r="W47" i="12"/>
  <c r="S47" i="12"/>
  <c r="T83" i="11"/>
  <c r="W83" i="12"/>
  <c r="T91" i="12"/>
  <c r="X91" i="12"/>
  <c r="T17" i="13"/>
  <c r="T17" i="14"/>
  <c r="V25" i="16"/>
  <c r="W25" i="15"/>
  <c r="W25" i="12"/>
  <c r="AA25" i="12"/>
  <c r="W25" i="11"/>
  <c r="W40" i="12"/>
  <c r="AA40" i="12"/>
  <c r="W40" i="11"/>
  <c r="AA81" i="12"/>
  <c r="W81" i="11"/>
  <c r="X81" i="11"/>
  <c r="W101" i="4"/>
  <c r="W102" i="4"/>
  <c r="AA101" i="4"/>
  <c r="X94" i="11"/>
  <c r="X25" i="14"/>
  <c r="W25" i="14"/>
  <c r="AD102" i="4"/>
  <c r="AG101" i="4"/>
  <c r="AD94" i="11"/>
  <c r="AH92" i="12"/>
  <c r="AD92" i="11"/>
  <c r="AE92" i="11"/>
  <c r="AD92" i="12"/>
  <c r="AI31" i="11"/>
  <c r="AH104" i="4"/>
  <c r="AH35" i="4"/>
  <c r="AH31" i="12"/>
  <c r="AL31" i="12"/>
  <c r="AJ34" i="14"/>
  <c r="AM34" i="13"/>
  <c r="AI34" i="13"/>
  <c r="AI34" i="14"/>
  <c r="AQ33" i="12"/>
  <c r="AM35" i="4"/>
  <c r="AQ35" i="12" s="1"/>
  <c r="AM33" i="12"/>
  <c r="AN33" i="11"/>
  <c r="AQ19" i="12"/>
  <c r="AM19" i="12"/>
  <c r="AM19" i="11"/>
  <c r="AO84" i="11"/>
  <c r="AR84" i="12"/>
  <c r="AN84" i="12"/>
  <c r="AS67" i="13"/>
  <c r="AS67" i="14"/>
  <c r="AV9" i="16"/>
  <c r="AR9" i="15"/>
  <c r="AS9" i="15"/>
  <c r="AY26" i="12"/>
  <c r="AU26" i="11"/>
  <c r="AV26" i="11"/>
  <c r="BB109" i="4"/>
  <c r="D61" i="18"/>
  <c r="AE9" i="14"/>
  <c r="Q17" i="12"/>
  <c r="H12" i="7"/>
  <c r="K27" i="5"/>
  <c r="L27" i="14" s="1"/>
  <c r="L40" i="14"/>
  <c r="I75" i="12"/>
  <c r="T93" i="12"/>
  <c r="R18" i="11"/>
  <c r="M19" i="16"/>
  <c r="G15" i="12"/>
  <c r="J32" i="11"/>
  <c r="L31" i="15"/>
  <c r="AI61" i="13"/>
  <c r="F65" i="11"/>
  <c r="X25" i="11"/>
  <c r="C23" i="17"/>
  <c r="AG66" i="11"/>
  <c r="AQ49" i="12"/>
  <c r="AG94" i="12"/>
  <c r="L13" i="7"/>
  <c r="L10" i="16"/>
  <c r="J34" i="11"/>
  <c r="I34" i="11"/>
  <c r="I34" i="12"/>
  <c r="M55" i="12"/>
  <c r="I55" i="11"/>
  <c r="O58" i="14"/>
  <c r="N58" i="14"/>
  <c r="P24" i="11"/>
  <c r="T24" i="12"/>
  <c r="Q24" i="11"/>
  <c r="P24" i="12"/>
  <c r="Q81" i="11"/>
  <c r="P81" i="12"/>
  <c r="P81" i="11"/>
  <c r="P27" i="5"/>
  <c r="P27" i="13" s="1"/>
  <c r="T25" i="13"/>
  <c r="P43" i="13"/>
  <c r="T43" i="13"/>
  <c r="T10" i="15"/>
  <c r="W10" i="16"/>
  <c r="U15" i="11"/>
  <c r="X15" i="12"/>
  <c r="T15" i="11"/>
  <c r="U50" i="11"/>
  <c r="X50" i="12"/>
  <c r="U49" i="11"/>
  <c r="U49" i="12"/>
  <c r="U26" i="14"/>
  <c r="U27" i="5"/>
  <c r="Y27" i="13" s="1"/>
  <c r="U49" i="13"/>
  <c r="U49" i="14"/>
  <c r="Y49" i="13"/>
  <c r="U61" i="14"/>
  <c r="V61" i="14"/>
  <c r="Y29" i="4"/>
  <c r="Y28" i="4"/>
  <c r="Y27" i="4"/>
  <c r="AC29" i="4"/>
  <c r="Z27" i="4"/>
  <c r="Y26" i="11"/>
  <c r="AZ11" i="16"/>
  <c r="AZ11" i="15"/>
  <c r="BA11" i="15"/>
  <c r="AY19" i="16"/>
  <c r="AZ19" i="15"/>
  <c r="BA31" i="15"/>
  <c r="BA31" i="16"/>
  <c r="BB31" i="15"/>
  <c r="BD11" i="16"/>
  <c r="BC19" i="15"/>
  <c r="BC19" i="16"/>
  <c r="BE31" i="16"/>
  <c r="AQ46" i="5"/>
  <c r="F17" i="12"/>
  <c r="L11" i="16"/>
  <c r="AB46" i="5"/>
  <c r="S63" i="11"/>
  <c r="F41" i="11"/>
  <c r="AH92" i="4"/>
  <c r="U17" i="14"/>
  <c r="J90" i="11"/>
  <c r="AM33" i="11"/>
  <c r="Q9" i="15"/>
  <c r="L11" i="15"/>
  <c r="O40" i="13"/>
  <c r="AU25" i="14"/>
  <c r="H84" i="11"/>
  <c r="H84" i="12"/>
  <c r="I84" i="11"/>
  <c r="L9" i="15"/>
  <c r="L9" i="16"/>
  <c r="L12" i="7"/>
  <c r="M12" i="5"/>
  <c r="Q10" i="13"/>
  <c r="N40" i="12"/>
  <c r="O66" i="12"/>
  <c r="S66" i="12"/>
  <c r="P66" i="11"/>
  <c r="S92" i="12"/>
  <c r="P92" i="11"/>
  <c r="O92" i="11"/>
  <c r="G17" i="11"/>
  <c r="Z35" i="11"/>
  <c r="I90" i="11"/>
  <c r="S83" i="12"/>
  <c r="T31" i="11"/>
  <c r="G56" i="11"/>
  <c r="K15" i="12"/>
  <c r="J11" i="12"/>
  <c r="F82" i="12"/>
  <c r="AR9" i="16"/>
  <c r="T25" i="14"/>
  <c r="AU90" i="11"/>
  <c r="AW67" i="13"/>
  <c r="AF52" i="4"/>
  <c r="AN19" i="11"/>
  <c r="W91" i="4"/>
  <c r="AA85" i="12" s="1"/>
  <c r="AT67" i="14"/>
  <c r="AR11" i="11"/>
  <c r="W81" i="12"/>
  <c r="T91" i="11"/>
  <c r="AU26" i="12"/>
  <c r="AQ52" i="4"/>
  <c r="H24" i="12"/>
  <c r="L24" i="12"/>
  <c r="M10" i="11"/>
  <c r="L10" i="11"/>
  <c r="L10" i="12"/>
  <c r="L41" i="11"/>
  <c r="M41" i="11"/>
  <c r="L41" i="12"/>
  <c r="L55" i="12"/>
  <c r="M55" i="11"/>
  <c r="P55" i="12"/>
  <c r="M66" i="11"/>
  <c r="P66" i="12"/>
  <c r="L66" i="11"/>
  <c r="L84" i="12"/>
  <c r="M84" i="11"/>
  <c r="N24" i="11"/>
  <c r="S18" i="13"/>
  <c r="P18" i="14"/>
  <c r="AH28" i="5"/>
  <c r="W55" i="11"/>
  <c r="M19" i="15"/>
  <c r="F9" i="5"/>
  <c r="F9" i="13" s="1"/>
  <c r="S83" i="11"/>
  <c r="P11" i="7"/>
  <c r="P11" i="16" s="1"/>
  <c r="I24" i="14"/>
  <c r="F65" i="12"/>
  <c r="L33" i="13"/>
  <c r="U90" i="12"/>
  <c r="AI44" i="14"/>
  <c r="V18" i="16"/>
  <c r="M90" i="12"/>
  <c r="AF10" i="12"/>
  <c r="J41" i="12"/>
  <c r="AX57" i="12"/>
  <c r="X40" i="11"/>
  <c r="AP25" i="15"/>
  <c r="AU25" i="15"/>
  <c r="S63" i="12"/>
  <c r="H18" i="14"/>
  <c r="G18" i="14"/>
  <c r="H11" i="12"/>
  <c r="H11" i="11"/>
  <c r="L32" i="11"/>
  <c r="P32" i="12"/>
  <c r="P56" i="12"/>
  <c r="M56" i="11"/>
  <c r="J35" i="14"/>
  <c r="N35" i="13"/>
  <c r="P46" i="11"/>
  <c r="S46" i="12"/>
  <c r="S58" i="12"/>
  <c r="O58" i="11"/>
  <c r="P58" i="11"/>
  <c r="AG35" i="12"/>
  <c r="AE27" i="14"/>
  <c r="Z25" i="16"/>
  <c r="U91" i="11"/>
  <c r="AA63" i="11"/>
  <c r="W94" i="12"/>
  <c r="K40" i="13"/>
  <c r="R34" i="11"/>
  <c r="J50" i="11"/>
  <c r="S18" i="15"/>
  <c r="Q90" i="12"/>
  <c r="K45" i="5"/>
  <c r="O44" i="13" s="1"/>
  <c r="AF10" i="11"/>
  <c r="AK92" i="11"/>
  <c r="AH63" i="11"/>
  <c r="AV94" i="11"/>
  <c r="AT25" i="14"/>
  <c r="L61" i="13"/>
  <c r="F56" i="11"/>
  <c r="F31" i="15"/>
  <c r="F31" i="16"/>
  <c r="G74" i="4"/>
  <c r="G71" i="11"/>
  <c r="M47" i="12"/>
  <c r="Q47" i="12"/>
  <c r="Q75" i="12"/>
  <c r="N75" i="11"/>
  <c r="M90" i="11"/>
  <c r="N90" i="11"/>
  <c r="K49" i="12"/>
  <c r="L49" i="11"/>
  <c r="S9" i="12"/>
  <c r="O9" i="12"/>
  <c r="P9" i="11"/>
  <c r="S24" i="12"/>
  <c r="O24" i="11"/>
  <c r="F10" i="13"/>
  <c r="S43" i="14"/>
  <c r="X55" i="11"/>
  <c r="Q34" i="11"/>
  <c r="AT35" i="4"/>
  <c r="AT35" i="11" s="1"/>
  <c r="K55" i="12"/>
  <c r="G55" i="12"/>
  <c r="AU35" i="12"/>
  <c r="AA94" i="12"/>
  <c r="AR49" i="11"/>
  <c r="AL92" i="11"/>
  <c r="AH63" i="12"/>
  <c r="AT15" i="12"/>
  <c r="T63" i="11"/>
  <c r="AF90" i="11"/>
  <c r="J92" i="12"/>
  <c r="N92" i="12"/>
  <c r="M24" i="11"/>
  <c r="Q24" i="12"/>
  <c r="M34" i="12"/>
  <c r="N66" i="11"/>
  <c r="N66" i="12"/>
  <c r="R66" i="12"/>
  <c r="W67" i="5"/>
  <c r="G34" i="21"/>
  <c r="BC151" i="4"/>
  <c r="BC41" i="11"/>
  <c r="BC41" i="12"/>
  <c r="BD41" i="11"/>
  <c r="BD50" i="11"/>
  <c r="BE50" i="11"/>
  <c r="BE18" i="13"/>
  <c r="BB18" i="14"/>
  <c r="BA18" i="13"/>
  <c r="BA18" i="14"/>
  <c r="BD11" i="5"/>
  <c r="BD27" i="5" s="1"/>
  <c r="BD10" i="13"/>
  <c r="BG24" i="13"/>
  <c r="AZ11" i="5"/>
  <c r="AZ27" i="5" s="1"/>
  <c r="AZ28" i="5" s="1"/>
  <c r="AZ45" i="5" s="1"/>
  <c r="AZ46" i="5" s="1"/>
  <c r="BD9" i="13"/>
  <c r="AZ9" i="13"/>
  <c r="BG143" i="4"/>
  <c r="AY57" i="12"/>
  <c r="AU57" i="12"/>
  <c r="AY39" i="12"/>
  <c r="AZ39" i="11"/>
  <c r="BB41" i="11"/>
  <c r="BA41" i="11"/>
  <c r="BA149" i="4"/>
  <c r="BA41" i="12"/>
  <c r="BA151" i="4"/>
  <c r="BE41" i="12"/>
  <c r="BA48" i="11"/>
  <c r="BD48" i="12"/>
  <c r="AZ48" i="11"/>
  <c r="BB57" i="11"/>
  <c r="BA57" i="11"/>
  <c r="BC71" i="12"/>
  <c r="AY74" i="4"/>
  <c r="AY71" i="12"/>
  <c r="BA93" i="12"/>
  <c r="BB93" i="11"/>
  <c r="BA93" i="11"/>
  <c r="BC17" i="12"/>
  <c r="BD17" i="11"/>
  <c r="AJ19" i="15"/>
  <c r="AW63" i="12"/>
  <c r="AZ35" i="4"/>
  <c r="AZ144" i="4" s="1"/>
  <c r="AZ104" i="4"/>
  <c r="AZ143" i="4"/>
  <c r="AZ149" i="4"/>
  <c r="AZ33" i="11"/>
  <c r="BA33" i="11"/>
  <c r="AZ142" i="4"/>
  <c r="BD33" i="12"/>
  <c r="V17" i="12"/>
  <c r="BA26" i="11"/>
  <c r="BB26" i="11"/>
  <c r="BA24" i="13"/>
  <c r="BA71" i="13"/>
  <c r="BB71" i="14"/>
  <c r="AU15" i="12"/>
  <c r="H16" i="21"/>
  <c r="H40" i="21"/>
  <c r="D80" i="18"/>
  <c r="BG49" i="12"/>
  <c r="BG64" i="11"/>
  <c r="BG81" i="11"/>
  <c r="BG92" i="11"/>
  <c r="BG25" i="14"/>
  <c r="BG42" i="14"/>
  <c r="BG71" i="13"/>
  <c r="BG18" i="15"/>
  <c r="AF25" i="15"/>
  <c r="G15" i="21"/>
  <c r="BF58" i="14"/>
  <c r="BF67" i="14"/>
  <c r="BF19" i="15"/>
  <c r="D33" i="20"/>
  <c r="BG19" i="12"/>
  <c r="BG39" i="11"/>
  <c r="BG50" i="12"/>
  <c r="BG65" i="12"/>
  <c r="BG82" i="12"/>
  <c r="BG93" i="12"/>
  <c r="BG26" i="13"/>
  <c r="BG43" i="14"/>
  <c r="W58" i="14"/>
  <c r="D81" i="18"/>
  <c r="BG24" i="12"/>
  <c r="BG40" i="12"/>
  <c r="BG55" i="12"/>
  <c r="BG66" i="12"/>
  <c r="BG83" i="12"/>
  <c r="BG94" i="12"/>
  <c r="BG9" i="14"/>
  <c r="BG25" i="15"/>
  <c r="BG9" i="12"/>
  <c r="BG25" i="12"/>
  <c r="BF141" i="4"/>
  <c r="BF75" i="11"/>
  <c r="BF94" i="11"/>
  <c r="BG10" i="11"/>
  <c r="BG26" i="12"/>
  <c r="BG9" i="16"/>
  <c r="D70" i="19"/>
  <c r="BG58" i="12"/>
  <c r="BG85" i="12"/>
  <c r="BG17" i="14"/>
  <c r="BG52" i="13"/>
  <c r="D79" i="18"/>
  <c r="BF82" i="11"/>
  <c r="BF91" i="12"/>
  <c r="BF16" i="14"/>
  <c r="BF34" i="13"/>
  <c r="BG15" i="12"/>
  <c r="BG47" i="12"/>
  <c r="BG11" i="15"/>
  <c r="BG10" i="12"/>
  <c r="BG66" i="11"/>
  <c r="BG75" i="12"/>
  <c r="BG94" i="11"/>
  <c r="BG41" i="11"/>
  <c r="BG81" i="12"/>
  <c r="BG9" i="15"/>
  <c r="BG63" i="12"/>
  <c r="BG26" i="11"/>
  <c r="BG55" i="11"/>
  <c r="BG83" i="11"/>
  <c r="BG17" i="13"/>
  <c r="BG58" i="13"/>
  <c r="BG64" i="12"/>
  <c r="BG91" i="12"/>
  <c r="BG27" i="4"/>
  <c r="BG41" i="12"/>
  <c r="BG19" i="11"/>
  <c r="BG85" i="11"/>
  <c r="BG25" i="13"/>
  <c r="BG43" i="13"/>
  <c r="BG67" i="14"/>
  <c r="BG39" i="12"/>
  <c r="BG26" i="14"/>
  <c r="BG9" i="11"/>
  <c r="BG47" i="11"/>
  <c r="BG58" i="11"/>
  <c r="BG70" i="14"/>
  <c r="BG18" i="16"/>
  <c r="BG24" i="11"/>
  <c r="BG48" i="11"/>
  <c r="BG71" i="14"/>
  <c r="BG19" i="16"/>
  <c r="BG25" i="11"/>
  <c r="BG49" i="11"/>
  <c r="BG52" i="14"/>
  <c r="BG50" i="11"/>
  <c r="BG40" i="11"/>
  <c r="BG65" i="11"/>
  <c r="BG82" i="11"/>
  <c r="BG93" i="11"/>
  <c r="BG16" i="15"/>
  <c r="BG24" i="15"/>
  <c r="BG57" i="14"/>
  <c r="BG32" i="14"/>
  <c r="BG23" i="13"/>
  <c r="BG57" i="13"/>
  <c r="BG24" i="7"/>
  <c r="BG31" i="7"/>
  <c r="BF58" i="11"/>
  <c r="BF52" i="4"/>
  <c r="BF46" i="12"/>
  <c r="BF82" i="12"/>
  <c r="H15" i="21"/>
  <c r="BF35" i="4"/>
  <c r="BF144" i="4" s="1"/>
  <c r="BF58" i="12"/>
  <c r="BF16" i="13"/>
  <c r="BF24" i="12"/>
  <c r="BF24" i="11"/>
  <c r="BF49" i="11"/>
  <c r="BF104" i="4"/>
  <c r="B60" i="18" s="1"/>
  <c r="I32" i="21"/>
  <c r="BF15" i="11"/>
  <c r="BF34" i="14"/>
  <c r="BF17" i="15"/>
  <c r="BF65" i="12"/>
  <c r="B32" i="17"/>
  <c r="C32" i="17" s="1"/>
  <c r="E26" i="20"/>
  <c r="D26" i="20"/>
  <c r="D11" i="18"/>
  <c r="E11" i="18"/>
  <c r="BF41" i="11"/>
  <c r="BF90" i="11"/>
  <c r="H14" i="21"/>
  <c r="BF142" i="4"/>
  <c r="BF33" i="11"/>
  <c r="BF11" i="11"/>
  <c r="E60" i="19"/>
  <c r="BF19" i="12"/>
  <c r="BF94" i="12"/>
  <c r="BF41" i="12"/>
  <c r="BF71" i="14"/>
  <c r="BF150" i="4"/>
  <c r="BF151" i="4"/>
  <c r="BF19" i="16"/>
  <c r="BF34" i="12"/>
  <c r="BF149" i="4"/>
  <c r="H22" i="21"/>
  <c r="BF85" i="11"/>
  <c r="BF11" i="12"/>
  <c r="BF58" i="13"/>
  <c r="C80" i="19"/>
  <c r="U27" i="13"/>
  <c r="T27" i="13"/>
  <c r="K27" i="13"/>
  <c r="AL35" i="12"/>
  <c r="W62" i="14"/>
  <c r="W85" i="11"/>
  <c r="BH150" i="4"/>
  <c r="BH17" i="12"/>
  <c r="BH31" i="12"/>
  <c r="BH41" i="12"/>
  <c r="BH55" i="12"/>
  <c r="BH66" i="12"/>
  <c r="BH83" i="12"/>
  <c r="BH94" i="12"/>
  <c r="BH19" i="11"/>
  <c r="BH33" i="11"/>
  <c r="BH46" i="11"/>
  <c r="BH57" i="11"/>
  <c r="BH71" i="11"/>
  <c r="BH85" i="11"/>
  <c r="BH49" i="13"/>
  <c r="BH25" i="14"/>
  <c r="BH67" i="14"/>
  <c r="BH17" i="16"/>
  <c r="BH10" i="15"/>
  <c r="BH10" i="11"/>
  <c r="BH24" i="11"/>
  <c r="BH48" i="11"/>
  <c r="BH75" i="11"/>
  <c r="BH90" i="11"/>
  <c r="BH33" i="13"/>
  <c r="BH58" i="13"/>
  <c r="BH71" i="14"/>
  <c r="BH19" i="16"/>
  <c r="BH11" i="11"/>
  <c r="BH25" i="11"/>
  <c r="BH49" i="11"/>
  <c r="BH63" i="11"/>
  <c r="BH91" i="11"/>
  <c r="BH16" i="13"/>
  <c r="BH34" i="13"/>
  <c r="BH61" i="13"/>
  <c r="BH25" i="16"/>
  <c r="BH26" i="11"/>
  <c r="BH17" i="13"/>
  <c r="BH35" i="13"/>
  <c r="BH62" i="13"/>
  <c r="BH9" i="16"/>
  <c r="BH11" i="5"/>
  <c r="BI11" i="14" s="1"/>
  <c r="BH15" i="11"/>
  <c r="BH40" i="11"/>
  <c r="BH65" i="11"/>
  <c r="BH82" i="11"/>
  <c r="BH93" i="11"/>
  <c r="BH18" i="13"/>
  <c r="BH40" i="13"/>
  <c r="BH31" i="16"/>
  <c r="BH24" i="13"/>
  <c r="BH32" i="11"/>
  <c r="BH16" i="15"/>
  <c r="BH57" i="14"/>
  <c r="BH15" i="14"/>
  <c r="BH32" i="14"/>
  <c r="BH66" i="14"/>
  <c r="BH48" i="14"/>
  <c r="BH23" i="14"/>
  <c r="BH57" i="13"/>
  <c r="BH39" i="13"/>
  <c r="BH15" i="13"/>
  <c r="BH66" i="13"/>
  <c r="BH32" i="13"/>
  <c r="BH48" i="13"/>
  <c r="BH149" i="4"/>
  <c r="BH142" i="4"/>
  <c r="BH141" i="4"/>
  <c r="BH52" i="4"/>
  <c r="BG10" i="16"/>
  <c r="BG90" i="12"/>
  <c r="BG18" i="11"/>
  <c r="BG31" i="16"/>
  <c r="I34" i="21"/>
  <c r="BG32" i="12"/>
  <c r="I15" i="21"/>
  <c r="BG16" i="13"/>
  <c r="BG35" i="14"/>
  <c r="BG31" i="11"/>
  <c r="BG11" i="11"/>
  <c r="BG11" i="5"/>
  <c r="BG62" i="14"/>
  <c r="BG10" i="14"/>
  <c r="BG34" i="14"/>
  <c r="I22" i="21"/>
  <c r="BG71" i="12"/>
  <c r="BG56" i="11"/>
  <c r="BG84" i="12"/>
  <c r="I16" i="21"/>
  <c r="BH104" i="4"/>
  <c r="BH143" i="4"/>
  <c r="BG18" i="14"/>
  <c r="BG34" i="12"/>
  <c r="BG142" i="4"/>
  <c r="BG40" i="13"/>
  <c r="J40" i="21"/>
  <c r="J34" i="21"/>
  <c r="J15" i="21"/>
  <c r="J22" i="21"/>
  <c r="BG46" i="12"/>
  <c r="BG33" i="12"/>
  <c r="BG17" i="15"/>
  <c r="BG149" i="4"/>
  <c r="BG52" i="4"/>
  <c r="BG9" i="13"/>
  <c r="BG61" i="13"/>
  <c r="BG35" i="4"/>
  <c r="BG144" i="4" s="1"/>
  <c r="BG141" i="4"/>
  <c r="BG17" i="11"/>
  <c r="BG150" i="4"/>
  <c r="BG71" i="11"/>
  <c r="BG57" i="11"/>
  <c r="I40" i="21"/>
  <c r="BG49" i="14"/>
  <c r="BG33" i="11"/>
  <c r="I33" i="21"/>
  <c r="BG104" i="4"/>
  <c r="BG33" i="14"/>
  <c r="J32" i="21"/>
  <c r="J16" i="21"/>
  <c r="L22" i="21" l="1"/>
  <c r="L40" i="21"/>
  <c r="AS46" i="5"/>
  <c r="C67" i="5"/>
  <c r="D62" i="14" s="1"/>
  <c r="L91" i="12"/>
  <c r="Z66" i="12"/>
  <c r="AC33" i="11"/>
  <c r="AL82" i="12"/>
  <c r="AL34" i="13"/>
  <c r="AL25" i="15"/>
  <c r="AM27" i="5"/>
  <c r="AM27" i="14" s="1"/>
  <c r="AN56" i="12"/>
  <c r="AO41" i="11"/>
  <c r="AO57" i="11"/>
  <c r="AR92" i="12"/>
  <c r="AT18" i="11"/>
  <c r="AT67" i="5"/>
  <c r="AX62" i="13" s="1"/>
  <c r="AT48" i="11"/>
  <c r="BF57" i="12"/>
  <c r="D92" i="11"/>
  <c r="E25" i="14"/>
  <c r="F48" i="12"/>
  <c r="F40" i="13"/>
  <c r="C46" i="11"/>
  <c r="G84" i="11"/>
  <c r="G92" i="11"/>
  <c r="H33" i="14"/>
  <c r="D25" i="15"/>
  <c r="V67" i="14"/>
  <c r="X17" i="11"/>
  <c r="AD9" i="11"/>
  <c r="AD17" i="16"/>
  <c r="AE17" i="12"/>
  <c r="AE66" i="11"/>
  <c r="C9" i="11"/>
  <c r="AF26" i="12"/>
  <c r="AF65" i="12"/>
  <c r="AF91" i="4"/>
  <c r="AF32" i="11"/>
  <c r="AG63" i="11"/>
  <c r="AG26" i="14"/>
  <c r="AH34" i="12"/>
  <c r="AL49" i="13"/>
  <c r="AK26" i="11"/>
  <c r="AK18" i="14"/>
  <c r="AX16" i="14"/>
  <c r="AX70" i="13"/>
  <c r="BC16" i="14"/>
  <c r="BB26" i="14"/>
  <c r="BB25" i="15"/>
  <c r="D9" i="14"/>
  <c r="U44" i="14"/>
  <c r="V44" i="13"/>
  <c r="M17" i="11"/>
  <c r="D94" i="11"/>
  <c r="S9" i="16"/>
  <c r="T24" i="11"/>
  <c r="U24" i="14"/>
  <c r="Z25" i="12"/>
  <c r="AE48" i="12"/>
  <c r="Z67" i="13"/>
  <c r="Z49" i="13"/>
  <c r="AA10" i="13"/>
  <c r="C48" i="17"/>
  <c r="AB18" i="12"/>
  <c r="AB63" i="12"/>
  <c r="Z52" i="14"/>
  <c r="AW33" i="13"/>
  <c r="AW45" i="5"/>
  <c r="AW44" i="14" s="1"/>
  <c r="T27" i="14"/>
  <c r="Y9" i="13"/>
  <c r="G11" i="16"/>
  <c r="H11" i="15"/>
  <c r="F49" i="11"/>
  <c r="V84" i="12"/>
  <c r="V18" i="15"/>
  <c r="W49" i="14"/>
  <c r="X31" i="16"/>
  <c r="AO9" i="12"/>
  <c r="M44" i="14"/>
  <c r="S27" i="14"/>
  <c r="K11" i="16"/>
  <c r="C16" i="11"/>
  <c r="P35" i="13"/>
  <c r="R24" i="11"/>
  <c r="R41" i="11"/>
  <c r="X25" i="13"/>
  <c r="T61" i="14"/>
  <c r="U26" i="13"/>
  <c r="U31" i="15"/>
  <c r="V24" i="11"/>
  <c r="U40" i="12"/>
  <c r="AB75" i="12"/>
  <c r="AM24" i="14"/>
  <c r="AR18" i="12"/>
  <c r="AU84" i="12"/>
  <c r="BC35" i="13"/>
  <c r="BC71" i="11"/>
  <c r="N44" i="14"/>
  <c r="G13" i="7"/>
  <c r="C58" i="11"/>
  <c r="M10" i="12"/>
  <c r="O35" i="13"/>
  <c r="P17" i="14"/>
  <c r="R64" i="11"/>
  <c r="AA55" i="12"/>
  <c r="AL11" i="11"/>
  <c r="AQ18" i="16"/>
  <c r="AU24" i="14"/>
  <c r="AR46" i="12"/>
  <c r="AV19" i="11"/>
  <c r="BA125" i="4"/>
  <c r="AX31" i="16"/>
  <c r="AI62" i="13"/>
  <c r="C62" i="14"/>
  <c r="X10" i="15"/>
  <c r="Y11" i="12"/>
  <c r="AT71" i="14"/>
  <c r="AV85" i="11"/>
  <c r="G90" i="12"/>
  <c r="I61" i="13"/>
  <c r="F70" i="14"/>
  <c r="Q16" i="13"/>
  <c r="AA85" i="11"/>
  <c r="Q27" i="14"/>
  <c r="AF44" i="14"/>
  <c r="P62" i="13"/>
  <c r="R44" i="14"/>
  <c r="O11" i="16"/>
  <c r="AX27" i="5"/>
  <c r="AX27" i="13" s="1"/>
  <c r="G33" i="12"/>
  <c r="G84" i="12"/>
  <c r="AD24" i="12"/>
  <c r="L25" i="12"/>
  <c r="L64" i="12"/>
  <c r="M64" i="11"/>
  <c r="AQ46" i="12"/>
  <c r="AM52" i="4"/>
  <c r="AQ25" i="12"/>
  <c r="AM27" i="4"/>
  <c r="AN9" i="12"/>
  <c r="AR9" i="12"/>
  <c r="AN9" i="11"/>
  <c r="AO9" i="11"/>
  <c r="AN25" i="11"/>
  <c r="AO40" i="11"/>
  <c r="AN40" i="12"/>
  <c r="AO71" i="11"/>
  <c r="AN71" i="12"/>
  <c r="AN17" i="13"/>
  <c r="AN17" i="14"/>
  <c r="AN40" i="14"/>
  <c r="AO40" i="14"/>
  <c r="AN40" i="13"/>
  <c r="AM50" i="12"/>
  <c r="AQ50" i="12"/>
  <c r="AN50" i="11"/>
  <c r="AS19" i="12"/>
  <c r="AP19" i="11"/>
  <c r="AO17" i="14"/>
  <c r="AP49" i="14"/>
  <c r="AO49" i="14"/>
  <c r="AS49" i="13"/>
  <c r="AO67" i="13"/>
  <c r="AQ17" i="11"/>
  <c r="AT17" i="12"/>
  <c r="AP32" i="12"/>
  <c r="AQ32" i="11"/>
  <c r="AP48" i="12"/>
  <c r="AP48" i="11"/>
  <c r="AQ48" i="11"/>
  <c r="AP66" i="12"/>
  <c r="AQ66" i="11"/>
  <c r="AP94" i="11"/>
  <c r="AT94" i="12"/>
  <c r="AP17" i="13"/>
  <c r="AT17" i="13"/>
  <c r="AQ19" i="11"/>
  <c r="AU19" i="12"/>
  <c r="AQ63" i="12"/>
  <c r="AR63" i="11"/>
  <c r="AQ63" i="11"/>
  <c r="AQ81" i="12"/>
  <c r="AU81" i="12"/>
  <c r="AR64" i="12"/>
  <c r="AV64" i="12"/>
  <c r="AR81" i="11"/>
  <c r="AR81" i="12"/>
  <c r="AV81" i="12"/>
  <c r="AW31" i="12"/>
  <c r="AS31" i="12"/>
  <c r="AW91" i="12"/>
  <c r="AT91" i="11"/>
  <c r="AS24" i="14"/>
  <c r="AT24" i="14"/>
  <c r="AX34" i="12"/>
  <c r="AT34" i="11"/>
  <c r="AU64" i="11"/>
  <c r="AX64" i="12"/>
  <c r="AX81" i="12"/>
  <c r="AT81" i="11"/>
  <c r="AT93" i="11"/>
  <c r="AU93" i="11"/>
  <c r="AX93" i="12"/>
  <c r="AT9" i="15"/>
  <c r="AT9" i="16"/>
  <c r="AU18" i="11"/>
  <c r="AD13" i="7"/>
  <c r="AD11" i="16"/>
  <c r="D61" i="14"/>
  <c r="E61" i="14"/>
  <c r="H39" i="12"/>
  <c r="D39" i="11"/>
  <c r="G71" i="13"/>
  <c r="AD84" i="11"/>
  <c r="AH84" i="12"/>
  <c r="AD91" i="4"/>
  <c r="AD92" i="4" s="1"/>
  <c r="AD26" i="13"/>
  <c r="AD26" i="14"/>
  <c r="AE50" i="11"/>
  <c r="AE50" i="12"/>
  <c r="AG13" i="4"/>
  <c r="AK11" i="12"/>
  <c r="AG83" i="11"/>
  <c r="AG91" i="4"/>
  <c r="AH83" i="11"/>
  <c r="AK83" i="12"/>
  <c r="AG52" i="14"/>
  <c r="AK52" i="13"/>
  <c r="AG52" i="13"/>
  <c r="AG71" i="13"/>
  <c r="AH71" i="14"/>
  <c r="AH93" i="11"/>
  <c r="AG93" i="11"/>
  <c r="AH74" i="4"/>
  <c r="AL71" i="12"/>
  <c r="AL94" i="12"/>
  <c r="AH102" i="4"/>
  <c r="AL10" i="16"/>
  <c r="AH11" i="7"/>
  <c r="AI50" i="12"/>
  <c r="AF43" i="14"/>
  <c r="AE43" i="13"/>
  <c r="AI31" i="15"/>
  <c r="AM31" i="16"/>
  <c r="AJ11" i="11"/>
  <c r="AK11" i="11"/>
  <c r="AJ11" i="12"/>
  <c r="AN47" i="12"/>
  <c r="AK47" i="11"/>
  <c r="AJ47" i="12"/>
  <c r="AJ47" i="11"/>
  <c r="AJ81" i="11"/>
  <c r="AK82" i="12"/>
  <c r="AO82" i="12"/>
  <c r="AK91" i="4"/>
  <c r="BD81" i="12"/>
  <c r="AZ81" i="12"/>
  <c r="BA10" i="15"/>
  <c r="BB10" i="15"/>
  <c r="Z85" i="11"/>
  <c r="AS27" i="14"/>
  <c r="H92" i="12"/>
  <c r="U94" i="11"/>
  <c r="D11" i="11"/>
  <c r="G11" i="12"/>
  <c r="C11" i="11"/>
  <c r="Y26" i="14"/>
  <c r="AC26" i="13"/>
  <c r="Z81" i="11"/>
  <c r="AA81" i="11"/>
  <c r="AD81" i="12"/>
  <c r="Z18" i="16"/>
  <c r="AE15" i="12"/>
  <c r="AA15" i="12"/>
  <c r="AD25" i="13"/>
  <c r="Z25" i="14"/>
  <c r="AA43" i="13"/>
  <c r="AA43" i="14"/>
  <c r="AB43" i="14"/>
  <c r="AE31" i="16"/>
  <c r="AA31" i="16"/>
  <c r="AC41" i="11"/>
  <c r="AB41" i="11"/>
  <c r="AC40" i="12"/>
  <c r="AG83" i="12"/>
  <c r="AC35" i="14"/>
  <c r="O27" i="13"/>
  <c r="K27" i="14"/>
  <c r="Y62" i="13"/>
  <c r="AT27" i="14"/>
  <c r="AB11" i="15"/>
  <c r="AB12" i="7"/>
  <c r="F40" i="14"/>
  <c r="AD12" i="7"/>
  <c r="R52" i="13"/>
  <c r="R52" i="14"/>
  <c r="W26" i="14"/>
  <c r="X26" i="14"/>
  <c r="W19" i="16"/>
  <c r="W19" i="15"/>
  <c r="X19" i="15"/>
  <c r="AA19" i="16"/>
  <c r="X56" i="11"/>
  <c r="Z24" i="11"/>
  <c r="Y24" i="11"/>
  <c r="Y40" i="11"/>
  <c r="Y40" i="12"/>
  <c r="AZ93" i="12"/>
  <c r="AV93" i="11"/>
  <c r="AZ33" i="13"/>
  <c r="AV33" i="13"/>
  <c r="AV33" i="14"/>
  <c r="U82" i="12"/>
  <c r="U82" i="11"/>
  <c r="W65" i="11"/>
  <c r="V65" i="12"/>
  <c r="AV66" i="12"/>
  <c r="AZ66" i="12"/>
  <c r="AV66" i="11"/>
  <c r="AS27" i="13"/>
  <c r="Z85" i="12"/>
  <c r="T11" i="16"/>
  <c r="H9" i="14"/>
  <c r="U62" i="14"/>
  <c r="AI62" i="14"/>
  <c r="H16" i="11"/>
  <c r="C31" i="17"/>
  <c r="AI12" i="7"/>
  <c r="D27" i="14"/>
  <c r="B48" i="17"/>
  <c r="AF29" i="4"/>
  <c r="AG63" i="12"/>
  <c r="AE52" i="4"/>
  <c r="AH26" i="14"/>
  <c r="AI66" i="12"/>
  <c r="Z24" i="12"/>
  <c r="R58" i="11"/>
  <c r="R58" i="12"/>
  <c r="W9" i="12"/>
  <c r="S9" i="11"/>
  <c r="S12" i="5"/>
  <c r="T10" i="14"/>
  <c r="S9" i="5"/>
  <c r="S9" i="14" s="1"/>
  <c r="X41" i="12"/>
  <c r="T41" i="11"/>
  <c r="T41" i="12"/>
  <c r="AT49" i="11"/>
  <c r="AS49" i="12"/>
  <c r="Z9" i="14"/>
  <c r="AG28" i="5"/>
  <c r="W44" i="14"/>
  <c r="AG48" i="5"/>
  <c r="AY11" i="14"/>
  <c r="Q44" i="13"/>
  <c r="AK62" i="13"/>
  <c r="V62" i="14"/>
  <c r="R12" i="7"/>
  <c r="AI41" i="12"/>
  <c r="K33" i="12"/>
  <c r="AG26" i="13"/>
  <c r="AH11" i="11"/>
  <c r="AH52" i="14"/>
  <c r="AF50" i="11"/>
  <c r="U64" i="11"/>
  <c r="AG34" i="14"/>
  <c r="R10" i="11"/>
  <c r="V10" i="12"/>
  <c r="P27" i="14"/>
  <c r="N27" i="13"/>
  <c r="R27" i="14"/>
  <c r="J48" i="12"/>
  <c r="AK63" i="12"/>
  <c r="AH10" i="15"/>
  <c r="E11" i="11"/>
  <c r="I81" i="11"/>
  <c r="M81" i="12"/>
  <c r="M25" i="16"/>
  <c r="I25" i="15"/>
  <c r="O40" i="11"/>
  <c r="R40" i="12"/>
  <c r="P49" i="11"/>
  <c r="S49" i="12"/>
  <c r="D9" i="15"/>
  <c r="C33" i="11"/>
  <c r="F117" i="4"/>
  <c r="F130" i="4" s="1"/>
  <c r="F9" i="11"/>
  <c r="F47" i="12"/>
  <c r="F43" i="13"/>
  <c r="I26" i="12"/>
  <c r="I100" i="12" s="1"/>
  <c r="M58" i="13"/>
  <c r="K33" i="11"/>
  <c r="N41" i="11"/>
  <c r="O24" i="14"/>
  <c r="P18" i="15"/>
  <c r="AB34" i="12"/>
  <c r="AA31" i="12"/>
  <c r="AH17" i="11"/>
  <c r="AQ39" i="12"/>
  <c r="AO83" i="11"/>
  <c r="AO35" i="14"/>
  <c r="AO13" i="5"/>
  <c r="W17" i="16"/>
  <c r="AB55" i="12"/>
  <c r="H50" i="12"/>
  <c r="D93" i="11"/>
  <c r="E39" i="11"/>
  <c r="Q34" i="12"/>
  <c r="P94" i="12"/>
  <c r="R35" i="4"/>
  <c r="S35" i="11" s="1"/>
  <c r="V48" i="12"/>
  <c r="R63" i="11"/>
  <c r="S10" i="11"/>
  <c r="S25" i="11"/>
  <c r="S39" i="11"/>
  <c r="AI43" i="13"/>
  <c r="AK67" i="14"/>
  <c r="AN93" i="11"/>
  <c r="AO41" i="14"/>
  <c r="C25" i="11"/>
  <c r="C41" i="11"/>
  <c r="C50" i="11"/>
  <c r="G19" i="16"/>
  <c r="B116" i="4"/>
  <c r="E82" i="11"/>
  <c r="C16" i="17"/>
  <c r="K66" i="12"/>
  <c r="G94" i="11"/>
  <c r="P83" i="12"/>
  <c r="J9" i="15"/>
  <c r="R70" i="13"/>
  <c r="O40" i="12"/>
  <c r="N16" i="13"/>
  <c r="W56" i="12"/>
  <c r="AF25" i="16"/>
  <c r="AG71" i="14"/>
  <c r="AO31" i="11"/>
  <c r="F46" i="12"/>
  <c r="G92" i="12"/>
  <c r="C26" i="14"/>
  <c r="E56" i="11"/>
  <c r="E18" i="15"/>
  <c r="F64" i="11"/>
  <c r="AA10" i="15"/>
  <c r="AN43" i="14"/>
  <c r="AQ39" i="11"/>
  <c r="AV11" i="11"/>
  <c r="BC63" i="12"/>
  <c r="BB39" i="11"/>
  <c r="BB52" i="14"/>
  <c r="E19" i="4"/>
  <c r="F19" i="4" s="1"/>
  <c r="F19" i="11" s="1"/>
  <c r="C19" i="11"/>
  <c r="C75" i="11"/>
  <c r="C17" i="15"/>
  <c r="C15" i="17"/>
  <c r="H67" i="13"/>
  <c r="L57" i="12"/>
  <c r="M81" i="11"/>
  <c r="J10" i="11"/>
  <c r="U56" i="12"/>
  <c r="F121" i="4"/>
  <c r="AK18" i="13"/>
  <c r="AO92" i="11"/>
  <c r="AP25" i="14"/>
  <c r="AU85" i="11"/>
  <c r="D31" i="15"/>
  <c r="D104" i="4"/>
  <c r="E32" i="11"/>
  <c r="E46" i="11"/>
  <c r="E58" i="11"/>
  <c r="O56" i="11"/>
  <c r="Q16" i="14"/>
  <c r="P52" i="14"/>
  <c r="E121" i="4"/>
  <c r="E126" i="4" s="1"/>
  <c r="AN91" i="12"/>
  <c r="AK15" i="12"/>
  <c r="AP94" i="12"/>
  <c r="AM40" i="14"/>
  <c r="AN34" i="11"/>
  <c r="AR116" i="4"/>
  <c r="AR34" i="14"/>
  <c r="AT9" i="11"/>
  <c r="G75" i="11"/>
  <c r="E84" i="11"/>
  <c r="P75" i="12"/>
  <c r="P71" i="13"/>
  <c r="W49" i="13"/>
  <c r="Y19" i="16"/>
  <c r="AP82" i="11"/>
  <c r="P13" i="7"/>
  <c r="AA62" i="13"/>
  <c r="AF47" i="5"/>
  <c r="AF48" i="5"/>
  <c r="J11" i="15"/>
  <c r="AF44" i="13"/>
  <c r="R11" i="16"/>
  <c r="Z44" i="14"/>
  <c r="N13" i="7"/>
  <c r="X27" i="14"/>
  <c r="E50" i="11"/>
  <c r="C9" i="15"/>
  <c r="F24" i="12"/>
  <c r="D74" i="4"/>
  <c r="E71" i="11"/>
  <c r="D71" i="11"/>
  <c r="E10" i="11"/>
  <c r="O49" i="11"/>
  <c r="I9" i="13"/>
  <c r="AE65" i="12"/>
  <c r="AA65" i="11"/>
  <c r="G32" i="12"/>
  <c r="C49" i="14"/>
  <c r="BI19" i="11"/>
  <c r="AJ62" i="14"/>
  <c r="Z62" i="13"/>
  <c r="AG44" i="14"/>
  <c r="I130" i="4"/>
  <c r="C12" i="7"/>
  <c r="AA25" i="14"/>
  <c r="C24" i="11"/>
  <c r="C92" i="11"/>
  <c r="D56" i="11"/>
  <c r="E67" i="5"/>
  <c r="E62" i="14" s="1"/>
  <c r="P40" i="13"/>
  <c r="Y63" i="11"/>
  <c r="AO63" i="11"/>
  <c r="AO63" i="12"/>
  <c r="AH35" i="11"/>
  <c r="I62" i="14"/>
  <c r="G62" i="14"/>
  <c r="AE44" i="14"/>
  <c r="AC17" i="15"/>
  <c r="AB17" i="16"/>
  <c r="BA15" i="11"/>
  <c r="BD15" i="12"/>
  <c r="AZ15" i="11"/>
  <c r="BD34" i="12"/>
  <c r="BA34" i="11"/>
  <c r="AZ34" i="11"/>
  <c r="BC46" i="12"/>
  <c r="AZ46" i="11"/>
  <c r="AZ58" i="11"/>
  <c r="BD58" i="12"/>
  <c r="BA58" i="11"/>
  <c r="BA82" i="11"/>
  <c r="BD82" i="12"/>
  <c r="AZ85" i="11"/>
  <c r="BC85" i="12"/>
  <c r="BB91" i="11"/>
  <c r="BA91" i="11"/>
  <c r="BH18" i="12"/>
  <c r="BD18" i="12"/>
  <c r="BH56" i="12"/>
  <c r="BD56" i="12"/>
  <c r="BD56" i="11"/>
  <c r="BI85" i="12"/>
  <c r="BE85" i="11"/>
  <c r="BB55" i="11"/>
  <c r="BB143" i="4"/>
  <c r="BB33" i="11"/>
  <c r="BB141" i="4"/>
  <c r="H62" i="14"/>
  <c r="AC44" i="13"/>
  <c r="AG9" i="14"/>
  <c r="F62" i="13"/>
  <c r="AF12" i="4"/>
  <c r="AA65" i="12"/>
  <c r="D19" i="15"/>
  <c r="C47" i="11"/>
  <c r="C55" i="11"/>
  <c r="G82" i="12"/>
  <c r="AU55" i="11"/>
  <c r="AG44" i="13"/>
  <c r="G44" i="13"/>
  <c r="AF9" i="14"/>
  <c r="J85" i="11"/>
  <c r="AB27" i="14"/>
  <c r="I62" i="13"/>
  <c r="F9" i="12"/>
  <c r="E67" i="14"/>
  <c r="R67" i="5"/>
  <c r="S62" i="14" s="1"/>
  <c r="AF27" i="5"/>
  <c r="AM31" i="12"/>
  <c r="AM31" i="11"/>
  <c r="AM57" i="11"/>
  <c r="AM83" i="11"/>
  <c r="AM83" i="12"/>
  <c r="AR11" i="15"/>
  <c r="AQ11" i="16"/>
  <c r="AZ13" i="5"/>
  <c r="P11" i="15"/>
  <c r="V27" i="14"/>
  <c r="AJ62" i="13"/>
  <c r="O11" i="15"/>
  <c r="V44" i="14"/>
  <c r="AI27" i="13"/>
  <c r="I34" i="13"/>
  <c r="L41" i="14"/>
  <c r="S25" i="12"/>
  <c r="P27" i="4"/>
  <c r="P26" i="11"/>
  <c r="X17" i="12"/>
  <c r="AB17" i="12"/>
  <c r="AB33" i="12"/>
  <c r="X33" i="11"/>
  <c r="AJ58" i="14"/>
  <c r="AL26" i="11"/>
  <c r="N40" i="14"/>
  <c r="F32" i="21"/>
  <c r="BB92" i="11"/>
  <c r="BI49" i="11"/>
  <c r="L15" i="21"/>
  <c r="BJ50" i="11"/>
  <c r="D17" i="14"/>
  <c r="D67" i="14"/>
  <c r="B117" i="4"/>
  <c r="B126" i="4" s="1"/>
  <c r="P17" i="13"/>
  <c r="I92" i="12"/>
  <c r="R35" i="13"/>
  <c r="O15" i="12"/>
  <c r="V35" i="4"/>
  <c r="Z35" i="12" s="1"/>
  <c r="Y84" i="11"/>
  <c r="AI26" i="13"/>
  <c r="AI91" i="12"/>
  <c r="AK45" i="5"/>
  <c r="AQ58" i="12"/>
  <c r="AS85" i="12"/>
  <c r="AS19" i="16"/>
  <c r="AT116" i="4"/>
  <c r="AN84" i="11"/>
  <c r="AV47" i="11"/>
  <c r="AW58" i="13"/>
  <c r="AX55" i="12"/>
  <c r="AZ17" i="13"/>
  <c r="E34" i="21"/>
  <c r="AZ67" i="14"/>
  <c r="BH41" i="14"/>
  <c r="BH92" i="11"/>
  <c r="BI81" i="11"/>
  <c r="D24" i="14"/>
  <c r="D58" i="11"/>
  <c r="E25" i="11"/>
  <c r="G46" i="12"/>
  <c r="P18" i="13"/>
  <c r="I83" i="12"/>
  <c r="I71" i="13"/>
  <c r="R49" i="11"/>
  <c r="W41" i="14"/>
  <c r="Y32" i="11"/>
  <c r="Z63" i="11"/>
  <c r="AK116" i="4"/>
  <c r="AR63" i="12"/>
  <c r="AR40" i="13"/>
  <c r="AV58" i="13"/>
  <c r="AV71" i="13"/>
  <c r="AU17" i="14"/>
  <c r="BH26" i="13"/>
  <c r="BB41" i="14"/>
  <c r="BH49" i="14"/>
  <c r="BI55" i="11"/>
  <c r="AM10" i="13"/>
  <c r="AJ31" i="11"/>
  <c r="AU13" i="5"/>
  <c r="AY49" i="12"/>
  <c r="AZ82" i="12"/>
  <c r="BA91" i="12"/>
  <c r="BI15" i="12"/>
  <c r="BC39" i="11"/>
  <c r="BI50" i="12"/>
  <c r="BD61" i="13"/>
  <c r="BB82" i="11"/>
  <c r="BI26" i="11"/>
  <c r="BI49" i="14"/>
  <c r="BI10" i="15"/>
  <c r="BJ11" i="11"/>
  <c r="C66" i="11"/>
  <c r="F41" i="12"/>
  <c r="C84" i="11"/>
  <c r="E31" i="15"/>
  <c r="H24" i="13"/>
  <c r="K82" i="11"/>
  <c r="J94" i="11"/>
  <c r="N26" i="13"/>
  <c r="L91" i="11"/>
  <c r="P40" i="14"/>
  <c r="K67" i="5"/>
  <c r="O62" i="13" s="1"/>
  <c r="R43" i="14"/>
  <c r="T67" i="14"/>
  <c r="V52" i="13"/>
  <c r="X52" i="13"/>
  <c r="AB70" i="13"/>
  <c r="Z61" i="14"/>
  <c r="AD58" i="13"/>
  <c r="AJ46" i="11"/>
  <c r="AS39" i="12"/>
  <c r="AS71" i="12"/>
  <c r="AO9" i="13"/>
  <c r="AO33" i="13"/>
  <c r="AP24" i="11"/>
  <c r="AT24" i="13"/>
  <c r="AQ25" i="14"/>
  <c r="AY85" i="12"/>
  <c r="AV26" i="13"/>
  <c r="AW71" i="11"/>
  <c r="AX58" i="13"/>
  <c r="AX31" i="15"/>
  <c r="BC125" i="4"/>
  <c r="G16" i="21"/>
  <c r="BB17" i="11"/>
  <c r="BE19" i="11"/>
  <c r="BD26" i="11"/>
  <c r="BI25" i="13"/>
  <c r="BB34" i="11"/>
  <c r="BI9" i="11"/>
  <c r="BI46" i="11"/>
  <c r="BI13" i="5"/>
  <c r="G9" i="12"/>
  <c r="O47" i="11"/>
  <c r="P71" i="11"/>
  <c r="Q56" i="11"/>
  <c r="Q81" i="12"/>
  <c r="R26" i="12"/>
  <c r="T63" i="12"/>
  <c r="AB31" i="16"/>
  <c r="AC81" i="12"/>
  <c r="AK35" i="13"/>
  <c r="AK49" i="13"/>
  <c r="AT18" i="16"/>
  <c r="AU125" i="4"/>
  <c r="AY19" i="12"/>
  <c r="AZ39" i="12"/>
  <c r="AY52" i="4"/>
  <c r="BI26" i="12"/>
  <c r="BE31" i="11"/>
  <c r="BI64" i="12"/>
  <c r="BI90" i="12"/>
  <c r="BD16" i="13"/>
  <c r="BH56" i="11"/>
  <c r="BH123" i="4"/>
  <c r="BH125" i="4" s="1"/>
  <c r="BI35" i="4"/>
  <c r="BI34" i="14"/>
  <c r="BI71" i="14"/>
  <c r="D34" i="14"/>
  <c r="G63" i="11"/>
  <c r="L90" i="12"/>
  <c r="L18" i="15"/>
  <c r="R9" i="11"/>
  <c r="X24" i="11"/>
  <c r="Z10" i="15"/>
  <c r="AE90" i="11"/>
  <c r="AF24" i="12"/>
  <c r="AG41" i="11"/>
  <c r="AF61" i="13"/>
  <c r="AI47" i="11"/>
  <c r="AO24" i="12"/>
  <c r="AM34" i="14"/>
  <c r="AN10" i="15"/>
  <c r="AU11" i="15"/>
  <c r="BA25" i="12"/>
  <c r="AX46" i="12"/>
  <c r="BI18" i="16"/>
  <c r="E26" i="19"/>
  <c r="K16" i="21"/>
  <c r="BI31" i="15"/>
  <c r="BJ34" i="11"/>
  <c r="BJ49" i="11"/>
  <c r="J16" i="4"/>
  <c r="J16" i="11" s="1"/>
  <c r="J62" i="14"/>
  <c r="J62" i="13"/>
  <c r="V11" i="16"/>
  <c r="W11" i="15"/>
  <c r="AC27" i="13"/>
  <c r="AC28" i="5"/>
  <c r="U27" i="14"/>
  <c r="AX35" i="12"/>
  <c r="U44" i="13"/>
  <c r="AP62" i="14"/>
  <c r="AT62" i="13"/>
  <c r="I92" i="4"/>
  <c r="D13" i="7"/>
  <c r="D11" i="15"/>
  <c r="E11" i="15"/>
  <c r="D85" i="11"/>
  <c r="AM27" i="13"/>
  <c r="R63" i="12"/>
  <c r="N63" i="12"/>
  <c r="R19" i="16"/>
  <c r="O19" i="15"/>
  <c r="O34" i="12"/>
  <c r="K34" i="12"/>
  <c r="K34" i="11"/>
  <c r="O63" i="12"/>
  <c r="L63" i="11"/>
  <c r="K83" i="11"/>
  <c r="K91" i="4"/>
  <c r="O10" i="11"/>
  <c r="P10" i="11"/>
  <c r="O10" i="12"/>
  <c r="S10" i="12"/>
  <c r="P31" i="16"/>
  <c r="T31" i="16"/>
  <c r="Q31" i="15"/>
  <c r="R17" i="11"/>
  <c r="Q17" i="11"/>
  <c r="U17" i="12"/>
  <c r="U33" i="12"/>
  <c r="Q33" i="12"/>
  <c r="Q92" i="4"/>
  <c r="Q48" i="12"/>
  <c r="R48" i="11"/>
  <c r="Y31" i="12"/>
  <c r="U31" i="11"/>
  <c r="U31" i="12"/>
  <c r="Y93" i="12"/>
  <c r="U93" i="12"/>
  <c r="V42" i="14"/>
  <c r="U42" i="14"/>
  <c r="V18" i="12"/>
  <c r="W18" i="11"/>
  <c r="Z18" i="12"/>
  <c r="AA17" i="12"/>
  <c r="AA17" i="11"/>
  <c r="AB17" i="11"/>
  <c r="AA66" i="11"/>
  <c r="AA66" i="12"/>
  <c r="AE66" i="12"/>
  <c r="AA92" i="12"/>
  <c r="AA92" i="11"/>
  <c r="Z26" i="13"/>
  <c r="Z26" i="14"/>
  <c r="AA26" i="14"/>
  <c r="Z27" i="5"/>
  <c r="AA27" i="14" s="1"/>
  <c r="P12" i="7"/>
  <c r="AC27" i="14"/>
  <c r="BD13" i="5"/>
  <c r="X13" i="7"/>
  <c r="AH44" i="13"/>
  <c r="V13" i="7"/>
  <c r="M85" i="12"/>
  <c r="M92" i="4"/>
  <c r="L15" i="11"/>
  <c r="M15" i="4"/>
  <c r="P15" i="12"/>
  <c r="I40" i="11"/>
  <c r="I40" i="12"/>
  <c r="I56" i="11"/>
  <c r="J56" i="11"/>
  <c r="I25" i="13"/>
  <c r="I27" i="5"/>
  <c r="J27" i="14" s="1"/>
  <c r="J25" i="14"/>
  <c r="I40" i="13"/>
  <c r="J40" i="14"/>
  <c r="I40" i="14"/>
  <c r="J9" i="13"/>
  <c r="AZ27" i="13"/>
  <c r="Q11" i="15"/>
  <c r="AW13" i="5"/>
  <c r="Y11" i="15"/>
  <c r="AF53" i="4"/>
  <c r="P62" i="14"/>
  <c r="AD44" i="13"/>
  <c r="L19" i="12"/>
  <c r="AO62" i="13"/>
  <c r="AO62" i="14"/>
  <c r="Z12" i="7"/>
  <c r="AA11" i="15"/>
  <c r="Z13" i="7"/>
  <c r="C33" i="14"/>
  <c r="D33" i="14"/>
  <c r="G33" i="13"/>
  <c r="D16" i="4"/>
  <c r="H16" i="12" s="1"/>
  <c r="G16" i="12"/>
  <c r="F10" i="14"/>
  <c r="J10" i="13"/>
  <c r="F33" i="13"/>
  <c r="G33" i="14"/>
  <c r="J33" i="13"/>
  <c r="F18" i="16"/>
  <c r="F18" i="15"/>
  <c r="J18" i="16"/>
  <c r="G18" i="15"/>
  <c r="F11" i="7"/>
  <c r="F12" i="7" s="1"/>
  <c r="G9" i="15"/>
  <c r="J9" i="16"/>
  <c r="H24" i="11"/>
  <c r="G24" i="12"/>
  <c r="G47" i="11"/>
  <c r="K47" i="12"/>
  <c r="G18" i="13"/>
  <c r="K18" i="13"/>
  <c r="G61" i="14"/>
  <c r="G61" i="13"/>
  <c r="K61" i="13"/>
  <c r="H32" i="12"/>
  <c r="H32" i="11"/>
  <c r="L32" i="12"/>
  <c r="I32" i="11"/>
  <c r="I47" i="11"/>
  <c r="H47" i="12"/>
  <c r="H71" i="14"/>
  <c r="L71" i="13"/>
  <c r="H19" i="16"/>
  <c r="H19" i="15"/>
  <c r="L19" i="16"/>
  <c r="I19" i="15"/>
  <c r="M50" i="11"/>
  <c r="M50" i="12"/>
  <c r="N65" i="11"/>
  <c r="M65" i="12"/>
  <c r="M65" i="11"/>
  <c r="Q83" i="12"/>
  <c r="M83" i="12"/>
  <c r="M94" i="12"/>
  <c r="N94" i="11"/>
  <c r="M94" i="11"/>
  <c r="J24" i="14"/>
  <c r="J24" i="13"/>
  <c r="K61" i="14"/>
  <c r="J61" i="13"/>
  <c r="J71" i="14"/>
  <c r="N71" i="13"/>
  <c r="Q24" i="13"/>
  <c r="N24" i="14"/>
  <c r="M24" i="14"/>
  <c r="N71" i="14"/>
  <c r="M71" i="14"/>
  <c r="O39" i="11"/>
  <c r="P39" i="11"/>
  <c r="S55" i="12"/>
  <c r="O55" i="12"/>
  <c r="O91" i="12"/>
  <c r="O91" i="11"/>
  <c r="S91" i="12"/>
  <c r="O43" i="14"/>
  <c r="P43" i="14"/>
  <c r="T13" i="7"/>
  <c r="V10" i="11"/>
  <c r="U10" i="12"/>
  <c r="U10" i="11"/>
  <c r="AI9" i="15"/>
  <c r="AH9" i="15"/>
  <c r="AL9" i="16"/>
  <c r="AI29" i="4"/>
  <c r="AJ28" i="4"/>
  <c r="AI26" i="11"/>
  <c r="AI26" i="12"/>
  <c r="AJ26" i="11"/>
  <c r="AM26" i="12"/>
  <c r="AJ48" i="12"/>
  <c r="AN48" i="12"/>
  <c r="AK48" i="11"/>
  <c r="AN63" i="12"/>
  <c r="AJ63" i="11"/>
  <c r="AK63" i="11"/>
  <c r="AN82" i="12"/>
  <c r="AJ82" i="12"/>
  <c r="AK82" i="11"/>
  <c r="AJ91" i="4"/>
  <c r="AN26" i="13"/>
  <c r="AJ26" i="14"/>
  <c r="AN43" i="13"/>
  <c r="AJ43" i="13"/>
  <c r="AJ12" i="7"/>
  <c r="AN11" i="16"/>
  <c r="AK104" i="4"/>
  <c r="AO33" i="12"/>
  <c r="AK33" i="12"/>
  <c r="AK35" i="4"/>
  <c r="AK35" i="12" s="1"/>
  <c r="AL33" i="11"/>
  <c r="AL49" i="11"/>
  <c r="AO49" i="12"/>
  <c r="AK49" i="12"/>
  <c r="AQ19" i="16"/>
  <c r="AQ19" i="15"/>
  <c r="AR19" i="11"/>
  <c r="AS19" i="11"/>
  <c r="AU19" i="16"/>
  <c r="AV19" i="15"/>
  <c r="AU19" i="15"/>
  <c r="AS46" i="11"/>
  <c r="AW46" i="12"/>
  <c r="AS52" i="4"/>
  <c r="AW11" i="14"/>
  <c r="L44" i="14"/>
  <c r="AX11" i="14"/>
  <c r="X12" i="7"/>
  <c r="AE28" i="5"/>
  <c r="AD27" i="14"/>
  <c r="T85" i="12"/>
  <c r="AI27" i="14"/>
  <c r="H19" i="12"/>
  <c r="AI28" i="5"/>
  <c r="P49" i="13"/>
  <c r="L49" i="14"/>
  <c r="L49" i="13"/>
  <c r="M49" i="14"/>
  <c r="M26" i="12"/>
  <c r="N26" i="11"/>
  <c r="Q26" i="12"/>
  <c r="M40" i="12"/>
  <c r="N40" i="11"/>
  <c r="Q40" i="12"/>
  <c r="M40" i="11"/>
  <c r="AG27" i="13"/>
  <c r="AE27" i="13"/>
  <c r="D44" i="14"/>
  <c r="H19" i="11"/>
  <c r="AD46" i="5"/>
  <c r="AH39" i="5" s="1"/>
  <c r="D57" i="11"/>
  <c r="C57" i="11"/>
  <c r="AW27" i="5"/>
  <c r="AW28" i="5" s="1"/>
  <c r="BD11" i="13"/>
  <c r="Z11" i="16"/>
  <c r="AB11" i="16"/>
  <c r="AZ11" i="13"/>
  <c r="AC47" i="5"/>
  <c r="L62" i="13"/>
  <c r="E130" i="4"/>
  <c r="AD47" i="5"/>
  <c r="BB52" i="13"/>
  <c r="C22" i="17"/>
  <c r="I126" i="4"/>
  <c r="AN61" i="13"/>
  <c r="AY91" i="11"/>
  <c r="AY16" i="14"/>
  <c r="AS17" i="14"/>
  <c r="AW52" i="13"/>
  <c r="AT40" i="14"/>
  <c r="AS75" i="11"/>
  <c r="R41" i="12"/>
  <c r="F66" i="11"/>
  <c r="P9" i="5"/>
  <c r="AB18" i="11"/>
  <c r="S24" i="11"/>
  <c r="AC83" i="11"/>
  <c r="AW104" i="4"/>
  <c r="E70" i="14"/>
  <c r="D70" i="14"/>
  <c r="H17" i="4"/>
  <c r="G17" i="12"/>
  <c r="Y17" i="11"/>
  <c r="AC17" i="12"/>
  <c r="Z48" i="12"/>
  <c r="AT50" i="11"/>
  <c r="AT50" i="12"/>
  <c r="BA17" i="12"/>
  <c r="AX17" i="11"/>
  <c r="AW17" i="12"/>
  <c r="BA33" i="12"/>
  <c r="AW49" i="12"/>
  <c r="AW49" i="11"/>
  <c r="BA65" i="12"/>
  <c r="AX65" i="11"/>
  <c r="AW65" i="11"/>
  <c r="AW71" i="14"/>
  <c r="AW71" i="13"/>
  <c r="N85" i="12"/>
  <c r="Q85" i="11"/>
  <c r="AS71" i="14"/>
  <c r="AM84" i="12"/>
  <c r="I94" i="12"/>
  <c r="E94" i="11"/>
  <c r="X10" i="13"/>
  <c r="X9" i="5"/>
  <c r="AG9" i="16"/>
  <c r="AK9" i="16"/>
  <c r="AG9" i="15"/>
  <c r="AI32" i="12"/>
  <c r="AI32" i="11"/>
  <c r="AJ32" i="11"/>
  <c r="AM32" i="12"/>
  <c r="AJ58" i="11"/>
  <c r="AI58" i="12"/>
  <c r="AJ83" i="11"/>
  <c r="AI83" i="12"/>
  <c r="AN56" i="11"/>
  <c r="AO56" i="11"/>
  <c r="AR56" i="12"/>
  <c r="AO17" i="11"/>
  <c r="AO17" i="12"/>
  <c r="AQ82" i="12"/>
  <c r="AR82" i="11"/>
  <c r="AU94" i="12"/>
  <c r="AQ94" i="11"/>
  <c r="AY24" i="13"/>
  <c r="AV24" i="14"/>
  <c r="AV42" i="14"/>
  <c r="AW42" i="14"/>
  <c r="AZ67" i="13"/>
  <c r="AV67" i="13"/>
  <c r="BC18" i="12"/>
  <c r="AQ44" i="14"/>
  <c r="AW35" i="4"/>
  <c r="BB70" i="13"/>
  <c r="J45" i="5"/>
  <c r="N44" i="13" s="1"/>
  <c r="N41" i="12"/>
  <c r="U64" i="12"/>
  <c r="AH9" i="14"/>
  <c r="T10" i="13"/>
  <c r="AD16" i="14"/>
  <c r="B91" i="4"/>
  <c r="C85" i="11" s="1"/>
  <c r="C83" i="11"/>
  <c r="E90" i="11"/>
  <c r="D90" i="11"/>
  <c r="R65" i="12"/>
  <c r="Y81" i="11"/>
  <c r="AB81" i="12"/>
  <c r="AY84" i="12"/>
  <c r="N62" i="13"/>
  <c r="AX70" i="14"/>
  <c r="F25" i="11"/>
  <c r="G17" i="16"/>
  <c r="I25" i="16"/>
  <c r="AC91" i="4"/>
  <c r="AE33" i="13"/>
  <c r="AL15" i="11"/>
  <c r="C64" i="11"/>
  <c r="D64" i="11"/>
  <c r="G16" i="14"/>
  <c r="F16" i="14"/>
  <c r="D25" i="11"/>
  <c r="D55" i="11"/>
  <c r="D84" i="11"/>
  <c r="I93" i="11"/>
  <c r="H93" i="12"/>
  <c r="U10" i="15"/>
  <c r="AI31" i="12"/>
  <c r="AE35" i="4"/>
  <c r="AI35" i="12" s="1"/>
  <c r="AE48" i="11"/>
  <c r="AF48" i="11"/>
  <c r="AE64" i="11"/>
  <c r="AE64" i="12"/>
  <c r="AF64" i="11"/>
  <c r="AD74" i="4"/>
  <c r="AD71" i="11"/>
  <c r="AH71" i="12"/>
  <c r="AD56" i="11"/>
  <c r="AC56" i="12"/>
  <c r="AH92" i="11"/>
  <c r="AG92" i="11"/>
  <c r="AR15" i="12"/>
  <c r="AO15" i="11"/>
  <c r="AV65" i="11"/>
  <c r="AU65" i="11"/>
  <c r="BD57" i="12"/>
  <c r="E91" i="4"/>
  <c r="E83" i="11"/>
  <c r="J25" i="11"/>
  <c r="J25" i="12"/>
  <c r="AD83" i="12"/>
  <c r="AH83" i="12"/>
  <c r="AM25" i="11"/>
  <c r="AL25" i="11"/>
  <c r="AM15" i="11"/>
  <c r="AM15" i="12"/>
  <c r="AM56" i="12"/>
  <c r="AQ56" i="12"/>
  <c r="AY9" i="12"/>
  <c r="AU9" i="11"/>
  <c r="AV25" i="11"/>
  <c r="AU25" i="11"/>
  <c r="AX16" i="13"/>
  <c r="AG18" i="12"/>
  <c r="AD18" i="11"/>
  <c r="BD46" i="11"/>
  <c r="BD46" i="12"/>
  <c r="BC82" i="11"/>
  <c r="BC82" i="12"/>
  <c r="BD82" i="11"/>
  <c r="BA52" i="14"/>
  <c r="BD52" i="13"/>
  <c r="BC34" i="14"/>
  <c r="BD34" i="14"/>
  <c r="BD58" i="13"/>
  <c r="BD58" i="14"/>
  <c r="BI62" i="13"/>
  <c r="BE62" i="14"/>
  <c r="AZ18" i="16"/>
  <c r="BA18" i="15"/>
  <c r="BI10" i="16"/>
  <c r="BE10" i="16"/>
  <c r="BE10" i="15"/>
  <c r="BD18" i="16"/>
  <c r="BD18" i="15"/>
  <c r="AW25" i="12"/>
  <c r="AS25" i="12"/>
  <c r="AT25" i="11"/>
  <c r="AT41" i="11"/>
  <c r="AS41" i="11"/>
  <c r="AZ10" i="12"/>
  <c r="AV10" i="11"/>
  <c r="AZ32" i="12"/>
  <c r="AV32" i="12"/>
  <c r="AV32" i="11"/>
  <c r="AZ47" i="12"/>
  <c r="AV47" i="12"/>
  <c r="AW47" i="11"/>
  <c r="AU16" i="13"/>
  <c r="AU16" i="14"/>
  <c r="S56" i="12"/>
  <c r="C26" i="11"/>
  <c r="C98" i="11" s="1"/>
  <c r="R10" i="16"/>
  <c r="S15" i="12"/>
  <c r="X24" i="12"/>
  <c r="Y58" i="12"/>
  <c r="U70" i="13"/>
  <c r="X10" i="11"/>
  <c r="AD58" i="12"/>
  <c r="AL83" i="12"/>
  <c r="AR39" i="12"/>
  <c r="AR10" i="13"/>
  <c r="AZ57" i="12"/>
  <c r="BA24" i="11"/>
  <c r="BF90" i="12"/>
  <c r="BG15" i="11"/>
  <c r="J65" i="12"/>
  <c r="Z9" i="16"/>
  <c r="AC57" i="11"/>
  <c r="AF11" i="7"/>
  <c r="AF27" i="7" s="1"/>
  <c r="AP75" i="12"/>
  <c r="AR67" i="5"/>
  <c r="AR62" i="14" s="1"/>
  <c r="AY64" i="12"/>
  <c r="BA90" i="12"/>
  <c r="BA35" i="13"/>
  <c r="E15" i="21"/>
  <c r="BG11" i="16"/>
  <c r="BI91" i="12"/>
  <c r="E104" i="4"/>
  <c r="W9" i="16"/>
  <c r="AF71" i="13"/>
  <c r="AY35" i="4"/>
  <c r="AY35" i="12" s="1"/>
  <c r="BH48" i="12"/>
  <c r="C67" i="14"/>
  <c r="F66" i="12"/>
  <c r="I50" i="12"/>
  <c r="J57" i="12"/>
  <c r="X67" i="5"/>
  <c r="X62" i="14" s="1"/>
  <c r="AA58" i="12"/>
  <c r="BA24" i="12"/>
  <c r="BC35" i="4"/>
  <c r="BC35" i="12" s="1"/>
  <c r="BF93" i="11"/>
  <c r="BC11" i="5"/>
  <c r="BG11" i="13" s="1"/>
  <c r="BF17" i="12"/>
  <c r="BF109" i="4"/>
  <c r="BB11" i="5"/>
  <c r="BB13" i="5" s="1"/>
  <c r="BF10" i="16"/>
  <c r="L25" i="13"/>
  <c r="O31" i="12"/>
  <c r="O82" i="12"/>
  <c r="V26" i="13"/>
  <c r="R9" i="16"/>
  <c r="U35" i="4"/>
  <c r="U35" i="12" s="1"/>
  <c r="U11" i="7"/>
  <c r="V11" i="15" s="1"/>
  <c r="AC25" i="12"/>
  <c r="AG15" i="11"/>
  <c r="AO10" i="15"/>
  <c r="AY94" i="12"/>
  <c r="AX35" i="13"/>
  <c r="F34" i="21"/>
  <c r="BE39" i="12"/>
  <c r="BD17" i="15"/>
  <c r="AY18" i="12"/>
  <c r="BA10" i="16"/>
  <c r="AZ52" i="13"/>
  <c r="BH93" i="12"/>
  <c r="H33" i="13"/>
  <c r="E26" i="14"/>
  <c r="F58" i="14"/>
  <c r="H25" i="12"/>
  <c r="J25" i="15"/>
  <c r="N19" i="15"/>
  <c r="K50" i="11"/>
  <c r="S18" i="16"/>
  <c r="O26" i="11"/>
  <c r="S45" i="5"/>
  <c r="S44" i="13" s="1"/>
  <c r="Y91" i="12"/>
  <c r="Y17" i="16"/>
  <c r="AE31" i="12"/>
  <c r="AC75" i="11"/>
  <c r="AG91" i="12"/>
  <c r="AF46" i="11"/>
  <c r="AI25" i="14"/>
  <c r="AO81" i="11"/>
  <c r="AT66" i="12"/>
  <c r="AU70" i="14"/>
  <c r="AX125" i="4"/>
  <c r="BD104" i="4"/>
  <c r="AZ17" i="11"/>
  <c r="BB104" i="4"/>
  <c r="BG16" i="14"/>
  <c r="W92" i="4"/>
  <c r="AW46" i="5"/>
  <c r="AU27" i="14"/>
  <c r="AH35" i="12"/>
  <c r="K44" i="14"/>
  <c r="O17" i="11"/>
  <c r="R17" i="12"/>
  <c r="N17" i="11"/>
  <c r="L16" i="12"/>
  <c r="M16" i="4"/>
  <c r="L16" i="11"/>
  <c r="AW44" i="13"/>
  <c r="AI35" i="11"/>
  <c r="F9" i="14"/>
  <c r="AZ11" i="14"/>
  <c r="G9" i="14"/>
  <c r="K44" i="13"/>
  <c r="G15" i="11"/>
  <c r="F15" i="12"/>
  <c r="F15" i="11"/>
  <c r="E18" i="4"/>
  <c r="D18" i="11"/>
  <c r="BG13" i="5"/>
  <c r="AM35" i="12"/>
  <c r="N9" i="13"/>
  <c r="K9" i="14"/>
  <c r="J9" i="14"/>
  <c r="H18" i="11"/>
  <c r="H18" i="12"/>
  <c r="I18" i="4"/>
  <c r="AM35" i="11"/>
  <c r="AY144" i="4"/>
  <c r="BD27" i="13"/>
  <c r="AU27" i="13"/>
  <c r="W62" i="13"/>
  <c r="AN35" i="11"/>
  <c r="AT44" i="13"/>
  <c r="AT46" i="5"/>
  <c r="AT44" i="14"/>
  <c r="AU28" i="5"/>
  <c r="AU45" i="5" s="1"/>
  <c r="H15" i="11"/>
  <c r="I15" i="4"/>
  <c r="H66" i="12"/>
  <c r="I90" i="12"/>
  <c r="I10" i="13"/>
  <c r="R75" i="12"/>
  <c r="U9" i="12"/>
  <c r="AB63" i="11"/>
  <c r="AQ16" i="13"/>
  <c r="AT25" i="13"/>
  <c r="BD141" i="4"/>
  <c r="BD35" i="13"/>
  <c r="BF25" i="12"/>
  <c r="B24" i="18"/>
  <c r="BF39" i="11"/>
  <c r="B37" i="18"/>
  <c r="BF47" i="11"/>
  <c r="B45" i="18"/>
  <c r="B48" i="18" s="1"/>
  <c r="BG57" i="12"/>
  <c r="BG75" i="11"/>
  <c r="BG84" i="11"/>
  <c r="BG10" i="15"/>
  <c r="BH58" i="14"/>
  <c r="BH71" i="13"/>
  <c r="BH10" i="16"/>
  <c r="BI142" i="4"/>
  <c r="BI34" i="11"/>
  <c r="BI41" i="11"/>
  <c r="BI64" i="11"/>
  <c r="BI41" i="14"/>
  <c r="BJ15" i="12"/>
  <c r="C15" i="18"/>
  <c r="BJ47" i="11"/>
  <c r="C45" i="18"/>
  <c r="E45" i="18" s="1"/>
  <c r="BJ90" i="11"/>
  <c r="C96" i="18"/>
  <c r="BJ16" i="14"/>
  <c r="C16" i="19"/>
  <c r="BJ35" i="14"/>
  <c r="C35" i="19"/>
  <c r="D35" i="19" s="1"/>
  <c r="BJ67" i="14"/>
  <c r="C68" i="19"/>
  <c r="BJ19" i="16"/>
  <c r="C19" i="20"/>
  <c r="D19" i="20" s="1"/>
  <c r="I12" i="7"/>
  <c r="I13" i="7"/>
  <c r="G27" i="13"/>
  <c r="AF11" i="16"/>
  <c r="J81" i="11"/>
  <c r="N25" i="12"/>
  <c r="K41" i="11"/>
  <c r="S25" i="13"/>
  <c r="AM65" i="12"/>
  <c r="BC40" i="12"/>
  <c r="BD58" i="11"/>
  <c r="AZ16" i="14"/>
  <c r="BA26" i="14"/>
  <c r="BF71" i="12"/>
  <c r="B74" i="18"/>
  <c r="BF71" i="13"/>
  <c r="B72" i="19"/>
  <c r="BG70" i="13"/>
  <c r="BG31" i="15"/>
  <c r="BH82" i="12"/>
  <c r="BH42" i="14"/>
  <c r="BH39" i="12"/>
  <c r="BH10" i="13"/>
  <c r="BH11" i="15"/>
  <c r="BI24" i="11"/>
  <c r="BI90" i="11"/>
  <c r="BI17" i="15"/>
  <c r="BI123" i="4"/>
  <c r="BI125" i="4" s="1"/>
  <c r="BJ91" i="11"/>
  <c r="C97" i="18"/>
  <c r="D97" i="18" s="1"/>
  <c r="BJ17" i="14"/>
  <c r="C17" i="19"/>
  <c r="D17" i="19" s="1"/>
  <c r="BJ52" i="14"/>
  <c r="C52" i="19"/>
  <c r="D52" i="19" s="1"/>
  <c r="BJ25" i="16"/>
  <c r="C25" i="20"/>
  <c r="BJ90" i="12"/>
  <c r="BJ16" i="13"/>
  <c r="AQ44" i="13"/>
  <c r="H11" i="16"/>
  <c r="X11" i="16"/>
  <c r="Y27" i="14"/>
  <c r="L47" i="12"/>
  <c r="I32" i="12"/>
  <c r="I91" i="12"/>
  <c r="M24" i="13"/>
  <c r="Q40" i="11"/>
  <c r="Y46" i="11"/>
  <c r="AA35" i="14"/>
  <c r="AS18" i="16"/>
  <c r="AZ31" i="12"/>
  <c r="BF143" i="4"/>
  <c r="B32" i="18"/>
  <c r="D32" i="18" s="1"/>
  <c r="BG48" i="12"/>
  <c r="BH65" i="12"/>
  <c r="BI34" i="13"/>
  <c r="BI49" i="13"/>
  <c r="BJ49" i="12"/>
  <c r="C47" i="18"/>
  <c r="E47" i="18" s="1"/>
  <c r="BJ64" i="12"/>
  <c r="C67" i="18"/>
  <c r="BJ81" i="12"/>
  <c r="C87" i="18"/>
  <c r="BJ92" i="12"/>
  <c r="C98" i="18"/>
  <c r="D98" i="18" s="1"/>
  <c r="BJ18" i="14"/>
  <c r="C18" i="19"/>
  <c r="BJ40" i="14"/>
  <c r="C40" i="19"/>
  <c r="AA62" i="14"/>
  <c r="AG39" i="5"/>
  <c r="C9" i="14"/>
  <c r="H13" i="7"/>
  <c r="AA9" i="13"/>
  <c r="Q9" i="13"/>
  <c r="L15" i="12"/>
  <c r="O50" i="11"/>
  <c r="O83" i="12"/>
  <c r="P90" i="12"/>
  <c r="Z71" i="13"/>
  <c r="AK64" i="11"/>
  <c r="AY125" i="4"/>
  <c r="E40" i="21"/>
  <c r="BE25" i="11"/>
  <c r="B30" i="18"/>
  <c r="BF64" i="12"/>
  <c r="B67" i="18"/>
  <c r="BF25" i="13"/>
  <c r="BH15" i="12"/>
  <c r="BH49" i="12"/>
  <c r="BH94" i="11"/>
  <c r="BH16" i="14"/>
  <c r="K34" i="21"/>
  <c r="BI49" i="12"/>
  <c r="BI15" i="11"/>
  <c r="BI56" i="11"/>
  <c r="BI66" i="12"/>
  <c r="BI43" i="13"/>
  <c r="BI17" i="14"/>
  <c r="BI35" i="14"/>
  <c r="BJ19" i="11"/>
  <c r="C18" i="18"/>
  <c r="D18" i="18" s="1"/>
  <c r="BJ39" i="12"/>
  <c r="C37" i="18"/>
  <c r="BJ50" i="12"/>
  <c r="BJ65" i="12"/>
  <c r="C68" i="18"/>
  <c r="D68" i="18" s="1"/>
  <c r="BJ82" i="12"/>
  <c r="C88" i="18"/>
  <c r="BJ93" i="12"/>
  <c r="C99" i="18"/>
  <c r="D99" i="18" s="1"/>
  <c r="BJ24" i="14"/>
  <c r="C24" i="19"/>
  <c r="BJ41" i="14"/>
  <c r="C41" i="19"/>
  <c r="E41" i="19" s="1"/>
  <c r="BJ58" i="14"/>
  <c r="C58" i="19"/>
  <c r="BJ9" i="16"/>
  <c r="C9" i="20"/>
  <c r="E9" i="20" s="1"/>
  <c r="BJ31" i="15"/>
  <c r="C32" i="20"/>
  <c r="D32" i="20" s="1"/>
  <c r="BJ58" i="12"/>
  <c r="AC11" i="15"/>
  <c r="G90" i="11"/>
  <c r="S10" i="14"/>
  <c r="BD10" i="11"/>
  <c r="BD35" i="4"/>
  <c r="BD35" i="12" s="1"/>
  <c r="BF52" i="13"/>
  <c r="BF17" i="16"/>
  <c r="BG90" i="11"/>
  <c r="BG34" i="13"/>
  <c r="BG61" i="14"/>
  <c r="BH34" i="14"/>
  <c r="BH62" i="14"/>
  <c r="BH19" i="15"/>
  <c r="BH84" i="12"/>
  <c r="BH34" i="11"/>
  <c r="BI47" i="12"/>
  <c r="BI93" i="11"/>
  <c r="BI19" i="15"/>
  <c r="BJ24" i="11"/>
  <c r="C23" i="18"/>
  <c r="BJ40" i="12"/>
  <c r="C38" i="18"/>
  <c r="D38" i="18" s="1"/>
  <c r="BJ55" i="12"/>
  <c r="C53" i="18"/>
  <c r="BJ66" i="12"/>
  <c r="C69" i="18"/>
  <c r="D69" i="18" s="1"/>
  <c r="BJ83" i="12"/>
  <c r="C89" i="18"/>
  <c r="D89" i="18" s="1"/>
  <c r="BJ94" i="12"/>
  <c r="C100" i="18"/>
  <c r="D100" i="18" s="1"/>
  <c r="BJ25" i="14"/>
  <c r="BJ42" i="14"/>
  <c r="C42" i="19"/>
  <c r="E42" i="19" s="1"/>
  <c r="BJ71" i="14"/>
  <c r="C72" i="19"/>
  <c r="BJ10" i="15"/>
  <c r="C10" i="20"/>
  <c r="I11" i="15"/>
  <c r="E15" i="11"/>
  <c r="P44" i="14"/>
  <c r="F27" i="13"/>
  <c r="G24" i="11"/>
  <c r="L50" i="12"/>
  <c r="M75" i="12"/>
  <c r="M43" i="14"/>
  <c r="N42" i="14"/>
  <c r="Z17" i="13"/>
  <c r="AC9" i="11"/>
  <c r="AL25" i="12"/>
  <c r="AR91" i="12"/>
  <c r="BD35" i="14"/>
  <c r="BC27" i="5"/>
  <c r="BD27" i="14" s="1"/>
  <c r="AZ19" i="16"/>
  <c r="BC9" i="16"/>
  <c r="BF15" i="12"/>
  <c r="B15" i="18"/>
  <c r="BF49" i="12"/>
  <c r="BF83" i="5"/>
  <c r="B79" i="19"/>
  <c r="D79" i="19" s="1"/>
  <c r="BG31" i="12"/>
  <c r="BG62" i="13"/>
  <c r="BG19" i="15"/>
  <c r="BH41" i="11"/>
  <c r="BH85" i="12"/>
  <c r="BH35" i="14"/>
  <c r="BI48" i="11"/>
  <c r="BI71" i="11"/>
  <c r="BI94" i="11"/>
  <c r="BJ9" i="11"/>
  <c r="C9" i="18"/>
  <c r="BJ27" i="4"/>
  <c r="C24" i="18"/>
  <c r="D24" i="18" s="1"/>
  <c r="BJ151" i="4"/>
  <c r="C39" i="18"/>
  <c r="D39" i="18" s="1"/>
  <c r="BJ56" i="12"/>
  <c r="C54" i="18"/>
  <c r="D54" i="18" s="1"/>
  <c r="BJ71" i="11"/>
  <c r="C74" i="18"/>
  <c r="D74" i="18" s="1"/>
  <c r="BJ84" i="12"/>
  <c r="C90" i="18"/>
  <c r="D90" i="18" s="1"/>
  <c r="BJ83" i="5"/>
  <c r="BJ11" i="15"/>
  <c r="C11" i="20"/>
  <c r="E11" i="20" s="1"/>
  <c r="M11" i="16"/>
  <c r="I64" i="11"/>
  <c r="I49" i="13"/>
  <c r="O41" i="11"/>
  <c r="O70" i="14"/>
  <c r="AH50" i="12"/>
  <c r="AH93" i="12"/>
  <c r="AL41" i="12"/>
  <c r="AP92" i="12"/>
  <c r="AR71" i="14"/>
  <c r="BC66" i="11"/>
  <c r="BF11" i="5"/>
  <c r="BG11" i="14" s="1"/>
  <c r="B9" i="19"/>
  <c r="BG18" i="13"/>
  <c r="BH90" i="12"/>
  <c r="BH92" i="12"/>
  <c r="BH35" i="4"/>
  <c r="BJ10" i="11"/>
  <c r="C10" i="18"/>
  <c r="BJ26" i="12"/>
  <c r="C25" i="18"/>
  <c r="BJ57" i="11"/>
  <c r="C55" i="18"/>
  <c r="D55" i="18" s="1"/>
  <c r="BJ75" i="11"/>
  <c r="C78" i="18"/>
  <c r="D78" i="18" s="1"/>
  <c r="BJ9" i="14"/>
  <c r="C9" i="19"/>
  <c r="BJ33" i="14"/>
  <c r="C33" i="19"/>
  <c r="D33" i="19" s="1"/>
  <c r="BJ49" i="14"/>
  <c r="C49" i="19"/>
  <c r="BJ61" i="13"/>
  <c r="C61" i="19"/>
  <c r="E61" i="19" s="1"/>
  <c r="BJ17" i="15"/>
  <c r="C17" i="20"/>
  <c r="AQ62" i="14"/>
  <c r="F25" i="16"/>
  <c r="H55" i="11"/>
  <c r="I18" i="16"/>
  <c r="M92" i="12"/>
  <c r="O52" i="13"/>
  <c r="V10" i="14"/>
  <c r="AA92" i="4"/>
  <c r="AC49" i="11"/>
  <c r="AK56" i="11"/>
  <c r="AL70" i="14"/>
  <c r="AP34" i="11"/>
  <c r="F14" i="21"/>
  <c r="BG17" i="12"/>
  <c r="BG46" i="11"/>
  <c r="BG40" i="14"/>
  <c r="BH46" i="12"/>
  <c r="BI91" i="11"/>
  <c r="BH9" i="15"/>
  <c r="BH31" i="15"/>
  <c r="BI32" i="11"/>
  <c r="BI10" i="11"/>
  <c r="BI63" i="11"/>
  <c r="BI11" i="15"/>
  <c r="BJ31" i="12"/>
  <c r="C30" i="18"/>
  <c r="D30" i="18" s="1"/>
  <c r="BJ46" i="11"/>
  <c r="C44" i="18"/>
  <c r="BJ85" i="11"/>
  <c r="BJ10" i="14"/>
  <c r="C10" i="19"/>
  <c r="BJ34" i="14"/>
  <c r="C34" i="19"/>
  <c r="D34" i="19" s="1"/>
  <c r="BJ62" i="13"/>
  <c r="E23" i="19"/>
  <c r="E57" i="19"/>
  <c r="D15" i="19"/>
  <c r="D67" i="19"/>
  <c r="D77" i="19" s="1"/>
  <c r="D48" i="19"/>
  <c r="D32" i="19"/>
  <c r="BI27" i="5"/>
  <c r="BJ26" i="11"/>
  <c r="BJ24" i="12"/>
  <c r="BJ17" i="13"/>
  <c r="BJ67" i="13"/>
  <c r="BJ31" i="16"/>
  <c r="BJ62" i="14"/>
  <c r="BJ141" i="4"/>
  <c r="BJ34" i="12"/>
  <c r="BJ25" i="11"/>
  <c r="BJ19" i="15"/>
  <c r="BJ74" i="4"/>
  <c r="BJ75" i="12"/>
  <c r="L34" i="21"/>
  <c r="BJ9" i="12"/>
  <c r="BJ10" i="12"/>
  <c r="BJ47" i="12"/>
  <c r="P18" i="12"/>
  <c r="M18" i="4"/>
  <c r="L18" i="12"/>
  <c r="L18" i="11"/>
  <c r="U35" i="11"/>
  <c r="Y62" i="14"/>
  <c r="K16" i="11"/>
  <c r="O9" i="13"/>
  <c r="O9" i="14"/>
  <c r="N55" i="11"/>
  <c r="R55" i="12"/>
  <c r="O55" i="11"/>
  <c r="X45" i="5"/>
  <c r="Y44" i="14" s="1"/>
  <c r="X42" i="14"/>
  <c r="Y42" i="14"/>
  <c r="AA49" i="11"/>
  <c r="AA49" i="12"/>
  <c r="AC33" i="14"/>
  <c r="AG33" i="13"/>
  <c r="AC33" i="13"/>
  <c r="AH25" i="15"/>
  <c r="AG25" i="16"/>
  <c r="AG25" i="15"/>
  <c r="AL18" i="16"/>
  <c r="AH18" i="16"/>
  <c r="AI18" i="15"/>
  <c r="AH20" i="7"/>
  <c r="AO25" i="14"/>
  <c r="AN25" i="13"/>
  <c r="AR25" i="13"/>
  <c r="AN25" i="14"/>
  <c r="AR31" i="16"/>
  <c r="AN31" i="16"/>
  <c r="AP55" i="12"/>
  <c r="AQ55" i="11"/>
  <c r="AT55" i="12"/>
  <c r="AR93" i="12"/>
  <c r="AV93" i="12"/>
  <c r="AS93" i="11"/>
  <c r="AR93" i="11"/>
  <c r="BH11" i="14"/>
  <c r="AW27" i="14"/>
  <c r="E44" i="18"/>
  <c r="BG35" i="11"/>
  <c r="BG27" i="5"/>
  <c r="AZ44" i="13"/>
  <c r="AX27" i="14"/>
  <c r="AZ35" i="12"/>
  <c r="D88" i="18"/>
  <c r="L44" i="13"/>
  <c r="I16" i="11"/>
  <c r="M85" i="11"/>
  <c r="U92" i="4"/>
  <c r="U85" i="12"/>
  <c r="I85" i="11"/>
  <c r="R62" i="13"/>
  <c r="AB35" i="12"/>
  <c r="Y35" i="11"/>
  <c r="AG27" i="7"/>
  <c r="F11" i="16"/>
  <c r="P85" i="11"/>
  <c r="P85" i="12"/>
  <c r="N9" i="14"/>
  <c r="M9" i="13"/>
  <c r="C21" i="17"/>
  <c r="C20" i="17"/>
  <c r="J44" i="14"/>
  <c r="AU35" i="11"/>
  <c r="U34" i="11"/>
  <c r="K40" i="11"/>
  <c r="L85" i="12"/>
  <c r="H85" i="12"/>
  <c r="O62" i="14"/>
  <c r="R27" i="13"/>
  <c r="AO31" i="15"/>
  <c r="N55" i="12"/>
  <c r="V27" i="13"/>
  <c r="Z27" i="13"/>
  <c r="AN35" i="12"/>
  <c r="AK35" i="11"/>
  <c r="AJ35" i="11"/>
  <c r="AH18" i="15"/>
  <c r="H46" i="11"/>
  <c r="H46" i="12"/>
  <c r="I82" i="11"/>
  <c r="H82" i="12"/>
  <c r="H82" i="11"/>
  <c r="L82" i="12"/>
  <c r="I26" i="11"/>
  <c r="I100" i="11" s="1"/>
  <c r="I27" i="4"/>
  <c r="H27" i="4"/>
  <c r="L26" i="12"/>
  <c r="L100" i="12" s="1"/>
  <c r="H26" i="12"/>
  <c r="H100" i="12" s="1"/>
  <c r="H26" i="11"/>
  <c r="H100" i="11" s="1"/>
  <c r="L26" i="13"/>
  <c r="H26" i="13"/>
  <c r="H27" i="5"/>
  <c r="I26" i="14"/>
  <c r="H26" i="14"/>
  <c r="J24" i="11"/>
  <c r="I24" i="11"/>
  <c r="I24" i="12"/>
  <c r="M24" i="12"/>
  <c r="J70" i="13"/>
  <c r="N70" i="13"/>
  <c r="K70" i="14"/>
  <c r="J70" i="14"/>
  <c r="Q26" i="13"/>
  <c r="M26" i="13"/>
  <c r="N26" i="14"/>
  <c r="M27" i="5"/>
  <c r="Q27" i="13" s="1"/>
  <c r="W35" i="11"/>
  <c r="V35" i="11"/>
  <c r="V12" i="5"/>
  <c r="V9" i="5"/>
  <c r="W10" i="14"/>
  <c r="V10" i="13"/>
  <c r="AA104" i="4"/>
  <c r="AA35" i="4"/>
  <c r="AB33" i="11"/>
  <c r="AA33" i="11"/>
  <c r="AA33" i="12"/>
  <c r="AC49" i="13"/>
  <c r="AD49" i="14"/>
  <c r="AC49" i="14"/>
  <c r="AG49" i="13"/>
  <c r="Y74" i="4"/>
  <c r="Z71" i="11"/>
  <c r="Y71" i="11"/>
  <c r="Y71" i="12"/>
  <c r="AC71" i="12"/>
  <c r="AH18" i="11"/>
  <c r="AH18" i="12"/>
  <c r="AI18" i="11"/>
  <c r="AL18" i="12"/>
  <c r="AL25" i="14"/>
  <c r="AK25" i="14"/>
  <c r="AO25" i="13"/>
  <c r="AK25" i="13"/>
  <c r="AO42" i="14"/>
  <c r="AN45" i="5"/>
  <c r="AN42" i="14"/>
  <c r="AN11" i="11"/>
  <c r="AN11" i="12"/>
  <c r="AN13" i="5"/>
  <c r="AR11" i="12"/>
  <c r="AO11" i="11"/>
  <c r="AP12" i="4"/>
  <c r="AP34" i="12"/>
  <c r="AQ34" i="11"/>
  <c r="AT34" i="12"/>
  <c r="AP35" i="4"/>
  <c r="AS41" i="14"/>
  <c r="AR45" i="5"/>
  <c r="AR46" i="5" s="1"/>
  <c r="AR41" i="14"/>
  <c r="W85" i="12"/>
  <c r="BD28" i="5"/>
  <c r="BD45" i="5" s="1"/>
  <c r="V34" i="11"/>
  <c r="D9" i="20"/>
  <c r="T85" i="11"/>
  <c r="L9" i="13"/>
  <c r="J85" i="12"/>
  <c r="AD33" i="14"/>
  <c r="T62" i="13"/>
  <c r="AF50" i="5"/>
  <c r="AF46" i="5"/>
  <c r="AF39" i="5" s="1"/>
  <c r="AG35" i="11"/>
  <c r="AG11" i="15"/>
  <c r="AG13" i="7"/>
  <c r="AG12" i="7"/>
  <c r="AK11" i="16"/>
  <c r="AG11" i="16"/>
  <c r="AH11" i="15"/>
  <c r="AQ27" i="13"/>
  <c r="AQ27" i="14"/>
  <c r="AR27" i="14"/>
  <c r="AQ28" i="5"/>
  <c r="AE33" i="12"/>
  <c r="Q13" i="7"/>
  <c r="Q11" i="16"/>
  <c r="R11" i="15"/>
  <c r="Q12" i="7"/>
  <c r="C26" i="17"/>
  <c r="C25" i="17"/>
  <c r="G82" i="11"/>
  <c r="F82" i="11"/>
  <c r="E45" i="5"/>
  <c r="E44" i="14" s="1"/>
  <c r="E11" i="14"/>
  <c r="I11" i="13"/>
  <c r="E27" i="5"/>
  <c r="F11" i="14"/>
  <c r="G39" i="12"/>
  <c r="K39" i="12"/>
  <c r="G39" i="11"/>
  <c r="H39" i="11"/>
  <c r="K48" i="12"/>
  <c r="G48" i="12"/>
  <c r="H58" i="11"/>
  <c r="K58" i="12"/>
  <c r="G91" i="4"/>
  <c r="H81" i="11"/>
  <c r="G81" i="12"/>
  <c r="K81" i="12"/>
  <c r="H92" i="4"/>
  <c r="N62" i="14"/>
  <c r="N11" i="16"/>
  <c r="J13" i="7"/>
  <c r="J12" i="7"/>
  <c r="K11" i="15"/>
  <c r="AY62" i="13"/>
  <c r="AU62" i="14"/>
  <c r="AU62" i="13"/>
  <c r="AV62" i="14"/>
  <c r="AK25" i="16"/>
  <c r="J56" i="12"/>
  <c r="F56" i="12"/>
  <c r="K40" i="12"/>
  <c r="L40" i="11"/>
  <c r="K52" i="13"/>
  <c r="L52" i="14"/>
  <c r="K52" i="14"/>
  <c r="AF84" i="12"/>
  <c r="AB84" i="11"/>
  <c r="AC84" i="11"/>
  <c r="AB84" i="12"/>
  <c r="AJ70" i="14"/>
  <c r="AM70" i="13"/>
  <c r="AI70" i="14"/>
  <c r="AI70" i="13"/>
  <c r="AN67" i="13"/>
  <c r="AN67" i="14"/>
  <c r="AO67" i="14"/>
  <c r="AR67" i="13"/>
  <c r="AJ9" i="5"/>
  <c r="AK11" i="14"/>
  <c r="AJ11" i="14"/>
  <c r="AJ27" i="5"/>
  <c r="AN11" i="13"/>
  <c r="AR62" i="13"/>
  <c r="AS11" i="16"/>
  <c r="AW11" i="16"/>
  <c r="AS11" i="15"/>
  <c r="AT11" i="15"/>
  <c r="O18" i="12"/>
  <c r="BH11" i="13"/>
  <c r="AW27" i="13"/>
  <c r="AZ35" i="11"/>
  <c r="AK27" i="5"/>
  <c r="K18" i="12"/>
  <c r="W27" i="13"/>
  <c r="S85" i="12"/>
  <c r="I9" i="14"/>
  <c r="P9" i="14"/>
  <c r="S9" i="13"/>
  <c r="Z10" i="13"/>
  <c r="AJ45" i="5"/>
  <c r="I19" i="12"/>
  <c r="J19" i="4"/>
  <c r="AE49" i="12"/>
  <c r="R16" i="13"/>
  <c r="R16" i="14"/>
  <c r="S16" i="14"/>
  <c r="V16" i="13"/>
  <c r="U12" i="7"/>
  <c r="U13" i="7"/>
  <c r="X18" i="13"/>
  <c r="AB18" i="13"/>
  <c r="Y18" i="14"/>
  <c r="X18" i="14"/>
  <c r="AC61" i="13"/>
  <c r="AG61" i="13"/>
  <c r="AC61" i="14"/>
  <c r="AD61" i="14"/>
  <c r="AC67" i="5"/>
  <c r="AO93" i="12"/>
  <c r="AK93" i="11"/>
  <c r="AK93" i="12"/>
  <c r="AL93" i="11"/>
  <c r="AL61" i="14"/>
  <c r="AL61" i="13"/>
  <c r="AP61" i="13"/>
  <c r="AL67" i="5"/>
  <c r="AM61" i="14"/>
  <c r="AP9" i="12"/>
  <c r="AQ9" i="11"/>
  <c r="AP9" i="11"/>
  <c r="AR18" i="13"/>
  <c r="AR18" i="14"/>
  <c r="AV18" i="13"/>
  <c r="AS18" i="14"/>
  <c r="S85" i="11"/>
  <c r="BH13" i="5"/>
  <c r="H44" i="13"/>
  <c r="D11" i="20"/>
  <c r="Y85" i="12"/>
  <c r="AG47" i="5"/>
  <c r="C30" i="17"/>
  <c r="C29" i="17"/>
  <c r="AB49" i="11"/>
  <c r="BH27" i="5"/>
  <c r="U34" i="12"/>
  <c r="AN27" i="14"/>
  <c r="AR27" i="13"/>
  <c r="H44" i="14"/>
  <c r="U85" i="11"/>
  <c r="AC44" i="14"/>
  <c r="AD44" i="14"/>
  <c r="V35" i="12"/>
  <c r="Y44" i="13"/>
  <c r="Y34" i="12"/>
  <c r="S12" i="7"/>
  <c r="S11" i="15"/>
  <c r="T11" i="15"/>
  <c r="W11" i="16"/>
  <c r="Y35" i="12"/>
  <c r="T9" i="14"/>
  <c r="W9" i="13"/>
  <c r="AA44" i="13"/>
  <c r="AA44" i="14"/>
  <c r="AE44" i="13"/>
  <c r="AI66" i="11"/>
  <c r="AS67" i="5"/>
  <c r="AB65" i="11"/>
  <c r="I25" i="11"/>
  <c r="N18" i="13"/>
  <c r="O18" i="14"/>
  <c r="Q65" i="12"/>
  <c r="R65" i="11"/>
  <c r="AM71" i="13"/>
  <c r="AM71" i="14"/>
  <c r="AN40" i="11"/>
  <c r="M19" i="4"/>
  <c r="AG75" i="12"/>
  <c r="F45" i="5"/>
  <c r="G11" i="14"/>
  <c r="AB67" i="5"/>
  <c r="Q85" i="12"/>
  <c r="G64" i="12"/>
  <c r="K64" i="12"/>
  <c r="AB91" i="4"/>
  <c r="AK49" i="11"/>
  <c r="X91" i="4"/>
  <c r="I17" i="14"/>
  <c r="H17" i="14"/>
  <c r="AU49" i="12"/>
  <c r="BA10" i="14"/>
  <c r="BC40" i="11"/>
  <c r="BC58" i="11"/>
  <c r="BD41" i="12"/>
  <c r="BD84" i="11"/>
  <c r="BE84" i="11"/>
  <c r="BA11" i="5"/>
  <c r="BF55" i="12"/>
  <c r="BG18" i="12"/>
  <c r="BH55" i="11"/>
  <c r="BH50" i="11"/>
  <c r="BH50" i="12"/>
  <c r="BH52" i="14"/>
  <c r="BI25" i="12"/>
  <c r="BI35" i="11"/>
  <c r="BI50" i="11"/>
  <c r="BD67" i="14"/>
  <c r="BD67" i="13"/>
  <c r="BH25" i="12"/>
  <c r="BH27" i="4"/>
  <c r="BH71" i="12"/>
  <c r="BI70" i="13"/>
  <c r="BI70" i="14"/>
  <c r="BI9" i="16"/>
  <c r="BI9" i="15"/>
  <c r="BJ26" i="14"/>
  <c r="BJ26" i="13"/>
  <c r="BJ43" i="13"/>
  <c r="AZ11" i="12"/>
  <c r="BA31" i="11"/>
  <c r="BB48" i="11"/>
  <c r="BD31" i="12"/>
  <c r="BD71" i="11"/>
  <c r="BE55" i="12"/>
  <c r="BI34" i="12"/>
  <c r="BE34" i="12"/>
  <c r="BD9" i="15"/>
  <c r="BD9" i="16"/>
  <c r="BH10" i="14"/>
  <c r="BG10" i="13"/>
  <c r="BH26" i="12"/>
  <c r="BH67" i="13"/>
  <c r="BH25" i="15"/>
  <c r="BI65" i="11"/>
  <c r="BJ25" i="12"/>
  <c r="BJ41" i="12"/>
  <c r="N34" i="11"/>
  <c r="BI33" i="12"/>
  <c r="BE33" i="11"/>
  <c r="AZ43" i="13"/>
  <c r="BI9" i="13"/>
  <c r="BE9" i="14"/>
  <c r="BE11" i="5"/>
  <c r="BF63" i="12"/>
  <c r="BF18" i="13"/>
  <c r="J33" i="21"/>
  <c r="BH11" i="12"/>
  <c r="BH18" i="15"/>
  <c r="BH18" i="16"/>
  <c r="BI25" i="11"/>
  <c r="BI28" i="5"/>
  <c r="BI45" i="5" s="1"/>
  <c r="BI61" i="14"/>
  <c r="BI61" i="13"/>
  <c r="BJ18" i="16"/>
  <c r="H25" i="14"/>
  <c r="AZ24" i="12"/>
  <c r="BA10" i="13"/>
  <c r="BE46" i="12"/>
  <c r="BA35" i="4"/>
  <c r="BE31" i="12"/>
  <c r="BB35" i="4"/>
  <c r="D31" i="18"/>
  <c r="BB142" i="4"/>
  <c r="BG17" i="16"/>
  <c r="BH26" i="14"/>
  <c r="BI92" i="11"/>
  <c r="BJ11" i="12"/>
  <c r="BJ58" i="11"/>
  <c r="BJ11" i="16"/>
  <c r="BD11" i="12"/>
  <c r="BE11" i="16"/>
  <c r="AX150" i="4"/>
  <c r="AY91" i="12"/>
  <c r="BF32" i="12"/>
  <c r="BH17" i="11"/>
  <c r="K14" i="21"/>
  <c r="K15" i="21"/>
  <c r="BJ32" i="12"/>
  <c r="BA10" i="11"/>
  <c r="BD10" i="12"/>
  <c r="AY27" i="5"/>
  <c r="BF46" i="11"/>
  <c r="BG32" i="11"/>
  <c r="BI25" i="14"/>
  <c r="BH25" i="13"/>
  <c r="BH43" i="13"/>
  <c r="BI18" i="12"/>
  <c r="BI18" i="11"/>
  <c r="BJ39" i="11"/>
  <c r="BI39" i="12"/>
  <c r="BI149" i="4"/>
  <c r="BI39" i="11"/>
  <c r="BI58" i="12"/>
  <c r="BI58" i="11"/>
  <c r="BI84" i="12"/>
  <c r="BI84" i="11"/>
  <c r="BI16" i="14"/>
  <c r="BI27" i="14"/>
  <c r="BJ17" i="12"/>
  <c r="BJ17" i="11"/>
  <c r="BJ149" i="4"/>
  <c r="BJ33" i="11"/>
  <c r="BJ35" i="4"/>
  <c r="BJ143" i="4"/>
  <c r="BJ142" i="4"/>
  <c r="BJ104" i="4"/>
  <c r="C60" i="18" s="1"/>
  <c r="D60" i="18" s="1"/>
  <c r="BJ33" i="12"/>
  <c r="BJ150" i="4"/>
  <c r="BJ48" i="12"/>
  <c r="BJ52" i="4"/>
  <c r="BJ48" i="11"/>
  <c r="BJ63" i="12"/>
  <c r="BJ91" i="12"/>
  <c r="BJ43" i="14"/>
  <c r="BD81" i="11"/>
  <c r="BH81" i="12"/>
  <c r="BI18" i="13"/>
  <c r="BE18" i="14"/>
  <c r="BG35" i="13"/>
  <c r="BC35" i="14"/>
  <c r="D56" i="18"/>
  <c r="BH19" i="12"/>
  <c r="L16" i="21"/>
  <c r="L14" i="21"/>
  <c r="BJ18" i="12"/>
  <c r="BJ70" i="14"/>
  <c r="BJ63" i="11"/>
  <c r="BI52" i="4"/>
  <c r="BI144" i="4"/>
  <c r="BI10" i="14"/>
  <c r="BJ19" i="12"/>
  <c r="BJ46" i="12"/>
  <c r="BJ57" i="12"/>
  <c r="BJ71" i="12"/>
  <c r="BJ85" i="12"/>
  <c r="BJ61" i="14"/>
  <c r="BJ10" i="16"/>
  <c r="BJ18" i="15"/>
  <c r="BJ64" i="11"/>
  <c r="BJ81" i="11"/>
  <c r="BJ92" i="11"/>
  <c r="BJ33" i="13"/>
  <c r="BJ49" i="13"/>
  <c r="BH18" i="11"/>
  <c r="BH61" i="14"/>
  <c r="BH70" i="14"/>
  <c r="K32" i="21"/>
  <c r="BI93" i="12"/>
  <c r="BI52" i="14"/>
  <c r="BJ15" i="11"/>
  <c r="BJ40" i="11"/>
  <c r="BJ65" i="11"/>
  <c r="BJ82" i="11"/>
  <c r="BJ93" i="11"/>
  <c r="BJ18" i="13"/>
  <c r="BJ34" i="13"/>
  <c r="BJ52" i="13"/>
  <c r="BJ70" i="13"/>
  <c r="BJ17" i="16"/>
  <c r="BJ9" i="15"/>
  <c r="BJ25" i="15"/>
  <c r="BD149" i="4"/>
  <c r="BE35" i="4"/>
  <c r="BF35" i="11" s="1"/>
  <c r="BH31" i="11"/>
  <c r="BH18" i="14"/>
  <c r="K33" i="21"/>
  <c r="BI82" i="11"/>
  <c r="BI26" i="14"/>
  <c r="BJ11" i="5"/>
  <c r="C11" i="19" s="1"/>
  <c r="BJ31" i="11"/>
  <c r="BJ41" i="11"/>
  <c r="BJ55" i="11"/>
  <c r="BJ66" i="11"/>
  <c r="BJ83" i="11"/>
  <c r="BJ94" i="11"/>
  <c r="BJ35" i="13"/>
  <c r="BJ71" i="13"/>
  <c r="BH9" i="14"/>
  <c r="L32" i="21"/>
  <c r="BJ18" i="11"/>
  <c r="BJ32" i="11"/>
  <c r="BJ56" i="11"/>
  <c r="BJ84" i="11"/>
  <c r="BJ9" i="13"/>
  <c r="BJ24" i="13"/>
  <c r="BJ58" i="13"/>
  <c r="BI19" i="12"/>
  <c r="BI83" i="11"/>
  <c r="BI58" i="14"/>
  <c r="BI67" i="14"/>
  <c r="BI25" i="15"/>
  <c r="BJ10" i="13"/>
  <c r="BJ25" i="13"/>
  <c r="BJ40" i="13"/>
  <c r="BH75" i="12"/>
  <c r="BH91" i="12"/>
  <c r="V62" i="13" l="1"/>
  <c r="M15" i="12"/>
  <c r="E19" i="11"/>
  <c r="AF92" i="4"/>
  <c r="AF85" i="11"/>
  <c r="AJ11" i="16"/>
  <c r="G62" i="13"/>
  <c r="AH85" i="11"/>
  <c r="AG92" i="4"/>
  <c r="AG85" i="11"/>
  <c r="X62" i="13"/>
  <c r="AO85" i="12"/>
  <c r="AK85" i="12"/>
  <c r="AL85" i="11"/>
  <c r="AI11" i="15"/>
  <c r="AH11" i="16"/>
  <c r="AH12" i="7"/>
  <c r="AL11" i="16"/>
  <c r="AH27" i="7"/>
  <c r="AH13" i="7"/>
  <c r="AD85" i="12"/>
  <c r="AE85" i="11"/>
  <c r="AE35" i="12"/>
  <c r="AX28" i="5"/>
  <c r="AX45" i="5" s="1"/>
  <c r="F126" i="4"/>
  <c r="F13" i="7"/>
  <c r="AH85" i="12"/>
  <c r="R62" i="14"/>
  <c r="AF13" i="7"/>
  <c r="K62" i="14"/>
  <c r="AF11" i="15"/>
  <c r="F62" i="14"/>
  <c r="C48" i="18"/>
  <c r="E48" i="18" s="1"/>
  <c r="AO44" i="13"/>
  <c r="AK44" i="13"/>
  <c r="AL44" i="14"/>
  <c r="AY35" i="11"/>
  <c r="E87" i="18"/>
  <c r="L62" i="14"/>
  <c r="K62" i="13"/>
  <c r="AF28" i="5"/>
  <c r="AG27" i="14"/>
  <c r="AF27" i="13"/>
  <c r="AF27" i="14"/>
  <c r="I44" i="13"/>
  <c r="Y11" i="16"/>
  <c r="AV62" i="13"/>
  <c r="D37" i="18"/>
  <c r="AF12" i="7"/>
  <c r="J11" i="16"/>
  <c r="G11" i="15"/>
  <c r="F11" i="15"/>
  <c r="Z27" i="14"/>
  <c r="AD27" i="13"/>
  <c r="AD28" i="5"/>
  <c r="U11" i="15"/>
  <c r="S44" i="14"/>
  <c r="W44" i="13"/>
  <c r="T44" i="14"/>
  <c r="AW35" i="12"/>
  <c r="AW35" i="11"/>
  <c r="AX35" i="11"/>
  <c r="BC11" i="14"/>
  <c r="BC13" i="5"/>
  <c r="BC11" i="13"/>
  <c r="E85" i="11"/>
  <c r="F85" i="11"/>
  <c r="AC92" i="4"/>
  <c r="AC85" i="12"/>
  <c r="AD85" i="11"/>
  <c r="AG85" i="12"/>
  <c r="AL35" i="11"/>
  <c r="AO35" i="12"/>
  <c r="BD11" i="14"/>
  <c r="G19" i="11"/>
  <c r="F19" i="12"/>
  <c r="D72" i="19"/>
  <c r="BB11" i="13"/>
  <c r="E16" i="4"/>
  <c r="D16" i="11"/>
  <c r="H17" i="11"/>
  <c r="L17" i="12"/>
  <c r="H17" i="12"/>
  <c r="I17" i="4"/>
  <c r="U11" i="16"/>
  <c r="BB27" i="5"/>
  <c r="BC27" i="14" s="1"/>
  <c r="BC144" i="4"/>
  <c r="BG35" i="12"/>
  <c r="AF35" i="11"/>
  <c r="AE35" i="11"/>
  <c r="F85" i="12"/>
  <c r="AJ92" i="4"/>
  <c r="AN85" i="12"/>
  <c r="AJ85" i="12"/>
  <c r="AJ85" i="11"/>
  <c r="AK85" i="11"/>
  <c r="N15" i="4"/>
  <c r="Q15" i="12"/>
  <c r="M15" i="11"/>
  <c r="X9" i="13"/>
  <c r="X9" i="14"/>
  <c r="Y9" i="14"/>
  <c r="AB9" i="13"/>
  <c r="Q9" i="14"/>
  <c r="T9" i="13"/>
  <c r="P9" i="13"/>
  <c r="K92" i="4"/>
  <c r="K85" i="11"/>
  <c r="O85" i="12"/>
  <c r="L85" i="11"/>
  <c r="I85" i="12"/>
  <c r="D11" i="19"/>
  <c r="B11" i="19"/>
  <c r="E11" i="19" s="1"/>
  <c r="BF27" i="5"/>
  <c r="BG27" i="14" s="1"/>
  <c r="BF13" i="5"/>
  <c r="BF11" i="13"/>
  <c r="D87" i="18"/>
  <c r="C91" i="18"/>
  <c r="D91" i="18" s="1"/>
  <c r="C12" i="19"/>
  <c r="C82" i="19"/>
  <c r="E10" i="19"/>
  <c r="D10" i="19"/>
  <c r="D17" i="20"/>
  <c r="F16" i="20"/>
  <c r="E16" i="20" s="1"/>
  <c r="E9" i="19"/>
  <c r="D9" i="19"/>
  <c r="E10" i="18"/>
  <c r="D10" i="18"/>
  <c r="E68" i="19"/>
  <c r="D68" i="19"/>
  <c r="J18" i="4"/>
  <c r="I18" i="11"/>
  <c r="I18" i="12"/>
  <c r="E9" i="18"/>
  <c r="D9" i="18"/>
  <c r="D53" i="18"/>
  <c r="E53" i="18"/>
  <c r="E40" i="19"/>
  <c r="C45" i="19"/>
  <c r="D67" i="18"/>
  <c r="J15" i="4"/>
  <c r="I15" i="11"/>
  <c r="E18" i="11"/>
  <c r="F18" i="4"/>
  <c r="BH35" i="12"/>
  <c r="BH144" i="4"/>
  <c r="BH35" i="11"/>
  <c r="E24" i="19"/>
  <c r="D25" i="20"/>
  <c r="E25" i="20"/>
  <c r="D15" i="18"/>
  <c r="E10" i="20"/>
  <c r="D10" i="20"/>
  <c r="D18" i="19"/>
  <c r="E18" i="19"/>
  <c r="AU46" i="5"/>
  <c r="AU44" i="14"/>
  <c r="AU44" i="13"/>
  <c r="AV44" i="14"/>
  <c r="I15" i="12"/>
  <c r="D49" i="19"/>
  <c r="E49" i="19"/>
  <c r="BD144" i="4"/>
  <c r="BD35" i="11"/>
  <c r="D16" i="19"/>
  <c r="F16" i="19"/>
  <c r="E16" i="19" s="1"/>
  <c r="M16" i="11"/>
  <c r="N16" i="4"/>
  <c r="M16" i="12"/>
  <c r="F23" i="18"/>
  <c r="E23" i="18" s="1"/>
  <c r="D23" i="18"/>
  <c r="E25" i="18"/>
  <c r="D25" i="18"/>
  <c r="E58" i="19"/>
  <c r="C62" i="19"/>
  <c r="E96" i="18"/>
  <c r="D96" i="18"/>
  <c r="BC28" i="5"/>
  <c r="BC45" i="5" s="1"/>
  <c r="BJ11" i="14"/>
  <c r="BJ11" i="13"/>
  <c r="BJ27" i="5"/>
  <c r="C25" i="19" s="1"/>
  <c r="BJ13" i="5"/>
  <c r="BI35" i="12"/>
  <c r="BA35" i="12"/>
  <c r="BA35" i="11"/>
  <c r="BA144" i="4"/>
  <c r="BI46" i="5"/>
  <c r="BE27" i="5"/>
  <c r="BI11" i="13"/>
  <c r="BE11" i="14"/>
  <c r="BF11" i="14"/>
  <c r="BE13" i="5"/>
  <c r="BE11" i="13"/>
  <c r="BB11" i="14"/>
  <c r="BA13" i="5"/>
  <c r="BA27" i="5"/>
  <c r="BA11" i="13"/>
  <c r="BA11" i="14"/>
  <c r="AX46" i="5"/>
  <c r="AX44" i="14"/>
  <c r="AX44" i="13"/>
  <c r="AA35" i="11"/>
  <c r="AA35" i="12"/>
  <c r="AB35" i="11"/>
  <c r="M27" i="13"/>
  <c r="M27" i="14"/>
  <c r="N27" i="14"/>
  <c r="X44" i="14"/>
  <c r="X44" i="13"/>
  <c r="AB44" i="13"/>
  <c r="BH28" i="5"/>
  <c r="BH45" i="5" s="1"/>
  <c r="BI44" i="14" s="1"/>
  <c r="BH27" i="14"/>
  <c r="BH27" i="13"/>
  <c r="AY27" i="14"/>
  <c r="AY27" i="13"/>
  <c r="AY28" i="5"/>
  <c r="AY45" i="5" s="1"/>
  <c r="BC27" i="13"/>
  <c r="X92" i="4"/>
  <c r="Y85" i="11"/>
  <c r="X85" i="11"/>
  <c r="X85" i="12"/>
  <c r="AJ28" i="5"/>
  <c r="AJ27" i="14"/>
  <c r="AJ27" i="13"/>
  <c r="AO44" i="14"/>
  <c r="AN44" i="14"/>
  <c r="AN44" i="13"/>
  <c r="D48" i="18"/>
  <c r="BG27" i="13"/>
  <c r="BG28" i="5"/>
  <c r="BG45" i="5" s="1"/>
  <c r="BJ144" i="4"/>
  <c r="BJ35" i="12"/>
  <c r="BJ35" i="11"/>
  <c r="F44" i="14"/>
  <c r="F44" i="13"/>
  <c r="G44" i="14"/>
  <c r="AL62" i="13"/>
  <c r="AL62" i="14"/>
  <c r="AM62" i="14"/>
  <c r="AP62" i="13"/>
  <c r="AD62" i="14"/>
  <c r="AC62" i="14"/>
  <c r="AC62" i="13"/>
  <c r="AG62" i="13"/>
  <c r="AG68" i="5"/>
  <c r="J19" i="11"/>
  <c r="K19" i="11"/>
  <c r="J19" i="12"/>
  <c r="G85" i="11"/>
  <c r="K85" i="12"/>
  <c r="G85" i="12"/>
  <c r="H85" i="11"/>
  <c r="AF62" i="13"/>
  <c r="AB62" i="13"/>
  <c r="AF68" i="5"/>
  <c r="AB62" i="14"/>
  <c r="AB85" i="12"/>
  <c r="AC85" i="11"/>
  <c r="AF85" i="12"/>
  <c r="AB85" i="11"/>
  <c r="AB92" i="4"/>
  <c r="W9" i="14"/>
  <c r="Z9" i="13"/>
  <c r="V9" i="14"/>
  <c r="V9" i="13"/>
  <c r="J44" i="13"/>
  <c r="Q18" i="12"/>
  <c r="M18" i="11"/>
  <c r="N18" i="4"/>
  <c r="M18" i="12"/>
  <c r="AK44" i="14"/>
  <c r="AJ44" i="14"/>
  <c r="AJ44" i="13"/>
  <c r="AK27" i="14"/>
  <c r="AK27" i="13"/>
  <c r="AL27" i="14"/>
  <c r="AO27" i="13"/>
  <c r="AK9" i="14"/>
  <c r="AJ9" i="14"/>
  <c r="AN9" i="13"/>
  <c r="AJ9" i="13"/>
  <c r="I27" i="13"/>
  <c r="E27" i="14"/>
  <c r="F27" i="14"/>
  <c r="AR44" i="13"/>
  <c r="AV44" i="13"/>
  <c r="AS44" i="14"/>
  <c r="AR44" i="14"/>
  <c r="BE35" i="12"/>
  <c r="BE144" i="4"/>
  <c r="BE35" i="11"/>
  <c r="BB144" i="4"/>
  <c r="BB35" i="11"/>
  <c r="BC35" i="11"/>
  <c r="BB35" i="12"/>
  <c r="BF35" i="12"/>
  <c r="N19" i="4"/>
  <c r="M19" i="11"/>
  <c r="Q19" i="12"/>
  <c r="M19" i="12"/>
  <c r="H27" i="13"/>
  <c r="L27" i="13"/>
  <c r="I27" i="14"/>
  <c r="H27" i="14"/>
  <c r="D45" i="18"/>
  <c r="AW62" i="13"/>
  <c r="AS62" i="13"/>
  <c r="AT62" i="14"/>
  <c r="AS62" i="14"/>
  <c r="AN27" i="13"/>
  <c r="BD44" i="13"/>
  <c r="BD44" i="14"/>
  <c r="BD46" i="5"/>
  <c r="AP35" i="12"/>
  <c r="AP50" i="4"/>
  <c r="AT35" i="12"/>
  <c r="AQ35" i="11"/>
  <c r="AP35" i="11"/>
  <c r="AZ27" i="14"/>
  <c r="D47" i="18" l="1"/>
  <c r="D46" i="18"/>
  <c r="D44" i="18"/>
  <c r="BB28" i="5"/>
  <c r="BB45" i="5" s="1"/>
  <c r="BB46" i="5" s="1"/>
  <c r="BB44" i="13"/>
  <c r="BB27" i="13"/>
  <c r="R15" i="12"/>
  <c r="O15" i="11"/>
  <c r="N15" i="11"/>
  <c r="J17" i="4"/>
  <c r="I17" i="11"/>
  <c r="I17" i="12"/>
  <c r="M17" i="12"/>
  <c r="E16" i="11"/>
  <c r="F16" i="4"/>
  <c r="I16" i="12"/>
  <c r="N16" i="11"/>
  <c r="N16" i="12"/>
  <c r="D62" i="19"/>
  <c r="D59" i="19"/>
  <c r="D61" i="19"/>
  <c r="D60" i="19"/>
  <c r="E62" i="19"/>
  <c r="D58" i="19"/>
  <c r="J18" i="11"/>
  <c r="J18" i="12"/>
  <c r="K18" i="11"/>
  <c r="F18" i="11"/>
  <c r="F18" i="12"/>
  <c r="G18" i="11"/>
  <c r="BF28" i="5"/>
  <c r="BF45" i="5" s="1"/>
  <c r="BF27" i="13"/>
  <c r="B25" i="19"/>
  <c r="B27" i="19" s="1"/>
  <c r="J15" i="12"/>
  <c r="J15" i="11"/>
  <c r="K15" i="11"/>
  <c r="N15" i="12"/>
  <c r="C27" i="19"/>
  <c r="D25" i="19" s="1"/>
  <c r="BC46" i="5"/>
  <c r="C92" i="18"/>
  <c r="N19" i="11"/>
  <c r="R19" i="12"/>
  <c r="O19" i="11"/>
  <c r="N19" i="12"/>
  <c r="BG46" i="5"/>
  <c r="BG44" i="13"/>
  <c r="AY46" i="5"/>
  <c r="AY44" i="13"/>
  <c r="AZ44" i="14"/>
  <c r="BC44" i="13"/>
  <c r="AY44" i="14"/>
  <c r="N18" i="11"/>
  <c r="R18" i="12"/>
  <c r="N18" i="12"/>
  <c r="O18" i="11"/>
  <c r="BA28" i="5"/>
  <c r="BA45" i="5" s="1"/>
  <c r="BA27" i="13"/>
  <c r="BB27" i="14"/>
  <c r="BA27" i="14"/>
  <c r="BF27" i="14"/>
  <c r="BE27" i="14"/>
  <c r="BE28" i="5"/>
  <c r="BE45" i="5" s="1"/>
  <c r="BE27" i="13"/>
  <c r="BI27" i="13"/>
  <c r="AP49" i="11"/>
  <c r="AP52" i="4"/>
  <c r="AT49" i="12"/>
  <c r="AP49" i="12"/>
  <c r="AQ49" i="11"/>
  <c r="BH44" i="14"/>
  <c r="BH46" i="5"/>
  <c r="BH44" i="13"/>
  <c r="BJ27" i="14"/>
  <c r="BJ27" i="13"/>
  <c r="BJ28" i="5"/>
  <c r="BJ45" i="5" s="1"/>
  <c r="C43" i="19" s="1"/>
  <c r="BC44" i="14" l="1"/>
  <c r="J17" i="12"/>
  <c r="K17" i="11"/>
  <c r="N17" i="12"/>
  <c r="J17" i="11"/>
  <c r="E25" i="19"/>
  <c r="F16" i="12"/>
  <c r="F16" i="11"/>
  <c r="G16" i="11"/>
  <c r="J16" i="12"/>
  <c r="D24" i="19"/>
  <c r="D27" i="19"/>
  <c r="D26" i="19"/>
  <c r="E27" i="19"/>
  <c r="BF46" i="5"/>
  <c r="B43" i="19"/>
  <c r="B44" i="19" s="1"/>
  <c r="BF44" i="13"/>
  <c r="C44" i="19"/>
  <c r="BG44" i="14"/>
  <c r="BE44" i="13"/>
  <c r="BE46" i="5"/>
  <c r="BE44" i="14"/>
  <c r="BF44" i="14"/>
  <c r="BI44" i="13"/>
  <c r="BJ44" i="14"/>
  <c r="BJ44" i="13"/>
  <c r="BJ46" i="5"/>
  <c r="BA44" i="14"/>
  <c r="BA46" i="5"/>
  <c r="BA44" i="13"/>
  <c r="BB44" i="14"/>
  <c r="E43" i="19" l="1"/>
  <c r="D43" i="19"/>
  <c r="D41" i="19"/>
  <c r="D40" i="19"/>
  <c r="D42" i="19"/>
  <c r="D44" i="19"/>
  <c r="E4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Katell Gorvan</author>
    <author>Aurelie Rouzaut</author>
    <author>Marie-Laure Clerc</author>
  </authors>
  <commentList>
    <comment ref="A105" authorId="0" shapeId="0" xr:uid="{00000000-0006-0000-0100-000001000000}">
      <text>
        <r>
          <rPr>
            <b/>
            <sz val="9"/>
            <color indexed="81"/>
            <rFont val="Tahoma"/>
            <family val="2"/>
          </rPr>
          <t>Katell Gorvan:</t>
        </r>
        <r>
          <rPr>
            <sz val="9"/>
            <color indexed="81"/>
            <rFont val="Tahoma"/>
            <family val="2"/>
          </rPr>
          <t xml:space="preserve">
Issu du programme SIVANS/MAJO_NSA</t>
        </r>
      </text>
    </comment>
    <comment ref="AN114" authorId="1" shapeId="0" xr:uid="{00000000-0006-0000-0100-000002000000}">
      <text>
        <r>
          <rPr>
            <b/>
            <sz val="9"/>
            <color indexed="81"/>
            <rFont val="Tahoma"/>
            <family val="2"/>
          </rPr>
          <t>Aurelie Rouzaut:</t>
        </r>
        <r>
          <rPr>
            <sz val="9"/>
            <color indexed="81"/>
            <rFont val="Tahoma"/>
            <family val="2"/>
          </rPr>
          <t xml:space="preserve">
En raison d'une anomalie de comptage des décédés pr ce trimestre, on procède à une estimation: pour calculer le nombre de décès au 2T2019, on additionne les régularisations du 2T2018 (737, Etat 33331, respect des tendances passées) et celles 2T2019+décès du 2T2019. Le nombre TOTAL  de décès au 2T2019 est donc : 12826+737+9493=23 056 décès. Ceci respecterait les tendances observées les années précédentes: plus de décès au 2T de l'année en raison de l'épisode hivernale qui entraîne davantage de décès pour les personnes âgées</t>
        </r>
      </text>
    </comment>
    <comment ref="AZ114" authorId="2" shapeId="0" xr:uid="{88797973-3A4E-48F4-B02D-F7DBD2BCD87D}">
      <text>
        <r>
          <rPr>
            <b/>
            <sz val="9"/>
            <color indexed="81"/>
            <rFont val="Tahoma"/>
            <family val="2"/>
          </rPr>
          <t>Marie-Laure Clerc:</t>
        </r>
        <r>
          <rPr>
            <sz val="9"/>
            <color indexed="81"/>
            <rFont val="Tahoma"/>
            <family val="2"/>
          </rPr>
          <t xml:space="preserve">
Au T2 2022, du fait d'une nouvelle génération des sous Produits-fichiers, les variables suivantes n'étaient pas exploitables :
NS_NOUV_BEN_CCMSA ---- "Nouveau bénéficiaire CCMSA  (réservé à GETIMA)"
NS_INDIC_DC ---- Indicateur décédé période -n
Méthode corrective.
On suppose que les régulaisations du T2 2022 sont équivalentes à celles du T1 2022
On calcule une complément des décès que l'on ajoute alors sur les chiffres obtenus avec le programme  "TDB_FLUX_NSA" :  Voir H:\21-STATISTIQUES\02_STATS_RETRAITE_FAMILLE_ASS_ORPA\01_RETRAITE\03_COMMUN\03 Diffusion\Tableau de Bord\STOCK\NSA\Modif_2014_2022</t>
        </r>
      </text>
    </comment>
    <comment ref="BG114" authorId="2" shapeId="0" xr:uid="{F95AC4BD-5DAF-497B-9517-4A3127950092}">
      <text>
        <r>
          <rPr>
            <b/>
            <sz val="9"/>
            <color indexed="81"/>
            <rFont val="Tahoma"/>
            <family val="2"/>
          </rPr>
          <t>Marie-Laure Clerc:</t>
        </r>
        <r>
          <rPr>
            <sz val="9"/>
            <color indexed="81"/>
            <rFont val="Tahoma"/>
            <family val="2"/>
          </rPr>
          <t xml:space="preserve">
Au T1 2024, du fait d'une nouvelle génération des sous Produits-fichiers, les variables suivantes n'étaient pas exploitables :
NS_NOUV_BEN_CCMSA ---- "Nouveau bénéficiaire CCMSA  (réservé à GETIMA)"
NS_INDIC_DC ---- Indicateur décédé période -n
</t>
        </r>
        <r>
          <rPr>
            <b/>
            <sz val="9"/>
            <color indexed="81"/>
            <rFont val="Tahoma"/>
            <family val="2"/>
          </rPr>
          <t>Méthode corrective</t>
        </r>
        <r>
          <rPr>
            <sz val="9"/>
            <color indexed="81"/>
            <rFont val="Tahoma"/>
            <family val="2"/>
          </rPr>
          <t xml:space="preserve"> :
On suppose que les régulaisations du T1 2024 sont équivalentes à celles du T4 2023
On calcule une complément des décès que l'on ajoute alors sur les chiffres obtenus avec le programme  "TDB_FLUX_NSA" : 
 Voir H:\21-STATISTIQUES\02_STATS_RETRAITE_FAMILLE_ASS_ORPA\01_RETRAITE\03_COMMUN\03 Diffusion\Tableau de Bord\STOCK\NSA\Modif_2014_2022_2024
</t>
        </r>
        <r>
          <rPr>
            <b/>
            <sz val="9"/>
            <color indexed="81"/>
            <rFont val="Tahoma"/>
            <family val="2"/>
          </rPr>
          <t>TdB Stock Ligne 114 (Décès) = TdB Flux 2024 Ligne 26 Onglet NSA_01</t>
        </r>
      </text>
    </comment>
    <comment ref="AN121" authorId="1" shapeId="0" xr:uid="{00000000-0006-0000-0100-000003000000}">
      <text>
        <r>
          <rPr>
            <b/>
            <sz val="9"/>
            <color indexed="81"/>
            <rFont val="Tahoma"/>
            <family val="2"/>
          </rPr>
          <t>Aurelie Rouzaut:</t>
        </r>
        <r>
          <rPr>
            <sz val="9"/>
            <color indexed="81"/>
            <rFont val="Tahoma"/>
            <family val="2"/>
          </rPr>
          <t xml:space="preserve">
Même cheminement que pour le total des décès: "régularisations DP état 33 331 du 2T2019"-"régularisations DP état 33331 du 1T2019"=(4406+79+290+1+2029+4725)-(137+8+174+1+125+587)=11530-1032=10498
10498+3349+37+850+5+1503+3120=
19362</t>
        </r>
      </text>
    </comment>
    <comment ref="AZ121" authorId="2" shapeId="0" xr:uid="{8BD2A065-1602-481D-A867-08C522066BE7}">
      <text>
        <r>
          <rPr>
            <b/>
            <sz val="9"/>
            <color indexed="81"/>
            <rFont val="Tahoma"/>
            <family val="2"/>
          </rPr>
          <t>Marie-Laure Clerc:</t>
        </r>
        <r>
          <rPr>
            <sz val="9"/>
            <color indexed="81"/>
            <rFont val="Tahoma"/>
            <family val="2"/>
          </rPr>
          <t xml:space="preserve">
Au T2 2022, du fait d'une nouvelle génération des sous Produits-fichiers, les variables suivantes n'étaient pas exploitables :
NS_NOUV_BEN_CCMSA ---- "Nouveau bénéficiaire CCMSA  (réservé à GETIMA)"
NS_INDIC_DC ---- Indicateur décédé période -n
Méthode corrective.
On suppose que les régulaisations du T2 2022 sont équivalentes à celles du T1 2022
On calcule une complément des décès que l'on ajoute alors sur les chiffres obtenus avec le programme  "TDB_FLUX_NSA" voir : H:\21-STATISTIQUES\02_STATS_RETRAITE_FAMILLE_ASS_ORPA\01_RETRAITE\03_COMMUN\03 Diffusion\Tableau de Bord\STOCK\NSA\Modif_2014_2022</t>
        </r>
      </text>
    </comment>
    <comment ref="BG121" authorId="2" shapeId="0" xr:uid="{B20E1010-E3B5-447B-822B-0A0B98473957}">
      <text>
        <r>
          <rPr>
            <b/>
            <sz val="9"/>
            <color indexed="81"/>
            <rFont val="Tahoma"/>
            <family val="2"/>
          </rPr>
          <t>Marie-Laure Clerc:</t>
        </r>
        <r>
          <rPr>
            <sz val="9"/>
            <color indexed="81"/>
            <rFont val="Tahoma"/>
            <family val="2"/>
          </rPr>
          <t xml:space="preserve">
Au T1 2024, du fait d'une nouvelle génération des sous Produits-fichiers, les variables suivantes n'étaient pas exploitables :
NS_NOUV_BEN_CCMSA ---- "Nouveau bénéficiaire CCMSA  (réservé à GETIMA)"
NS_INDIC_DC ---- Indicateur décédé période -n
Méthode corrective :
On suppose que les régulaisations du T1 2024 sont équivalentes à celles du T4 2023
On calcule une complément des décès que l'on ajoute alors sur les chiffres obtenus avec le programme  "TDB_FLUX_NSA" : 
 Voir H:\21-STATISTIQUES\02_STATS_RETRAITE_FAMILLE_ASS_ORPA\01_RETRAITE\03_COMMUN\03 Diffusion\Tableau de Bord\STOCK\NSA\Modif_2014_2022_2024
TdB Stock Ligne 121 (Décès DP) = TdB Flux 2024 Onglet NSA_04 Ligne 17 + Ligne 21</t>
        </r>
      </text>
    </comment>
    <comment ref="BG123" authorId="2" shapeId="0" xr:uid="{D6D665F5-5EF0-4A16-8848-AC701A46DEA7}">
      <text>
        <r>
          <rPr>
            <b/>
            <sz val="9"/>
            <color indexed="81"/>
            <rFont val="Tahoma"/>
            <family val="2"/>
          </rPr>
          <t>Marie-Laure Clerc:</t>
        </r>
        <r>
          <rPr>
            <sz val="9"/>
            <color indexed="81"/>
            <rFont val="Tahoma"/>
            <family val="2"/>
          </rPr>
          <t xml:space="preserve">
Au T1 2024, du fait d'une nouvelle génération des sous Produits-fichiers, les variables suivantes n'étaient pas exploitables :
NS_NOUV_BEN_CCMSA ---- "Nouveau bénéficiaire CCMSA  (réservé à GETIMA)"
NS_INDIC_DC ---- Indicateur décédé période -n
Méthode corrective :
On suppose que les régulaisations du T1 2024 sont équivalentes à celles du T4 2023
On calcule une complément des décès que l'on ajoute alors sur les chiffres obtenus avec le programme  "TDB_FLUX_NSA" : 
 Voir H:\21-STATISTIQUES\02_STATS_RETRAITE_FAMILLE_ASS_ORPA\01_RETRAITE\03_COMMUN\03 Diffusion\Tableau de Bord\STOCK\NSA\Modif_2014_2022_2024
</t>
        </r>
        <r>
          <rPr>
            <b/>
            <sz val="9"/>
            <color indexed="81"/>
            <rFont val="Tahoma"/>
            <family val="2"/>
          </rPr>
          <t>TdB Stock Ligne 121 (Décès DR) = TdB Stock Ligne 114 - Ligne 121</t>
        </r>
      </text>
    </comment>
    <comment ref="AX144" authorId="2" shapeId="0" xr:uid="{1C6F9637-C34E-4D93-9DF9-E468CDC0A0B7}">
      <text>
        <r>
          <rPr>
            <b/>
            <sz val="9"/>
            <color indexed="81"/>
            <rFont val="Tahoma"/>
            <family val="2"/>
          </rPr>
          <t>Marie-Laure Clerc:</t>
        </r>
        <r>
          <rPr>
            <sz val="9"/>
            <color indexed="81"/>
            <rFont val="Tahoma"/>
            <family val="2"/>
          </rPr>
          <t xml:space="preserve">
Les non-ventilés sont inclus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Katell Gorvan</author>
    <author>Aurelie Rouzaut</author>
  </authors>
  <commentList>
    <comment ref="A11" authorId="0" shapeId="0" xr:uid="{00000000-0006-0000-0200-000001000000}">
      <text>
        <r>
          <rPr>
            <b/>
            <sz val="9"/>
            <color indexed="81"/>
            <rFont val="Tahoma"/>
            <family val="2"/>
          </rPr>
          <t>Katell Gorvan:</t>
        </r>
        <r>
          <rPr>
            <sz val="9"/>
            <color indexed="81"/>
            <rFont val="Tahoma"/>
            <family val="2"/>
          </rPr>
          <t xml:space="preserve">
Vérifier que ça corresponde au nombre issu du programme SIVA/INDICATE</t>
        </r>
      </text>
    </comment>
    <comment ref="AT15" authorId="1" shapeId="0" xr:uid="{00000000-0006-0000-0200-000002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U15" authorId="1" shapeId="0" xr:uid="{00000000-0006-0000-0200-000003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V15" authorId="1" shapeId="0" xr:uid="{00000000-0006-0000-0200-000004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W16" authorId="1" shapeId="0" xr:uid="{00000000-0006-0000-0200-000005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X16" authorId="1" shapeId="0" xr:uid="{00000000-0006-0000-0200-000006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T32" authorId="1" shapeId="0" xr:uid="{00000000-0006-0000-0200-000007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U32" authorId="1" shapeId="0" xr:uid="{00000000-0006-0000-0200-000008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V32" authorId="1" shapeId="0" xr:uid="{00000000-0006-0000-0200-000009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W32" authorId="1" shapeId="0" xr:uid="{00000000-0006-0000-0200-00000A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X32" authorId="1" shapeId="0" xr:uid="{00000000-0006-0000-0200-00000B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T44" authorId="1" shapeId="0" xr:uid="{00000000-0006-0000-0200-00000C000000}">
      <text>
        <r>
          <rPr>
            <b/>
            <sz val="9"/>
            <color indexed="81"/>
            <rFont val="Tahoma"/>
            <family val="2"/>
          </rPr>
          <t xml:space="preserve">Aurelie Rouzaut:
Chiffre initial=184 116 veufs. </t>
        </r>
        <r>
          <rPr>
            <sz val="9"/>
            <color indexed="81"/>
            <rFont val="Tahoma"/>
            <family val="2"/>
          </rPr>
          <t xml:space="preserve">
Suite à la modification du fichier INDIVIDUS à partir du 4T2020 pour la prise en compte des veufs de RCO sans droit de base NSA, le nombre de veufs RCO sans droits de base NSA augmente</t>
        </r>
      </text>
    </comment>
    <comment ref="AU44" authorId="1" shapeId="0" xr:uid="{00000000-0006-0000-0200-00000D000000}">
      <text>
        <r>
          <rPr>
            <b/>
            <sz val="9"/>
            <color indexed="81"/>
            <rFont val="Tahoma"/>
            <family val="2"/>
          </rPr>
          <t>Aurelie Rouzaut:</t>
        </r>
        <r>
          <rPr>
            <sz val="9"/>
            <color indexed="81"/>
            <rFont val="Tahoma"/>
            <family val="2"/>
          </rPr>
          <t xml:space="preserve">
Chiffre initial=182 108 veufs. 
Suite à la modification du fichier INDIVIDUS à partir du 4T2020 pour la prise en compte des veufs de RCO sans droit de base NSA, le nombre de veufs RCO sans droits de base NSA augmente
</t>
        </r>
      </text>
    </comment>
    <comment ref="AV44" authorId="1" shapeId="0" xr:uid="{00000000-0006-0000-0200-00000E000000}">
      <text>
        <r>
          <rPr>
            <b/>
            <sz val="9"/>
            <color indexed="81"/>
            <rFont val="Tahoma"/>
            <family val="2"/>
          </rPr>
          <t>Aurelie Rouzaut:</t>
        </r>
        <r>
          <rPr>
            <sz val="9"/>
            <color indexed="81"/>
            <rFont val="Tahoma"/>
            <family val="2"/>
          </rPr>
          <t xml:space="preserve">
Chiffre initial=179 952 veufs. 
Suite à la modification du fichier INDIVIDUS à partir du 4T2020 pour la prise en compte des veufs de RCO sans droit de base NSA, le nombre de veufs RCO sans droits de base NSA augmente
</t>
        </r>
      </text>
    </comment>
    <comment ref="AW44" authorId="1" shapeId="0" xr:uid="{00000000-0006-0000-0200-00000F000000}">
      <text>
        <r>
          <rPr>
            <b/>
            <sz val="9"/>
            <color indexed="81"/>
            <rFont val="Tahoma"/>
            <family val="2"/>
          </rPr>
          <t>Aurelie Rouzaut:</t>
        </r>
        <r>
          <rPr>
            <sz val="9"/>
            <color indexed="81"/>
            <rFont val="Tahoma"/>
            <family val="2"/>
          </rPr>
          <t xml:space="preserve">
Chiffre initial=178 857 veufs. 
Suite à la modification du fichier INDIVIDUS à partir du 4T2020 pour la prise en compte des veufs de RCO sans droit de base NSA, le nombre de veufs RCO sans droits de base NSA augmente
</t>
        </r>
      </text>
    </comment>
    <comment ref="AX44" authorId="1" shapeId="0" xr:uid="{00000000-0006-0000-0200-000010000000}">
      <text>
        <r>
          <rPr>
            <b/>
            <sz val="9"/>
            <color indexed="81"/>
            <rFont val="Tahoma"/>
            <family val="2"/>
          </rPr>
          <t>Aurelie Rouzaut:</t>
        </r>
        <r>
          <rPr>
            <sz val="9"/>
            <color indexed="81"/>
            <rFont val="Tahoma"/>
            <family val="2"/>
          </rPr>
          <t xml:space="preserve">
Chiffre initial=178 174 veufs. 
Suite à la modification du fichier INDIVIDUS à partir du 4T2020 pour la prise en compte des veufs de RCO sans droit de base NSA, le nombre de veufs RCO sans droits de base NSA augmente
</t>
        </r>
      </text>
    </comment>
    <comment ref="AT45" authorId="1" shapeId="0" xr:uid="{00000000-0006-0000-0200-000011000000}">
      <text>
        <r>
          <rPr>
            <b/>
            <sz val="9"/>
            <color indexed="81"/>
            <rFont val="Tahoma"/>
            <family val="2"/>
          </rPr>
          <t>Aurelie Rouzaut:</t>
        </r>
        <r>
          <rPr>
            <sz val="9"/>
            <color indexed="81"/>
            <rFont val="Tahoma"/>
            <family val="2"/>
          </rPr>
          <t xml:space="preserve">
Chiffre initial=2000 non ventilés 
Suite à la modification du fichier INDIVIDUS à partir du 4T2020 pour la prise en compte des veufs de RCO sans droit de base NSA, le nombre de personnes dans statut "non ventilé" diminué car en réalité, il s'agit de veufs RCO sans droit de base NSA
</t>
        </r>
      </text>
    </comment>
    <comment ref="AU45" authorId="1" shapeId="0" xr:uid="{00000000-0006-0000-0200-000012000000}">
      <text>
        <r>
          <rPr>
            <b/>
            <sz val="9"/>
            <color indexed="81"/>
            <rFont val="Tahoma"/>
            <family val="2"/>
          </rPr>
          <t>Aurelie Rouzaut:</t>
        </r>
        <r>
          <rPr>
            <sz val="9"/>
            <color indexed="81"/>
            <rFont val="Tahoma"/>
            <family val="2"/>
          </rPr>
          <t xml:space="preserve">
Chiffre initial=2491 non ventilés 
Suite à la modification du fichier INDIVIDUS à partir du 4T2020 pour la prise en compte des veufs de RCO sans droit de base NSA, le nombre de personnes dans statut "non ventilé" diminué car en réalité, il s'agit de veufs RCO sans droit de base NSA
</t>
        </r>
      </text>
    </comment>
    <comment ref="AV45" authorId="1" shapeId="0" xr:uid="{00000000-0006-0000-0200-000013000000}">
      <text>
        <r>
          <rPr>
            <b/>
            <sz val="9"/>
            <color indexed="81"/>
            <rFont val="Tahoma"/>
            <family val="2"/>
          </rPr>
          <t>Aurelie Rouzaut:</t>
        </r>
        <r>
          <rPr>
            <sz val="9"/>
            <color indexed="81"/>
            <rFont val="Tahoma"/>
            <family val="2"/>
          </rPr>
          <t xml:space="preserve">
Chiffre initial=2092 non ventilés 
Suite à la modification du fichier INDIVIDUS à partir du 4T2020 pour la prise en compte des veufs de RCO sans droit de base NSA, le nombre de personnes dans statut "non ventilé" diminué car en réalité, il s'agit de veufs RCO sans droit de base NSA
</t>
        </r>
      </text>
    </comment>
    <comment ref="AW45" authorId="1" shapeId="0" xr:uid="{00000000-0006-0000-0200-000014000000}">
      <text>
        <r>
          <rPr>
            <b/>
            <sz val="9"/>
            <color indexed="81"/>
            <rFont val="Tahoma"/>
            <family val="2"/>
          </rPr>
          <t>Aurelie Rouzaut:
Chiffre intiale: 2062</t>
        </r>
        <r>
          <rPr>
            <sz val="9"/>
            <color indexed="81"/>
            <rFont val="Tahoma"/>
            <family val="2"/>
          </rPr>
          <t xml:space="preserve">
Suite à la modification du fichier INDIVIDUS à partir du 4T2020 pour la prise en compte des veufs de RCO sans droit de base NSA, le nombre de personnes dans statut "non ventilé" diminué car en réalité, il s'agit de veufs RCO sans droit de base NSA</t>
        </r>
      </text>
    </comment>
    <comment ref="AX45" authorId="1" shapeId="0" xr:uid="{00000000-0006-0000-0200-000015000000}">
      <text>
        <r>
          <rPr>
            <b/>
            <sz val="9"/>
            <color indexed="81"/>
            <rFont val="Tahoma"/>
            <family val="2"/>
          </rPr>
          <t>Aurelie Rouzaut:</t>
        </r>
        <r>
          <rPr>
            <sz val="9"/>
            <color indexed="81"/>
            <rFont val="Tahoma"/>
            <family val="2"/>
          </rPr>
          <t xml:space="preserve">
Chiffre initial=2124 non ventilés 
Suite à la modification du fichier INDIVIDUS à partir du 4T2020 pour la prise en compte des veufs de RCO sans droit de base NSA, le nombre de personnes dans statut "non ventilé" diminué car en réalité, il s'agit de veufs RCO sans droit de base NSA
</t>
        </r>
      </text>
    </comment>
    <comment ref="AT51" authorId="1" shapeId="0" xr:uid="{00000000-0006-0000-0200-000016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U51" authorId="1" shapeId="0" xr:uid="{00000000-0006-0000-0200-000017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V51" authorId="1" shapeId="0" xr:uid="{00000000-0006-0000-0200-000018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W51" authorId="1" shapeId="0" xr:uid="{00000000-0006-0000-0200-000019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 ref="AX51" authorId="1" shapeId="0" xr:uid="{00000000-0006-0000-0200-00001A000000}">
      <text>
        <r>
          <rPr>
            <b/>
            <sz val="9"/>
            <color indexed="81"/>
            <rFont val="Tahoma"/>
            <family val="2"/>
          </rPr>
          <t>Aurelie Rouzaut:</t>
        </r>
        <r>
          <rPr>
            <sz val="9"/>
            <color indexed="81"/>
            <rFont val="Tahoma"/>
            <family val="2"/>
          </rPr>
          <t xml:space="preserve">
Suite à la prise en compte de pensionnés RCO de DR sans drts de base NSA, légère modification des montants moyens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FABRENA</author>
  </authors>
  <commentList>
    <comment ref="F44" authorId="0" shapeId="0" xr:uid="{00000000-0006-0000-0700-000001000000}">
      <text>
        <r>
          <rPr>
            <b/>
            <sz val="8"/>
            <color indexed="81"/>
            <rFont val="Tahoma"/>
            <family val="2"/>
          </rPr>
          <t>FABRENA:</t>
        </r>
        <r>
          <rPr>
            <sz val="8"/>
            <color indexed="81"/>
            <rFont val="Tahoma"/>
            <family val="2"/>
          </rPr>
          <t xml:space="preserve">
variables mal renseigné dans SIVA</t>
        </r>
      </text>
    </comment>
  </commentList>
</comments>
</file>

<file path=xl/sharedStrings.xml><?xml version="1.0" encoding="utf-8"?>
<sst xmlns="http://schemas.openxmlformats.org/spreadsheetml/2006/main" count="1120" uniqueCount="306">
  <si>
    <t>Chefs d'exploitation</t>
  </si>
  <si>
    <t>Conjoints</t>
  </si>
  <si>
    <t>Membres de la famille</t>
  </si>
  <si>
    <t>Veufs ou veuves</t>
  </si>
  <si>
    <t>Non ventilés</t>
  </si>
  <si>
    <t>Nombre de pensionnés NSA</t>
  </si>
  <si>
    <t>(Montants DP, DR et avantages complémentaires hors RCO)</t>
  </si>
  <si>
    <t>(Montants DP, DR, avantages complémentaires et RCO DP et DR)</t>
  </si>
  <si>
    <t>A) Retraites NSA hors RCO</t>
  </si>
  <si>
    <t>Nombre de pensionnés NSA + RCO (DP et/ou DR)</t>
  </si>
  <si>
    <t>Nombre de pensionnés par statut</t>
  </si>
  <si>
    <t>(Montants stock : DP, DR et avantages complémentaires hors RCO)</t>
  </si>
  <si>
    <t>(Montants stock : DP, DR, avantages complémentaires et RCO DP et DR)</t>
  </si>
  <si>
    <t>ENSEMBLE</t>
  </si>
  <si>
    <t>Pension moyenne annualisée hors RCO</t>
  </si>
  <si>
    <t>Pension moyenne annualisée par statut</t>
  </si>
  <si>
    <t>Droits directs seuls</t>
  </si>
  <si>
    <t>Droits dérivés seuls</t>
  </si>
  <si>
    <t>Droits directs et droits dérivés</t>
  </si>
  <si>
    <t>Nombre de pensionnés NSA + RCO par statut</t>
  </si>
  <si>
    <t xml:space="preserve">Nombre de pensionnés NSA + RCO (DP et/ou DR) par types de droits </t>
  </si>
  <si>
    <t>(avantage du droit de base)</t>
  </si>
  <si>
    <t xml:space="preserve">Nombre de pensionnés par statut avec carrière complète de DP </t>
  </si>
  <si>
    <t xml:space="preserve">Pension moyenne annualisée par statut avec carrière complète de DP </t>
  </si>
  <si>
    <t>Pension moyenne</t>
  </si>
  <si>
    <t xml:space="preserve">Nombre de pensionnés NSA + RCO par statut avec carrière complète de DP </t>
  </si>
  <si>
    <t>B) Retraites NSA y compris RCO exclusivement pour la population RCO (DP et/ou DR)</t>
  </si>
  <si>
    <t>Hommes</t>
  </si>
  <si>
    <t>Femmes</t>
  </si>
  <si>
    <t>Ensemble</t>
  </si>
  <si>
    <t>Proportion</t>
  </si>
  <si>
    <t xml:space="preserve">Age moyen des pensionnés NSA </t>
  </si>
  <si>
    <t>Durée de carrière NSA parmi les droits directs</t>
  </si>
  <si>
    <t>Trimestres NSA moyens</t>
  </si>
  <si>
    <t>Bonification pour enfants</t>
  </si>
  <si>
    <t>Majoration pour tierce personne</t>
  </si>
  <si>
    <t>Majoration L814-2</t>
  </si>
  <si>
    <t>Allocation supplémentaire du FSV</t>
  </si>
  <si>
    <t>Allocation aux personnes agées ASPA</t>
  </si>
  <si>
    <t>Nombre de pensionnés NSA par type de droits</t>
  </si>
  <si>
    <t>Pension moyenne annualisée hors RCO par type de droits</t>
  </si>
  <si>
    <t>Pension moyenne annualisée y compris la  RCO</t>
  </si>
  <si>
    <t>Pension moyenne annualisée y compris la  RCO par types de droits</t>
  </si>
  <si>
    <t>Pension moyenne annualisée y compris la RCO par statut</t>
  </si>
  <si>
    <t>Pension moyenne annualisée y compris la RCO par statut avec carrière complète de DP</t>
  </si>
  <si>
    <t>C) Retraites des chefs d'exploitations  : NSA + RCO (si existe) + SA (si existe)</t>
  </si>
  <si>
    <t>Nombre de pensionnés NSA chefs d'exploitation</t>
  </si>
  <si>
    <t>Pension moyenne annualisée pour les chefs d'exploitation</t>
  </si>
  <si>
    <t>Nombre de pensionnés NSA chefs d'exploitation avec carrière complète de DP</t>
  </si>
  <si>
    <t>Pension moyenne annualisée pour les chefs d'exploitation avec carrière complète de DP</t>
  </si>
  <si>
    <t>Montants NSA (DP, DR et avantages complémentaires) et ou RCO (DP, DR) et ou SA (DP, DR, avantages complémentaires)</t>
  </si>
  <si>
    <t>Les Retraites du Régime des Non Salariés Agricoles (métropole)</t>
  </si>
  <si>
    <t>Elements démographiques et financiers</t>
  </si>
  <si>
    <t>Source : CCMSA</t>
  </si>
  <si>
    <t>Dénombrement des compléments de pension au cours de la période</t>
  </si>
  <si>
    <t>4eme T 2009</t>
  </si>
  <si>
    <t>1er T 2010</t>
  </si>
  <si>
    <t>2eme T 2010</t>
  </si>
  <si>
    <t>3eme T 2010</t>
  </si>
  <si>
    <t>4eme T 2010</t>
  </si>
  <si>
    <t>total</t>
  </si>
  <si>
    <t>Montants DP, DR et avantages complémentaires hors RCO</t>
  </si>
  <si>
    <t>Montants DP, DR, avantages complémentaires et RCO DP et DR</t>
  </si>
  <si>
    <t xml:space="preserve">Montants NSA DP, DR, avantages complémentaires et ou RCO DP, DR </t>
  </si>
  <si>
    <t>et ou SA DP, DR, avantages complémentaires</t>
  </si>
  <si>
    <t>et ou SA (DP, DR, avantages complémentaires)</t>
  </si>
  <si>
    <t>Montants Droits Personnels(DP), Droits de Réversion (DR) et avantages complémentaires hors RCO</t>
  </si>
  <si>
    <t>Droits personnels seuls</t>
  </si>
  <si>
    <t>A) Retraites Non-Salariées Agricoles (NSA) hors Retraite Complémentaire Obligatoire (RCO)</t>
  </si>
  <si>
    <t>Retraites Non-Salariées Agricoles (NSA) + Retraite Complémentaire Obligatoire (RCO) + Salarié Agricole (SA)</t>
  </si>
  <si>
    <t xml:space="preserve">Montants NSA (DP, DR, avantages complémentaires) et ou RCO (DP, DR) </t>
  </si>
  <si>
    <t xml:space="preserve">Retraites Non-Salariées Agricoles (NSA) + Retraite Complémentaire Obligatoire (RCO) </t>
  </si>
  <si>
    <t>Les retraites du régime des Non-Salariés Agricoles en métropole</t>
  </si>
  <si>
    <t>Veufs ou veuves (avec ou sans DP)</t>
  </si>
  <si>
    <t>Pension moyenne des chefs d'exploitation</t>
  </si>
  <si>
    <t>Avantage du régime de base</t>
  </si>
  <si>
    <t>Droits de réversion seuls</t>
  </si>
  <si>
    <t>Droits personnels et droits de réversion</t>
  </si>
  <si>
    <t>1er T 2011</t>
  </si>
  <si>
    <t>2eme T 2011</t>
  </si>
  <si>
    <t>coef de revalorisation des pensions</t>
  </si>
  <si>
    <t>en point</t>
  </si>
  <si>
    <t>différence</t>
  </si>
  <si>
    <t>Evolution trimestrielle</t>
  </si>
  <si>
    <t>Evolution annuelle</t>
  </si>
  <si>
    <t>Effectifs</t>
  </si>
  <si>
    <t>modifier date dans titre</t>
  </si>
  <si>
    <t>modifier reval (2eme trim)</t>
  </si>
  <si>
    <t>changer titres</t>
  </si>
  <si>
    <t>reval</t>
  </si>
  <si>
    <t>différence en points par rapport au montant moyen</t>
  </si>
  <si>
    <t xml:space="preserve">Majoration NSA </t>
  </si>
  <si>
    <t>Montant moyen mensuel à servir</t>
  </si>
  <si>
    <t>Bénéficiaires de majorations NSA (parmi les DP)</t>
  </si>
  <si>
    <t>dt présents</t>
  </si>
  <si>
    <t>dt entrants</t>
  </si>
  <si>
    <t>payé</t>
  </si>
  <si>
    <t>à servir</t>
  </si>
  <si>
    <t>Attributions</t>
  </si>
  <si>
    <t>Décès</t>
  </si>
  <si>
    <t>Décès DP</t>
  </si>
  <si>
    <t>Décès DR</t>
  </si>
  <si>
    <t>Majoration L814-2 (AVTNS)</t>
  </si>
  <si>
    <t>3eme T 2011</t>
  </si>
  <si>
    <t>Décés/Attribs</t>
  </si>
  <si>
    <t>Décés DP /Attribs DP</t>
  </si>
  <si>
    <t>Attrib DP</t>
  </si>
  <si>
    <t>Attrib DR</t>
  </si>
  <si>
    <t>Mouvements entrées/sorties récap 33331 (individus)</t>
  </si>
  <si>
    <t xml:space="preserve">Attrib DP y c vfs avec éventuellement DR de 60 ans(etat 33332) </t>
  </si>
  <si>
    <t>Montant moyen mensuel</t>
  </si>
  <si>
    <t>Tableau 1 : Nombre de pensionnés NSA</t>
  </si>
  <si>
    <t>Tableau 3 : Pension moyenne annualisée hors RCO</t>
  </si>
  <si>
    <t>Tableau 4 : Nombre de pensionnés NSA par type de droits</t>
  </si>
  <si>
    <t>Tableau 5 : Pension moyenne annualisée hors RCO par type de droits</t>
  </si>
  <si>
    <t>Tableau 6 : Nombre de pensionnés par statut</t>
  </si>
  <si>
    <t>Tableau 7 : Pension moyenne annualisée par statut</t>
  </si>
  <si>
    <t>Tableau 8 : Bénéficiaires de majorations NSA parmi les droits personnels</t>
  </si>
  <si>
    <t xml:space="preserve">Tableau 9 : Age moyen des pensionnés NSA </t>
  </si>
  <si>
    <t>Tableau 11 : Durée de carrière NSA parmi les droits personnels</t>
  </si>
  <si>
    <t xml:space="preserve">Tableau 12 : Nombre de pensionnés par statut avec carrière complète de droits personnels </t>
  </si>
  <si>
    <t xml:space="preserve">Tableau 13 : Pension moyenne annualisée par statut avec carrière complète de droits personnels </t>
  </si>
  <si>
    <t>Tableau 14 : Nombre de pensionnés NSA + RCO (DP et/ou DR)</t>
  </si>
  <si>
    <t>Tableau 15 :Pension moyenne annualisée y compris la RCO</t>
  </si>
  <si>
    <t xml:space="preserve">Tableau 16 : Nombre de pensionnés NSA + RCO (DP et/ou DR) par type de droits </t>
  </si>
  <si>
    <t>Tableau 17 : Pension moyenne annualisée y compris la  RCO par type de droits</t>
  </si>
  <si>
    <t>Tableau 18 : Nombre de pensionnés NSA + RCO par statut</t>
  </si>
  <si>
    <t>Tableau 19 : Pension moyenne annualisée y compris la RCO par statut</t>
  </si>
  <si>
    <t>Tableau 20 : Nombre de pensionnés NSA + RCO par statut avec carrière complète de droits personnels</t>
  </si>
  <si>
    <t>Tableau 21 : Pension moyenne annualisée y compris la RCO par statut avec carrière complète de droits personnels</t>
  </si>
  <si>
    <t>4eme T 2011</t>
  </si>
  <si>
    <t>% des 60ans dans les attrib de DP</t>
  </si>
  <si>
    <t>RF NB=1</t>
  </si>
  <si>
    <t>issu de majo_nsa et non des récap</t>
  </si>
  <si>
    <t>1er T 2012</t>
  </si>
  <si>
    <t>Chefs d'exploitation (10)</t>
  </si>
  <si>
    <t>Veufs ou veuves (40)</t>
  </si>
  <si>
    <t>Conjoint (20)</t>
  </si>
  <si>
    <t>Aide Familial (30)</t>
  </si>
  <si>
    <t>Aides familiaux</t>
  </si>
  <si>
    <t>2eme T 2012</t>
  </si>
  <si>
    <t>3eme T 2012</t>
  </si>
  <si>
    <t>4eme T 2012</t>
  </si>
  <si>
    <t>1er T 2013</t>
  </si>
  <si>
    <t>Dénombrement des compléments de pension en fin de trimestre</t>
  </si>
  <si>
    <t>NC</t>
  </si>
  <si>
    <t>2e T 2013</t>
  </si>
  <si>
    <t>2eme T 2013</t>
  </si>
  <si>
    <t>3ème T 2013</t>
  </si>
  <si>
    <t>3e T 2013</t>
  </si>
  <si>
    <t>4ème T 2013</t>
  </si>
  <si>
    <t>4e T 2013</t>
  </si>
  <si>
    <t>Tableau 2 :Dénombrement des compléments de pension en fin de trimestre</t>
  </si>
  <si>
    <t>1er T 2014</t>
  </si>
  <si>
    <t>2e T 2014</t>
  </si>
  <si>
    <t>2eme T 2014</t>
  </si>
  <si>
    <t>3e T 2014</t>
  </si>
  <si>
    <t>4ème T 2014</t>
  </si>
  <si>
    <t>4e T 2014</t>
  </si>
  <si>
    <t>* plus de cumul trimestriel</t>
  </si>
  <si>
    <t xml:space="preserve">Veufs ou veuves </t>
  </si>
  <si>
    <t>1er T 2015</t>
  </si>
  <si>
    <t>2e T 2015</t>
  </si>
  <si>
    <t>3e T 2015</t>
  </si>
  <si>
    <t>3T 2014</t>
  </si>
  <si>
    <t>4e T 2015</t>
  </si>
  <si>
    <t>1er T 2016</t>
  </si>
  <si>
    <t>Ensemble des droits DP (état 30262)</t>
  </si>
  <si>
    <t>Ensemble des droits DP/DR (état 30262)</t>
  </si>
  <si>
    <t>Bénéficiaires du CD de RCO NSA (parmi les DP)</t>
  </si>
  <si>
    <t xml:space="preserve">Nombre de bénéficiaires </t>
  </si>
  <si>
    <t>Tableau 22 : Bénéficiaires du complémént différentiel de RCO</t>
  </si>
  <si>
    <t>Nombre de bénéficiaires</t>
  </si>
  <si>
    <t>Tableau 23 : Nombre de pensionnés NSA chefs d'exploitation</t>
  </si>
  <si>
    <t>Tableau 24 : Pension moyenne annualisée pour les chefs d'exploitation</t>
  </si>
  <si>
    <t>Tableau 25 : Nombre de pensionnés NSA chefs d'exploitation avec carrière complète de droits personnels</t>
  </si>
  <si>
    <t>Tableau 26: Pension moyenne annualisée pour les chefs d'exploitation avec carrière complète de droits personnels</t>
  </si>
  <si>
    <t>2e T 2016</t>
  </si>
  <si>
    <t>3e T 2016</t>
  </si>
  <si>
    <t>modifier dans formule col B C !Yx en !Y+1</t>
  </si>
  <si>
    <t>4e T 2016</t>
  </si>
  <si>
    <t>1e T 2017</t>
  </si>
  <si>
    <t>2e T 2017</t>
  </si>
  <si>
    <t>3e T 2017</t>
  </si>
  <si>
    <t>4e T 2017</t>
  </si>
  <si>
    <t>Pensionnés "non ventilés" sont ceux ayant des montants à 0 et donc n'apparaissant pas dans le fichier par individus. Il a été décidé de les mettre en DP seuls (car très peu nombreux)</t>
  </si>
  <si>
    <t>Les pensionnés "non ventilés" sont les pensionnés n'ayant que de la RCO sans avantage de base, ne se retrouvant pas dans le fichier par individu ; pour la quasi-totalité c'est de la RCO de réversion, il donc été décidé de les mettre en DR seul</t>
  </si>
  <si>
    <t>Les pensionnés "non ventilés" sont les pensionnés n'ayant que de la RCO sans avantage de base, ne se retrouvant pas dans le fichier par individu ; pour la quasi-totalité c'est de la RCO de réversion, il donc été décidé de les mettre veufs ou veuves</t>
  </si>
  <si>
    <t>1e T 2018</t>
  </si>
  <si>
    <t>2017 - T1</t>
  </si>
  <si>
    <t>2018 - T1</t>
  </si>
  <si>
    <t>2017 - T2</t>
  </si>
  <si>
    <t>2017- T3</t>
  </si>
  <si>
    <t>2017 - T4</t>
  </si>
  <si>
    <t>Trimestres NSA : Quartile inférieur (25 %)</t>
  </si>
  <si>
    <t>Trimestres NSA médians</t>
  </si>
  <si>
    <t>Trimestres NSA : Quartile supérieur (75 %)</t>
  </si>
  <si>
    <t>Montant moyen annuel à servir</t>
  </si>
  <si>
    <t>Tous statuts</t>
  </si>
  <si>
    <t>Pension moyenne tous statuts</t>
  </si>
  <si>
    <t>Pensionnés "non ventilés" sont ceux ayant des montants à 0 et donc n'apparaissant pas dans le fichier par individus. Il a été décidé de les mettre en veufs (car très peu nombreux)</t>
  </si>
  <si>
    <t>2018 - T2</t>
  </si>
  <si>
    <t>2018 - 2T</t>
  </si>
  <si>
    <t>2e T 2018</t>
  </si>
  <si>
    <t>2018 - T3</t>
  </si>
  <si>
    <t>3e T 2018</t>
  </si>
  <si>
    <t>2018 - T4</t>
  </si>
  <si>
    <t>4e T 2018</t>
  </si>
  <si>
    <t>2019 - T1</t>
  </si>
  <si>
    <t>1e T 2019</t>
  </si>
  <si>
    <t>2019 - T2</t>
  </si>
  <si>
    <t>2e T 2019</t>
  </si>
  <si>
    <t>2019 - T3</t>
  </si>
  <si>
    <t>3e T 2019</t>
  </si>
  <si>
    <t>2019 - T4</t>
  </si>
  <si>
    <t>4e T 2019</t>
  </si>
  <si>
    <t>2020 - T1</t>
  </si>
  <si>
    <t>1e T 2020</t>
  </si>
  <si>
    <t>2020 - T2</t>
  </si>
  <si>
    <t>2e T 2020</t>
  </si>
  <si>
    <t>2020 - T3</t>
  </si>
  <si>
    <t>3e T 2020</t>
  </si>
  <si>
    <t>2020- T4</t>
  </si>
  <si>
    <t>4e T 2020</t>
  </si>
  <si>
    <t>Non ventilé</t>
  </si>
  <si>
    <t>2021- T1</t>
  </si>
  <si>
    <t>1er T 2021</t>
  </si>
  <si>
    <t>2021- T2</t>
  </si>
  <si>
    <t>2e T 2021</t>
  </si>
  <si>
    <t>2021- T3</t>
  </si>
  <si>
    <t>Pension moyenne chef</t>
  </si>
  <si>
    <t>2021- T4</t>
  </si>
  <si>
    <t>3e T 2021</t>
  </si>
  <si>
    <t>4e T 2021</t>
  </si>
  <si>
    <t>2022- T1</t>
  </si>
  <si>
    <t>1er T 2022</t>
  </si>
  <si>
    <t>2022- T2</t>
  </si>
  <si>
    <t>2e T 2022</t>
  </si>
  <si>
    <t>2022- T3</t>
  </si>
  <si>
    <t>3e T 2022</t>
  </si>
  <si>
    <t>2022- T4</t>
  </si>
  <si>
    <t>Nouvelle méthode d'extraction</t>
  </si>
  <si>
    <t>4e T 2022</t>
  </si>
  <si>
    <t xml:space="preserve"> </t>
  </si>
  <si>
    <t>avec carrière complète de DP NSA</t>
  </si>
  <si>
    <t>Part des retraités ayant validés des trimestres dans un autre régime</t>
  </si>
  <si>
    <t>(Trimestre NSA &gt;=150 jusqu'au 3T 2022, ensuite carrière complète)</t>
  </si>
  <si>
    <t>(Trimestres NSA, ou NSA et SA si existe &gt;=150 jusqu'au 3T 2022, ensuite carrière complète)</t>
  </si>
  <si>
    <t>Tableau 10 : Part des retraités ayant validés des trimestres dans un autre régime</t>
  </si>
  <si>
    <t>Trimestre NSA &gt;=150  jusqu'au 3T 2022, ensuite carrière complète</t>
  </si>
  <si>
    <t>Trimestres NSA, ou NSA et SA si existe &gt;=150  jusqu'au 3T 2022, ensuite carrière complète</t>
  </si>
  <si>
    <t>Màj nouvelle extraction</t>
  </si>
  <si>
    <t>2023- T1</t>
  </si>
  <si>
    <t>Proportion de poly-affiliés</t>
  </si>
  <si>
    <t>Proportion des poly-affiliés</t>
  </si>
  <si>
    <t>2023- T2</t>
  </si>
  <si>
    <t>2e T 2023</t>
  </si>
  <si>
    <t>1er T 2023</t>
  </si>
  <si>
    <t>Montant moyen annuel</t>
  </si>
  <si>
    <t>2023- T3</t>
  </si>
  <si>
    <t>3e T 2023</t>
  </si>
  <si>
    <t>Droits directs (=droits propres)</t>
  </si>
  <si>
    <t>Droits dérivés (=droits de réversion)</t>
  </si>
  <si>
    <t xml:space="preserve">Toute carrière - Pensions moyennes annuelles par type de droits </t>
  </si>
  <si>
    <t>(Montants Droits Propres, Droits Dérivés et avantages complémentaires)</t>
  </si>
  <si>
    <r>
      <t xml:space="preserve">Carrière complete - Nombre de pensionnés par type de droits avec carrière complète de DP </t>
    </r>
    <r>
      <rPr>
        <sz val="9"/>
        <rFont val="Arial"/>
        <family val="2"/>
      </rPr>
      <t>(nombre de trimestres SA &gt;= 150 jusqu'au 3T 2021, ensuite carrière complète)</t>
    </r>
  </si>
  <si>
    <r>
      <t>Carrière complète - Pensions moyennes annuelles par type de droits avec carrière complète de DP</t>
    </r>
    <r>
      <rPr>
        <sz val="9"/>
        <rFont val="Arial"/>
        <family val="2"/>
      </rPr>
      <t xml:space="preserve"> </t>
    </r>
  </si>
  <si>
    <t>(Montants DP,DR et avantages complémentaires)</t>
  </si>
  <si>
    <t>Toute carrière - Nombre de pensionnés NSA par type de droits</t>
  </si>
  <si>
    <t>Bénéficiaires</t>
  </si>
  <si>
    <t>2023- T4</t>
  </si>
  <si>
    <t>France entière sans les DOM Chassaigne 1 Effectifs</t>
  </si>
  <si>
    <t>France entière sans les DOM Chassaigne 1 Effectifs en %</t>
  </si>
  <si>
    <t>France entière sans les DOM Chassaigne 1 Montant moyen mensuel</t>
  </si>
  <si>
    <t>France entière sans les DOM Chassaigne 2 Effectifs</t>
  </si>
  <si>
    <t>France entière sans les DOM Chassaigne 2 Effectifs en %</t>
  </si>
  <si>
    <t>France entière sans les DOM Chassaigne 2 Montant moyen mensuel</t>
  </si>
  <si>
    <t>France entière sans les DOM Bénéficiaires des 2 mesures</t>
  </si>
  <si>
    <t>4e T 2023</t>
  </si>
  <si>
    <t>!BF</t>
  </si>
  <si>
    <t>2024- T1</t>
  </si>
  <si>
    <t>1er T 2024</t>
  </si>
  <si>
    <t>2024- T2</t>
  </si>
  <si>
    <t>2e T 2024</t>
  </si>
  <si>
    <t>2024- T3</t>
  </si>
  <si>
    <t>3e T 2024</t>
  </si>
  <si>
    <t>2024- T4</t>
  </si>
  <si>
    <t>4e T 2024</t>
  </si>
  <si>
    <t>Eléments démographiques et financiers de l'ensemble des retraités au 4-ème trimestre 2024</t>
  </si>
  <si>
    <t>!BJ</t>
  </si>
  <si>
    <t>Différence H et F</t>
  </si>
  <si>
    <t>Tableau de bord</t>
  </si>
  <si>
    <t>DIRECTION DELEGUEE AUX POLITIQUES SOCIALES</t>
  </si>
  <si>
    <r>
      <t>Directrice de la publication</t>
    </r>
    <r>
      <rPr>
        <b/>
        <sz val="12"/>
        <color indexed="8"/>
        <rFont val="Arial"/>
        <family val="2"/>
      </rPr>
      <t xml:space="preserve"> </t>
    </r>
    <r>
      <rPr>
        <sz val="12"/>
        <color indexed="8"/>
        <rFont val="Arial"/>
        <family val="2"/>
      </rPr>
      <t>:</t>
    </r>
  </si>
  <si>
    <t>Nadia JOUBERT</t>
  </si>
  <si>
    <t>joubert.nadia@ccmsa.msa.fr</t>
  </si>
  <si>
    <t>odiot.sebastien@ccmsa.msa.fr</t>
  </si>
  <si>
    <t>Service "Retraite"</t>
  </si>
  <si>
    <t>hengel.audrey@ccmsa.msa.fr</t>
  </si>
  <si>
    <t>Réalisé par Marie-Laure CLERC :</t>
  </si>
  <si>
    <t>clerc.marie-laure@ccmsa.msa.fr</t>
  </si>
  <si>
    <t>Septembre 2025</t>
  </si>
  <si>
    <t>Les retraites du régime des non-salariés agricoles</t>
  </si>
  <si>
    <t>au 31 décembre 2024</t>
  </si>
  <si>
    <t>Direction des Statistiques et de la Science des données</t>
  </si>
  <si>
    <t>Département Analyses et prévisions des prestations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</si>
</sst>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0\ &quot;€&quot;;\-#,##0\ &quot;€&quot;"/>
    <numFmt numFmtId="44" formatCode="_-* #,##0.00\ &quot;€&quot;_-;\-* #,##0.00\ &quot;€&quot;_-;_-* &quot;-&quot;??\ &quot;€&quot;_-;_-@_-"/>
    <numFmt numFmtId="164" formatCode="_-* #,##0.00\ _€_-;\-* #,##0.00\ _€_-;_-* &quot;-&quot;??\ _€_-;_-@_-"/>
    <numFmt numFmtId="165" formatCode="#,##0\ &quot;€&quot;"/>
    <numFmt numFmtId="166" formatCode="0.0%"/>
    <numFmt numFmtId="167" formatCode="_-* #,##0\ &quot;€&quot;_-;\-* #,##0\ &quot;€&quot;_-;_-* &quot;-&quot;??\ &quot;€&quot;_-;_-@_-"/>
    <numFmt numFmtId="168" formatCode="#,##0.0"/>
    <numFmt numFmtId="169" formatCode="_-* #,##0\ _€_-;\-* #,##0\ _€_-;_-* &quot;-&quot;??\ _€_-;_-@_-"/>
    <numFmt numFmtId="170" formatCode="0.00\p\t"/>
    <numFmt numFmtId="171" formatCode="0.0"/>
    <numFmt numFmtId="172" formatCode="#,##0.0\ &quot;€&quot;"/>
    <numFmt numFmtId="173" formatCode="0.0000%"/>
    <numFmt numFmtId="174" formatCode="0.0\p\t"/>
    <numFmt numFmtId="175" formatCode="#,##0.00\ &quot;€&quot;"/>
    <numFmt numFmtId="176" formatCode="_-* #,##0.0\ _€_-;\-* #,##0.0\ _€_-;_-* &quot;-&quot;??\ _€_-;_-@_-"/>
  </numFmts>
  <fonts count="44" x14ac:knownFonts="1">
    <font>
      <sz val="10"/>
      <name val="Arial"/>
    </font>
    <font>
      <sz val="10"/>
      <name val="Arial"/>
      <family val="2"/>
    </font>
    <font>
      <sz val="8"/>
      <name val="Arial"/>
      <family val="2"/>
    </font>
    <font>
      <b/>
      <sz val="10"/>
      <name val="Arial"/>
      <family val="2"/>
    </font>
    <font>
      <sz val="10"/>
      <name val="Arial"/>
      <family val="2"/>
    </font>
    <font>
      <sz val="8"/>
      <name val="Arial"/>
      <family val="2"/>
    </font>
    <font>
      <b/>
      <sz val="12"/>
      <name val="Arial"/>
      <family val="2"/>
    </font>
    <font>
      <i/>
      <sz val="8"/>
      <name val="Arial"/>
      <family val="2"/>
    </font>
    <font>
      <b/>
      <sz val="9"/>
      <name val="Arial"/>
      <family val="2"/>
    </font>
    <font>
      <sz val="9"/>
      <name val="Arial"/>
      <family val="2"/>
    </font>
    <font>
      <sz val="9"/>
      <color indexed="10"/>
      <name val="Arial"/>
      <family val="2"/>
    </font>
    <font>
      <b/>
      <sz val="11"/>
      <name val="Arial"/>
      <family val="2"/>
    </font>
    <font>
      <sz val="10"/>
      <color indexed="10"/>
      <name val="Arial"/>
      <family val="2"/>
    </font>
    <font>
      <b/>
      <sz val="10"/>
      <color indexed="10"/>
      <name val="Arial"/>
      <family val="2"/>
    </font>
    <font>
      <i/>
      <sz val="10"/>
      <name val="Arial"/>
      <family val="2"/>
    </font>
    <font>
      <i/>
      <sz val="9"/>
      <name val="Arial"/>
      <family val="2"/>
    </font>
    <font>
      <sz val="8"/>
      <color indexed="81"/>
      <name val="Tahoma"/>
      <family val="2"/>
    </font>
    <font>
      <b/>
      <sz val="8"/>
      <color indexed="81"/>
      <name val="Tahoma"/>
      <family val="2"/>
    </font>
    <font>
      <sz val="10"/>
      <color indexed="10"/>
      <name val="Arial"/>
      <family val="2"/>
    </font>
    <font>
      <sz val="10"/>
      <color rgb="FFFF0000"/>
      <name val="Arial"/>
      <family val="2"/>
    </font>
    <font>
      <b/>
      <sz val="10"/>
      <color rgb="FFFF0000"/>
      <name val="Arial"/>
      <family val="2"/>
    </font>
    <font>
      <sz val="9"/>
      <color rgb="FFFF0000"/>
      <name val="Arial"/>
      <family val="2"/>
    </font>
    <font>
      <b/>
      <sz val="9"/>
      <color rgb="FFFF0000"/>
      <name val="Arial"/>
      <family val="2"/>
    </font>
    <font>
      <i/>
      <sz val="10"/>
      <color theme="1"/>
      <name val="Arial"/>
      <family val="2"/>
    </font>
    <font>
      <sz val="9"/>
      <color indexed="81"/>
      <name val="Tahoma"/>
      <family val="2"/>
    </font>
    <font>
      <b/>
      <sz val="9"/>
      <color indexed="81"/>
      <name val="Tahoma"/>
      <family val="2"/>
    </font>
    <font>
      <b/>
      <sz val="8"/>
      <name val="Arial"/>
      <family val="2"/>
    </font>
    <font>
      <b/>
      <sz val="8"/>
      <color indexed="10"/>
      <name val="Arial"/>
      <family val="2"/>
    </font>
    <font>
      <sz val="9"/>
      <color theme="0"/>
      <name val="Arial"/>
      <family val="2"/>
    </font>
    <font>
      <sz val="10"/>
      <color theme="1"/>
      <name val="Arial"/>
      <family val="2"/>
    </font>
    <font>
      <b/>
      <sz val="11"/>
      <color theme="1"/>
      <name val="Calibri"/>
      <family val="2"/>
      <scheme val="minor"/>
    </font>
    <font>
      <sz val="8"/>
      <name val="Arial"/>
      <family val="2"/>
    </font>
    <font>
      <b/>
      <sz val="14"/>
      <color rgb="FF0070C0"/>
      <name val="Arial"/>
      <family val="2"/>
    </font>
    <font>
      <u/>
      <sz val="10"/>
      <color theme="10"/>
      <name val="Arial"/>
    </font>
    <font>
      <b/>
      <sz val="24"/>
      <color rgb="FF008000"/>
      <name val="Arial"/>
      <family val="2"/>
    </font>
    <font>
      <sz val="12"/>
      <name val="Arial"/>
      <family val="2"/>
    </font>
    <font>
      <sz val="16"/>
      <name val="Arial"/>
      <family val="2"/>
    </font>
    <font>
      <sz val="12"/>
      <color rgb="FF000000"/>
      <name val="Arial"/>
      <family val="2"/>
    </font>
    <font>
      <b/>
      <sz val="12"/>
      <color indexed="8"/>
      <name val="Arial"/>
      <family val="2"/>
    </font>
    <font>
      <sz val="12"/>
      <color indexed="8"/>
      <name val="Arial"/>
      <family val="2"/>
    </font>
    <font>
      <u/>
      <sz val="12"/>
      <color theme="10"/>
      <name val="Arial"/>
      <family val="2"/>
    </font>
    <font>
      <sz val="12"/>
      <color theme="1"/>
      <name val="Arial"/>
      <family val="2"/>
    </font>
    <font>
      <u/>
      <sz val="16"/>
      <color theme="10"/>
      <name val="Arial"/>
      <family val="2"/>
    </font>
    <font>
      <sz val="14"/>
      <color rgb="FF000000"/>
      <name val="Calibri"/>
      <family val="2"/>
    </font>
  </fonts>
  <fills count="12">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E6B8B7"/>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rgb="FFFF0000"/>
      </bottom>
      <diagonal/>
    </border>
    <border>
      <left/>
      <right/>
      <top style="thin">
        <color rgb="FFFF0000"/>
      </top>
      <bottom style="thin">
        <color indexed="64"/>
      </bottom>
      <diagonal/>
    </border>
    <border>
      <left/>
      <right/>
      <top style="thin">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bottom/>
      <diagonal/>
    </border>
    <border>
      <left/>
      <right style="thin">
        <color rgb="FFFF0000"/>
      </right>
      <top/>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3" fillId="0" borderId="0" applyNumberFormat="0" applyFill="0" applyBorder="0" applyAlignment="0" applyProtection="0"/>
  </cellStyleXfs>
  <cellXfs count="524">
    <xf numFmtId="0" fontId="0" fillId="0" borderId="0" xfId="0"/>
    <xf numFmtId="0" fontId="3" fillId="0" borderId="0" xfId="0" applyFont="1"/>
    <xf numFmtId="0" fontId="4" fillId="0" borderId="1" xfId="0" applyFont="1" applyBorder="1" applyAlignment="1">
      <alignment horizontal="center"/>
    </xf>
    <xf numFmtId="3" fontId="4" fillId="0" borderId="1" xfId="0" applyNumberFormat="1" applyFont="1" applyBorder="1"/>
    <xf numFmtId="0" fontId="4" fillId="0" borderId="0" xfId="0" applyFont="1"/>
    <xf numFmtId="0" fontId="4" fillId="0" borderId="0" xfId="0" applyFont="1" applyAlignment="1">
      <alignment horizontal="left" indent="2"/>
    </xf>
    <xf numFmtId="0" fontId="4" fillId="0" borderId="2" xfId="0" applyFont="1" applyBorder="1" applyAlignment="1">
      <alignment horizontal="left" indent="2"/>
    </xf>
    <xf numFmtId="0" fontId="4" fillId="0" borderId="2" xfId="0" applyFont="1" applyBorder="1"/>
    <xf numFmtId="0" fontId="4" fillId="0" borderId="1" xfId="0" applyFont="1" applyBorder="1" applyAlignment="1">
      <alignment vertical="center"/>
    </xf>
    <xf numFmtId="3" fontId="4" fillId="0" borderId="1" xfId="0" applyNumberFormat="1" applyFont="1" applyBorder="1" applyAlignment="1">
      <alignment horizontal="right"/>
    </xf>
    <xf numFmtId="3" fontId="4" fillId="0" borderId="0" xfId="0" applyNumberFormat="1" applyFont="1" applyBorder="1"/>
    <xf numFmtId="0" fontId="3" fillId="0" borderId="2" xfId="0" applyFont="1" applyBorder="1"/>
    <xf numFmtId="0" fontId="4" fillId="0" borderId="0" xfId="0" applyFont="1" applyBorder="1" applyAlignment="1">
      <alignment vertical="center"/>
    </xf>
    <xf numFmtId="3" fontId="4" fillId="0" borderId="0" xfId="0" applyNumberFormat="1" applyFont="1" applyBorder="1" applyAlignment="1">
      <alignment horizontal="right"/>
    </xf>
    <xf numFmtId="0" fontId="3" fillId="0" borderId="0" xfId="0" applyFont="1" applyAlignment="1">
      <alignment horizontal="left" indent="2"/>
    </xf>
    <xf numFmtId="3" fontId="4" fillId="0" borderId="2" xfId="0" applyNumberFormat="1" applyFont="1" applyBorder="1"/>
    <xf numFmtId="165" fontId="4" fillId="0" borderId="1" xfId="0" applyNumberFormat="1" applyFont="1" applyBorder="1"/>
    <xf numFmtId="0" fontId="5" fillId="0" borderId="0" xfId="0" applyFont="1"/>
    <xf numFmtId="0" fontId="4" fillId="0" borderId="0" xfId="0" applyFont="1" applyBorder="1"/>
    <xf numFmtId="0" fontId="4" fillId="0" borderId="0" xfId="0" applyFont="1" applyBorder="1" applyAlignment="1">
      <alignment horizontal="left" indent="2"/>
    </xf>
    <xf numFmtId="0" fontId="4" fillId="0" borderId="1" xfId="0" applyFont="1" applyBorder="1" applyAlignment="1"/>
    <xf numFmtId="167" fontId="4" fillId="0" borderId="1" xfId="1" applyNumberFormat="1" applyFont="1" applyBorder="1"/>
    <xf numFmtId="0" fontId="4" fillId="0" borderId="1" xfId="0" applyFont="1" applyBorder="1"/>
    <xf numFmtId="0" fontId="4" fillId="0" borderId="0" xfId="0" applyFont="1" applyFill="1" applyBorder="1" applyAlignment="1"/>
    <xf numFmtId="0" fontId="5" fillId="0" borderId="0" xfId="0" applyFont="1" applyAlignment="1"/>
    <xf numFmtId="0" fontId="3" fillId="0" borderId="0" xfId="0" applyFont="1" applyAlignment="1"/>
    <xf numFmtId="0" fontId="3" fillId="0" borderId="0" xfId="0" applyFont="1" applyBorder="1"/>
    <xf numFmtId="0" fontId="4" fillId="0" borderId="3" xfId="0" applyFont="1" applyBorder="1" applyAlignment="1">
      <alignment horizontal="center"/>
    </xf>
    <xf numFmtId="0" fontId="4" fillId="0" borderId="4" xfId="0" applyFont="1" applyBorder="1"/>
    <xf numFmtId="168" fontId="4" fillId="0" borderId="1" xfId="0" applyNumberFormat="1" applyFont="1" applyBorder="1" applyAlignment="1">
      <alignment horizontal="center"/>
    </xf>
    <xf numFmtId="0" fontId="4" fillId="0" borderId="0" xfId="0" applyFont="1" applyBorder="1" applyAlignment="1"/>
    <xf numFmtId="0" fontId="4" fillId="0" borderId="5" xfId="0" applyFont="1" applyBorder="1"/>
    <xf numFmtId="0" fontId="6" fillId="0" borderId="0" xfId="0" applyFont="1"/>
    <xf numFmtId="10" fontId="4" fillId="0" borderId="1" xfId="3" applyNumberFormat="1" applyFont="1" applyBorder="1"/>
    <xf numFmtId="3" fontId="4" fillId="2" borderId="1" xfId="0" applyNumberFormat="1" applyFont="1" applyFill="1" applyBorder="1"/>
    <xf numFmtId="0" fontId="4" fillId="0" borderId="0" xfId="0" applyFont="1" applyFill="1"/>
    <xf numFmtId="0" fontId="3" fillId="0" borderId="2" xfId="0" applyFont="1" applyFill="1" applyBorder="1"/>
    <xf numFmtId="0" fontId="3" fillId="0" borderId="0" xfId="0" applyFont="1" applyFill="1"/>
    <xf numFmtId="0" fontId="4" fillId="0" borderId="1" xfId="0" applyFont="1" applyFill="1" applyBorder="1" applyAlignment="1">
      <alignment horizontal="center"/>
    </xf>
    <xf numFmtId="3" fontId="4" fillId="0" borderId="1" xfId="0" applyNumberFormat="1" applyFont="1" applyFill="1" applyBorder="1"/>
    <xf numFmtId="3" fontId="4" fillId="0" borderId="0" xfId="0" applyNumberFormat="1" applyFont="1" applyFill="1" applyBorder="1"/>
    <xf numFmtId="0" fontId="3" fillId="0" borderId="0" xfId="0" applyFont="1" applyFill="1" applyBorder="1"/>
    <xf numFmtId="165" fontId="4" fillId="0" borderId="1" xfId="0" applyNumberFormat="1" applyFont="1" applyFill="1" applyBorder="1"/>
    <xf numFmtId="10" fontId="4" fillId="0" borderId="2" xfId="3" applyNumberFormat="1" applyFont="1" applyFill="1" applyBorder="1"/>
    <xf numFmtId="10" fontId="4" fillId="0" borderId="0" xfId="3" applyNumberFormat="1" applyFont="1" applyFill="1" applyBorder="1"/>
    <xf numFmtId="167" fontId="4" fillId="0" borderId="1" xfId="1" applyNumberFormat="1" applyFont="1" applyFill="1" applyBorder="1"/>
    <xf numFmtId="3" fontId="4" fillId="0" borderId="1" xfId="0" applyNumberFormat="1" applyFont="1" applyFill="1" applyBorder="1" applyAlignment="1">
      <alignment horizontal="right"/>
    </xf>
    <xf numFmtId="3" fontId="4" fillId="0" borderId="0" xfId="0" applyNumberFormat="1" applyFont="1" applyFill="1" applyBorder="1" applyAlignment="1">
      <alignment horizontal="right"/>
    </xf>
    <xf numFmtId="168" fontId="4" fillId="0" borderId="1" xfId="0" applyNumberFormat="1" applyFont="1" applyFill="1" applyBorder="1" applyAlignment="1">
      <alignment horizontal="center"/>
    </xf>
    <xf numFmtId="0" fontId="4" fillId="0" borderId="3" xfId="0" applyFont="1" applyFill="1" applyBorder="1" applyAlignment="1">
      <alignment horizontal="center"/>
    </xf>
    <xf numFmtId="10" fontId="4" fillId="0" borderId="1" xfId="3" applyNumberFormat="1" applyFont="1" applyFill="1" applyBorder="1"/>
    <xf numFmtId="0" fontId="4" fillId="0" borderId="0" xfId="0" applyFont="1" applyFill="1" applyBorder="1"/>
    <xf numFmtId="0" fontId="4" fillId="0" borderId="2" xfId="0" applyFont="1" applyFill="1" applyBorder="1"/>
    <xf numFmtId="3" fontId="4" fillId="0" borderId="2" xfId="0" applyNumberFormat="1" applyFont="1" applyFill="1" applyBorder="1"/>
    <xf numFmtId="3" fontId="4" fillId="0" borderId="0" xfId="0" applyNumberFormat="1" applyFont="1" applyFill="1"/>
    <xf numFmtId="0" fontId="7" fillId="0" borderId="0" xfId="0" applyFont="1" applyBorder="1" applyAlignment="1">
      <alignment horizontal="right"/>
    </xf>
    <xf numFmtId="2" fontId="4" fillId="0" borderId="0" xfId="0" applyNumberFormat="1" applyFont="1" applyBorder="1"/>
    <xf numFmtId="0" fontId="8" fillId="0" borderId="0" xfId="0" applyFont="1"/>
    <xf numFmtId="0" fontId="9" fillId="0" borderId="0" xfId="0" applyFont="1"/>
    <xf numFmtId="0" fontId="9" fillId="0" borderId="0" xfId="0" applyFont="1" applyFill="1"/>
    <xf numFmtId="0" fontId="9" fillId="0" borderId="0" xfId="0" applyFont="1" applyAlignment="1">
      <alignment horizontal="center"/>
    </xf>
    <xf numFmtId="0" fontId="8" fillId="0" borderId="0" xfId="0" applyFont="1" applyBorder="1"/>
    <xf numFmtId="0" fontId="8" fillId="0" borderId="0" xfId="0" applyFont="1" applyFill="1" applyBorder="1"/>
    <xf numFmtId="0" fontId="8" fillId="0" borderId="0" xfId="0" applyFont="1" applyBorder="1" applyAlignment="1">
      <alignment horizontal="center"/>
    </xf>
    <xf numFmtId="0" fontId="8" fillId="0" borderId="0" xfId="0" applyFont="1" applyAlignment="1"/>
    <xf numFmtId="0" fontId="9" fillId="0" borderId="0" xfId="0" applyFont="1" applyAlignment="1">
      <alignment horizontal="left" indent="2"/>
    </xf>
    <xf numFmtId="3" fontId="9" fillId="0" borderId="1" xfId="0" applyNumberFormat="1" applyFont="1" applyBorder="1"/>
    <xf numFmtId="165" fontId="9" fillId="0" borderId="0" xfId="0" applyNumberFormat="1" applyFont="1"/>
    <xf numFmtId="0" fontId="9" fillId="0" borderId="0" xfId="0" applyFont="1" applyBorder="1" applyAlignment="1"/>
    <xf numFmtId="3" fontId="9" fillId="0" borderId="0" xfId="0" applyNumberFormat="1" applyFont="1" applyBorder="1"/>
    <xf numFmtId="3" fontId="9" fillId="0" borderId="0" xfId="0" applyNumberFormat="1" applyFont="1" applyFill="1" applyBorder="1"/>
    <xf numFmtId="10" fontId="9" fillId="0" borderId="0" xfId="0" applyNumberFormat="1" applyFont="1" applyBorder="1" applyAlignment="1">
      <alignment horizontal="center"/>
    </xf>
    <xf numFmtId="167" fontId="9" fillId="0" borderId="1" xfId="1" applyNumberFormat="1" applyFont="1" applyBorder="1"/>
    <xf numFmtId="0" fontId="9" fillId="0" borderId="2" xfId="0" applyFont="1" applyBorder="1" applyAlignment="1">
      <alignment horizontal="left" indent="2"/>
    </xf>
    <xf numFmtId="3" fontId="9" fillId="0" borderId="2" xfId="0" applyNumberFormat="1" applyFont="1" applyBorder="1"/>
    <xf numFmtId="10" fontId="9" fillId="0" borderId="2" xfId="3" applyNumberFormat="1" applyFont="1" applyFill="1" applyBorder="1"/>
    <xf numFmtId="0" fontId="9" fillId="0" borderId="2" xfId="0" applyFont="1" applyBorder="1" applyAlignment="1">
      <alignment horizontal="center"/>
    </xf>
    <xf numFmtId="0" fontId="9" fillId="0" borderId="0" xfId="0" applyFont="1" applyBorder="1" applyAlignment="1">
      <alignment horizontal="left" indent="2"/>
    </xf>
    <xf numFmtId="0" fontId="9" fillId="0" borderId="0" xfId="0" applyFont="1" applyBorder="1" applyAlignment="1">
      <alignment horizontal="center"/>
    </xf>
    <xf numFmtId="0" fontId="9" fillId="0" borderId="0" xfId="0" applyFont="1" applyFill="1" applyBorder="1" applyAlignment="1"/>
    <xf numFmtId="0" fontId="8" fillId="0" borderId="0" xfId="0" applyFont="1" applyAlignment="1">
      <alignment horizontal="left" indent="2"/>
    </xf>
    <xf numFmtId="0" fontId="10" fillId="0" borderId="0" xfId="0" applyFont="1" applyAlignment="1">
      <alignment horizontal="right"/>
    </xf>
    <xf numFmtId="0" fontId="10" fillId="0" borderId="0" xfId="0" applyFont="1"/>
    <xf numFmtId="3" fontId="9" fillId="0" borderId="0" xfId="0" applyNumberFormat="1" applyFont="1"/>
    <xf numFmtId="0" fontId="9" fillId="0" borderId="0" xfId="0" applyFont="1" applyBorder="1" applyAlignment="1">
      <alignment vertical="center"/>
    </xf>
    <xf numFmtId="3" fontId="9" fillId="0" borderId="0" xfId="0" applyNumberFormat="1" applyFont="1" applyBorder="1" applyAlignment="1">
      <alignment horizontal="right"/>
    </xf>
    <xf numFmtId="3" fontId="9" fillId="0" borderId="0" xfId="0" applyNumberFormat="1" applyFont="1" applyFill="1" applyBorder="1" applyAlignment="1">
      <alignment horizontal="right"/>
    </xf>
    <xf numFmtId="168" fontId="9" fillId="0" borderId="1" xfId="0" applyNumberFormat="1" applyFont="1" applyBorder="1" applyAlignment="1">
      <alignment horizontal="center"/>
    </xf>
    <xf numFmtId="0" fontId="8" fillId="0" borderId="2" xfId="0" applyFont="1" applyBorder="1"/>
    <xf numFmtId="0" fontId="9" fillId="0" borderId="0" xfId="0" applyFont="1" applyAlignment="1"/>
    <xf numFmtId="0" fontId="9" fillId="0" borderId="0" xfId="0" applyFont="1" applyBorder="1"/>
    <xf numFmtId="0" fontId="9" fillId="0" borderId="0" xfId="0" applyFont="1" applyFill="1" applyBorder="1"/>
    <xf numFmtId="165" fontId="9" fillId="0" borderId="1" xfId="0" applyNumberFormat="1" applyFont="1" applyBorder="1"/>
    <xf numFmtId="3" fontId="9" fillId="0" borderId="1" xfId="0" applyNumberFormat="1" applyFont="1" applyFill="1" applyBorder="1"/>
    <xf numFmtId="0" fontId="9" fillId="0" borderId="2" xfId="0" applyFont="1" applyBorder="1"/>
    <xf numFmtId="166" fontId="9" fillId="0" borderId="0" xfId="3" applyNumberFormat="1" applyFont="1"/>
    <xf numFmtId="170" fontId="9" fillId="0" borderId="0" xfId="0" applyNumberFormat="1" applyFont="1" applyBorder="1" applyAlignment="1">
      <alignment horizontal="center"/>
    </xf>
    <xf numFmtId="171" fontId="9" fillId="0" borderId="1" xfId="0" applyNumberFormat="1" applyFont="1" applyBorder="1" applyAlignment="1">
      <alignment horizontal="center"/>
    </xf>
    <xf numFmtId="10" fontId="4" fillId="0" borderId="0" xfId="3" applyNumberFormat="1" applyFont="1" applyFill="1"/>
    <xf numFmtId="171" fontId="9" fillId="0" borderId="0" xfId="0" applyNumberFormat="1" applyFont="1" applyBorder="1" applyAlignment="1">
      <alignment horizontal="center"/>
    </xf>
    <xf numFmtId="9" fontId="4" fillId="0" borderId="0" xfId="3" applyFont="1"/>
    <xf numFmtId="3" fontId="4" fillId="4" borderId="1" xfId="0" applyNumberFormat="1" applyFont="1" applyFill="1" applyBorder="1"/>
    <xf numFmtId="10" fontId="9" fillId="0" borderId="0" xfId="3" applyNumberFormat="1" applyFont="1"/>
    <xf numFmtId="9" fontId="9" fillId="0" borderId="0" xfId="3" applyFont="1"/>
    <xf numFmtId="2" fontId="9" fillId="0" borderId="0" xfId="3" applyNumberFormat="1" applyFont="1"/>
    <xf numFmtId="166" fontId="4" fillId="0" borderId="1" xfId="3" applyNumberFormat="1" applyFont="1" applyFill="1" applyBorder="1"/>
    <xf numFmtId="2" fontId="4" fillId="0" borderId="1" xfId="3" applyNumberFormat="1" applyFont="1" applyFill="1" applyBorder="1"/>
    <xf numFmtId="0" fontId="14" fillId="0" borderId="0" xfId="0" applyFont="1" applyBorder="1"/>
    <xf numFmtId="0" fontId="13" fillId="0" borderId="0" xfId="0" applyFont="1"/>
    <xf numFmtId="0" fontId="4" fillId="0" borderId="6" xfId="0" applyFont="1" applyBorder="1"/>
    <xf numFmtId="166" fontId="4" fillId="0" borderId="1" xfId="3" applyNumberFormat="1" applyFont="1" applyBorder="1"/>
    <xf numFmtId="3" fontId="12" fillId="0" borderId="1" xfId="0" applyNumberFormat="1" applyFont="1" applyFill="1" applyBorder="1"/>
    <xf numFmtId="0" fontId="12" fillId="2" borderId="0" xfId="0" applyFont="1" applyFill="1"/>
    <xf numFmtId="14" fontId="8" fillId="0" borderId="0" xfId="0" applyNumberFormat="1" applyFont="1"/>
    <xf numFmtId="0" fontId="4" fillId="4" borderId="1" xfId="0" applyFont="1" applyFill="1" applyBorder="1" applyAlignment="1">
      <alignment horizontal="center"/>
    </xf>
    <xf numFmtId="0" fontId="4" fillId="5" borderId="1" xfId="0" applyFont="1" applyFill="1" applyBorder="1" applyAlignment="1">
      <alignment horizontal="center"/>
    </xf>
    <xf numFmtId="3" fontId="4" fillId="5" borderId="1" xfId="0" applyNumberFormat="1" applyFont="1" applyFill="1" applyBorder="1"/>
    <xf numFmtId="165" fontId="4" fillId="0" borderId="6" xfId="0" applyNumberFormat="1" applyFont="1" applyBorder="1"/>
    <xf numFmtId="165" fontId="4" fillId="0" borderId="2" xfId="3" applyNumberFormat="1" applyFont="1" applyFill="1" applyBorder="1"/>
    <xf numFmtId="2" fontId="9" fillId="0" borderId="0" xfId="0" applyNumberFormat="1" applyFont="1"/>
    <xf numFmtId="10" fontId="8" fillId="0" borderId="0" xfId="3" applyNumberFormat="1" applyFont="1" applyAlignment="1">
      <alignment horizontal="left"/>
    </xf>
    <xf numFmtId="0" fontId="9" fillId="0" borderId="0" xfId="0" applyFont="1" applyAlignment="1">
      <alignment horizontal="left"/>
    </xf>
    <xf numFmtId="0" fontId="8" fillId="0" borderId="0" xfId="0" applyFont="1" applyAlignment="1">
      <alignment horizontal="right"/>
    </xf>
    <xf numFmtId="0" fontId="15" fillId="0" borderId="0" xfId="0" applyFont="1"/>
    <xf numFmtId="14" fontId="9" fillId="0" borderId="0" xfId="0" applyNumberFormat="1" applyFont="1"/>
    <xf numFmtId="0" fontId="6" fillId="3" borderId="0" xfId="0" applyFont="1" applyFill="1"/>
    <xf numFmtId="0" fontId="4" fillId="3" borderId="0" xfId="0" applyFont="1" applyFill="1"/>
    <xf numFmtId="0" fontId="13" fillId="3" borderId="0" xfId="0" applyFont="1" applyFill="1"/>
    <xf numFmtId="0" fontId="3" fillId="3" borderId="0" xfId="0" applyFont="1" applyFill="1"/>
    <xf numFmtId="172" fontId="4" fillId="0" borderId="1" xfId="0" applyNumberFormat="1" applyFont="1" applyFill="1" applyBorder="1"/>
    <xf numFmtId="3" fontId="14" fillId="0" borderId="1" xfId="0" applyNumberFormat="1" applyFont="1" applyFill="1" applyBorder="1" applyAlignment="1">
      <alignment horizontal="right"/>
    </xf>
    <xf numFmtId="171" fontId="4" fillId="0" borderId="0" xfId="3" applyNumberFormat="1" applyFont="1"/>
    <xf numFmtId="166" fontId="4" fillId="0" borderId="0" xfId="3" applyNumberFormat="1" applyFont="1" applyFill="1" applyBorder="1"/>
    <xf numFmtId="3" fontId="4" fillId="0" borderId="0" xfId="0" applyNumberFormat="1" applyFont="1"/>
    <xf numFmtId="171" fontId="14" fillId="0" borderId="0" xfId="0" applyNumberFormat="1" applyFont="1"/>
    <xf numFmtId="166" fontId="4" fillId="0" borderId="0" xfId="3" applyNumberFormat="1" applyFont="1" applyFill="1"/>
    <xf numFmtId="170" fontId="9" fillId="0" borderId="0" xfId="0" applyNumberFormat="1" applyFont="1" applyFill="1" applyBorder="1" applyAlignment="1">
      <alignment horizontal="center"/>
    </xf>
    <xf numFmtId="0" fontId="9" fillId="0" borderId="0" xfId="0" applyFont="1" applyFill="1" applyBorder="1" applyAlignment="1">
      <alignment horizontal="center"/>
    </xf>
    <xf numFmtId="3" fontId="0" fillId="0" borderId="0" xfId="0" applyNumberFormat="1"/>
    <xf numFmtId="169" fontId="0" fillId="0" borderId="0" xfId="2" applyNumberFormat="1" applyFont="1" applyAlignment="1">
      <alignment horizontal="right"/>
    </xf>
    <xf numFmtId="3" fontId="0" fillId="0" borderId="0" xfId="0" applyNumberFormat="1" applyAlignment="1">
      <alignment horizontal="center"/>
    </xf>
    <xf numFmtId="166" fontId="0" fillId="0" borderId="0" xfId="3" applyNumberFormat="1" applyFont="1"/>
    <xf numFmtId="0" fontId="12" fillId="3" borderId="0" xfId="0" applyFont="1" applyFill="1"/>
    <xf numFmtId="0" fontId="13" fillId="0" borderId="2" xfId="0" applyFont="1" applyFill="1" applyBorder="1"/>
    <xf numFmtId="0" fontId="13" fillId="0" borderId="0" xfId="0" applyFont="1" applyFill="1"/>
    <xf numFmtId="0" fontId="12" fillId="0" borderId="0" xfId="0" applyFont="1" applyFill="1"/>
    <xf numFmtId="3" fontId="12" fillId="0" borderId="0" xfId="0" applyNumberFormat="1" applyFont="1" applyFill="1" applyBorder="1"/>
    <xf numFmtId="0" fontId="13" fillId="0" borderId="0" xfId="0" applyFont="1" applyFill="1" applyBorder="1"/>
    <xf numFmtId="10" fontId="12" fillId="0" borderId="0" xfId="3" applyNumberFormat="1" applyFont="1" applyFill="1" applyBorder="1"/>
    <xf numFmtId="10" fontId="12" fillId="0" borderId="2" xfId="3" applyNumberFormat="1" applyFont="1" applyFill="1" applyBorder="1"/>
    <xf numFmtId="3" fontId="12" fillId="0" borderId="0" xfId="0" applyNumberFormat="1" applyFont="1" applyFill="1" applyBorder="1" applyAlignment="1">
      <alignment horizontal="right"/>
    </xf>
    <xf numFmtId="172" fontId="12" fillId="0" borderId="1" xfId="0" applyNumberFormat="1" applyFont="1" applyFill="1" applyBorder="1"/>
    <xf numFmtId="171" fontId="12" fillId="0" borderId="0" xfId="3" applyNumberFormat="1" applyFont="1"/>
    <xf numFmtId="3" fontId="12" fillId="0" borderId="0" xfId="0" applyNumberFormat="1" applyFont="1" applyFill="1"/>
    <xf numFmtId="3" fontId="12" fillId="0" borderId="2" xfId="0" applyNumberFormat="1" applyFont="1" applyFill="1" applyBorder="1"/>
    <xf numFmtId="3" fontId="12" fillId="0" borderId="0" xfId="0" applyNumberFormat="1" applyFont="1" applyBorder="1"/>
    <xf numFmtId="0" fontId="12" fillId="0" borderId="2" xfId="0" applyFont="1" applyFill="1" applyBorder="1"/>
    <xf numFmtId="0" fontId="3" fillId="0" borderId="1" xfId="0" applyFont="1" applyBorder="1" applyAlignment="1">
      <alignment vertical="center"/>
    </xf>
    <xf numFmtId="3" fontId="3" fillId="0" borderId="1" xfId="0" applyNumberFormat="1" applyFont="1" applyBorder="1" applyAlignment="1">
      <alignment horizontal="right"/>
    </xf>
    <xf numFmtId="3" fontId="3" fillId="0" borderId="1" xfId="0" applyNumberFormat="1" applyFont="1" applyFill="1" applyBorder="1" applyAlignment="1">
      <alignment horizontal="right"/>
    </xf>
    <xf numFmtId="0" fontId="4" fillId="0" borderId="0" xfId="0" applyFont="1" applyFill="1" applyBorder="1" applyAlignment="1">
      <alignment horizontal="left" indent="2"/>
    </xf>
    <xf numFmtId="3" fontId="12" fillId="0" borderId="1" xfId="0" applyNumberFormat="1" applyFont="1" applyFill="1" applyBorder="1" applyAlignment="1">
      <alignment horizontal="right"/>
    </xf>
    <xf numFmtId="166" fontId="12" fillId="0" borderId="1" xfId="3" applyNumberFormat="1" applyFont="1" applyFill="1" applyBorder="1"/>
    <xf numFmtId="2" fontId="12" fillId="0" borderId="0" xfId="0" applyNumberFormat="1" applyFont="1" applyBorder="1"/>
    <xf numFmtId="2" fontId="10" fillId="0" borderId="0" xfId="0" applyNumberFormat="1" applyFont="1"/>
    <xf numFmtId="9" fontId="12" fillId="0" borderId="0" xfId="3" applyFont="1"/>
    <xf numFmtId="166" fontId="12" fillId="2" borderId="1" xfId="3" applyNumberFormat="1" applyFont="1" applyFill="1" applyBorder="1"/>
    <xf numFmtId="0" fontId="4" fillId="2" borderId="1" xfId="0" applyFont="1" applyFill="1" applyBorder="1" applyAlignment="1">
      <alignment horizontal="center"/>
    </xf>
    <xf numFmtId="3" fontId="0" fillId="0" borderId="0" xfId="0" applyNumberFormat="1" applyBorder="1" applyAlignment="1">
      <alignment vertical="center"/>
    </xf>
    <xf numFmtId="10" fontId="9" fillId="0" borderId="0" xfId="3" applyNumberFormat="1" applyFont="1" applyFill="1" applyBorder="1"/>
    <xf numFmtId="167" fontId="9" fillId="0" borderId="0" xfId="1" applyNumberFormat="1" applyFont="1" applyBorder="1"/>
    <xf numFmtId="0" fontId="8" fillId="0" borderId="2" xfId="0" applyFont="1" applyFill="1" applyBorder="1"/>
    <xf numFmtId="0" fontId="8" fillId="0" borderId="2" xfId="0" applyFont="1" applyBorder="1" applyAlignment="1">
      <alignment horizontal="center"/>
    </xf>
    <xf numFmtId="3" fontId="12" fillId="0" borderId="0" xfId="0" applyNumberFormat="1" applyFont="1"/>
    <xf numFmtId="3" fontId="19" fillId="0" borderId="0" xfId="0" applyNumberFormat="1" applyFont="1"/>
    <xf numFmtId="0" fontId="19" fillId="0" borderId="0" xfId="0" applyFont="1" applyFill="1"/>
    <xf numFmtId="0" fontId="1" fillId="3" borderId="0" xfId="0" applyFont="1" applyFill="1"/>
    <xf numFmtId="0" fontId="1" fillId="0" borderId="0" xfId="0" applyFont="1" applyFill="1"/>
    <xf numFmtId="0" fontId="1" fillId="0" borderId="1" xfId="0" applyFont="1" applyFill="1" applyBorder="1" applyAlignment="1">
      <alignment horizontal="center"/>
    </xf>
    <xf numFmtId="3" fontId="1" fillId="0" borderId="1" xfId="0" applyNumberFormat="1" applyFont="1" applyFill="1" applyBorder="1"/>
    <xf numFmtId="3" fontId="1" fillId="0" borderId="0" xfId="0" applyNumberFormat="1" applyFont="1" applyFill="1" applyBorder="1"/>
    <xf numFmtId="165" fontId="1" fillId="0" borderId="1" xfId="0" applyNumberFormat="1" applyFont="1" applyFill="1" applyBorder="1"/>
    <xf numFmtId="165" fontId="1" fillId="0" borderId="2" xfId="3" applyNumberFormat="1" applyFont="1" applyFill="1" applyBorder="1"/>
    <xf numFmtId="10" fontId="1" fillId="0" borderId="0" xfId="3" applyNumberFormat="1" applyFont="1" applyFill="1" applyBorder="1"/>
    <xf numFmtId="167" fontId="1" fillId="0" borderId="1" xfId="1" applyNumberFormat="1" applyFont="1" applyFill="1" applyBorder="1"/>
    <xf numFmtId="10" fontId="1" fillId="0" borderId="2" xfId="3" applyNumberFormat="1" applyFont="1" applyFill="1" applyBorder="1"/>
    <xf numFmtId="3" fontId="1" fillId="0" borderId="1" xfId="0" applyNumberFormat="1" applyFont="1" applyFill="1" applyBorder="1" applyAlignment="1">
      <alignment horizontal="right"/>
    </xf>
    <xf numFmtId="3" fontId="1" fillId="0" borderId="0" xfId="0" applyNumberFormat="1" applyFont="1" applyFill="1" applyBorder="1" applyAlignment="1">
      <alignment horizontal="right"/>
    </xf>
    <xf numFmtId="168" fontId="1" fillId="0" borderId="1" xfId="0" applyNumberFormat="1" applyFont="1" applyFill="1" applyBorder="1" applyAlignment="1">
      <alignment horizontal="center"/>
    </xf>
    <xf numFmtId="0" fontId="1" fillId="0" borderId="3" xfId="0" applyFont="1" applyFill="1" applyBorder="1" applyAlignment="1">
      <alignment horizontal="center"/>
    </xf>
    <xf numFmtId="10" fontId="1" fillId="0" borderId="1" xfId="3" applyNumberFormat="1" applyFont="1" applyFill="1" applyBorder="1"/>
    <xf numFmtId="2" fontId="1" fillId="0" borderId="0" xfId="0" applyNumberFormat="1" applyFont="1" applyBorder="1"/>
    <xf numFmtId="3" fontId="1" fillId="0" borderId="1" xfId="0" applyNumberFormat="1" applyFont="1" applyBorder="1"/>
    <xf numFmtId="166" fontId="1" fillId="0" borderId="0" xfId="3" applyNumberFormat="1" applyFont="1" applyFill="1" applyBorder="1"/>
    <xf numFmtId="9" fontId="1" fillId="0" borderId="0" xfId="3" applyFont="1"/>
    <xf numFmtId="172" fontId="1" fillId="0" borderId="1" xfId="0" applyNumberFormat="1" applyFont="1" applyFill="1" applyBorder="1"/>
    <xf numFmtId="3" fontId="1" fillId="0" borderId="0" xfId="0" applyNumberFormat="1" applyFont="1"/>
    <xf numFmtId="166" fontId="1" fillId="0" borderId="0" xfId="3" applyNumberFormat="1" applyFont="1" applyFill="1"/>
    <xf numFmtId="3" fontId="1" fillId="0" borderId="0" xfId="0" applyNumberFormat="1" applyFont="1" applyFill="1"/>
    <xf numFmtId="0" fontId="19" fillId="3" borderId="0" xfId="0" applyFont="1" applyFill="1"/>
    <xf numFmtId="0" fontId="20" fillId="0" borderId="2" xfId="0" applyFont="1" applyFill="1" applyBorder="1"/>
    <xf numFmtId="0" fontId="20" fillId="0" borderId="0" xfId="0" applyFont="1" applyFill="1"/>
    <xf numFmtId="172" fontId="19" fillId="0" borderId="1" xfId="0" applyNumberFormat="1" applyFont="1" applyFill="1" applyBorder="1"/>
    <xf numFmtId="171" fontId="19" fillId="0" borderId="0" xfId="3" applyNumberFormat="1" applyFont="1"/>
    <xf numFmtId="3" fontId="19" fillId="0" borderId="0" xfId="0" applyNumberFormat="1" applyFont="1" applyFill="1"/>
    <xf numFmtId="0" fontId="1" fillId="0" borderId="2" xfId="0" applyFont="1" applyFill="1" applyBorder="1"/>
    <xf numFmtId="165" fontId="1" fillId="0" borderId="1" xfId="0" applyNumberFormat="1" applyFont="1" applyBorder="1"/>
    <xf numFmtId="3" fontId="1" fillId="0" borderId="2" xfId="0" applyNumberFormat="1" applyFont="1" applyFill="1" applyBorder="1"/>
    <xf numFmtId="3" fontId="1" fillId="0" borderId="0" xfId="0" applyNumberFormat="1" applyFont="1" applyBorder="1"/>
    <xf numFmtId="3" fontId="1" fillId="0" borderId="1" xfId="0" applyNumberFormat="1" applyFont="1" applyBorder="1" applyAlignment="1">
      <alignment horizontal="right"/>
    </xf>
    <xf numFmtId="0" fontId="1" fillId="0" borderId="0" xfId="0" applyFont="1"/>
    <xf numFmtId="166" fontId="1" fillId="0" borderId="1" xfId="3" applyNumberFormat="1" applyFont="1" applyFill="1" applyBorder="1"/>
    <xf numFmtId="0" fontId="19" fillId="0" borderId="2" xfId="0" applyFont="1" applyFill="1" applyBorder="1"/>
    <xf numFmtId="3" fontId="19" fillId="0" borderId="2" xfId="0" applyNumberFormat="1" applyFont="1" applyFill="1" applyBorder="1"/>
    <xf numFmtId="3" fontId="19" fillId="0" borderId="0" xfId="0" applyNumberFormat="1" applyFont="1" applyFill="1" applyBorder="1"/>
    <xf numFmtId="0" fontId="19" fillId="0" borderId="0" xfId="0" applyFont="1"/>
    <xf numFmtId="0" fontId="19" fillId="0" borderId="0" xfId="0" applyFont="1" applyFill="1" applyBorder="1"/>
    <xf numFmtId="0" fontId="21" fillId="0" borderId="0" xfId="0" applyFont="1" applyFill="1" applyAlignment="1">
      <alignment horizontal="center"/>
    </xf>
    <xf numFmtId="0" fontId="21" fillId="0" borderId="0" xfId="0" applyFont="1"/>
    <xf numFmtId="0" fontId="21" fillId="0" borderId="0" xfId="0" applyFont="1" applyBorder="1"/>
    <xf numFmtId="3" fontId="9" fillId="0" borderId="2" xfId="0" applyNumberFormat="1" applyFont="1" applyFill="1" applyBorder="1"/>
    <xf numFmtId="3" fontId="9" fillId="0" borderId="0" xfId="0" applyNumberFormat="1" applyFont="1" applyFill="1"/>
    <xf numFmtId="0" fontId="9" fillId="0" borderId="2" xfId="0" applyFont="1" applyFill="1" applyBorder="1"/>
    <xf numFmtId="0" fontId="1" fillId="0" borderId="7" xfId="0" applyFont="1" applyFill="1" applyBorder="1" applyAlignment="1"/>
    <xf numFmtId="3" fontId="19" fillId="6" borderId="1" xfId="0" applyNumberFormat="1" applyFont="1" applyFill="1" applyBorder="1"/>
    <xf numFmtId="173" fontId="9" fillId="0" borderId="0" xfId="0" applyNumberFormat="1" applyFont="1" applyBorder="1" applyAlignment="1">
      <alignment horizontal="center"/>
    </xf>
    <xf numFmtId="10" fontId="4" fillId="0" borderId="0" xfId="3" applyNumberFormat="1" applyFont="1"/>
    <xf numFmtId="10" fontId="1" fillId="0" borderId="0" xfId="3" applyNumberFormat="1" applyFont="1"/>
    <xf numFmtId="166" fontId="9" fillId="0" borderId="1" xfId="3" applyNumberFormat="1" applyFont="1" applyBorder="1"/>
    <xf numFmtId="166" fontId="9" fillId="0" borderId="1" xfId="3" applyNumberFormat="1" applyFont="1" applyFill="1" applyBorder="1"/>
    <xf numFmtId="166" fontId="9" fillId="0" borderId="1" xfId="3" applyNumberFormat="1" applyFont="1" applyBorder="1" applyAlignment="1">
      <alignment horizontal="center"/>
    </xf>
    <xf numFmtId="174" fontId="9" fillId="0" borderId="1" xfId="3" applyNumberFormat="1" applyFont="1" applyBorder="1" applyAlignment="1">
      <alignment horizontal="center"/>
    </xf>
    <xf numFmtId="174" fontId="9" fillId="0" borderId="1" xfId="0" applyNumberFormat="1" applyFont="1" applyBorder="1" applyAlignment="1">
      <alignment horizontal="center"/>
    </xf>
    <xf numFmtId="166" fontId="9" fillId="0" borderId="1" xfId="0" applyNumberFormat="1" applyFont="1" applyBorder="1" applyAlignment="1">
      <alignment horizontal="center"/>
    </xf>
    <xf numFmtId="3" fontId="23" fillId="0" borderId="1" xfId="0" applyNumberFormat="1" applyFont="1" applyFill="1" applyBorder="1" applyAlignment="1">
      <alignment horizontal="right"/>
    </xf>
    <xf numFmtId="0" fontId="4" fillId="0" borderId="1" xfId="0" applyFont="1" applyFill="1" applyBorder="1"/>
    <xf numFmtId="0" fontId="1" fillId="0" borderId="1" xfId="0" applyFont="1" applyBorder="1"/>
    <xf numFmtId="0" fontId="1" fillId="0" borderId="1" xfId="0" applyFont="1" applyBorder="1" applyAlignment="1">
      <alignment vertical="center"/>
    </xf>
    <xf numFmtId="3" fontId="9" fillId="0" borderId="1" xfId="3" applyNumberFormat="1" applyFont="1" applyBorder="1"/>
    <xf numFmtId="171" fontId="14" fillId="0" borderId="0" xfId="0" applyNumberFormat="1" applyFont="1" applyFill="1"/>
    <xf numFmtId="9" fontId="1" fillId="0" borderId="0" xfId="3" applyFont="1" applyBorder="1"/>
    <xf numFmtId="166" fontId="19" fillId="0" borderId="2" xfId="3" applyNumberFormat="1" applyFont="1" applyFill="1" applyBorder="1"/>
    <xf numFmtId="0" fontId="8" fillId="0" borderId="1" xfId="0" applyFont="1" applyBorder="1" applyAlignment="1"/>
    <xf numFmtId="0" fontId="8" fillId="0" borderId="4" xfId="0" applyFont="1" applyBorder="1"/>
    <xf numFmtId="0" fontId="8" fillId="0" borderId="1" xfId="0" applyFont="1" applyBorder="1"/>
    <xf numFmtId="0" fontId="8" fillId="0" borderId="5" xfId="0" applyFont="1" applyBorder="1"/>
    <xf numFmtId="0" fontId="8" fillId="0" borderId="1" xfId="0" applyFont="1" applyBorder="1" applyAlignment="1">
      <alignment vertical="center"/>
    </xf>
    <xf numFmtId="166" fontId="9" fillId="0" borderId="0" xfId="3" applyNumberFormat="1" applyFont="1" applyBorder="1" applyAlignment="1">
      <alignment horizontal="center"/>
    </xf>
    <xf numFmtId="172" fontId="9" fillId="0" borderId="0" xfId="0" applyNumberFormat="1" applyFont="1"/>
    <xf numFmtId="172" fontId="19" fillId="0" borderId="0" xfId="0" applyNumberFormat="1" applyFont="1"/>
    <xf numFmtId="172" fontId="9" fillId="0" borderId="0" xfId="0" applyNumberFormat="1" applyFont="1" applyFill="1"/>
    <xf numFmtId="9" fontId="1" fillId="0" borderId="0" xfId="3" applyNumberFormat="1" applyFont="1"/>
    <xf numFmtId="166" fontId="9" fillId="0" borderId="0" xfId="3" applyNumberFormat="1" applyFont="1" applyFill="1"/>
    <xf numFmtId="167" fontId="9" fillId="0" borderId="1" xfId="1" applyNumberFormat="1" applyFont="1" applyBorder="1" applyAlignment="1">
      <alignment horizontal="left"/>
    </xf>
    <xf numFmtId="166" fontId="9" fillId="0" borderId="0" xfId="3" applyNumberFormat="1" applyFont="1" applyFill="1" applyBorder="1" applyAlignment="1">
      <alignment horizontal="right"/>
    </xf>
    <xf numFmtId="10" fontId="9" fillId="0" borderId="0" xfId="0" applyNumberFormat="1" applyFont="1" applyBorder="1" applyAlignment="1">
      <alignment horizontal="left"/>
    </xf>
    <xf numFmtId="166" fontId="1" fillId="0" borderId="2" xfId="3" applyNumberFormat="1" applyFont="1" applyFill="1" applyBorder="1"/>
    <xf numFmtId="165" fontId="19" fillId="0" borderId="0" xfId="0" applyNumberFormat="1" applyFont="1" applyFill="1"/>
    <xf numFmtId="166" fontId="1" fillId="0" borderId="0" xfId="3" applyNumberFormat="1" applyFont="1"/>
    <xf numFmtId="166" fontId="4" fillId="0" borderId="0" xfId="3" applyNumberFormat="1" applyFont="1"/>
    <xf numFmtId="166" fontId="19" fillId="0" borderId="0" xfId="3" applyNumberFormat="1" applyFont="1" applyFill="1"/>
    <xf numFmtId="1" fontId="19" fillId="0" borderId="0" xfId="3" applyNumberFormat="1" applyFont="1"/>
    <xf numFmtId="0" fontId="1" fillId="0" borderId="1" xfId="0" applyFont="1" applyFill="1" applyBorder="1"/>
    <xf numFmtId="168" fontId="4" fillId="0" borderId="0" xfId="0" applyNumberFormat="1" applyFont="1" applyBorder="1" applyAlignment="1">
      <alignment horizontal="center"/>
    </xf>
    <xf numFmtId="168" fontId="4" fillId="0" borderId="0" xfId="0" applyNumberFormat="1" applyFont="1" applyFill="1" applyBorder="1" applyAlignment="1">
      <alignment horizontal="center"/>
    </xf>
    <xf numFmtId="168" fontId="1" fillId="0" borderId="0" xfId="0" applyNumberFormat="1" applyFont="1" applyFill="1" applyBorder="1" applyAlignment="1">
      <alignment horizontal="center"/>
    </xf>
    <xf numFmtId="3" fontId="9" fillId="0" borderId="1" xfId="0" applyNumberFormat="1" applyFont="1" applyBorder="1" applyAlignment="1">
      <alignment horizontal="center"/>
    </xf>
    <xf numFmtId="1" fontId="9" fillId="0" borderId="1" xfId="0" applyNumberFormat="1" applyFont="1" applyBorder="1" applyAlignment="1">
      <alignment horizontal="center"/>
    </xf>
    <xf numFmtId="165" fontId="9" fillId="0" borderId="0" xfId="0" applyNumberFormat="1" applyFont="1" applyBorder="1" applyAlignment="1">
      <alignment horizontal="center"/>
    </xf>
    <xf numFmtId="165" fontId="9" fillId="0" borderId="0" xfId="0" applyNumberFormat="1" applyFont="1" applyAlignment="1">
      <alignment horizont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9" fontId="9" fillId="0" borderId="1" xfId="3" applyNumberFormat="1" applyFont="1" applyBorder="1" applyAlignment="1">
      <alignment horizontal="center"/>
    </xf>
    <xf numFmtId="166" fontId="9" fillId="0" borderId="0" xfId="3" applyNumberFormat="1" applyFont="1" applyAlignment="1">
      <alignment horizontal="center"/>
    </xf>
    <xf numFmtId="3" fontId="1" fillId="0" borderId="1" xfId="0" applyNumberFormat="1" applyFont="1" applyFill="1" applyBorder="1" applyAlignment="1">
      <alignment horizontal="center"/>
    </xf>
    <xf numFmtId="166" fontId="9" fillId="0" borderId="1" xfId="3" applyNumberFormat="1" applyFont="1" applyFill="1" applyBorder="1" applyAlignment="1">
      <alignment horizontal="center"/>
    </xf>
    <xf numFmtId="9" fontId="9" fillId="0" borderId="1" xfId="3" applyNumberFormat="1" applyFont="1" applyFill="1" applyBorder="1" applyAlignment="1">
      <alignment horizontal="center"/>
    </xf>
    <xf numFmtId="9" fontId="9" fillId="0" borderId="1" xfId="3" applyFont="1" applyFill="1" applyBorder="1" applyAlignment="1">
      <alignment horizontal="center"/>
    </xf>
    <xf numFmtId="165" fontId="9" fillId="0" borderId="0" xfId="0" applyNumberFormat="1" applyFont="1" applyFill="1"/>
    <xf numFmtId="165" fontId="9" fillId="0" borderId="0" xfId="0" applyNumberFormat="1" applyFont="1" applyAlignment="1">
      <alignment horizontal="left"/>
    </xf>
    <xf numFmtId="167" fontId="8" fillId="0" borderId="2" xfId="0" applyNumberFormat="1" applyFont="1" applyBorder="1"/>
    <xf numFmtId="167" fontId="1" fillId="0" borderId="0" xfId="0" applyNumberFormat="1" applyFont="1" applyFill="1"/>
    <xf numFmtId="0" fontId="9" fillId="7" borderId="0" xfId="0" applyFont="1" applyFill="1" applyBorder="1" applyAlignment="1">
      <alignment horizontal="left" indent="2"/>
    </xf>
    <xf numFmtId="3" fontId="9" fillId="7" borderId="0" xfId="0" applyNumberFormat="1" applyFont="1" applyFill="1" applyBorder="1"/>
    <xf numFmtId="10" fontId="9" fillId="7" borderId="0" xfId="3" applyNumberFormat="1" applyFont="1" applyFill="1" applyBorder="1"/>
    <xf numFmtId="0" fontId="9" fillId="7" borderId="0" xfId="0" applyFont="1" applyFill="1" applyBorder="1" applyAlignment="1">
      <alignment horizontal="center"/>
    </xf>
    <xf numFmtId="0" fontId="9" fillId="7" borderId="0" xfId="0" applyFont="1" applyFill="1"/>
    <xf numFmtId="0" fontId="9" fillId="7" borderId="2" xfId="0" applyFont="1" applyFill="1" applyBorder="1" applyAlignment="1">
      <alignment horizontal="left" indent="2"/>
    </xf>
    <xf numFmtId="3" fontId="9" fillId="7" borderId="2" xfId="0" applyNumberFormat="1" applyFont="1" applyFill="1" applyBorder="1"/>
    <xf numFmtId="0" fontId="9" fillId="7" borderId="2" xfId="0" applyFont="1" applyFill="1" applyBorder="1" applyAlignment="1">
      <alignment horizontal="center"/>
    </xf>
    <xf numFmtId="3" fontId="4" fillId="0" borderId="0" xfId="3" applyNumberFormat="1" applyFont="1"/>
    <xf numFmtId="171" fontId="4" fillId="0" borderId="0" xfId="0" applyNumberFormat="1" applyFont="1"/>
    <xf numFmtId="5" fontId="4" fillId="0" borderId="0" xfId="2" applyNumberFormat="1" applyFont="1"/>
    <xf numFmtId="165" fontId="4" fillId="0" borderId="0" xfId="0" applyNumberFormat="1" applyFont="1"/>
    <xf numFmtId="2" fontId="1" fillId="0" borderId="0" xfId="0" applyNumberFormat="1" applyFont="1" applyFill="1" applyBorder="1"/>
    <xf numFmtId="169" fontId="4" fillId="0" borderId="0" xfId="2" applyNumberFormat="1" applyFont="1"/>
    <xf numFmtId="169" fontId="1" fillId="0" borderId="9" xfId="2" applyNumberFormat="1" applyFont="1" applyFill="1" applyBorder="1"/>
    <xf numFmtId="0" fontId="26" fillId="3" borderId="0" xfId="0" applyFont="1" applyFill="1"/>
    <xf numFmtId="0" fontId="27" fillId="3" borderId="0" xfId="0" applyFont="1" applyFill="1"/>
    <xf numFmtId="0" fontId="26" fillId="0" borderId="2" xfId="0" applyFont="1" applyBorder="1"/>
    <xf numFmtId="0" fontId="26" fillId="0" borderId="0" xfId="0" applyFont="1"/>
    <xf numFmtId="0" fontId="26" fillId="0" borderId="0" xfId="0" applyFont="1" applyAlignment="1"/>
    <xf numFmtId="0" fontId="2" fillId="0" borderId="0" xfId="0" applyFont="1" applyAlignment="1">
      <alignment horizontal="left" indent="2"/>
    </xf>
    <xf numFmtId="0" fontId="2" fillId="0" borderId="1" xfId="0" applyFont="1" applyBorder="1" applyAlignment="1"/>
    <xf numFmtId="0" fontId="2" fillId="0" borderId="0" xfId="0" applyFont="1" applyBorder="1" applyAlignment="1"/>
    <xf numFmtId="0" fontId="26" fillId="0" borderId="0" xfId="0" applyFont="1" applyBorder="1"/>
    <xf numFmtId="0" fontId="2" fillId="0" borderId="4" xfId="0" applyFont="1" applyBorder="1"/>
    <xf numFmtId="0" fontId="2" fillId="0" borderId="1" xfId="0" applyFont="1" applyBorder="1"/>
    <xf numFmtId="0" fontId="2" fillId="0" borderId="5" xfId="0" applyFont="1" applyBorder="1"/>
    <xf numFmtId="0" fontId="2" fillId="0" borderId="0" xfId="0" applyFont="1"/>
    <xf numFmtId="0" fontId="2" fillId="0" borderId="2" xfId="0" applyFont="1" applyBorder="1" applyAlignment="1">
      <alignment horizontal="left" indent="2"/>
    </xf>
    <xf numFmtId="0" fontId="2" fillId="0" borderId="0" xfId="0" applyFont="1" applyBorder="1" applyAlignment="1">
      <alignment horizontal="left" indent="2"/>
    </xf>
    <xf numFmtId="0" fontId="2" fillId="0" borderId="1" xfId="0" applyFont="1" applyBorder="1" applyAlignment="1">
      <alignment vertical="center"/>
    </xf>
    <xf numFmtId="0" fontId="2" fillId="0" borderId="7" xfId="0" applyFont="1" applyFill="1" applyBorder="1" applyAlignment="1"/>
    <xf numFmtId="0" fontId="26" fillId="0" borderId="0" xfId="0" applyFont="1" applyAlignment="1">
      <alignment horizontal="left" indent="2"/>
    </xf>
    <xf numFmtId="0" fontId="2" fillId="0" borderId="0" xfId="0" applyFont="1" applyBorder="1" applyAlignment="1">
      <alignment vertical="center"/>
    </xf>
    <xf numFmtId="0" fontId="2" fillId="0" borderId="0" xfId="0" applyFont="1" applyAlignment="1"/>
    <xf numFmtId="0" fontId="2" fillId="0" borderId="0" xfId="0" applyFont="1" applyBorder="1"/>
    <xf numFmtId="0" fontId="26" fillId="0" borderId="0" xfId="0" applyFont="1" applyFill="1" applyBorder="1"/>
    <xf numFmtId="0" fontId="7" fillId="0" borderId="0" xfId="0" applyFont="1" applyFill="1" applyBorder="1"/>
    <xf numFmtId="3" fontId="2" fillId="0" borderId="1" xfId="0" applyNumberFormat="1" applyFont="1" applyFill="1" applyBorder="1" applyAlignment="1">
      <alignment horizontal="left"/>
    </xf>
    <xf numFmtId="0" fontId="7" fillId="0" borderId="0" xfId="0" applyFont="1"/>
    <xf numFmtId="0" fontId="2" fillId="3" borderId="0" xfId="0" applyFont="1" applyFill="1"/>
    <xf numFmtId="0" fontId="27" fillId="0" borderId="0" xfId="0" applyFont="1"/>
    <xf numFmtId="0" fontId="2" fillId="0" borderId="0" xfId="0" applyFont="1" applyFill="1" applyBorder="1" applyAlignment="1"/>
    <xf numFmtId="0" fontId="7" fillId="0" borderId="0" xfId="0" applyFont="1" applyBorder="1"/>
    <xf numFmtId="0" fontId="26" fillId="0" borderId="0" xfId="0" applyFont="1" applyAlignment="1">
      <alignment horizontal="right"/>
    </xf>
    <xf numFmtId="14" fontId="2" fillId="0" borderId="0" xfId="0" applyNumberFormat="1" applyFont="1"/>
    <xf numFmtId="14" fontId="26" fillId="0" borderId="0" xfId="0" applyNumberFormat="1" applyFont="1"/>
    <xf numFmtId="0" fontId="26" fillId="0" borderId="0" xfId="0" applyFont="1" applyBorder="1" applyAlignment="1">
      <alignment wrapText="1"/>
    </xf>
    <xf numFmtId="0" fontId="2" fillId="0" borderId="0" xfId="0" applyFont="1" applyAlignment="1">
      <alignment wrapText="1"/>
    </xf>
    <xf numFmtId="0" fontId="26" fillId="0" borderId="0" xfId="0" applyFont="1" applyAlignment="1">
      <alignment wrapText="1"/>
    </xf>
    <xf numFmtId="0" fontId="26" fillId="0" borderId="0" xfId="0" applyFont="1" applyAlignment="1">
      <alignment vertical="center" wrapText="1"/>
    </xf>
    <xf numFmtId="3" fontId="1" fillId="7" borderId="1" xfId="0" applyNumberFormat="1" applyFont="1" applyFill="1" applyBorder="1"/>
    <xf numFmtId="0" fontId="3" fillId="0" borderId="0" xfId="0" applyFont="1" applyAlignment="1">
      <alignment wrapText="1"/>
    </xf>
    <xf numFmtId="0" fontId="3" fillId="3" borderId="0" xfId="0" applyFont="1" applyFill="1" applyAlignment="1">
      <alignment wrapText="1"/>
    </xf>
    <xf numFmtId="3" fontId="4" fillId="0" borderId="1" xfId="3" applyNumberFormat="1" applyFont="1" applyBorder="1"/>
    <xf numFmtId="3" fontId="1" fillId="7" borderId="1" xfId="0" applyNumberFormat="1" applyFont="1" applyFill="1" applyBorder="1" applyAlignment="1">
      <alignment horizontal="right"/>
    </xf>
    <xf numFmtId="165" fontId="1" fillId="7" borderId="1" xfId="0" applyNumberFormat="1" applyFont="1" applyFill="1" applyBorder="1"/>
    <xf numFmtId="165" fontId="1" fillId="0" borderId="0" xfId="0" applyNumberFormat="1" applyFont="1" applyFill="1"/>
    <xf numFmtId="10" fontId="19" fillId="0" borderId="0" xfId="3" applyNumberFormat="1" applyFont="1" applyFill="1"/>
    <xf numFmtId="3" fontId="1" fillId="6" borderId="0" xfId="0" applyNumberFormat="1" applyFont="1" applyFill="1"/>
    <xf numFmtId="171" fontId="1" fillId="0" borderId="0" xfId="3" applyNumberFormat="1" applyFont="1"/>
    <xf numFmtId="3" fontId="4" fillId="7" borderId="1" xfId="0" applyNumberFormat="1" applyFont="1" applyFill="1" applyBorder="1"/>
    <xf numFmtId="3" fontId="12" fillId="7" borderId="1" xfId="0" applyNumberFormat="1" applyFont="1" applyFill="1" applyBorder="1"/>
    <xf numFmtId="3" fontId="18" fillId="7" borderId="1" xfId="0" applyNumberFormat="1" applyFont="1" applyFill="1" applyBorder="1"/>
    <xf numFmtId="3" fontId="19" fillId="7" borderId="1" xfId="0" applyNumberFormat="1" applyFont="1" applyFill="1" applyBorder="1"/>
    <xf numFmtId="172" fontId="4" fillId="0" borderId="0" xfId="0" applyNumberFormat="1" applyFont="1"/>
    <xf numFmtId="165" fontId="1" fillId="0" borderId="2" xfId="0" applyNumberFormat="1" applyFont="1" applyFill="1" applyBorder="1"/>
    <xf numFmtId="1" fontId="1" fillId="0" borderId="0" xfId="3" applyNumberFormat="1" applyFont="1" applyBorder="1"/>
    <xf numFmtId="0" fontId="9" fillId="0" borderId="11" xfId="0" applyFont="1" applyFill="1" applyBorder="1"/>
    <xf numFmtId="0" fontId="21" fillId="0" borderId="12" xfId="0" applyFont="1" applyFill="1" applyBorder="1" applyAlignment="1">
      <alignment horizontal="center"/>
    </xf>
    <xf numFmtId="0" fontId="21" fillId="0" borderId="13" xfId="0" applyFont="1" applyFill="1" applyBorder="1" applyAlignment="1">
      <alignment horizontal="center"/>
    </xf>
    <xf numFmtId="0" fontId="8" fillId="0" borderId="14" xfId="0" applyFont="1" applyFill="1" applyBorder="1"/>
    <xf numFmtId="0" fontId="8" fillId="0" borderId="15" xfId="0" applyFont="1" applyBorder="1"/>
    <xf numFmtId="0" fontId="21" fillId="0" borderId="16" xfId="0" applyFont="1" applyFill="1" applyBorder="1" applyAlignment="1">
      <alignment horizontal="center"/>
    </xf>
    <xf numFmtId="9" fontId="1" fillId="0" borderId="0" xfId="3" applyNumberFormat="1" applyFont="1" applyFill="1"/>
    <xf numFmtId="3" fontId="2" fillId="0" borderId="0" xfId="0" applyNumberFormat="1" applyFont="1"/>
    <xf numFmtId="3" fontId="1" fillId="7" borderId="0" xfId="0" applyNumberFormat="1" applyFont="1" applyFill="1" applyBorder="1" applyAlignment="1">
      <alignment horizontal="right"/>
    </xf>
    <xf numFmtId="175" fontId="1" fillId="0" borderId="2" xfId="3" applyNumberFormat="1" applyFont="1" applyFill="1" applyBorder="1"/>
    <xf numFmtId="165" fontId="4" fillId="0" borderId="0" xfId="0" applyNumberFormat="1" applyFont="1" applyBorder="1"/>
    <xf numFmtId="165" fontId="4" fillId="0" borderId="0" xfId="0" applyNumberFormat="1" applyFont="1" applyFill="1" applyBorder="1"/>
    <xf numFmtId="165" fontId="1" fillId="0" borderId="0" xfId="0" applyNumberFormat="1" applyFont="1" applyFill="1" applyBorder="1"/>
    <xf numFmtId="167" fontId="4" fillId="0" borderId="0" xfId="1" applyNumberFormat="1" applyFont="1" applyBorder="1"/>
    <xf numFmtId="167" fontId="4" fillId="0" borderId="0" xfId="1" applyNumberFormat="1" applyFont="1" applyFill="1" applyBorder="1"/>
    <xf numFmtId="167" fontId="1" fillId="0" borderId="0" xfId="1" applyNumberFormat="1" applyFont="1" applyFill="1" applyBorder="1"/>
    <xf numFmtId="0" fontId="1" fillId="0" borderId="0" xfId="0" applyFont="1" applyFill="1" applyBorder="1"/>
    <xf numFmtId="0" fontId="1" fillId="0" borderId="1" xfId="0" applyFont="1" applyBorder="1" applyAlignment="1"/>
    <xf numFmtId="0" fontId="11" fillId="0" borderId="0" xfId="0" applyFont="1" applyAlignment="1">
      <alignment horizontal="center"/>
    </xf>
    <xf numFmtId="168" fontId="9" fillId="0" borderId="0" xfId="0" applyNumberFormat="1" applyFont="1" applyFill="1" applyBorder="1"/>
    <xf numFmtId="171" fontId="9" fillId="0" borderId="0" xfId="0" applyNumberFormat="1" applyFont="1" applyFill="1"/>
    <xf numFmtId="176" fontId="9" fillId="0" borderId="0" xfId="2" applyNumberFormat="1" applyFont="1" applyFill="1"/>
    <xf numFmtId="0" fontId="2" fillId="8" borderId="0" xfId="0" applyFont="1" applyFill="1"/>
    <xf numFmtId="3" fontId="4" fillId="8" borderId="0" xfId="0" applyNumberFormat="1" applyFont="1" applyFill="1"/>
    <xf numFmtId="3" fontId="0" fillId="8" borderId="0" xfId="0" applyNumberFormat="1" applyFill="1" applyBorder="1" applyAlignment="1">
      <alignment vertical="center"/>
    </xf>
    <xf numFmtId="3" fontId="1" fillId="8" borderId="0" xfId="0" applyNumberFormat="1" applyFont="1" applyFill="1"/>
    <xf numFmtId="0" fontId="4" fillId="8" borderId="0" xfId="0" applyFont="1" applyFill="1"/>
    <xf numFmtId="0" fontId="8" fillId="9" borderId="0" xfId="0" applyFont="1" applyFill="1"/>
    <xf numFmtId="10" fontId="1" fillId="9" borderId="1" xfId="3" applyNumberFormat="1" applyFont="1" applyFill="1" applyBorder="1"/>
    <xf numFmtId="3" fontId="1" fillId="9" borderId="1" xfId="0" applyNumberFormat="1" applyFont="1" applyFill="1" applyBorder="1" applyAlignment="1">
      <alignment horizontal="right"/>
    </xf>
    <xf numFmtId="0" fontId="26" fillId="7" borderId="0" xfId="0" applyFont="1" applyFill="1" applyBorder="1"/>
    <xf numFmtId="0" fontId="2" fillId="7" borderId="0" xfId="0" applyFont="1" applyFill="1" applyAlignment="1"/>
    <xf numFmtId="165" fontId="1" fillId="9" borderId="1" xfId="0" applyNumberFormat="1" applyFont="1" applyFill="1" applyBorder="1"/>
    <xf numFmtId="0" fontId="4" fillId="9" borderId="0" xfId="0" applyFont="1" applyFill="1"/>
    <xf numFmtId="0" fontId="5" fillId="7" borderId="0" xfId="0" applyFont="1" applyFill="1" applyAlignment="1"/>
    <xf numFmtId="3" fontId="1" fillId="9" borderId="1" xfId="0" applyNumberFormat="1" applyFont="1" applyFill="1" applyBorder="1"/>
    <xf numFmtId="1" fontId="1" fillId="9" borderId="0" xfId="3" applyNumberFormat="1" applyFont="1" applyFill="1" applyBorder="1"/>
    <xf numFmtId="0" fontId="1" fillId="0" borderId="1" xfId="0" applyFont="1" applyBorder="1" applyAlignment="1">
      <alignment horizontal="center"/>
    </xf>
    <xf numFmtId="0" fontId="8" fillId="10" borderId="0" xfId="0" applyFont="1" applyFill="1"/>
    <xf numFmtId="0" fontId="3" fillId="10" borderId="0" xfId="0" applyFont="1" applyFill="1"/>
    <xf numFmtId="0" fontId="22" fillId="7" borderId="10" xfId="0" applyFont="1" applyFill="1" applyBorder="1"/>
    <xf numFmtId="0" fontId="8" fillId="7" borderId="0" xfId="0" applyFont="1" applyFill="1" applyBorder="1"/>
    <xf numFmtId="0" fontId="8" fillId="7" borderId="0" xfId="0" applyFont="1" applyFill="1" applyBorder="1" applyAlignment="1">
      <alignment horizontal="center"/>
    </xf>
    <xf numFmtId="0" fontId="28" fillId="7" borderId="0" xfId="0" applyFont="1" applyFill="1" applyBorder="1" applyAlignment="1">
      <alignment horizontal="center"/>
    </xf>
    <xf numFmtId="0" fontId="9" fillId="6" borderId="0" xfId="0" applyFont="1" applyFill="1" applyAlignment="1">
      <alignment horizontal="center"/>
    </xf>
    <xf numFmtId="0" fontId="9" fillId="7" borderId="0" xfId="0" applyFont="1" applyFill="1" applyAlignment="1">
      <alignment horizontal="center"/>
    </xf>
    <xf numFmtId="166" fontId="4" fillId="9" borderId="1" xfId="3" applyNumberFormat="1" applyFont="1" applyFill="1" applyBorder="1"/>
    <xf numFmtId="166" fontId="12" fillId="9" borderId="1" xfId="3" applyNumberFormat="1" applyFont="1" applyFill="1" applyBorder="1"/>
    <xf numFmtId="0" fontId="8" fillId="7" borderId="0" xfId="0" applyFont="1" applyFill="1"/>
    <xf numFmtId="2" fontId="1" fillId="9" borderId="0" xfId="0" applyNumberFormat="1" applyFont="1" applyFill="1" applyBorder="1"/>
    <xf numFmtId="2" fontId="4" fillId="9" borderId="1" xfId="3" applyNumberFormat="1" applyFont="1" applyFill="1" applyBorder="1"/>
    <xf numFmtId="167" fontId="1" fillId="9" borderId="1" xfId="1" applyNumberFormat="1" applyFont="1" applyFill="1" applyBorder="1"/>
    <xf numFmtId="0" fontId="4" fillId="11" borderId="0" xfId="0" applyFont="1" applyFill="1"/>
    <xf numFmtId="0" fontId="1" fillId="11" borderId="1" xfId="0" applyFont="1" applyFill="1" applyBorder="1" applyAlignment="1">
      <alignment horizontal="center"/>
    </xf>
    <xf numFmtId="3" fontId="1" fillId="11" borderId="1" xfId="0" applyNumberFormat="1" applyFont="1" applyFill="1" applyBorder="1"/>
    <xf numFmtId="3" fontId="1" fillId="11" borderId="0" xfId="0" applyNumberFormat="1" applyFont="1" applyFill="1" applyBorder="1"/>
    <xf numFmtId="0" fontId="3" fillId="11" borderId="0" xfId="0" applyFont="1" applyFill="1" applyBorder="1"/>
    <xf numFmtId="0" fontId="1" fillId="11" borderId="0" xfId="0" applyFont="1" applyFill="1"/>
    <xf numFmtId="165" fontId="1" fillId="11" borderId="1" xfId="0" applyNumberFormat="1" applyFont="1" applyFill="1" applyBorder="1"/>
    <xf numFmtId="166" fontId="1" fillId="11" borderId="2" xfId="3" applyNumberFormat="1" applyFont="1" applyFill="1" applyBorder="1"/>
    <xf numFmtId="10" fontId="1" fillId="11" borderId="0" xfId="3" applyNumberFormat="1" applyFont="1" applyFill="1" applyBorder="1"/>
    <xf numFmtId="167" fontId="1" fillId="11" borderId="1" xfId="1" applyNumberFormat="1" applyFont="1" applyFill="1" applyBorder="1"/>
    <xf numFmtId="175" fontId="1" fillId="11" borderId="2" xfId="3" applyNumberFormat="1" applyFont="1" applyFill="1" applyBorder="1"/>
    <xf numFmtId="3" fontId="1" fillId="11" borderId="1" xfId="0" applyNumberFormat="1" applyFont="1" applyFill="1" applyBorder="1" applyAlignment="1">
      <alignment horizontal="right"/>
    </xf>
    <xf numFmtId="3" fontId="1" fillId="11" borderId="0" xfId="0" applyNumberFormat="1" applyFont="1" applyFill="1" applyBorder="1" applyAlignment="1">
      <alignment horizontal="right"/>
    </xf>
    <xf numFmtId="165" fontId="1" fillId="11" borderId="0" xfId="0" applyNumberFormat="1" applyFont="1" applyFill="1" applyBorder="1"/>
    <xf numFmtId="10" fontId="1" fillId="11" borderId="2" xfId="3" applyNumberFormat="1" applyFont="1" applyFill="1" applyBorder="1"/>
    <xf numFmtId="168" fontId="1" fillId="11" borderId="1" xfId="0" applyNumberFormat="1" applyFont="1" applyFill="1" applyBorder="1" applyAlignment="1">
      <alignment horizontal="center"/>
    </xf>
    <xf numFmtId="0" fontId="3" fillId="11" borderId="2" xfId="0" applyFont="1" applyFill="1" applyBorder="1"/>
    <xf numFmtId="0" fontId="1" fillId="11" borderId="3" xfId="0" applyFont="1" applyFill="1" applyBorder="1" applyAlignment="1">
      <alignment horizontal="center"/>
    </xf>
    <xf numFmtId="10" fontId="1" fillId="11" borderId="1" xfId="3" applyNumberFormat="1" applyFont="1" applyFill="1" applyBorder="1"/>
    <xf numFmtId="2" fontId="1" fillId="11" borderId="0" xfId="0" applyNumberFormat="1" applyFont="1" applyFill="1" applyBorder="1"/>
    <xf numFmtId="3" fontId="1" fillId="11" borderId="1" xfId="0" applyNumberFormat="1" applyFont="1" applyFill="1" applyBorder="1" applyAlignment="1">
      <alignment horizontal="center"/>
    </xf>
    <xf numFmtId="166" fontId="1" fillId="11" borderId="0" xfId="3" applyNumberFormat="1" applyFont="1" applyFill="1" applyBorder="1"/>
    <xf numFmtId="9" fontId="1" fillId="11" borderId="0" xfId="3" applyNumberFormat="1" applyFont="1" applyFill="1"/>
    <xf numFmtId="3" fontId="14" fillId="11" borderId="1" xfId="0" applyNumberFormat="1" applyFont="1" applyFill="1" applyBorder="1" applyAlignment="1">
      <alignment horizontal="right"/>
    </xf>
    <xf numFmtId="172" fontId="1" fillId="11" borderId="1" xfId="0" applyNumberFormat="1" applyFont="1" applyFill="1" applyBorder="1"/>
    <xf numFmtId="172" fontId="19" fillId="11" borderId="1" xfId="0" applyNumberFormat="1" applyFont="1" applyFill="1" applyBorder="1"/>
    <xf numFmtId="3" fontId="1" fillId="11" borderId="0" xfId="0" applyNumberFormat="1" applyFont="1" applyFill="1"/>
    <xf numFmtId="171" fontId="14" fillId="11" borderId="0" xfId="0" applyNumberFormat="1" applyFont="1" applyFill="1"/>
    <xf numFmtId="0" fontId="3" fillId="11" borderId="0" xfId="0" applyFont="1" applyFill="1"/>
    <xf numFmtId="171" fontId="1" fillId="11" borderId="0" xfId="3" applyNumberFormat="1" applyFont="1" applyFill="1"/>
    <xf numFmtId="166" fontId="4" fillId="11" borderId="0" xfId="3" applyNumberFormat="1" applyFont="1" applyFill="1"/>
    <xf numFmtId="166" fontId="19" fillId="11" borderId="2" xfId="3" applyNumberFormat="1" applyFont="1" applyFill="1" applyBorder="1"/>
    <xf numFmtId="3" fontId="19" fillId="11" borderId="0" xfId="0" applyNumberFormat="1" applyFont="1" applyFill="1" applyBorder="1"/>
    <xf numFmtId="0" fontId="19" fillId="11" borderId="0" xfId="0" applyFont="1" applyFill="1"/>
    <xf numFmtId="1" fontId="1" fillId="11" borderId="0" xfId="3" applyNumberFormat="1" applyFont="1" applyFill="1" applyBorder="1"/>
    <xf numFmtId="167" fontId="1" fillId="11" borderId="0" xfId="0" applyNumberFormat="1" applyFont="1" applyFill="1"/>
    <xf numFmtId="3" fontId="19" fillId="11" borderId="2" xfId="0" applyNumberFormat="1" applyFont="1" applyFill="1" applyBorder="1"/>
    <xf numFmtId="0" fontId="1" fillId="11" borderId="2" xfId="0" applyFont="1" applyFill="1" applyBorder="1"/>
    <xf numFmtId="0" fontId="20" fillId="11" borderId="0" xfId="0" applyFont="1" applyFill="1"/>
    <xf numFmtId="0" fontId="1" fillId="11" borderId="1" xfId="0" applyFont="1" applyFill="1" applyBorder="1"/>
    <xf numFmtId="165" fontId="1" fillId="11" borderId="0" xfId="0" applyNumberFormat="1" applyFont="1" applyFill="1"/>
    <xf numFmtId="3" fontId="29" fillId="11" borderId="0" xfId="0" applyNumberFormat="1" applyFont="1" applyFill="1"/>
    <xf numFmtId="166" fontId="8" fillId="0" borderId="0" xfId="0" applyNumberFormat="1" applyFont="1" applyAlignment="1">
      <alignment horizontal="center"/>
    </xf>
    <xf numFmtId="165" fontId="8" fillId="0" borderId="0" xfId="0" applyNumberFormat="1" applyFont="1"/>
    <xf numFmtId="166" fontId="8" fillId="0" borderId="0" xfId="3" applyNumberFormat="1" applyFont="1" applyAlignment="1">
      <alignment horizontal="center"/>
    </xf>
    <xf numFmtId="165" fontId="8" fillId="0" borderId="0" xfId="0" applyNumberFormat="1" applyFont="1" applyBorder="1" applyAlignment="1">
      <alignment horizontal="center"/>
    </xf>
    <xf numFmtId="167" fontId="8" fillId="0" borderId="0" xfId="0" applyNumberFormat="1" applyFont="1" applyBorder="1" applyAlignment="1">
      <alignment horizontal="center"/>
    </xf>
    <xf numFmtId="10" fontId="1" fillId="7" borderId="1" xfId="3" applyNumberFormat="1" applyFont="1" applyFill="1" applyBorder="1"/>
    <xf numFmtId="0" fontId="4" fillId="0" borderId="3" xfId="0" applyFont="1" applyBorder="1"/>
    <xf numFmtId="0" fontId="4" fillId="0" borderId="17" xfId="0" applyFont="1" applyBorder="1"/>
    <xf numFmtId="0" fontId="4" fillId="7" borderId="0" xfId="0" applyFont="1" applyFill="1"/>
    <xf numFmtId="0" fontId="20" fillId="0" borderId="1" xfId="0" applyFont="1" applyBorder="1"/>
    <xf numFmtId="3" fontId="20" fillId="7" borderId="1" xfId="0" applyNumberFormat="1" applyFont="1" applyFill="1" applyBorder="1"/>
    <xf numFmtId="166" fontId="4" fillId="7" borderId="1" xfId="3" applyNumberFormat="1" applyFont="1" applyFill="1" applyBorder="1"/>
    <xf numFmtId="2" fontId="4" fillId="7" borderId="1" xfId="3" applyNumberFormat="1" applyFont="1" applyFill="1" applyBorder="1"/>
    <xf numFmtId="166" fontId="12" fillId="7" borderId="1" xfId="3" applyNumberFormat="1" applyFont="1" applyFill="1" applyBorder="1"/>
    <xf numFmtId="1" fontId="1" fillId="0" borderId="0" xfId="3" applyNumberFormat="1" applyFont="1"/>
    <xf numFmtId="167" fontId="1" fillId="7" borderId="1" xfId="1" applyNumberFormat="1" applyFont="1" applyFill="1" applyBorder="1"/>
    <xf numFmtId="3" fontId="4" fillId="6" borderId="0" xfId="0" applyNumberFormat="1" applyFont="1" applyFill="1"/>
    <xf numFmtId="0" fontId="8" fillId="0" borderId="0" xfId="0" applyFont="1" applyAlignment="1">
      <alignment vertical="center" wrapText="1"/>
    </xf>
    <xf numFmtId="0" fontId="9" fillId="0" borderId="18" xfId="0" applyFont="1" applyBorder="1"/>
    <xf numFmtId="0" fontId="9" fillId="0" borderId="19" xfId="0" applyFont="1" applyBorder="1"/>
    <xf numFmtId="0" fontId="9" fillId="0" borderId="20" xfId="0" applyFont="1" applyBorder="1"/>
    <xf numFmtId="0" fontId="9" fillId="0" borderId="0" xfId="0" applyFont="1" applyAlignment="1">
      <alignment wrapText="1"/>
    </xf>
    <xf numFmtId="0" fontId="8" fillId="0" borderId="0" xfId="0" applyFont="1" applyAlignment="1">
      <alignment wrapText="1"/>
    </xf>
    <xf numFmtId="0" fontId="2" fillId="0" borderId="2" xfId="0" applyFont="1" applyBorder="1"/>
    <xf numFmtId="0" fontId="19" fillId="0" borderId="2" xfId="0" applyFont="1" applyBorder="1"/>
    <xf numFmtId="0" fontId="1" fillId="7" borderId="1" xfId="0" applyFont="1" applyFill="1" applyBorder="1" applyAlignment="1">
      <alignment horizontal="center"/>
    </xf>
    <xf numFmtId="169" fontId="1" fillId="7" borderId="1" xfId="2" applyNumberFormat="1" applyFont="1" applyFill="1" applyBorder="1"/>
    <xf numFmtId="169" fontId="4" fillId="7" borderId="1" xfId="2" applyNumberFormat="1" applyFont="1" applyFill="1" applyBorder="1"/>
    <xf numFmtId="169" fontId="19" fillId="7" borderId="1" xfId="2" applyNumberFormat="1" applyFont="1" applyFill="1" applyBorder="1"/>
    <xf numFmtId="0" fontId="30" fillId="0" borderId="0" xfId="0" applyFont="1" applyBorder="1"/>
    <xf numFmtId="0" fontId="0" fillId="0" borderId="0" xfId="0" applyBorder="1"/>
    <xf numFmtId="175" fontId="0" fillId="0" borderId="1" xfId="0" applyNumberFormat="1" applyBorder="1"/>
    <xf numFmtId="166" fontId="0" fillId="0" borderId="1" xfId="0" applyNumberFormat="1" applyBorder="1"/>
    <xf numFmtId="172" fontId="1" fillId="7" borderId="1" xfId="0" applyNumberFormat="1" applyFont="1" applyFill="1" applyBorder="1"/>
    <xf numFmtId="165" fontId="19" fillId="7" borderId="0" xfId="0" applyNumberFormat="1" applyFont="1" applyFill="1"/>
    <xf numFmtId="0" fontId="0" fillId="7" borderId="1" xfId="0" applyFill="1" applyBorder="1" applyAlignment="1">
      <alignment horizontal="right"/>
    </xf>
    <xf numFmtId="175" fontId="0" fillId="7" borderId="1" xfId="0" applyNumberFormat="1" applyFill="1" applyBorder="1"/>
    <xf numFmtId="171" fontId="8" fillId="0" borderId="0" xfId="0" applyNumberFormat="1" applyFont="1" applyAlignment="1">
      <alignment horizontal="left"/>
    </xf>
    <xf numFmtId="165" fontId="8" fillId="0" borderId="0" xfId="0" applyNumberFormat="1" applyFont="1" applyAlignment="1">
      <alignment horizontal="left"/>
    </xf>
    <xf numFmtId="0" fontId="0" fillId="0" borderId="1" xfId="0" applyBorder="1"/>
    <xf numFmtId="167" fontId="8" fillId="0" borderId="0" xfId="0" applyNumberFormat="1" applyFont="1" applyBorder="1" applyAlignment="1">
      <alignment horizontal="left"/>
    </xf>
    <xf numFmtId="0" fontId="0" fillId="0" borderId="1" xfId="0" applyBorder="1" applyAlignment="1">
      <alignment horizontal="left"/>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4" fillId="0" borderId="4" xfId="0" applyFont="1" applyFill="1" applyBorder="1" applyAlignment="1">
      <alignment horizontal="center"/>
    </xf>
    <xf numFmtId="0" fontId="4" fillId="0" borderId="8" xfId="0" applyFont="1" applyFill="1" applyBorder="1" applyAlignment="1">
      <alignment horizontal="center"/>
    </xf>
    <xf numFmtId="0" fontId="4" fillId="0" borderId="6" xfId="0" applyFont="1" applyFill="1" applyBorder="1" applyAlignment="1">
      <alignment horizontal="center"/>
    </xf>
    <xf numFmtId="0" fontId="11" fillId="0" borderId="0" xfId="0" applyFont="1" applyAlignment="1">
      <alignment horizontal="center"/>
    </xf>
    <xf numFmtId="0" fontId="0" fillId="0" borderId="21" xfId="0" applyBorder="1"/>
    <xf numFmtId="0" fontId="0" fillId="0" borderId="22" xfId="0" applyBorder="1"/>
    <xf numFmtId="17" fontId="32" fillId="0" borderId="23" xfId="0" quotePrefix="1" applyNumberFormat="1" applyFont="1" applyBorder="1" applyAlignment="1">
      <alignment horizontal="right"/>
    </xf>
    <xf numFmtId="0" fontId="0" fillId="8" borderId="0" xfId="0" applyFill="1"/>
    <xf numFmtId="0" fontId="0" fillId="0" borderId="24" xfId="0" applyBorder="1"/>
    <xf numFmtId="0" fontId="0" fillId="0" borderId="25" xfId="0" applyBorder="1"/>
    <xf numFmtId="0" fontId="34" fillId="0" borderId="24" xfId="0" applyFont="1" applyBorder="1" applyAlignment="1">
      <alignment horizontal="center" vertical="center"/>
    </xf>
    <xf numFmtId="0" fontId="34" fillId="0" borderId="0" xfId="0" applyFont="1" applyAlignment="1">
      <alignment horizontal="center" vertical="center"/>
    </xf>
    <xf numFmtId="0" fontId="34" fillId="0" borderId="25" xfId="0" applyFont="1" applyBorder="1" applyAlignment="1">
      <alignment horizontal="center" vertical="center"/>
    </xf>
    <xf numFmtId="0" fontId="34" fillId="0" borderId="24" xfId="0" applyFont="1" applyBorder="1" applyAlignment="1">
      <alignment horizontal="center" vertical="center"/>
    </xf>
    <xf numFmtId="0" fontId="34" fillId="0" borderId="0" xfId="0" applyFont="1" applyAlignment="1">
      <alignment horizontal="center" vertical="center"/>
    </xf>
    <xf numFmtId="0" fontId="34" fillId="0" borderId="25" xfId="0" applyFont="1" applyBorder="1" applyAlignment="1">
      <alignment horizontal="center" vertical="center"/>
    </xf>
    <xf numFmtId="0" fontId="1" fillId="0" borderId="24" xfId="0" applyFont="1" applyBorder="1" applyAlignment="1">
      <alignment horizontal="left" vertical="center"/>
    </xf>
    <xf numFmtId="0" fontId="1" fillId="0" borderId="0" xfId="0" applyFont="1" applyAlignment="1">
      <alignment horizontal="left" vertical="center"/>
    </xf>
    <xf numFmtId="0" fontId="35" fillId="0" borderId="24" xfId="0" applyFont="1" applyBorder="1"/>
    <xf numFmtId="0" fontId="35" fillId="0" borderId="0" xfId="0" applyFont="1"/>
    <xf numFmtId="0" fontId="36" fillId="0" borderId="0" xfId="0" applyFont="1"/>
    <xf numFmtId="0" fontId="37" fillId="0" borderId="24" xfId="0" applyFont="1" applyBorder="1" applyAlignment="1">
      <alignment vertical="center"/>
    </xf>
    <xf numFmtId="0" fontId="40" fillId="0" borderId="24" xfId="4" applyFont="1" applyBorder="1" applyAlignment="1">
      <alignment vertical="center"/>
    </xf>
    <xf numFmtId="0" fontId="41" fillId="0" borderId="24" xfId="0" applyFont="1" applyBorder="1" applyAlignment="1">
      <alignment vertical="center"/>
    </xf>
    <xf numFmtId="0" fontId="37" fillId="0" borderId="0" xfId="0" applyFont="1" applyAlignment="1">
      <alignment vertical="center"/>
    </xf>
    <xf numFmtId="0" fontId="33" fillId="0" borderId="24" xfId="4" applyBorder="1" applyAlignment="1">
      <alignment horizontal="left" vertical="center"/>
    </xf>
    <xf numFmtId="0" fontId="37" fillId="0" borderId="0" xfId="0" applyFont="1" applyAlignment="1">
      <alignment horizontal="left" vertical="center"/>
    </xf>
    <xf numFmtId="0" fontId="40" fillId="0" borderId="0" xfId="4" applyFont="1" applyBorder="1" applyAlignment="1">
      <alignment horizontal="left" vertical="center"/>
    </xf>
    <xf numFmtId="0" fontId="42" fillId="0" borderId="0" xfId="4" applyFont="1" applyBorder="1" applyAlignment="1">
      <alignment horizontal="left" vertical="center"/>
    </xf>
    <xf numFmtId="0" fontId="37" fillId="0" borderId="24" xfId="0" applyFont="1" applyBorder="1" applyAlignment="1">
      <alignment horizontal="justify" vertical="center"/>
    </xf>
    <xf numFmtId="0" fontId="33" fillId="0" borderId="26" xfId="4" applyBorder="1" applyAlignment="1">
      <alignment vertical="center"/>
    </xf>
    <xf numFmtId="0" fontId="40" fillId="0" borderId="27" xfId="4" applyFont="1" applyBorder="1" applyAlignment="1">
      <alignment horizontal="left" vertical="center"/>
    </xf>
    <xf numFmtId="0" fontId="42" fillId="0" borderId="27" xfId="4" applyFont="1" applyBorder="1" applyAlignment="1">
      <alignment horizontal="left" vertical="center"/>
    </xf>
    <xf numFmtId="0" fontId="0" fillId="0" borderId="28" xfId="0" applyBorder="1"/>
    <xf numFmtId="0" fontId="43" fillId="0" borderId="0" xfId="0" applyFont="1" applyAlignment="1">
      <alignment horizontal="left" vertical="center" readingOrder="1"/>
    </xf>
  </cellXfs>
  <cellStyles count="5">
    <cellStyle name="Euro" xfId="1" xr:uid="{00000000-0005-0000-0000-000000000000}"/>
    <cellStyle name="Lien hypertexte" xfId="4" builtinId="8"/>
    <cellStyle name="Milliers" xfId="2" builtinId="3"/>
    <cellStyle name="Normal" xfId="0" builtinId="0"/>
    <cellStyle name="Pourcentage" xfId="3" builtinId="5"/>
  </cellStyles>
  <dxfs count="0"/>
  <tableStyles count="0" defaultTableStyle="TableStyleMedium2" defaultPivotStyle="PivotStyleLight16"/>
  <colors>
    <mruColors>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2.xml"/><Relationship Id="rId21" Type="http://schemas.openxmlformats.org/officeDocument/2006/relationships/externalLink" Target="externalLinks/externalLink6.xml"/><Relationship Id="rId42" Type="http://schemas.openxmlformats.org/officeDocument/2006/relationships/externalLink" Target="externalLinks/externalLink27.xml"/><Relationship Id="rId63" Type="http://schemas.openxmlformats.org/officeDocument/2006/relationships/externalLink" Target="externalLinks/externalLink48.xml"/><Relationship Id="rId84" Type="http://schemas.openxmlformats.org/officeDocument/2006/relationships/externalLink" Target="externalLinks/externalLink69.xml"/><Relationship Id="rId138" Type="http://schemas.openxmlformats.org/officeDocument/2006/relationships/externalLink" Target="externalLinks/externalLink123.xml"/><Relationship Id="rId159" Type="http://schemas.openxmlformats.org/officeDocument/2006/relationships/externalLink" Target="externalLinks/externalLink144.xml"/><Relationship Id="rId170" Type="http://schemas.openxmlformats.org/officeDocument/2006/relationships/externalLink" Target="externalLinks/externalLink155.xml"/><Relationship Id="rId191" Type="http://schemas.openxmlformats.org/officeDocument/2006/relationships/externalLink" Target="externalLinks/externalLink176.xml"/><Relationship Id="rId205" Type="http://schemas.openxmlformats.org/officeDocument/2006/relationships/externalLink" Target="externalLinks/externalLink190.xml"/><Relationship Id="rId107" Type="http://schemas.openxmlformats.org/officeDocument/2006/relationships/externalLink" Target="externalLinks/externalLink92.xml"/><Relationship Id="rId11" Type="http://schemas.openxmlformats.org/officeDocument/2006/relationships/worksheet" Target="worksheets/sheet11.xml"/><Relationship Id="rId32" Type="http://schemas.openxmlformats.org/officeDocument/2006/relationships/externalLink" Target="externalLinks/externalLink17.xml"/><Relationship Id="rId53" Type="http://schemas.openxmlformats.org/officeDocument/2006/relationships/externalLink" Target="externalLinks/externalLink38.xml"/><Relationship Id="rId74" Type="http://schemas.openxmlformats.org/officeDocument/2006/relationships/externalLink" Target="externalLinks/externalLink59.xml"/><Relationship Id="rId128" Type="http://schemas.openxmlformats.org/officeDocument/2006/relationships/externalLink" Target="externalLinks/externalLink113.xml"/><Relationship Id="rId149" Type="http://schemas.openxmlformats.org/officeDocument/2006/relationships/externalLink" Target="externalLinks/externalLink134.xml"/><Relationship Id="rId5" Type="http://schemas.openxmlformats.org/officeDocument/2006/relationships/worksheet" Target="worksheets/sheet5.xml"/><Relationship Id="rId90" Type="http://schemas.openxmlformats.org/officeDocument/2006/relationships/externalLink" Target="externalLinks/externalLink75.xml"/><Relationship Id="rId95" Type="http://schemas.openxmlformats.org/officeDocument/2006/relationships/externalLink" Target="externalLinks/externalLink80.xml"/><Relationship Id="rId160" Type="http://schemas.openxmlformats.org/officeDocument/2006/relationships/externalLink" Target="externalLinks/externalLink145.xml"/><Relationship Id="rId165" Type="http://schemas.openxmlformats.org/officeDocument/2006/relationships/externalLink" Target="externalLinks/externalLink150.xml"/><Relationship Id="rId181" Type="http://schemas.openxmlformats.org/officeDocument/2006/relationships/externalLink" Target="externalLinks/externalLink166.xml"/><Relationship Id="rId186" Type="http://schemas.openxmlformats.org/officeDocument/2006/relationships/externalLink" Target="externalLinks/externalLink171.xml"/><Relationship Id="rId216" Type="http://schemas.openxmlformats.org/officeDocument/2006/relationships/sharedStrings" Target="sharedStrings.xml"/><Relationship Id="rId211" Type="http://schemas.openxmlformats.org/officeDocument/2006/relationships/externalLink" Target="externalLinks/externalLink196.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64" Type="http://schemas.openxmlformats.org/officeDocument/2006/relationships/externalLink" Target="externalLinks/externalLink49.xml"/><Relationship Id="rId69" Type="http://schemas.openxmlformats.org/officeDocument/2006/relationships/externalLink" Target="externalLinks/externalLink54.xml"/><Relationship Id="rId113" Type="http://schemas.openxmlformats.org/officeDocument/2006/relationships/externalLink" Target="externalLinks/externalLink98.xml"/><Relationship Id="rId118" Type="http://schemas.openxmlformats.org/officeDocument/2006/relationships/externalLink" Target="externalLinks/externalLink103.xml"/><Relationship Id="rId134" Type="http://schemas.openxmlformats.org/officeDocument/2006/relationships/externalLink" Target="externalLinks/externalLink119.xml"/><Relationship Id="rId139" Type="http://schemas.openxmlformats.org/officeDocument/2006/relationships/externalLink" Target="externalLinks/externalLink124.xml"/><Relationship Id="rId80" Type="http://schemas.openxmlformats.org/officeDocument/2006/relationships/externalLink" Target="externalLinks/externalLink65.xml"/><Relationship Id="rId85" Type="http://schemas.openxmlformats.org/officeDocument/2006/relationships/externalLink" Target="externalLinks/externalLink70.xml"/><Relationship Id="rId150" Type="http://schemas.openxmlformats.org/officeDocument/2006/relationships/externalLink" Target="externalLinks/externalLink135.xml"/><Relationship Id="rId155" Type="http://schemas.openxmlformats.org/officeDocument/2006/relationships/externalLink" Target="externalLinks/externalLink140.xml"/><Relationship Id="rId171" Type="http://schemas.openxmlformats.org/officeDocument/2006/relationships/externalLink" Target="externalLinks/externalLink156.xml"/><Relationship Id="rId176" Type="http://schemas.openxmlformats.org/officeDocument/2006/relationships/externalLink" Target="externalLinks/externalLink161.xml"/><Relationship Id="rId192" Type="http://schemas.openxmlformats.org/officeDocument/2006/relationships/externalLink" Target="externalLinks/externalLink177.xml"/><Relationship Id="rId197" Type="http://schemas.openxmlformats.org/officeDocument/2006/relationships/externalLink" Target="externalLinks/externalLink182.xml"/><Relationship Id="rId206" Type="http://schemas.openxmlformats.org/officeDocument/2006/relationships/externalLink" Target="externalLinks/externalLink191.xml"/><Relationship Id="rId201" Type="http://schemas.openxmlformats.org/officeDocument/2006/relationships/externalLink" Target="externalLinks/externalLink186.xml"/><Relationship Id="rId12" Type="http://schemas.openxmlformats.org/officeDocument/2006/relationships/worksheet" Target="worksheets/sheet12.xml"/><Relationship Id="rId17" Type="http://schemas.openxmlformats.org/officeDocument/2006/relationships/externalLink" Target="externalLinks/externalLink2.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59" Type="http://schemas.openxmlformats.org/officeDocument/2006/relationships/externalLink" Target="externalLinks/externalLink44.xml"/><Relationship Id="rId103" Type="http://schemas.openxmlformats.org/officeDocument/2006/relationships/externalLink" Target="externalLinks/externalLink88.xml"/><Relationship Id="rId108" Type="http://schemas.openxmlformats.org/officeDocument/2006/relationships/externalLink" Target="externalLinks/externalLink93.xml"/><Relationship Id="rId124" Type="http://schemas.openxmlformats.org/officeDocument/2006/relationships/externalLink" Target="externalLinks/externalLink109.xml"/><Relationship Id="rId129" Type="http://schemas.openxmlformats.org/officeDocument/2006/relationships/externalLink" Target="externalLinks/externalLink114.xml"/><Relationship Id="rId54" Type="http://schemas.openxmlformats.org/officeDocument/2006/relationships/externalLink" Target="externalLinks/externalLink39.xml"/><Relationship Id="rId70" Type="http://schemas.openxmlformats.org/officeDocument/2006/relationships/externalLink" Target="externalLinks/externalLink55.xml"/><Relationship Id="rId75" Type="http://schemas.openxmlformats.org/officeDocument/2006/relationships/externalLink" Target="externalLinks/externalLink60.xml"/><Relationship Id="rId91" Type="http://schemas.openxmlformats.org/officeDocument/2006/relationships/externalLink" Target="externalLinks/externalLink76.xml"/><Relationship Id="rId96" Type="http://schemas.openxmlformats.org/officeDocument/2006/relationships/externalLink" Target="externalLinks/externalLink81.xml"/><Relationship Id="rId140" Type="http://schemas.openxmlformats.org/officeDocument/2006/relationships/externalLink" Target="externalLinks/externalLink125.xml"/><Relationship Id="rId145" Type="http://schemas.openxmlformats.org/officeDocument/2006/relationships/externalLink" Target="externalLinks/externalLink130.xml"/><Relationship Id="rId161" Type="http://schemas.openxmlformats.org/officeDocument/2006/relationships/externalLink" Target="externalLinks/externalLink146.xml"/><Relationship Id="rId166" Type="http://schemas.openxmlformats.org/officeDocument/2006/relationships/externalLink" Target="externalLinks/externalLink151.xml"/><Relationship Id="rId182" Type="http://schemas.openxmlformats.org/officeDocument/2006/relationships/externalLink" Target="externalLinks/externalLink167.xml"/><Relationship Id="rId187" Type="http://schemas.openxmlformats.org/officeDocument/2006/relationships/externalLink" Target="externalLinks/externalLink172.xml"/><Relationship Id="rId217"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212" Type="http://schemas.openxmlformats.org/officeDocument/2006/relationships/externalLink" Target="externalLinks/externalLink197.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49" Type="http://schemas.openxmlformats.org/officeDocument/2006/relationships/externalLink" Target="externalLinks/externalLink34.xml"/><Relationship Id="rId114" Type="http://schemas.openxmlformats.org/officeDocument/2006/relationships/externalLink" Target="externalLinks/externalLink99.xml"/><Relationship Id="rId119" Type="http://schemas.openxmlformats.org/officeDocument/2006/relationships/externalLink" Target="externalLinks/externalLink104.xml"/><Relationship Id="rId44" Type="http://schemas.openxmlformats.org/officeDocument/2006/relationships/externalLink" Target="externalLinks/externalLink29.xml"/><Relationship Id="rId60" Type="http://schemas.openxmlformats.org/officeDocument/2006/relationships/externalLink" Target="externalLinks/externalLink45.xml"/><Relationship Id="rId65" Type="http://schemas.openxmlformats.org/officeDocument/2006/relationships/externalLink" Target="externalLinks/externalLink50.xml"/><Relationship Id="rId81" Type="http://schemas.openxmlformats.org/officeDocument/2006/relationships/externalLink" Target="externalLinks/externalLink66.xml"/><Relationship Id="rId86" Type="http://schemas.openxmlformats.org/officeDocument/2006/relationships/externalLink" Target="externalLinks/externalLink71.xml"/><Relationship Id="rId130" Type="http://schemas.openxmlformats.org/officeDocument/2006/relationships/externalLink" Target="externalLinks/externalLink115.xml"/><Relationship Id="rId135" Type="http://schemas.openxmlformats.org/officeDocument/2006/relationships/externalLink" Target="externalLinks/externalLink120.xml"/><Relationship Id="rId151" Type="http://schemas.openxmlformats.org/officeDocument/2006/relationships/externalLink" Target="externalLinks/externalLink136.xml"/><Relationship Id="rId156" Type="http://schemas.openxmlformats.org/officeDocument/2006/relationships/externalLink" Target="externalLinks/externalLink141.xml"/><Relationship Id="rId177" Type="http://schemas.openxmlformats.org/officeDocument/2006/relationships/externalLink" Target="externalLinks/externalLink162.xml"/><Relationship Id="rId198" Type="http://schemas.openxmlformats.org/officeDocument/2006/relationships/externalLink" Target="externalLinks/externalLink183.xml"/><Relationship Id="rId172" Type="http://schemas.openxmlformats.org/officeDocument/2006/relationships/externalLink" Target="externalLinks/externalLink157.xml"/><Relationship Id="rId193" Type="http://schemas.openxmlformats.org/officeDocument/2006/relationships/externalLink" Target="externalLinks/externalLink178.xml"/><Relationship Id="rId202" Type="http://schemas.openxmlformats.org/officeDocument/2006/relationships/externalLink" Target="externalLinks/externalLink187.xml"/><Relationship Id="rId207" Type="http://schemas.openxmlformats.org/officeDocument/2006/relationships/externalLink" Target="externalLinks/externalLink192.xml"/><Relationship Id="rId13" Type="http://schemas.openxmlformats.org/officeDocument/2006/relationships/worksheet" Target="worksheets/sheet13.xml"/><Relationship Id="rId18" Type="http://schemas.openxmlformats.org/officeDocument/2006/relationships/externalLink" Target="externalLinks/externalLink3.xml"/><Relationship Id="rId39" Type="http://schemas.openxmlformats.org/officeDocument/2006/relationships/externalLink" Target="externalLinks/externalLink24.xml"/><Relationship Id="rId109" Type="http://schemas.openxmlformats.org/officeDocument/2006/relationships/externalLink" Target="externalLinks/externalLink94.xml"/><Relationship Id="rId34" Type="http://schemas.openxmlformats.org/officeDocument/2006/relationships/externalLink" Target="externalLinks/externalLink19.xml"/><Relationship Id="rId50" Type="http://schemas.openxmlformats.org/officeDocument/2006/relationships/externalLink" Target="externalLinks/externalLink35.xml"/><Relationship Id="rId55" Type="http://schemas.openxmlformats.org/officeDocument/2006/relationships/externalLink" Target="externalLinks/externalLink40.xml"/><Relationship Id="rId76" Type="http://schemas.openxmlformats.org/officeDocument/2006/relationships/externalLink" Target="externalLinks/externalLink61.xml"/><Relationship Id="rId97" Type="http://schemas.openxmlformats.org/officeDocument/2006/relationships/externalLink" Target="externalLinks/externalLink82.xml"/><Relationship Id="rId104" Type="http://schemas.openxmlformats.org/officeDocument/2006/relationships/externalLink" Target="externalLinks/externalLink89.xml"/><Relationship Id="rId120" Type="http://schemas.openxmlformats.org/officeDocument/2006/relationships/externalLink" Target="externalLinks/externalLink105.xml"/><Relationship Id="rId125" Type="http://schemas.openxmlformats.org/officeDocument/2006/relationships/externalLink" Target="externalLinks/externalLink110.xml"/><Relationship Id="rId141" Type="http://schemas.openxmlformats.org/officeDocument/2006/relationships/externalLink" Target="externalLinks/externalLink126.xml"/><Relationship Id="rId146" Type="http://schemas.openxmlformats.org/officeDocument/2006/relationships/externalLink" Target="externalLinks/externalLink131.xml"/><Relationship Id="rId167" Type="http://schemas.openxmlformats.org/officeDocument/2006/relationships/externalLink" Target="externalLinks/externalLink152.xml"/><Relationship Id="rId188" Type="http://schemas.openxmlformats.org/officeDocument/2006/relationships/externalLink" Target="externalLinks/externalLink173.xml"/><Relationship Id="rId7" Type="http://schemas.openxmlformats.org/officeDocument/2006/relationships/worksheet" Target="worksheets/sheet7.xml"/><Relationship Id="rId71" Type="http://schemas.openxmlformats.org/officeDocument/2006/relationships/externalLink" Target="externalLinks/externalLink56.xml"/><Relationship Id="rId92" Type="http://schemas.openxmlformats.org/officeDocument/2006/relationships/externalLink" Target="externalLinks/externalLink77.xml"/><Relationship Id="rId162" Type="http://schemas.openxmlformats.org/officeDocument/2006/relationships/externalLink" Target="externalLinks/externalLink147.xml"/><Relationship Id="rId183" Type="http://schemas.openxmlformats.org/officeDocument/2006/relationships/externalLink" Target="externalLinks/externalLink168.xml"/><Relationship Id="rId213" Type="http://schemas.openxmlformats.org/officeDocument/2006/relationships/externalLink" Target="externalLinks/externalLink198.xml"/><Relationship Id="rId2" Type="http://schemas.openxmlformats.org/officeDocument/2006/relationships/worksheet" Target="worksheets/sheet2.xml"/><Relationship Id="rId29" Type="http://schemas.openxmlformats.org/officeDocument/2006/relationships/externalLink" Target="externalLinks/externalLink14.xml"/><Relationship Id="rId24" Type="http://schemas.openxmlformats.org/officeDocument/2006/relationships/externalLink" Target="externalLinks/externalLink9.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66" Type="http://schemas.openxmlformats.org/officeDocument/2006/relationships/externalLink" Target="externalLinks/externalLink51.xml"/><Relationship Id="rId87" Type="http://schemas.openxmlformats.org/officeDocument/2006/relationships/externalLink" Target="externalLinks/externalLink72.xml"/><Relationship Id="rId110" Type="http://schemas.openxmlformats.org/officeDocument/2006/relationships/externalLink" Target="externalLinks/externalLink95.xml"/><Relationship Id="rId115" Type="http://schemas.openxmlformats.org/officeDocument/2006/relationships/externalLink" Target="externalLinks/externalLink100.xml"/><Relationship Id="rId131" Type="http://schemas.openxmlformats.org/officeDocument/2006/relationships/externalLink" Target="externalLinks/externalLink116.xml"/><Relationship Id="rId136" Type="http://schemas.openxmlformats.org/officeDocument/2006/relationships/externalLink" Target="externalLinks/externalLink121.xml"/><Relationship Id="rId157" Type="http://schemas.openxmlformats.org/officeDocument/2006/relationships/externalLink" Target="externalLinks/externalLink142.xml"/><Relationship Id="rId178" Type="http://schemas.openxmlformats.org/officeDocument/2006/relationships/externalLink" Target="externalLinks/externalLink163.xml"/><Relationship Id="rId61" Type="http://schemas.openxmlformats.org/officeDocument/2006/relationships/externalLink" Target="externalLinks/externalLink46.xml"/><Relationship Id="rId82" Type="http://schemas.openxmlformats.org/officeDocument/2006/relationships/externalLink" Target="externalLinks/externalLink67.xml"/><Relationship Id="rId152" Type="http://schemas.openxmlformats.org/officeDocument/2006/relationships/externalLink" Target="externalLinks/externalLink137.xml"/><Relationship Id="rId173" Type="http://schemas.openxmlformats.org/officeDocument/2006/relationships/externalLink" Target="externalLinks/externalLink158.xml"/><Relationship Id="rId194" Type="http://schemas.openxmlformats.org/officeDocument/2006/relationships/externalLink" Target="externalLinks/externalLink179.xml"/><Relationship Id="rId199" Type="http://schemas.openxmlformats.org/officeDocument/2006/relationships/externalLink" Target="externalLinks/externalLink184.xml"/><Relationship Id="rId203" Type="http://schemas.openxmlformats.org/officeDocument/2006/relationships/externalLink" Target="externalLinks/externalLink188.xml"/><Relationship Id="rId208" Type="http://schemas.openxmlformats.org/officeDocument/2006/relationships/externalLink" Target="externalLinks/externalLink193.xml"/><Relationship Id="rId19" Type="http://schemas.openxmlformats.org/officeDocument/2006/relationships/externalLink" Target="externalLinks/externalLink4.xml"/><Relationship Id="rId14" Type="http://schemas.openxmlformats.org/officeDocument/2006/relationships/worksheet" Target="worksheets/sheet14.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56" Type="http://schemas.openxmlformats.org/officeDocument/2006/relationships/externalLink" Target="externalLinks/externalLink41.xml"/><Relationship Id="rId77" Type="http://schemas.openxmlformats.org/officeDocument/2006/relationships/externalLink" Target="externalLinks/externalLink62.xml"/><Relationship Id="rId100" Type="http://schemas.openxmlformats.org/officeDocument/2006/relationships/externalLink" Target="externalLinks/externalLink85.xml"/><Relationship Id="rId105" Type="http://schemas.openxmlformats.org/officeDocument/2006/relationships/externalLink" Target="externalLinks/externalLink90.xml"/><Relationship Id="rId126" Type="http://schemas.openxmlformats.org/officeDocument/2006/relationships/externalLink" Target="externalLinks/externalLink111.xml"/><Relationship Id="rId147" Type="http://schemas.openxmlformats.org/officeDocument/2006/relationships/externalLink" Target="externalLinks/externalLink132.xml"/><Relationship Id="rId168" Type="http://schemas.openxmlformats.org/officeDocument/2006/relationships/externalLink" Target="externalLinks/externalLink153.xml"/><Relationship Id="rId8" Type="http://schemas.openxmlformats.org/officeDocument/2006/relationships/worksheet" Target="worksheets/sheet8.xml"/><Relationship Id="rId51" Type="http://schemas.openxmlformats.org/officeDocument/2006/relationships/externalLink" Target="externalLinks/externalLink36.xml"/><Relationship Id="rId72" Type="http://schemas.openxmlformats.org/officeDocument/2006/relationships/externalLink" Target="externalLinks/externalLink57.xml"/><Relationship Id="rId93" Type="http://schemas.openxmlformats.org/officeDocument/2006/relationships/externalLink" Target="externalLinks/externalLink78.xml"/><Relationship Id="rId98" Type="http://schemas.openxmlformats.org/officeDocument/2006/relationships/externalLink" Target="externalLinks/externalLink83.xml"/><Relationship Id="rId121" Type="http://schemas.openxmlformats.org/officeDocument/2006/relationships/externalLink" Target="externalLinks/externalLink106.xml"/><Relationship Id="rId142" Type="http://schemas.openxmlformats.org/officeDocument/2006/relationships/externalLink" Target="externalLinks/externalLink127.xml"/><Relationship Id="rId163" Type="http://schemas.openxmlformats.org/officeDocument/2006/relationships/externalLink" Target="externalLinks/externalLink148.xml"/><Relationship Id="rId184" Type="http://schemas.openxmlformats.org/officeDocument/2006/relationships/externalLink" Target="externalLinks/externalLink169.xml"/><Relationship Id="rId189" Type="http://schemas.openxmlformats.org/officeDocument/2006/relationships/externalLink" Target="externalLinks/externalLink174.xml"/><Relationship Id="rId3" Type="http://schemas.openxmlformats.org/officeDocument/2006/relationships/worksheet" Target="worksheets/sheet3.xml"/><Relationship Id="rId214" Type="http://schemas.openxmlformats.org/officeDocument/2006/relationships/theme" Target="theme/theme1.xml"/><Relationship Id="rId25" Type="http://schemas.openxmlformats.org/officeDocument/2006/relationships/externalLink" Target="externalLinks/externalLink10.xml"/><Relationship Id="rId46" Type="http://schemas.openxmlformats.org/officeDocument/2006/relationships/externalLink" Target="externalLinks/externalLink31.xml"/><Relationship Id="rId67" Type="http://schemas.openxmlformats.org/officeDocument/2006/relationships/externalLink" Target="externalLinks/externalLink52.xml"/><Relationship Id="rId116" Type="http://schemas.openxmlformats.org/officeDocument/2006/relationships/externalLink" Target="externalLinks/externalLink101.xml"/><Relationship Id="rId137" Type="http://schemas.openxmlformats.org/officeDocument/2006/relationships/externalLink" Target="externalLinks/externalLink122.xml"/><Relationship Id="rId158" Type="http://schemas.openxmlformats.org/officeDocument/2006/relationships/externalLink" Target="externalLinks/externalLink143.xml"/><Relationship Id="rId20" Type="http://schemas.openxmlformats.org/officeDocument/2006/relationships/externalLink" Target="externalLinks/externalLink5.xml"/><Relationship Id="rId41" Type="http://schemas.openxmlformats.org/officeDocument/2006/relationships/externalLink" Target="externalLinks/externalLink26.xml"/><Relationship Id="rId62" Type="http://schemas.openxmlformats.org/officeDocument/2006/relationships/externalLink" Target="externalLinks/externalLink47.xml"/><Relationship Id="rId83" Type="http://schemas.openxmlformats.org/officeDocument/2006/relationships/externalLink" Target="externalLinks/externalLink68.xml"/><Relationship Id="rId88" Type="http://schemas.openxmlformats.org/officeDocument/2006/relationships/externalLink" Target="externalLinks/externalLink73.xml"/><Relationship Id="rId111" Type="http://schemas.openxmlformats.org/officeDocument/2006/relationships/externalLink" Target="externalLinks/externalLink96.xml"/><Relationship Id="rId132" Type="http://schemas.openxmlformats.org/officeDocument/2006/relationships/externalLink" Target="externalLinks/externalLink117.xml"/><Relationship Id="rId153" Type="http://schemas.openxmlformats.org/officeDocument/2006/relationships/externalLink" Target="externalLinks/externalLink138.xml"/><Relationship Id="rId174" Type="http://schemas.openxmlformats.org/officeDocument/2006/relationships/externalLink" Target="externalLinks/externalLink159.xml"/><Relationship Id="rId179" Type="http://schemas.openxmlformats.org/officeDocument/2006/relationships/externalLink" Target="externalLinks/externalLink164.xml"/><Relationship Id="rId195" Type="http://schemas.openxmlformats.org/officeDocument/2006/relationships/externalLink" Target="externalLinks/externalLink180.xml"/><Relationship Id="rId209" Type="http://schemas.openxmlformats.org/officeDocument/2006/relationships/externalLink" Target="externalLinks/externalLink194.xml"/><Relationship Id="rId190" Type="http://schemas.openxmlformats.org/officeDocument/2006/relationships/externalLink" Target="externalLinks/externalLink175.xml"/><Relationship Id="rId204" Type="http://schemas.openxmlformats.org/officeDocument/2006/relationships/externalLink" Target="externalLinks/externalLink189.xml"/><Relationship Id="rId15" Type="http://schemas.openxmlformats.org/officeDocument/2006/relationships/worksheet" Target="worksheets/sheet15.xml"/><Relationship Id="rId36" Type="http://schemas.openxmlformats.org/officeDocument/2006/relationships/externalLink" Target="externalLinks/externalLink21.xml"/><Relationship Id="rId57" Type="http://schemas.openxmlformats.org/officeDocument/2006/relationships/externalLink" Target="externalLinks/externalLink42.xml"/><Relationship Id="rId106" Type="http://schemas.openxmlformats.org/officeDocument/2006/relationships/externalLink" Target="externalLinks/externalLink91.xml"/><Relationship Id="rId127" Type="http://schemas.openxmlformats.org/officeDocument/2006/relationships/externalLink" Target="externalLinks/externalLink112.xml"/><Relationship Id="rId10" Type="http://schemas.openxmlformats.org/officeDocument/2006/relationships/worksheet" Target="worksheets/sheet10.xml"/><Relationship Id="rId31" Type="http://schemas.openxmlformats.org/officeDocument/2006/relationships/externalLink" Target="externalLinks/externalLink16.xml"/><Relationship Id="rId52" Type="http://schemas.openxmlformats.org/officeDocument/2006/relationships/externalLink" Target="externalLinks/externalLink37.xml"/><Relationship Id="rId73" Type="http://schemas.openxmlformats.org/officeDocument/2006/relationships/externalLink" Target="externalLinks/externalLink58.xml"/><Relationship Id="rId78" Type="http://schemas.openxmlformats.org/officeDocument/2006/relationships/externalLink" Target="externalLinks/externalLink63.xml"/><Relationship Id="rId94" Type="http://schemas.openxmlformats.org/officeDocument/2006/relationships/externalLink" Target="externalLinks/externalLink79.xml"/><Relationship Id="rId99" Type="http://schemas.openxmlformats.org/officeDocument/2006/relationships/externalLink" Target="externalLinks/externalLink84.xml"/><Relationship Id="rId101" Type="http://schemas.openxmlformats.org/officeDocument/2006/relationships/externalLink" Target="externalLinks/externalLink86.xml"/><Relationship Id="rId122" Type="http://schemas.openxmlformats.org/officeDocument/2006/relationships/externalLink" Target="externalLinks/externalLink107.xml"/><Relationship Id="rId143" Type="http://schemas.openxmlformats.org/officeDocument/2006/relationships/externalLink" Target="externalLinks/externalLink128.xml"/><Relationship Id="rId148" Type="http://schemas.openxmlformats.org/officeDocument/2006/relationships/externalLink" Target="externalLinks/externalLink133.xml"/><Relationship Id="rId164" Type="http://schemas.openxmlformats.org/officeDocument/2006/relationships/externalLink" Target="externalLinks/externalLink149.xml"/><Relationship Id="rId169" Type="http://schemas.openxmlformats.org/officeDocument/2006/relationships/externalLink" Target="externalLinks/externalLink154.xml"/><Relationship Id="rId185" Type="http://schemas.openxmlformats.org/officeDocument/2006/relationships/externalLink" Target="externalLinks/externalLink170.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externalLink" Target="externalLinks/externalLink165.xml"/><Relationship Id="rId210" Type="http://schemas.openxmlformats.org/officeDocument/2006/relationships/externalLink" Target="externalLinks/externalLink195.xml"/><Relationship Id="rId215" Type="http://schemas.openxmlformats.org/officeDocument/2006/relationships/styles" Target="styles.xml"/><Relationship Id="rId26" Type="http://schemas.openxmlformats.org/officeDocument/2006/relationships/externalLink" Target="externalLinks/externalLink11.xml"/><Relationship Id="rId47" Type="http://schemas.openxmlformats.org/officeDocument/2006/relationships/externalLink" Target="externalLinks/externalLink32.xml"/><Relationship Id="rId68" Type="http://schemas.openxmlformats.org/officeDocument/2006/relationships/externalLink" Target="externalLinks/externalLink53.xml"/><Relationship Id="rId89" Type="http://schemas.openxmlformats.org/officeDocument/2006/relationships/externalLink" Target="externalLinks/externalLink74.xml"/><Relationship Id="rId112" Type="http://schemas.openxmlformats.org/officeDocument/2006/relationships/externalLink" Target="externalLinks/externalLink97.xml"/><Relationship Id="rId133" Type="http://schemas.openxmlformats.org/officeDocument/2006/relationships/externalLink" Target="externalLinks/externalLink118.xml"/><Relationship Id="rId154" Type="http://schemas.openxmlformats.org/officeDocument/2006/relationships/externalLink" Target="externalLinks/externalLink139.xml"/><Relationship Id="rId175" Type="http://schemas.openxmlformats.org/officeDocument/2006/relationships/externalLink" Target="externalLinks/externalLink160.xml"/><Relationship Id="rId196" Type="http://schemas.openxmlformats.org/officeDocument/2006/relationships/externalLink" Target="externalLinks/externalLink181.xml"/><Relationship Id="rId200" Type="http://schemas.openxmlformats.org/officeDocument/2006/relationships/externalLink" Target="externalLinks/externalLink185.xml"/><Relationship Id="rId16" Type="http://schemas.openxmlformats.org/officeDocument/2006/relationships/externalLink" Target="externalLinks/externalLink1.xml"/><Relationship Id="rId37" Type="http://schemas.openxmlformats.org/officeDocument/2006/relationships/externalLink" Target="externalLinks/externalLink22.xml"/><Relationship Id="rId58" Type="http://schemas.openxmlformats.org/officeDocument/2006/relationships/externalLink" Target="externalLinks/externalLink43.xml"/><Relationship Id="rId79" Type="http://schemas.openxmlformats.org/officeDocument/2006/relationships/externalLink" Target="externalLinks/externalLink64.xml"/><Relationship Id="rId102" Type="http://schemas.openxmlformats.org/officeDocument/2006/relationships/externalLink" Target="externalLinks/externalLink87.xml"/><Relationship Id="rId123" Type="http://schemas.openxmlformats.org/officeDocument/2006/relationships/externalLink" Target="externalLinks/externalLink108.xml"/><Relationship Id="rId144" Type="http://schemas.openxmlformats.org/officeDocument/2006/relationships/externalLink" Target="externalLinks/externalLink12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12903225806452"/>
          <c:y val="0.16931260673106485"/>
          <c:w val="0.81129032258064515"/>
          <c:h val="0.63756778472166609"/>
        </c:manualLayout>
      </c:layout>
      <c:lineChart>
        <c:grouping val="standard"/>
        <c:varyColors val="0"/>
        <c:ser>
          <c:idx val="0"/>
          <c:order val="0"/>
          <c:cat>
            <c:numRef>
              <c:f>tendance!$A$9:$A$32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tendance!$B$9:$B$32</c:f>
              <c:numCache>
                <c:formatCode>_-* #\ ##0\ _€_-;\-* #\ ##0\ _€_-;_-* "-"??\ _€_-;_-@_-</c:formatCode>
                <c:ptCount val="24"/>
                <c:pt idx="0">
                  <c:v>2040033</c:v>
                </c:pt>
                <c:pt idx="1">
                  <c:v>2005802</c:v>
                </c:pt>
                <c:pt idx="2">
                  <c:v>1968606</c:v>
                </c:pt>
                <c:pt idx="3">
                  <c:v>1918080</c:v>
                </c:pt>
                <c:pt idx="4">
                  <c:v>1895279</c:v>
                </c:pt>
                <c:pt idx="5">
                  <c:v>1863109</c:v>
                </c:pt>
                <c:pt idx="6">
                  <c:v>1839904</c:v>
                </c:pt>
                <c:pt idx="7">
                  <c:v>1815507</c:v>
                </c:pt>
                <c:pt idx="8">
                  <c:v>1787171</c:v>
                </c:pt>
                <c:pt idx="9">
                  <c:v>1747453</c:v>
                </c:pt>
                <c:pt idx="10">
                  <c:v>1707668</c:v>
                </c:pt>
                <c:pt idx="11" formatCode="#,##0">
                  <c:v>1662131</c:v>
                </c:pt>
                <c:pt idx="12" formatCode="#,##0">
                  <c:v>1609842</c:v>
                </c:pt>
                <c:pt idx="13" formatCode="#,##0">
                  <c:v>1562430</c:v>
                </c:pt>
                <c:pt idx="14" formatCode="#,##0">
                  <c:v>1517389</c:v>
                </c:pt>
                <c:pt idx="15" formatCode="#,##0">
                  <c:v>1469844</c:v>
                </c:pt>
                <c:pt idx="16" formatCode="#,##0">
                  <c:v>1426811</c:v>
                </c:pt>
                <c:pt idx="17" formatCode="#,##0">
                  <c:v>1380904</c:v>
                </c:pt>
                <c:pt idx="18" formatCode="#,##0">
                  <c:v>1340581</c:v>
                </c:pt>
                <c:pt idx="19" formatCode="#,##0">
                  <c:v>1300239</c:v>
                </c:pt>
                <c:pt idx="20" formatCode="#,##0">
                  <c:v>1258098</c:v>
                </c:pt>
                <c:pt idx="21" formatCode="#,##0">
                  <c:v>1211645</c:v>
                </c:pt>
                <c:pt idx="22" formatCode="#,##0">
                  <c:v>1173608</c:v>
                </c:pt>
                <c:pt idx="23" formatCode="#,##0">
                  <c:v>1135142</c:v>
                </c:pt>
              </c:numCache>
            </c:numRef>
          </c:val>
          <c:smooth val="0"/>
          <c:extLst>
            <c:ext xmlns:c16="http://schemas.microsoft.com/office/drawing/2014/chart" uri="{C3380CC4-5D6E-409C-BE32-E72D297353CC}">
              <c16:uniqueId val="{00000000-F71A-4409-B416-2668D1C42C91}"/>
            </c:ext>
          </c:extLst>
        </c:ser>
        <c:dLbls>
          <c:showLegendKey val="0"/>
          <c:showVal val="0"/>
          <c:showCatName val="0"/>
          <c:showSerName val="0"/>
          <c:showPercent val="0"/>
          <c:showBubbleSize val="0"/>
        </c:dLbls>
        <c:marker val="1"/>
        <c:smooth val="0"/>
        <c:axId val="168646528"/>
        <c:axId val="168648064"/>
      </c:lineChart>
      <c:catAx>
        <c:axId val="168646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fr-FR"/>
          </a:p>
        </c:txPr>
        <c:crossAx val="168648064"/>
        <c:crosses val="autoZero"/>
        <c:auto val="1"/>
        <c:lblAlgn val="ctr"/>
        <c:lblOffset val="100"/>
        <c:tickLblSkip val="1"/>
        <c:tickMarkSkip val="1"/>
        <c:noMultiLvlLbl val="0"/>
      </c:catAx>
      <c:valAx>
        <c:axId val="168648064"/>
        <c:scaling>
          <c:orientation val="minMax"/>
          <c:min val="1100000"/>
        </c:scaling>
        <c:delete val="0"/>
        <c:axPos val="l"/>
        <c:majorGridlines>
          <c:spPr>
            <a:ln w="3175">
              <a:solidFill>
                <a:srgbClr val="000000"/>
              </a:solidFill>
              <a:prstDash val="solid"/>
            </a:ln>
          </c:spPr>
        </c:majorGridlines>
        <c:numFmt formatCode="_-* #\ ##0\ _€_-;\-* #\ ##0\ _€_-;_-* &quot;-&quot;??\ _€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68646528"/>
        <c:crosses val="autoZero"/>
        <c:crossBetween val="between"/>
      </c:valAx>
      <c:spPr>
        <a:noFill/>
        <a:ln w="12700">
          <a:solidFill>
            <a:srgbClr val="808080"/>
          </a:solidFill>
          <a:prstDash val="solid"/>
        </a:ln>
      </c:spPr>
    </c:plotArea>
    <c:legend>
      <c:legendPos val="b"/>
      <c:layout>
        <c:manualLayout>
          <c:xMode val="edge"/>
          <c:yMode val="edge"/>
          <c:x val="0.22150537634408601"/>
          <c:y val="0.90740990709494651"/>
          <c:w val="0.62948014562695787"/>
          <c:h val="6.05896485161577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0197368421052631"/>
          <c:y val="0.16161656017341425"/>
          <c:w val="0.875"/>
          <c:h val="0.65404201695178577"/>
        </c:manualLayout>
      </c:layout>
      <c:lineChart>
        <c:grouping val="standard"/>
        <c:varyColors val="0"/>
        <c:ser>
          <c:idx val="0"/>
          <c:order val="0"/>
          <c:tx>
            <c:v>Attributions NSA</c:v>
          </c:tx>
          <c:spPr>
            <a:ln w="12700">
              <a:solidFill>
                <a:srgbClr val="000080"/>
              </a:solidFill>
              <a:prstDash val="solid"/>
            </a:ln>
          </c:spPr>
          <c:marker>
            <c:symbol val="diamond"/>
            <c:size val="5"/>
            <c:spPr>
              <a:solidFill>
                <a:srgbClr val="000080"/>
              </a:solidFill>
              <a:ln>
                <a:solidFill>
                  <a:srgbClr val="000080"/>
                </a:solidFill>
                <a:prstDash val="solid"/>
              </a:ln>
            </c:spPr>
          </c:marker>
          <c:cat>
            <c:numRef>
              <c:f>tendance!$A$38:$A$50</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cat>
          <c:val>
            <c:numRef>
              <c:f>tendance!$B$38:$B$50</c:f>
              <c:numCache>
                <c:formatCode>General</c:formatCode>
                <c:ptCount val="13"/>
                <c:pt idx="0">
                  <c:v>51256</c:v>
                </c:pt>
                <c:pt idx="1">
                  <c:v>49188</c:v>
                </c:pt>
                <c:pt idx="2">
                  <c:v>48453</c:v>
                </c:pt>
                <c:pt idx="3">
                  <c:v>47425</c:v>
                </c:pt>
                <c:pt idx="4">
                  <c:v>50000</c:v>
                </c:pt>
                <c:pt idx="5">
                  <c:v>54309</c:v>
                </c:pt>
                <c:pt idx="6">
                  <c:v>52850</c:v>
                </c:pt>
                <c:pt idx="7">
                  <c:v>51082</c:v>
                </c:pt>
                <c:pt idx="8">
                  <c:v>39203</c:v>
                </c:pt>
                <c:pt idx="9">
                  <c:v>38333</c:v>
                </c:pt>
                <c:pt idx="10" formatCode="#,##0">
                  <c:v>27426</c:v>
                </c:pt>
                <c:pt idx="11" formatCode="#,##0">
                  <c:v>23246</c:v>
                </c:pt>
                <c:pt idx="12" formatCode="#,##0">
                  <c:v>28076</c:v>
                </c:pt>
              </c:numCache>
            </c:numRef>
          </c:val>
          <c:smooth val="0"/>
          <c:extLst>
            <c:ext xmlns:c16="http://schemas.microsoft.com/office/drawing/2014/chart" uri="{C3380CC4-5D6E-409C-BE32-E72D297353CC}">
              <c16:uniqueId val="{00000000-1012-464D-A5F1-8762625B0DCB}"/>
            </c:ext>
          </c:extLst>
        </c:ser>
        <c:dLbls>
          <c:showLegendKey val="0"/>
          <c:showVal val="0"/>
          <c:showCatName val="0"/>
          <c:showSerName val="0"/>
          <c:showPercent val="0"/>
          <c:showBubbleSize val="0"/>
        </c:dLbls>
        <c:marker val="1"/>
        <c:smooth val="0"/>
        <c:axId val="168675584"/>
        <c:axId val="168911232"/>
      </c:lineChart>
      <c:catAx>
        <c:axId val="168675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fr-FR"/>
          </a:p>
        </c:txPr>
        <c:crossAx val="168911232"/>
        <c:crosses val="autoZero"/>
        <c:auto val="1"/>
        <c:lblAlgn val="ctr"/>
        <c:lblOffset val="100"/>
        <c:tickLblSkip val="1"/>
        <c:tickMarkSkip val="1"/>
        <c:noMultiLvlLbl val="0"/>
      </c:catAx>
      <c:valAx>
        <c:axId val="168911232"/>
        <c:scaling>
          <c:orientation val="minMax"/>
          <c:min val="200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fr-FR"/>
          </a:p>
        </c:txPr>
        <c:crossAx val="168675584"/>
        <c:crosses val="autoZero"/>
        <c:crossBetween val="between"/>
      </c:valAx>
      <c:spPr>
        <a:noFill/>
        <a:ln w="12700">
          <a:solidFill>
            <a:srgbClr val="808080"/>
          </a:solidFill>
          <a:prstDash val="solid"/>
        </a:ln>
      </c:spPr>
    </c:plotArea>
    <c:legend>
      <c:legendPos val="b"/>
      <c:layout>
        <c:manualLayout>
          <c:xMode val="edge"/>
          <c:yMode val="edge"/>
          <c:x val="0.38651315789473684"/>
          <c:y val="0.92171944473900314"/>
          <c:w val="0.30592105263157893"/>
          <c:h val="6.0606210065030343E-2"/>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190500</xdr:colOff>
      <xdr:row>0</xdr:row>
      <xdr:rowOff>38100</xdr:rowOff>
    </xdr:from>
    <xdr:to>
      <xdr:col>12</xdr:col>
      <xdr:colOff>304800</xdr:colOff>
      <xdr:row>27</xdr:row>
      <xdr:rowOff>104775</xdr:rowOff>
    </xdr:to>
    <xdr:graphicFrame macro="">
      <xdr:nvGraphicFramePr>
        <xdr:cNvPr id="2049" name="Graphique 1">
          <a:extLst>
            <a:ext uri="{FF2B5EF4-FFF2-40B4-BE49-F238E27FC236}">
              <a16:creationId xmlns:a16="http://schemas.microsoft.com/office/drawing/2014/main" id="{00000000-0008-0000-00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180975</xdr:colOff>
      <xdr:row>36</xdr:row>
      <xdr:rowOff>38100</xdr:rowOff>
    </xdr:from>
    <xdr:to>
      <xdr:col>10</xdr:col>
      <xdr:colOff>638175</xdr:colOff>
      <xdr:row>59</xdr:row>
      <xdr:rowOff>85725</xdr:rowOff>
    </xdr:to>
    <xdr:graphicFrame macro="">
      <xdr:nvGraphicFramePr>
        <xdr:cNvPr id="2050" name="Graphique 2">
          <a:extLst>
            <a:ext uri="{FF2B5EF4-FFF2-40B4-BE49-F238E27FC236}">
              <a16:creationId xmlns:a16="http://schemas.microsoft.com/office/drawing/2014/main" id="{00000000-0008-0000-00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QUES/PRESTATIONS_VEILLESSE_AT_FAMILLE/COMMUN/PVieil/Tableau%20de%20Bord/STOCK/Demande_Evolution_SA_NSA_depuis_1970/Retraites_NSA_SA_1970_2010_wor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09_4T,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STATISTIQUES/PRESTATIONS_VEILLESSE_AT_FAMILLE/COMMUN/Editions_CMSA/non_salaries/TR99-1-2011.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STATISTIQUES/PRESTATIONS_VEILLESSE_AT_FAMILLE/COMMUN/Editions_CMSA/non_salaries/TR99-2-2011.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STATISTIQUES/PRESTATIONS_VEILLESSE_AT_FAMILLE/COMMUN/Editions_CMSA/non_salaries/TR99-3-201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3-2018.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4-2018.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2-2019%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3-2019.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4-201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1-2020.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2-20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0_1T.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3-2020.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Archives%202020/TR99-4-202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1-2021.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2-2021.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3-202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4-202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1-202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Archives%202022/TR99-2-202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3-202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4-202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0_2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1-2023.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Archives%202023/TR99-2-2023.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3-2023.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4-2023.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1-2024.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2-2024.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3-2024.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4-2024.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1T2021.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2T20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0_3T.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3T2021.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4T2021.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1T_fichiers/JCL_RECAP_33331_2022_1T.xls.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2T_fichiers/JCL_RECAP_33331_2022_2T.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3T2022.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4T2022.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1T2023.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2T202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3T2023.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L:\VIEILLESSE\SASLIST\JCLRECAP_Etat33331_4T202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0_4T.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33331_1T2024.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2T2024.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3T2024.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1_4T2024.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FLUX/02%20NSA%20-%20Donn&#233;es/Flux%20NSA%20-%20Edition%202024.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L:\VIEILLESSE\SASLIST\JCLRECAP_Etat33331_1T2024.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Archives%202023/TR99-4-2023.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Archives%202024/TR99-1-2024.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Archives%202024/TR99-2-2024.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Archives%202024/TR99-3-20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1_1T.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Archives%202024/TR99-4-2024.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1-2018.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Archives%202023/TR99-3-2023.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STATISTIQUES/PRESTATIONS_VEILLESSE_AT_FAMILLE/COMMUN/Editions_CMSA/non_salaries/TR99-3-2012.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1T_fichiers/JCL_RECAP_33331_2022_1T.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2-2018.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Editions_CMSA/non_salaries/TR99-1-2019.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1T2021.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2T2021.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3T202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1_2T.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4T2021.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1T_fichiers/JCL_RECAP_33332_2022_1T.xls.xlsx"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2T_fichiers/JCL_RECAP_33332_2022_2T.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3T2022.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4T2022.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1T2023.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2T2023.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3T2023.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L:\VIEILLESSE\SASLIST\JCLRECAP_Etat33332_4T2023.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L:\VIEILLESSE\SASLIST\JCLRECAP_Etat33332_1T20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1_3T.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2T2024.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3T2024.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3332_4T2024.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4T2021.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1T_fichiers/JCL_RECAP_30262_2022_1T.xls.xlsx"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2T_fichiers/JCL_RECAP_30262_2022_2T.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3T2022.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4T2022.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1T2023.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2T202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1_4T.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3T2023.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L:\VIEILLESSE\SASLIST\JCLRECAP_Etat30262_4T2023.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L:\VIEILLESSE\SASLIST\JCLRECAP_Etat30262_1T2024.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2T2024.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3T2024.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4T2024.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1T2021.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JCLRECAP_Etat30262_2T2021.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P:\DSEEF_MEFC\Allocation%202012%20-%20Nouveau%20reglement\Donn&#233;es\RE_Vieillesse_RCO.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P:\DSEEF_MEFC\Allocation%202013%20-%20Nouveau%20reglement\Donn&#233;es\RE_Vieillesse_RC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2_1T.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M:\VIEILLESSE\SASLIST\181210-16H05S02-PROGRAM-INDICATE-m93urou.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INDICATE_NSA_2T2018.xlsx"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INDICATE_NSA_3T2018.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INDICATE_NSA_2T2021.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0_4T_verif_statut.xlsx"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1_1T_verif_statut.xlsx"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1_2T_verif_statut.xlsx"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1_3T_verif_statut.xlsx"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M:\VIEILLESSE\SASLIST\180808-14H02S16-PROGRAM-TdB_STOCK_VKG-m93kg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3_1T.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2_2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2_3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2_4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3_1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3_2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3_3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3_4T.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4_1T.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4_2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4_3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3_2T.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4_4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5_1T.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5_2T.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5_3T.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5_4T.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6_1T.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6_2T.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6_3T.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6_4T.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7_1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3_3T.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7_2T.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7_3T.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7_4T.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8_1T.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8_2T.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8_3T.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8_4T.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9_1T.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9_2T.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9_3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3_4T.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9_4T.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0_1T.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0_2T.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0_3T.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0_4T.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1_1T.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1_2T.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1_3T.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1_4T.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1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4_1T.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2T.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3T.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4T.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09_4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8_1T.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19_3T.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STATISTIQUES/PRESTATIONS_VEILLESSE_AT_FAMILLE/COMMUN/PVieil/majorations%202009/bilan_%20majo_%20ann&#233;e_%202009/Bilan_majo_200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STATISTIQUES/PRESTATIONS_VEILLESSE_AT_FAMILLE/COMMUN/PVieil/majorations%202009/2010/Bilan_MAJO_NSA_201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STATISTIQUES/PRESTATIONS_VEILLESSE_AT_FAMILLE/COMMUN/PVieil/majorations%202009/2011/Bilan_MAJO_NSA_1_2_3_T_201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3T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4_2T.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4T2018.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1T201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2T_2019.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3T_201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4T_201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1T_202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2T_202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3T_2020.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4T_202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1T_202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4_3T.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2T_202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3T_202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4T_202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1T_fichiers/MAJO_NSA_1T2022.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2_2T_fichiers/21NOV2022_14h24m38s_sabinni_MAJO_NSA.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3T_2022.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4T_2022.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1T_2023.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2023_2T.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3T_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SAS_NSA_2024_4T.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4T_2023.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1T_2024.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2T_2024.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3T_2024.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21-STATISTIQUES/02_STATS_RETRAITE_FAMILLE_ASS_ORPA/01_RETRAITE/03_COMMUN/03%20Diffusion/Tableau%20de%20Bord/STOCK/NSA/suivi_trimestriel/Sorties_SAS/MAJO_NSA_4T_2024.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STATISTIQUES/PRESTATIONS_VEILLESSE_AT_FAMILLE/COMMUN/Editions_CMSA/non_salaries/Archives%202009/TR99-4-2009.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STATISTIQUES/PRESTATIONS_VEILLESSE_AT_FAMILLE/COMMUN/Editions_CMSA/non_salaries/Archives%202010/TR99-1-201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STATISTIQUES/PRESTATIONS_VEILLESSE_AT_FAMILLE/COMMUN/Editions_CMSA/non_salaries/Archives%202010/TR99-2-201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STATISTIQUES/PRESTATIONS_VEILLESSE_AT_FAMILLE/COMMUN/Editions_CMSA/non_salaries/Archives%202010/TR99-3-201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STATISTIQUES/PRESTATIONS_VEILLESSE_AT_FAMILLE/COMMUN/Editions_CMSA/non_salaries/Archives%202010/TR99-4-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s 1970-2010 avec diff mt"/>
      <sheetName val="travail"/>
    </sheetNames>
    <sheetDataSet>
      <sheetData sheetId="0">
        <row r="3">
          <cell r="A3" t="str">
            <v>Retraites NSA</v>
          </cell>
        </row>
        <row r="4">
          <cell r="C4" t="str">
            <v>effectif n</v>
          </cell>
        </row>
        <row r="5">
          <cell r="A5">
            <v>1970</v>
          </cell>
          <cell r="C5">
            <v>1610880</v>
          </cell>
        </row>
        <row r="6">
          <cell r="A6">
            <v>1975</v>
          </cell>
          <cell r="C6">
            <v>1826053</v>
          </cell>
        </row>
        <row r="7">
          <cell r="A7">
            <v>1980</v>
          </cell>
          <cell r="C7">
            <v>1836375</v>
          </cell>
        </row>
        <row r="8">
          <cell r="A8">
            <v>1985</v>
          </cell>
          <cell r="C8">
            <v>1781700</v>
          </cell>
        </row>
        <row r="9">
          <cell r="A9">
            <v>1990</v>
          </cell>
          <cell r="C9">
            <v>2063717</v>
          </cell>
        </row>
        <row r="10">
          <cell r="A10">
            <v>1995</v>
          </cell>
          <cell r="C10">
            <v>2121526</v>
          </cell>
        </row>
        <row r="11">
          <cell r="A11">
            <v>2000</v>
          </cell>
          <cell r="C11">
            <v>2040033</v>
          </cell>
        </row>
        <row r="12">
          <cell r="A12">
            <v>2001</v>
          </cell>
          <cell r="C12">
            <v>2005802</v>
          </cell>
        </row>
        <row r="13">
          <cell r="A13">
            <v>2002</v>
          </cell>
          <cell r="C13">
            <v>1968606</v>
          </cell>
        </row>
        <row r="14">
          <cell r="A14">
            <v>2003</v>
          </cell>
          <cell r="C14">
            <v>1918080</v>
          </cell>
        </row>
        <row r="15">
          <cell r="A15">
            <v>2004</v>
          </cell>
          <cell r="C15">
            <v>1895279</v>
          </cell>
        </row>
        <row r="16">
          <cell r="A16">
            <v>2005</v>
          </cell>
          <cell r="C16">
            <v>1863109</v>
          </cell>
        </row>
        <row r="17">
          <cell r="A17">
            <v>2006</v>
          </cell>
          <cell r="C17">
            <v>1839904</v>
          </cell>
        </row>
        <row r="18">
          <cell r="A18">
            <v>2007</v>
          </cell>
          <cell r="C18">
            <v>1815507</v>
          </cell>
        </row>
        <row r="19">
          <cell r="A19">
            <v>2008</v>
          </cell>
          <cell r="C19">
            <v>1787171</v>
          </cell>
        </row>
        <row r="20">
          <cell r="A20">
            <v>2009</v>
          </cell>
          <cell r="C20">
            <v>1747453</v>
          </cell>
        </row>
        <row r="21">
          <cell r="A21">
            <v>2010</v>
          </cell>
          <cell r="C21">
            <v>1707668</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4T2009"/>
    </sheet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96">
          <cell r="D96">
            <v>1682</v>
          </cell>
          <cell r="E96">
            <v>1441</v>
          </cell>
        </row>
        <row r="101">
          <cell r="D101">
            <v>11071</v>
          </cell>
          <cell r="E101">
            <v>19228</v>
          </cell>
        </row>
      </sheetData>
      <sheetData sheetId="29" refreshError="1"/>
      <sheetData sheetId="30" refreshError="1"/>
      <sheetData sheetId="31" refreshError="1"/>
      <sheetData sheetId="32" refreshError="1"/>
      <sheetData sheetId="33"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96">
          <cell r="D96">
            <v>1690</v>
          </cell>
          <cell r="E96">
            <v>1586</v>
          </cell>
        </row>
        <row r="101">
          <cell r="D101">
            <v>8940</v>
          </cell>
          <cell r="E101">
            <v>21936</v>
          </cell>
        </row>
      </sheetData>
      <sheetData sheetId="29"/>
      <sheetData sheetId="30"/>
      <sheetData sheetId="31"/>
      <sheetData sheetId="32"/>
      <sheetData sheetId="33"/>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96">
          <cell r="D96">
            <v>1651</v>
          </cell>
          <cell r="E96">
            <v>1390</v>
          </cell>
        </row>
        <row r="101">
          <cell r="D101">
            <v>6946</v>
          </cell>
          <cell r="E101">
            <v>19442</v>
          </cell>
        </row>
      </sheetData>
      <sheetData sheetId="29" refreshError="1"/>
      <sheetData sheetId="30" refreshError="1"/>
      <sheetData sheetId="31" refreshError="1"/>
      <sheetData sheetId="32" refreshError="1"/>
      <sheetData sheetId="33"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7691</v>
          </cell>
          <cell r="J22">
            <v>13877</v>
          </cell>
        </row>
      </sheetData>
      <sheetData sheetId="29">
        <row r="87">
          <cell r="D87">
            <v>5369</v>
          </cell>
          <cell r="E87">
            <v>6977</v>
          </cell>
        </row>
        <row r="88">
          <cell r="D88">
            <v>20</v>
          </cell>
          <cell r="E88">
            <v>82</v>
          </cell>
        </row>
        <row r="90">
          <cell r="D90">
            <v>1081</v>
          </cell>
          <cell r="E90">
            <v>1229</v>
          </cell>
        </row>
        <row r="91">
          <cell r="D91">
            <v>0</v>
          </cell>
          <cell r="E91">
            <v>5</v>
          </cell>
        </row>
        <row r="92">
          <cell r="E92">
            <v>6</v>
          </cell>
        </row>
        <row r="94">
          <cell r="D94">
            <v>931</v>
          </cell>
          <cell r="E94">
            <v>3267</v>
          </cell>
        </row>
        <row r="96">
          <cell r="D96">
            <v>1621</v>
          </cell>
          <cell r="E96">
            <v>1648</v>
          </cell>
        </row>
        <row r="97">
          <cell r="D97">
            <v>17</v>
          </cell>
          <cell r="E97">
            <v>7542</v>
          </cell>
        </row>
        <row r="101">
          <cell r="D101">
            <v>9039</v>
          </cell>
          <cell r="E101">
            <v>20776</v>
          </cell>
        </row>
      </sheetData>
      <sheetData sheetId="30">
        <row r="74">
          <cell r="D74">
            <v>1664</v>
          </cell>
        </row>
      </sheetData>
      <sheetData sheetId="31"/>
      <sheetData sheetId="32"/>
      <sheetData sheetId="33"/>
      <sheetData sheetId="34"/>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2">
          <cell r="D22">
            <v>9077</v>
          </cell>
          <cell r="J22">
            <v>15490</v>
          </cell>
        </row>
      </sheetData>
      <sheetData sheetId="29" refreshError="1">
        <row r="87">
          <cell r="D87">
            <v>6779</v>
          </cell>
          <cell r="E87">
            <v>6219</v>
          </cell>
        </row>
        <row r="88">
          <cell r="D88">
            <v>34</v>
          </cell>
          <cell r="E88">
            <v>92</v>
          </cell>
        </row>
        <row r="90">
          <cell r="D90">
            <v>960</v>
          </cell>
          <cell r="E90">
            <v>1170</v>
          </cell>
        </row>
        <row r="91">
          <cell r="D91">
            <v>0</v>
          </cell>
          <cell r="E91">
            <v>3</v>
          </cell>
        </row>
        <row r="92">
          <cell r="E92">
            <v>6</v>
          </cell>
        </row>
        <row r="94">
          <cell r="D94">
            <v>1009</v>
          </cell>
          <cell r="E94">
            <v>2938</v>
          </cell>
        </row>
        <row r="96">
          <cell r="D96">
            <v>1826</v>
          </cell>
          <cell r="E96">
            <v>1514</v>
          </cell>
        </row>
        <row r="97">
          <cell r="D97">
            <v>20</v>
          </cell>
          <cell r="E97">
            <v>6666</v>
          </cell>
        </row>
        <row r="101">
          <cell r="D101">
            <v>10629</v>
          </cell>
          <cell r="E101">
            <v>18621</v>
          </cell>
        </row>
      </sheetData>
      <sheetData sheetId="30" refreshError="1">
        <row r="74">
          <cell r="D74">
            <v>2317</v>
          </cell>
        </row>
      </sheetData>
      <sheetData sheetId="31" refreshError="1"/>
      <sheetData sheetId="32" refreshError="1"/>
      <sheetData sheetId="33" refreshError="1"/>
      <sheetData sheetId="34"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6789</v>
          </cell>
          <cell r="J22">
            <v>12006</v>
          </cell>
        </row>
      </sheetData>
      <sheetData sheetId="29">
        <row r="87">
          <cell r="D87">
            <v>4958</v>
          </cell>
        </row>
        <row r="88">
          <cell r="D88">
            <v>25</v>
          </cell>
        </row>
        <row r="90">
          <cell r="D90">
            <v>860</v>
          </cell>
        </row>
        <row r="94">
          <cell r="D94">
            <v>686</v>
          </cell>
        </row>
        <row r="96">
          <cell r="D96">
            <v>1396</v>
          </cell>
        </row>
        <row r="97">
          <cell r="D97">
            <v>15</v>
          </cell>
        </row>
        <row r="99">
          <cell r="D99">
            <v>1</v>
          </cell>
        </row>
        <row r="101">
          <cell r="D101">
            <v>7941</v>
          </cell>
        </row>
      </sheetData>
      <sheetData sheetId="30">
        <row r="74">
          <cell r="D74">
            <v>1445</v>
          </cell>
        </row>
      </sheetData>
      <sheetData sheetId="31"/>
      <sheetData sheetId="32">
        <row r="26">
          <cell r="D26">
            <v>26407</v>
          </cell>
        </row>
      </sheetData>
      <sheetData sheetId="33"/>
      <sheetData sheetId="34"/>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7106</v>
          </cell>
          <cell r="J22">
            <v>12460</v>
          </cell>
        </row>
      </sheetData>
      <sheetData sheetId="29">
        <row r="87">
          <cell r="D87">
            <v>5035</v>
          </cell>
          <cell r="E87">
            <v>6571</v>
          </cell>
        </row>
        <row r="88">
          <cell r="D88">
            <v>20</v>
          </cell>
          <cell r="E88">
            <v>102</v>
          </cell>
        </row>
        <row r="90">
          <cell r="D90">
            <v>995</v>
          </cell>
          <cell r="E90">
            <v>1104</v>
          </cell>
        </row>
        <row r="91">
          <cell r="D91">
            <v>0</v>
          </cell>
        </row>
        <row r="92">
          <cell r="D92">
            <v>0</v>
          </cell>
          <cell r="E92">
            <v>6</v>
          </cell>
        </row>
        <row r="94">
          <cell r="D94">
            <v>799</v>
          </cell>
          <cell r="E94">
            <v>3141</v>
          </cell>
        </row>
        <row r="96">
          <cell r="D96">
            <v>1564</v>
          </cell>
          <cell r="E96">
            <v>1614</v>
          </cell>
        </row>
        <row r="97">
          <cell r="D97">
            <v>15</v>
          </cell>
          <cell r="E97">
            <v>7012</v>
          </cell>
        </row>
        <row r="99">
          <cell r="E99">
            <v>14</v>
          </cell>
        </row>
        <row r="101">
          <cell r="D101">
            <v>8432</v>
          </cell>
          <cell r="E101">
            <v>19564</v>
          </cell>
        </row>
      </sheetData>
      <sheetData sheetId="30">
        <row r="74">
          <cell r="D74">
            <v>1491</v>
          </cell>
        </row>
      </sheetData>
      <sheetData sheetId="31"/>
      <sheetData sheetId="32">
        <row r="26">
          <cell r="D26">
            <v>24115</v>
          </cell>
        </row>
      </sheetData>
      <sheetData sheetId="33"/>
      <sheetData sheetId="34"/>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2">
          <cell r="D22">
            <v>9406</v>
          </cell>
          <cell r="J22">
            <v>15301</v>
          </cell>
        </row>
      </sheetData>
      <sheetData sheetId="29" refreshError="1">
        <row r="87">
          <cell r="D87">
            <v>7281</v>
          </cell>
          <cell r="E87">
            <v>6132</v>
          </cell>
        </row>
        <row r="88">
          <cell r="D88">
            <v>31</v>
          </cell>
          <cell r="E88">
            <v>81</v>
          </cell>
        </row>
        <row r="90">
          <cell r="D90">
            <v>913</v>
          </cell>
          <cell r="E90">
            <v>1087</v>
          </cell>
        </row>
        <row r="91">
          <cell r="D91">
            <v>0</v>
          </cell>
          <cell r="E91">
            <v>2</v>
          </cell>
        </row>
        <row r="92">
          <cell r="D92">
            <v>0</v>
          </cell>
          <cell r="E92">
            <v>3</v>
          </cell>
        </row>
        <row r="94">
          <cell r="D94">
            <v>900</v>
          </cell>
          <cell r="E94">
            <v>2900</v>
          </cell>
        </row>
        <row r="96">
          <cell r="D96">
            <v>1713</v>
          </cell>
          <cell r="E96">
            <v>1548</v>
          </cell>
        </row>
        <row r="97">
          <cell r="D97">
            <v>16</v>
          </cell>
          <cell r="E97">
            <v>6630</v>
          </cell>
        </row>
        <row r="101">
          <cell r="D101">
            <v>10858</v>
          </cell>
          <cell r="E101">
            <v>18399</v>
          </cell>
        </row>
      </sheetData>
      <sheetData sheetId="30" refreshError="1">
        <row r="74">
          <cell r="D74">
            <v>2245</v>
          </cell>
        </row>
      </sheetData>
      <sheetData sheetId="31" refreshError="1"/>
      <sheetData sheetId="32" refreshError="1"/>
      <sheetData sheetId="33" refreshError="1"/>
      <sheetData sheetId="34"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10027</v>
          </cell>
          <cell r="J22">
            <v>15507</v>
          </cell>
        </row>
      </sheetData>
      <sheetData sheetId="29">
        <row r="87">
          <cell r="D87">
            <v>7673</v>
          </cell>
          <cell r="E87">
            <v>6589</v>
          </cell>
        </row>
        <row r="88">
          <cell r="D88">
            <v>26</v>
          </cell>
          <cell r="E88">
            <v>96</v>
          </cell>
        </row>
        <row r="90">
          <cell r="D90">
            <v>1127</v>
          </cell>
          <cell r="E90">
            <v>1099</v>
          </cell>
        </row>
        <row r="91">
          <cell r="D91">
            <v>0</v>
          </cell>
          <cell r="E91">
            <v>3</v>
          </cell>
        </row>
        <row r="92">
          <cell r="D92">
            <v>0</v>
          </cell>
          <cell r="E92">
            <v>7</v>
          </cell>
        </row>
        <row r="94">
          <cell r="D94">
            <v>910</v>
          </cell>
          <cell r="E94">
            <v>3251</v>
          </cell>
        </row>
        <row r="96">
          <cell r="D96">
            <v>1524</v>
          </cell>
          <cell r="E96">
            <v>1676</v>
          </cell>
        </row>
        <row r="97">
          <cell r="D97">
            <v>19</v>
          </cell>
          <cell r="E97">
            <v>7195</v>
          </cell>
        </row>
        <row r="101">
          <cell r="D101">
            <v>11281</v>
          </cell>
          <cell r="E101">
            <v>19929</v>
          </cell>
        </row>
      </sheetData>
      <sheetData sheetId="30">
        <row r="74">
          <cell r="D74">
            <v>2223</v>
          </cell>
        </row>
      </sheetData>
      <sheetData sheetId="31"/>
      <sheetData sheetId="32"/>
      <sheetData sheetId="33"/>
      <sheetData sheetId="34"/>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6439</v>
          </cell>
          <cell r="J22">
            <v>11537</v>
          </cell>
        </row>
      </sheetData>
      <sheetData sheetId="29">
        <row r="87">
          <cell r="D87">
            <v>4705</v>
          </cell>
          <cell r="E87">
            <v>7416</v>
          </cell>
        </row>
        <row r="88">
          <cell r="D88">
            <v>25</v>
          </cell>
          <cell r="E88">
            <v>129</v>
          </cell>
        </row>
        <row r="90">
          <cell r="D90">
            <v>805</v>
          </cell>
          <cell r="E90">
            <v>1212</v>
          </cell>
        </row>
        <row r="91">
          <cell r="D91">
            <v>0</v>
          </cell>
          <cell r="E91">
            <v>1</v>
          </cell>
        </row>
        <row r="92">
          <cell r="D92">
            <v>0</v>
          </cell>
          <cell r="E92">
            <v>6</v>
          </cell>
        </row>
        <row r="94">
          <cell r="D94">
            <v>682</v>
          </cell>
          <cell r="E94">
            <v>3593</v>
          </cell>
        </row>
        <row r="96">
          <cell r="D96">
            <v>1478</v>
          </cell>
          <cell r="E96">
            <v>1872</v>
          </cell>
        </row>
        <row r="97">
          <cell r="D97">
            <v>16</v>
          </cell>
          <cell r="E97">
            <v>8216</v>
          </cell>
        </row>
        <row r="101">
          <cell r="D101">
            <v>7712</v>
          </cell>
          <cell r="E101">
            <v>22453</v>
          </cell>
        </row>
      </sheetData>
      <sheetData sheetId="30">
        <row r="74">
          <cell r="D74">
            <v>1362</v>
          </cell>
        </row>
      </sheetData>
      <sheetData sheetId="31"/>
      <sheetData sheetId="32"/>
      <sheetData sheetId="33"/>
      <sheetData sheetId="3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1T2010"/>
    </sheetNames>
    <sheetDataSet>
      <sheetData sheetId="0">
        <row r="4">
          <cell r="B4">
            <v>750468</v>
          </cell>
        </row>
        <row r="5">
          <cell r="B5">
            <v>989828</v>
          </cell>
        </row>
        <row r="6">
          <cell r="B6">
            <v>1740296</v>
          </cell>
        </row>
        <row r="16">
          <cell r="A16">
            <v>1262026</v>
          </cell>
          <cell r="B16">
            <v>103033</v>
          </cell>
          <cell r="C16">
            <v>374893</v>
          </cell>
          <cell r="D16">
            <v>344</v>
          </cell>
        </row>
        <row r="26">
          <cell r="A26">
            <v>756420</v>
          </cell>
          <cell r="B26">
            <v>206102</v>
          </cell>
          <cell r="C26">
            <v>299508</v>
          </cell>
          <cell r="D26">
            <v>477926</v>
          </cell>
          <cell r="E26">
            <v>340</v>
          </cell>
        </row>
        <row r="36">
          <cell r="A36">
            <v>792187</v>
          </cell>
          <cell r="B36">
            <v>935</v>
          </cell>
          <cell r="C36">
            <v>37639</v>
          </cell>
          <cell r="D36">
            <v>1265</v>
          </cell>
          <cell r="E36">
            <v>1905</v>
          </cell>
        </row>
        <row r="46">
          <cell r="E46">
            <v>4844.3999999999996</v>
          </cell>
        </row>
        <row r="47">
          <cell r="E47">
            <v>5139.8</v>
          </cell>
        </row>
        <row r="48">
          <cell r="E48">
            <v>4620.3999999999996</v>
          </cell>
        </row>
        <row r="59">
          <cell r="E59">
            <v>6012.32</v>
          </cell>
        </row>
        <row r="60">
          <cell r="E60">
            <v>4000.8</v>
          </cell>
        </row>
        <row r="61">
          <cell r="E61">
            <v>724.44</v>
          </cell>
        </row>
        <row r="62">
          <cell r="E62">
            <v>5940.68</v>
          </cell>
        </row>
        <row r="74">
          <cell r="E74">
            <v>4429.32</v>
          </cell>
        </row>
        <row r="75">
          <cell r="E75">
            <v>1456.32</v>
          </cell>
        </row>
        <row r="76">
          <cell r="E76">
            <v>7174</v>
          </cell>
        </row>
        <row r="87">
          <cell r="E87">
            <v>8430.2800000000007</v>
          </cell>
        </row>
        <row r="88">
          <cell r="C88">
            <v>317938</v>
          </cell>
          <cell r="E88">
            <v>8138.88</v>
          </cell>
        </row>
        <row r="89">
          <cell r="C89">
            <v>49644</v>
          </cell>
          <cell r="E89">
            <v>6392.76</v>
          </cell>
        </row>
        <row r="90">
          <cell r="C90">
            <v>6427</v>
          </cell>
          <cell r="E90">
            <v>7348.68</v>
          </cell>
        </row>
        <row r="91">
          <cell r="C91">
            <v>140755</v>
          </cell>
          <cell r="E91">
            <v>9855.6</v>
          </cell>
        </row>
        <row r="107">
          <cell r="F107">
            <v>1316415</v>
          </cell>
        </row>
        <row r="108">
          <cell r="F108">
            <v>1637262</v>
          </cell>
        </row>
        <row r="118">
          <cell r="D118">
            <v>99.323999999999998</v>
          </cell>
        </row>
        <row r="130">
          <cell r="F130">
            <v>76.746099999999998</v>
          </cell>
        </row>
        <row r="131">
          <cell r="F131">
            <v>75.120500000000007</v>
          </cell>
        </row>
        <row r="132">
          <cell r="F132">
            <v>78.110100000000003</v>
          </cell>
        </row>
        <row r="133">
          <cell r="F133">
            <v>81.840999999999994</v>
          </cell>
        </row>
        <row r="158">
          <cell r="B158">
            <v>110836</v>
          </cell>
        </row>
        <row r="168">
          <cell r="E168">
            <v>9135.36</v>
          </cell>
        </row>
        <row r="169">
          <cell r="E169">
            <v>9380.16</v>
          </cell>
        </row>
        <row r="170">
          <cell r="E170">
            <v>8352.44</v>
          </cell>
        </row>
        <row r="181">
          <cell r="C181">
            <v>400585</v>
          </cell>
          <cell r="E181">
            <v>8823.76</v>
          </cell>
        </row>
        <row r="182">
          <cell r="C182">
            <v>63826</v>
          </cell>
          <cell r="E182">
            <v>11090.32</v>
          </cell>
        </row>
        <row r="194">
          <cell r="C194">
            <v>400628</v>
          </cell>
          <cell r="E194">
            <v>8823.8799999999992</v>
          </cell>
        </row>
        <row r="195">
          <cell r="C195">
            <v>1317</v>
          </cell>
          <cell r="E195">
            <v>3401.92</v>
          </cell>
        </row>
        <row r="196">
          <cell r="C196">
            <v>62506</v>
          </cell>
          <cell r="E196">
            <v>11252.8</v>
          </cell>
        </row>
        <row r="207">
          <cell r="E207">
            <v>9770.08</v>
          </cell>
        </row>
        <row r="208">
          <cell r="C208">
            <v>264628</v>
          </cell>
          <cell r="E208">
            <v>9436.52</v>
          </cell>
        </row>
        <row r="209">
          <cell r="C209">
            <v>46587</v>
          </cell>
          <cell r="E209">
            <v>11664.36</v>
          </cell>
        </row>
        <row r="220">
          <cell r="E220">
            <v>7290.4</v>
          </cell>
        </row>
        <row r="221">
          <cell r="E221">
            <v>7823.88</v>
          </cell>
        </row>
        <row r="222">
          <cell r="E222">
            <v>5972.4</v>
          </cell>
        </row>
        <row r="256">
          <cell r="C256">
            <v>426557</v>
          </cell>
          <cell r="E256">
            <v>9399.48</v>
          </cell>
        </row>
        <row r="266">
          <cell r="B266">
            <v>538468</v>
          </cell>
        </row>
        <row r="267">
          <cell r="B267">
            <v>217952</v>
          </cell>
        </row>
      </sheetData>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2">
          <cell r="D22">
            <v>5759</v>
          </cell>
          <cell r="J22">
            <v>10375</v>
          </cell>
        </row>
      </sheetData>
      <sheetData sheetId="29" refreshError="1">
        <row r="87">
          <cell r="D87">
            <v>4087</v>
          </cell>
          <cell r="E87">
            <v>6506</v>
          </cell>
        </row>
        <row r="88">
          <cell r="D88">
            <v>31</v>
          </cell>
          <cell r="E88">
            <v>118</v>
          </cell>
        </row>
        <row r="90">
          <cell r="D90">
            <v>745</v>
          </cell>
          <cell r="E90">
            <v>1070</v>
          </cell>
        </row>
        <row r="91">
          <cell r="D91">
            <v>0</v>
          </cell>
          <cell r="E91">
            <v>1</v>
          </cell>
        </row>
        <row r="92">
          <cell r="D92">
            <v>1</v>
          </cell>
          <cell r="E92">
            <v>1</v>
          </cell>
        </row>
        <row r="94">
          <cell r="D94">
            <v>711</v>
          </cell>
          <cell r="E94">
            <v>3259</v>
          </cell>
        </row>
        <row r="96">
          <cell r="D96">
            <v>1285</v>
          </cell>
          <cell r="E96">
            <v>1747</v>
          </cell>
        </row>
        <row r="97">
          <cell r="D97">
            <v>11</v>
          </cell>
          <cell r="E97">
            <v>7034</v>
          </cell>
        </row>
        <row r="101">
          <cell r="D101">
            <v>6874</v>
          </cell>
          <cell r="E101">
            <v>19746</v>
          </cell>
        </row>
      </sheetData>
      <sheetData sheetId="30" refreshError="1">
        <row r="74">
          <cell r="D74">
            <v>1198</v>
          </cell>
        </row>
      </sheetData>
      <sheetData sheetId="31" refreshError="1"/>
      <sheetData sheetId="32" refreshError="1"/>
      <sheetData sheetId="33" refreshError="1"/>
      <sheetData sheetId="34"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8267</v>
          </cell>
          <cell r="J22">
            <v>14004</v>
          </cell>
        </row>
      </sheetData>
      <sheetData sheetId="29">
        <row r="87">
          <cell r="D87">
            <v>6422</v>
          </cell>
          <cell r="E87">
            <v>6113</v>
          </cell>
        </row>
        <row r="88">
          <cell r="D88">
            <v>17</v>
          </cell>
          <cell r="E88">
            <v>116</v>
          </cell>
        </row>
        <row r="90">
          <cell r="D90">
            <v>759</v>
          </cell>
          <cell r="E90">
            <v>1005</v>
          </cell>
        </row>
        <row r="91">
          <cell r="D91">
            <v>0</v>
          </cell>
          <cell r="E91">
            <v>1</v>
          </cell>
        </row>
        <row r="92">
          <cell r="D92">
            <v>0</v>
          </cell>
          <cell r="E92">
            <v>3</v>
          </cell>
        </row>
        <row r="94">
          <cell r="D94">
            <v>826</v>
          </cell>
          <cell r="E94">
            <v>2903</v>
          </cell>
        </row>
        <row r="96">
          <cell r="D96">
            <v>1644</v>
          </cell>
          <cell r="E96">
            <v>1534</v>
          </cell>
        </row>
        <row r="97">
          <cell r="D97">
            <v>17</v>
          </cell>
          <cell r="E97">
            <v>6505</v>
          </cell>
        </row>
        <row r="99">
          <cell r="E99">
            <v>10</v>
          </cell>
        </row>
        <row r="101">
          <cell r="D101">
            <v>9687</v>
          </cell>
          <cell r="E101">
            <v>18190</v>
          </cell>
        </row>
      </sheetData>
      <sheetData sheetId="30">
        <row r="74">
          <cell r="D74">
            <v>1881</v>
          </cell>
        </row>
      </sheetData>
      <sheetData sheetId="31"/>
      <sheetData sheetId="32">
        <row r="16">
          <cell r="D16">
            <v>539588</v>
          </cell>
        </row>
      </sheetData>
      <sheetData sheetId="33"/>
      <sheetData sheetId="34"/>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9294</v>
          </cell>
          <cell r="J22">
            <v>14720</v>
          </cell>
        </row>
      </sheetData>
      <sheetData sheetId="29">
        <row r="87">
          <cell r="D87">
            <v>7221</v>
          </cell>
          <cell r="E87">
            <v>7619</v>
          </cell>
        </row>
        <row r="88">
          <cell r="D88">
            <v>20</v>
          </cell>
          <cell r="E88">
            <v>119</v>
          </cell>
        </row>
        <row r="90">
          <cell r="D90">
            <v>932</v>
          </cell>
          <cell r="E90">
            <v>1254</v>
          </cell>
        </row>
        <row r="91">
          <cell r="D91">
            <v>0</v>
          </cell>
          <cell r="E91">
            <v>2</v>
          </cell>
        </row>
        <row r="92">
          <cell r="D92">
            <v>0</v>
          </cell>
          <cell r="E92">
            <v>2</v>
          </cell>
        </row>
        <row r="94">
          <cell r="D94">
            <v>866</v>
          </cell>
          <cell r="E94">
            <v>4092</v>
          </cell>
        </row>
        <row r="96">
          <cell r="D96">
            <v>1573</v>
          </cell>
          <cell r="E96">
            <v>2158</v>
          </cell>
        </row>
        <row r="97">
          <cell r="D97">
            <v>22</v>
          </cell>
          <cell r="E97">
            <v>8584</v>
          </cell>
        </row>
        <row r="99">
          <cell r="E99">
            <v>9</v>
          </cell>
        </row>
        <row r="101">
          <cell r="D101">
            <v>10634</v>
          </cell>
          <cell r="E101">
            <v>23839</v>
          </cell>
        </row>
      </sheetData>
      <sheetData sheetId="30">
        <row r="74">
          <cell r="D74">
            <v>1744</v>
          </cell>
        </row>
      </sheetData>
      <sheetData sheetId="31"/>
      <sheetData sheetId="32"/>
      <sheetData sheetId="33"/>
      <sheetData sheetId="34"/>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5886</v>
          </cell>
          <cell r="J22">
            <v>11146</v>
          </cell>
        </row>
      </sheetData>
      <sheetData sheetId="29">
        <row r="87">
          <cell r="D87">
            <v>4267</v>
          </cell>
          <cell r="E87">
            <v>7611</v>
          </cell>
        </row>
        <row r="88">
          <cell r="D88">
            <v>6</v>
          </cell>
          <cell r="E88">
            <v>117</v>
          </cell>
        </row>
        <row r="90">
          <cell r="D90">
            <v>723</v>
          </cell>
          <cell r="E90">
            <v>1147</v>
          </cell>
        </row>
        <row r="91">
          <cell r="D91">
            <v>0</v>
          </cell>
        </row>
        <row r="92">
          <cell r="D92">
            <v>0</v>
          </cell>
          <cell r="E92">
            <v>2</v>
          </cell>
        </row>
        <row r="94">
          <cell r="D94">
            <v>668</v>
          </cell>
          <cell r="E94">
            <v>3573</v>
          </cell>
        </row>
        <row r="96">
          <cell r="D96">
            <v>1465</v>
          </cell>
        </row>
        <row r="97">
          <cell r="D97">
            <v>11</v>
          </cell>
          <cell r="E97">
            <v>8404</v>
          </cell>
        </row>
        <row r="99">
          <cell r="D99">
            <v>4</v>
          </cell>
          <cell r="E99">
            <v>14</v>
          </cell>
        </row>
        <row r="101">
          <cell r="D101">
            <v>7144</v>
          </cell>
          <cell r="E101">
            <v>22757</v>
          </cell>
        </row>
      </sheetData>
      <sheetData sheetId="30">
        <row r="74">
          <cell r="D74">
            <v>1092</v>
          </cell>
        </row>
      </sheetData>
      <sheetData sheetId="31"/>
      <sheetData sheetId="32"/>
      <sheetData sheetId="33"/>
      <sheetData sheetId="34"/>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2">
          <cell r="D22">
            <v>6085</v>
          </cell>
          <cell r="J22">
            <v>11245</v>
          </cell>
        </row>
      </sheetData>
      <sheetData sheetId="29" refreshError="1">
        <row r="87">
          <cell r="D87">
            <v>4364</v>
          </cell>
          <cell r="E87">
            <v>6466</v>
          </cell>
        </row>
        <row r="88">
          <cell r="D88">
            <v>33</v>
          </cell>
          <cell r="E88">
            <v>99</v>
          </cell>
        </row>
        <row r="90">
          <cell r="D90">
            <v>774</v>
          </cell>
          <cell r="E90">
            <v>1067</v>
          </cell>
        </row>
        <row r="91">
          <cell r="E91">
            <v>1</v>
          </cell>
        </row>
        <row r="92">
          <cell r="E92">
            <v>3</v>
          </cell>
        </row>
        <row r="94">
          <cell r="D94">
            <v>687</v>
          </cell>
          <cell r="E94">
            <v>3028</v>
          </cell>
        </row>
        <row r="96">
          <cell r="D96">
            <v>1518</v>
          </cell>
          <cell r="E96">
            <v>1645</v>
          </cell>
        </row>
        <row r="97">
          <cell r="D97">
            <v>18</v>
          </cell>
          <cell r="E97">
            <v>6671</v>
          </cell>
        </row>
        <row r="99">
          <cell r="D99">
            <v>5</v>
          </cell>
          <cell r="E99">
            <v>5</v>
          </cell>
        </row>
        <row r="101">
          <cell r="D101">
            <v>7399</v>
          </cell>
          <cell r="E101">
            <v>18987</v>
          </cell>
        </row>
      </sheetData>
      <sheetData sheetId="30" refreshError="1">
        <row r="74">
          <cell r="D74">
            <v>1016</v>
          </cell>
        </row>
      </sheetData>
      <sheetData sheetId="31" refreshError="1"/>
      <sheetData sheetId="32" refreshError="1"/>
      <sheetData sheetId="33" refreshError="1"/>
      <sheetData sheetId="3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 val="SAS_NSA_2022_1T"/>
      <sheetName val="33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2">
          <cell r="D22">
            <v>8438</v>
          </cell>
        </row>
      </sheetData>
      <sheetData sheetId="28">
        <row r="22">
          <cell r="D22">
            <v>8438</v>
          </cell>
          <cell r="J22">
            <v>13482</v>
          </cell>
        </row>
      </sheetData>
      <sheetData sheetId="29">
        <row r="22">
          <cell r="D22">
            <v>8438</v>
          </cell>
        </row>
        <row r="87">
          <cell r="D87">
            <v>6780</v>
          </cell>
          <cell r="E87">
            <v>5618</v>
          </cell>
        </row>
        <row r="88">
          <cell r="D88">
            <v>25</v>
          </cell>
          <cell r="E88">
            <v>84</v>
          </cell>
        </row>
        <row r="90">
          <cell r="D90">
            <v>732</v>
          </cell>
          <cell r="E90">
            <v>873</v>
          </cell>
        </row>
        <row r="92">
          <cell r="D92">
            <v>0</v>
          </cell>
          <cell r="E92">
            <v>4</v>
          </cell>
        </row>
        <row r="94">
          <cell r="D94">
            <v>681</v>
          </cell>
          <cell r="E94">
            <v>2840</v>
          </cell>
        </row>
        <row r="96">
          <cell r="D96">
            <v>1536</v>
          </cell>
          <cell r="E96">
            <v>1615</v>
          </cell>
        </row>
        <row r="97">
          <cell r="D97">
            <v>14</v>
          </cell>
          <cell r="E97">
            <v>6047</v>
          </cell>
        </row>
        <row r="99">
          <cell r="D99">
            <v>0</v>
          </cell>
          <cell r="E99">
            <v>8</v>
          </cell>
        </row>
        <row r="101">
          <cell r="D101">
            <v>9768</v>
          </cell>
        </row>
      </sheetData>
      <sheetData sheetId="30">
        <row r="74">
          <cell r="D74">
            <v>1517</v>
          </cell>
        </row>
      </sheetData>
      <sheetData sheetId="31">
        <row r="74">
          <cell r="D74">
            <v>1517</v>
          </cell>
        </row>
      </sheetData>
      <sheetData sheetId="32">
        <row r="26">
          <cell r="D26">
            <v>18410</v>
          </cell>
        </row>
      </sheetData>
      <sheetData sheetId="33"/>
      <sheetData sheetId="34"/>
      <sheetData sheetId="35" refreshError="1"/>
      <sheetData sheetId="36"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2">
          <cell r="D22">
            <v>10149</v>
          </cell>
          <cell r="J22">
            <v>15129</v>
          </cell>
        </row>
      </sheetData>
      <sheetData sheetId="29" refreshError="1">
        <row r="87">
          <cell r="D87">
            <v>7982</v>
          </cell>
          <cell r="E87">
            <v>7341</v>
          </cell>
        </row>
        <row r="88">
          <cell r="D88">
            <v>29</v>
          </cell>
          <cell r="E88">
            <v>128</v>
          </cell>
        </row>
        <row r="90">
          <cell r="D90">
            <v>918</v>
          </cell>
          <cell r="E90">
            <v>1115</v>
          </cell>
        </row>
        <row r="92">
          <cell r="D92">
            <v>0</v>
          </cell>
          <cell r="E92">
            <v>2</v>
          </cell>
        </row>
        <row r="94">
          <cell r="D94">
            <v>946</v>
          </cell>
          <cell r="E94">
            <v>3294</v>
          </cell>
        </row>
        <row r="96">
          <cell r="D96">
            <v>1508</v>
          </cell>
        </row>
        <row r="97">
          <cell r="D97">
            <v>16</v>
          </cell>
          <cell r="E97">
            <v>8111</v>
          </cell>
        </row>
        <row r="99">
          <cell r="D99">
            <v>4</v>
          </cell>
          <cell r="E99">
            <v>2</v>
          </cell>
        </row>
        <row r="101">
          <cell r="D101">
            <v>11404</v>
          </cell>
          <cell r="E101">
            <v>21888</v>
          </cell>
        </row>
      </sheetData>
      <sheetData sheetId="30" refreshError="1">
        <row r="74">
          <cell r="D74">
            <v>2045</v>
          </cell>
        </row>
      </sheetData>
      <sheetData sheetId="31" refreshError="1"/>
      <sheetData sheetId="32" refreshError="1"/>
      <sheetData sheetId="33" refreshError="1"/>
      <sheetData sheetId="34"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6503</v>
          </cell>
          <cell r="J22">
            <v>11062</v>
          </cell>
        </row>
      </sheetData>
      <sheetData sheetId="29">
        <row r="87">
          <cell r="D87">
            <v>4765</v>
          </cell>
        </row>
        <row r="88">
          <cell r="D88">
            <v>35</v>
          </cell>
        </row>
        <row r="90">
          <cell r="D90">
            <v>797</v>
          </cell>
        </row>
        <row r="92">
          <cell r="D92">
            <v>0</v>
          </cell>
        </row>
        <row r="94">
          <cell r="D94">
            <v>678</v>
          </cell>
        </row>
        <row r="96">
          <cell r="D96">
            <v>1325</v>
          </cell>
          <cell r="E96">
            <v>215</v>
          </cell>
        </row>
        <row r="97">
          <cell r="D97">
            <v>17</v>
          </cell>
        </row>
        <row r="99">
          <cell r="D99">
            <v>3</v>
          </cell>
        </row>
        <row r="101">
          <cell r="D101">
            <v>7620</v>
          </cell>
        </row>
      </sheetData>
      <sheetData sheetId="30">
        <row r="73">
          <cell r="C73">
            <v>159</v>
          </cell>
        </row>
        <row r="74">
          <cell r="D74">
            <v>1165</v>
          </cell>
        </row>
      </sheetData>
      <sheetData sheetId="31"/>
      <sheetData sheetId="32"/>
      <sheetData sheetId="33"/>
      <sheetData sheetId="34"/>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2">
          <cell r="D22">
            <v>6325</v>
          </cell>
          <cell r="J22">
            <v>10793</v>
          </cell>
        </row>
      </sheetData>
      <sheetData sheetId="29" refreshError="1">
        <row r="87">
          <cell r="D87">
            <v>4565</v>
          </cell>
          <cell r="E87">
            <v>6438</v>
          </cell>
        </row>
        <row r="88">
          <cell r="D88">
            <v>10</v>
          </cell>
          <cell r="E88">
            <v>98</v>
          </cell>
        </row>
        <row r="90">
          <cell r="D90">
            <v>828</v>
          </cell>
          <cell r="E90">
            <v>991</v>
          </cell>
        </row>
        <row r="92">
          <cell r="D92">
            <v>0</v>
          </cell>
          <cell r="E92">
            <v>1</v>
          </cell>
        </row>
        <row r="94">
          <cell r="D94">
            <v>706</v>
          </cell>
          <cell r="E94">
            <v>2953</v>
          </cell>
        </row>
        <row r="96">
          <cell r="D96">
            <v>1294</v>
          </cell>
          <cell r="E96">
            <v>1640</v>
          </cell>
        </row>
        <row r="97">
          <cell r="D97">
            <v>20</v>
          </cell>
          <cell r="E97">
            <v>7374</v>
          </cell>
        </row>
        <row r="99">
          <cell r="D99">
            <v>1</v>
          </cell>
          <cell r="E99">
            <v>8</v>
          </cell>
        </row>
        <row r="101">
          <cell r="D101">
            <v>7424</v>
          </cell>
          <cell r="E101">
            <v>19504</v>
          </cell>
        </row>
      </sheetData>
      <sheetData sheetId="30" refreshError="1">
        <row r="74">
          <cell r="D74">
            <v>1040</v>
          </cell>
        </row>
      </sheetData>
      <sheetData sheetId="31" refreshError="1"/>
      <sheetData sheetId="32" refreshError="1"/>
      <sheetData sheetId="33" refreshError="1"/>
      <sheetData sheetId="3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8736</v>
          </cell>
          <cell r="J22">
            <v>13440</v>
          </cell>
        </row>
      </sheetData>
      <sheetData sheetId="29">
        <row r="87">
          <cell r="D87">
            <v>7149</v>
          </cell>
          <cell r="E87">
            <v>5259</v>
          </cell>
        </row>
        <row r="88">
          <cell r="D88">
            <v>24</v>
          </cell>
          <cell r="E88">
            <v>95</v>
          </cell>
        </row>
        <row r="90">
          <cell r="D90">
            <v>725</v>
          </cell>
          <cell r="E90">
            <v>883</v>
          </cell>
        </row>
        <row r="92">
          <cell r="D92">
            <v>0</v>
          </cell>
          <cell r="E92">
            <v>2</v>
          </cell>
        </row>
        <row r="94">
          <cell r="D94">
            <v>565</v>
          </cell>
          <cell r="E94">
            <v>2525</v>
          </cell>
        </row>
        <row r="96">
          <cell r="D96">
            <v>1500</v>
          </cell>
          <cell r="E96">
            <v>1475</v>
          </cell>
        </row>
        <row r="97">
          <cell r="D97">
            <v>22</v>
          </cell>
          <cell r="E97">
            <v>5812</v>
          </cell>
        </row>
        <row r="99">
          <cell r="D99">
            <v>3</v>
          </cell>
          <cell r="E99">
            <v>8</v>
          </cell>
        </row>
        <row r="101">
          <cell r="D101">
            <v>9988</v>
          </cell>
          <cell r="E101">
            <v>16060</v>
          </cell>
        </row>
      </sheetData>
      <sheetData sheetId="30">
        <row r="74">
          <cell r="D74">
            <v>1346</v>
          </cell>
        </row>
      </sheetData>
      <sheetData sheetId="31"/>
      <sheetData sheetId="32"/>
      <sheetData sheetId="33"/>
      <sheetData sheetId="3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T2010"/>
    </sheetNames>
    <sheetDataSet>
      <sheetData sheetId="0">
        <row r="4">
          <cell r="B4">
            <v>744161</v>
          </cell>
        </row>
        <row r="5">
          <cell r="B5">
            <v>982957</v>
          </cell>
        </row>
        <row r="6">
          <cell r="B6">
            <v>1727118</v>
          </cell>
        </row>
        <row r="16">
          <cell r="A16">
            <v>1251134</v>
          </cell>
          <cell r="B16">
            <v>102638</v>
          </cell>
          <cell r="C16">
            <v>373016</v>
          </cell>
          <cell r="D16">
            <v>330</v>
          </cell>
        </row>
        <row r="26">
          <cell r="A26">
            <v>750429</v>
          </cell>
          <cell r="B26">
            <v>203698</v>
          </cell>
          <cell r="C26">
            <v>297011</v>
          </cell>
          <cell r="D26">
            <v>475654</v>
          </cell>
          <cell r="E26">
            <v>326</v>
          </cell>
        </row>
        <row r="36">
          <cell r="A36">
            <v>3481</v>
          </cell>
          <cell r="B36">
            <v>18</v>
          </cell>
          <cell r="C36">
            <v>1437</v>
          </cell>
          <cell r="D36">
            <v>115</v>
          </cell>
          <cell r="E36">
            <v>9</v>
          </cell>
        </row>
        <row r="46">
          <cell r="E46">
            <v>4887.6000000000004</v>
          </cell>
        </row>
        <row r="47">
          <cell r="E47">
            <v>5187.16</v>
          </cell>
        </row>
        <row r="48">
          <cell r="E48">
            <v>4660.84</v>
          </cell>
        </row>
        <row r="59">
          <cell r="E59">
            <v>6067</v>
          </cell>
        </row>
        <row r="60">
          <cell r="E60">
            <v>4040</v>
          </cell>
        </row>
        <row r="61">
          <cell r="E61">
            <v>730.96</v>
          </cell>
        </row>
        <row r="62">
          <cell r="E62">
            <v>5984.48</v>
          </cell>
        </row>
        <row r="74">
          <cell r="E74">
            <v>4470.8</v>
          </cell>
        </row>
        <row r="75">
          <cell r="E75">
            <v>1437.6</v>
          </cell>
        </row>
        <row r="76">
          <cell r="E76">
            <v>7236.08</v>
          </cell>
        </row>
        <row r="87">
          <cell r="E87">
            <v>8523.32</v>
          </cell>
        </row>
        <row r="88">
          <cell r="C88">
            <v>314897</v>
          </cell>
          <cell r="E88">
            <v>8224.1200000000008</v>
          </cell>
        </row>
        <row r="89">
          <cell r="C89">
            <v>48588</v>
          </cell>
          <cell r="E89">
            <v>6456.56</v>
          </cell>
        </row>
        <row r="90">
          <cell r="C90">
            <v>6359</v>
          </cell>
          <cell r="E90">
            <v>7478.68</v>
          </cell>
        </row>
        <row r="91">
          <cell r="C91">
            <v>139841</v>
          </cell>
          <cell r="E91">
            <v>9961.8799999999992</v>
          </cell>
        </row>
        <row r="107">
          <cell r="F107">
            <v>1312921</v>
          </cell>
        </row>
        <row r="108">
          <cell r="F108">
            <v>1624482</v>
          </cell>
        </row>
        <row r="118">
          <cell r="D118">
            <v>99.177000000000007</v>
          </cell>
        </row>
        <row r="130">
          <cell r="F130">
            <v>76.8249</v>
          </cell>
        </row>
        <row r="131">
          <cell r="F131">
            <v>75.190299999999993</v>
          </cell>
        </row>
        <row r="132">
          <cell r="F132">
            <v>78.184600000000003</v>
          </cell>
        </row>
        <row r="133">
          <cell r="F133">
            <v>81.9298</v>
          </cell>
        </row>
        <row r="158">
          <cell r="B158">
            <v>153585</v>
          </cell>
        </row>
        <row r="168">
          <cell r="E168">
            <v>9307.84</v>
          </cell>
        </row>
        <row r="169">
          <cell r="E169">
            <v>9453.24</v>
          </cell>
        </row>
        <row r="170">
          <cell r="E170">
            <v>8973.24</v>
          </cell>
        </row>
        <row r="181">
          <cell r="C181">
            <v>399163</v>
          </cell>
          <cell r="E181">
            <v>8883.6</v>
          </cell>
        </row>
        <row r="182">
          <cell r="C182">
            <v>105843</v>
          </cell>
          <cell r="E182">
            <v>10907.16</v>
          </cell>
        </row>
        <row r="194">
          <cell r="C194">
            <v>399204</v>
          </cell>
          <cell r="E194">
            <v>8883.7199999999993</v>
          </cell>
        </row>
        <row r="195">
          <cell r="C195">
            <v>2642</v>
          </cell>
          <cell r="E195">
            <v>3817.12</v>
          </cell>
        </row>
        <row r="196">
          <cell r="C196">
            <v>103220</v>
          </cell>
          <cell r="E196">
            <v>11088.8</v>
          </cell>
        </row>
        <row r="207">
          <cell r="E207">
            <v>9981.16</v>
          </cell>
        </row>
        <row r="208">
          <cell r="C208">
            <v>262630</v>
          </cell>
          <cell r="E208">
            <v>9519.92</v>
          </cell>
        </row>
        <row r="209">
          <cell r="C209">
            <v>70171</v>
          </cell>
          <cell r="E209">
            <v>11706.8</v>
          </cell>
        </row>
        <row r="220">
          <cell r="E220">
            <v>7350.88</v>
          </cell>
        </row>
        <row r="221">
          <cell r="E221">
            <v>7887.48</v>
          </cell>
        </row>
        <row r="222">
          <cell r="E222">
            <v>6029.72</v>
          </cell>
        </row>
        <row r="256">
          <cell r="C256">
            <v>422290</v>
          </cell>
          <cell r="E256">
            <v>9488.32</v>
          </cell>
        </row>
        <row r="266">
          <cell r="B266">
            <v>533665</v>
          </cell>
        </row>
        <row r="267">
          <cell r="B267">
            <v>216764</v>
          </cell>
        </row>
      </sheetData>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2">
          <cell r="D22">
            <v>10254</v>
          </cell>
          <cell r="J22">
            <v>15462</v>
          </cell>
        </row>
      </sheetData>
      <sheetData sheetId="29" refreshError="1">
        <row r="87">
          <cell r="D87">
            <v>8104</v>
          </cell>
          <cell r="E87">
            <v>8249</v>
          </cell>
        </row>
        <row r="88">
          <cell r="D88">
            <v>38</v>
          </cell>
          <cell r="E88">
            <v>137</v>
          </cell>
        </row>
        <row r="90">
          <cell r="D90">
            <v>962</v>
          </cell>
          <cell r="E90">
            <v>1276</v>
          </cell>
        </row>
        <row r="92">
          <cell r="D92">
            <v>0</v>
          </cell>
          <cell r="E92">
            <v>1</v>
          </cell>
        </row>
        <row r="94">
          <cell r="D94">
            <v>869</v>
          </cell>
          <cell r="E94">
            <v>3900</v>
          </cell>
        </row>
        <row r="96">
          <cell r="D96">
            <v>1606</v>
          </cell>
          <cell r="E96">
            <v>2236</v>
          </cell>
        </row>
        <row r="97">
          <cell r="D97">
            <v>17</v>
          </cell>
          <cell r="E97">
            <v>9305</v>
          </cell>
        </row>
        <row r="99">
          <cell r="D99">
            <v>1</v>
          </cell>
          <cell r="E99">
            <v>18</v>
          </cell>
        </row>
        <row r="101">
          <cell r="D101">
            <v>11597</v>
          </cell>
          <cell r="E101">
            <v>25123</v>
          </cell>
        </row>
      </sheetData>
      <sheetData sheetId="30" refreshError="1">
        <row r="74">
          <cell r="D74">
            <v>1830</v>
          </cell>
        </row>
      </sheetData>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7167</v>
          </cell>
          <cell r="J22">
            <v>12334</v>
          </cell>
        </row>
      </sheetData>
      <sheetData sheetId="29">
        <row r="87">
          <cell r="D87">
            <v>5419</v>
          </cell>
          <cell r="E87">
            <v>6486</v>
          </cell>
        </row>
        <row r="88">
          <cell r="D88">
            <v>22</v>
          </cell>
          <cell r="E88">
            <v>107</v>
          </cell>
        </row>
        <row r="90">
          <cell r="D90">
            <v>795</v>
          </cell>
          <cell r="E90">
            <v>1066</v>
          </cell>
        </row>
        <row r="92">
          <cell r="D92">
            <v>0</v>
          </cell>
          <cell r="E92">
            <v>0</v>
          </cell>
        </row>
        <row r="94">
          <cell r="D94">
            <v>690</v>
          </cell>
          <cell r="E94">
            <v>3257</v>
          </cell>
        </row>
        <row r="96">
          <cell r="D96">
            <v>1523</v>
          </cell>
          <cell r="E96">
            <v>1880</v>
          </cell>
        </row>
        <row r="97">
          <cell r="D97">
            <v>10</v>
          </cell>
          <cell r="E97">
            <v>7692</v>
          </cell>
        </row>
        <row r="99">
          <cell r="D99">
            <v>1</v>
          </cell>
          <cell r="E99">
            <v>15</v>
          </cell>
        </row>
        <row r="101">
          <cell r="D101">
            <v>8460</v>
          </cell>
          <cell r="E101">
            <v>20503</v>
          </cell>
        </row>
      </sheetData>
      <sheetData sheetId="30">
        <row r="73">
          <cell r="C73">
            <v>171</v>
          </cell>
        </row>
        <row r="74">
          <cell r="D74">
            <v>1207</v>
          </cell>
        </row>
      </sheetData>
      <sheetData sheetId="31"/>
      <sheetData sheetId="32"/>
      <sheetData sheetId="33"/>
      <sheetData sheetId="34"/>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 val="A)NSA N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2">
          <cell r="D22">
            <v>7237</v>
          </cell>
          <cell r="J22">
            <v>12060</v>
          </cell>
        </row>
      </sheetData>
      <sheetData sheetId="29" refreshError="1">
        <row r="87">
          <cell r="D87">
            <v>5419</v>
          </cell>
          <cell r="E87">
            <v>5893</v>
          </cell>
        </row>
        <row r="88">
          <cell r="D88">
            <v>32</v>
          </cell>
          <cell r="E88">
            <v>94</v>
          </cell>
        </row>
        <row r="90">
          <cell r="D90">
            <v>835</v>
          </cell>
          <cell r="E90">
            <v>913</v>
          </cell>
        </row>
        <row r="92">
          <cell r="D92">
            <v>0</v>
          </cell>
          <cell r="E92">
            <v>0</v>
          </cell>
        </row>
        <row r="94">
          <cell r="D94">
            <v>706</v>
          </cell>
          <cell r="E94">
            <v>2711</v>
          </cell>
        </row>
        <row r="96">
          <cell r="E96">
            <v>1567</v>
          </cell>
        </row>
        <row r="97">
          <cell r="D97">
            <v>14</v>
          </cell>
          <cell r="E97">
            <v>6492</v>
          </cell>
        </row>
        <row r="99">
          <cell r="D99">
            <v>3</v>
          </cell>
          <cell r="E99">
            <v>9</v>
          </cell>
        </row>
        <row r="101">
          <cell r="D101">
            <v>8538</v>
          </cell>
          <cell r="E101">
            <v>17679</v>
          </cell>
        </row>
      </sheetData>
      <sheetData sheetId="30" refreshError="1">
        <row r="74">
          <cell r="D74">
            <v>1233</v>
          </cell>
        </row>
      </sheetData>
      <sheetData sheetId="31" refreshError="1"/>
      <sheetData sheetId="32" refreshError="1"/>
      <sheetData sheetId="33" refreshError="1"/>
      <sheetData sheetId="34" refreshError="1"/>
      <sheetData sheetId="35"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01">
          <cell r="D101">
            <v>8690</v>
          </cell>
          <cell r="E101">
            <v>16118</v>
          </cell>
        </row>
      </sheetData>
      <sheetData sheetId="30"/>
      <sheetData sheetId="31"/>
      <sheetData sheetId="32"/>
      <sheetData sheetId="33"/>
      <sheetData sheetId="34"/>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1">
          <cell r="D101">
            <v>10477</v>
          </cell>
        </row>
      </sheetData>
      <sheetData sheetId="30" refreshError="1"/>
      <sheetData sheetId="31" refreshError="1"/>
      <sheetData sheetId="32" refreshError="1"/>
      <sheetData sheetId="33" refreshError="1"/>
      <sheetData sheetId="34"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1">
          <cell r="D101">
            <v>7185</v>
          </cell>
          <cell r="E101">
            <v>20258</v>
          </cell>
        </row>
      </sheetData>
      <sheetData sheetId="30" refreshError="1"/>
      <sheetData sheetId="31" refreshError="1"/>
      <sheetData sheetId="32" refreshError="1"/>
      <sheetData sheetId="33" refreshError="1"/>
      <sheetData sheetId="3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1">
          <cell r="D101">
            <v>6845</v>
          </cell>
          <cell r="E101">
            <v>17678</v>
          </cell>
        </row>
      </sheetData>
      <sheetData sheetId="30" refreshError="1"/>
      <sheetData sheetId="31" refreshError="1"/>
      <sheetData sheetId="32" refreshError="1"/>
      <sheetData sheetId="33" refreshError="1"/>
      <sheetData sheetId="34"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01">
          <cell r="D101">
            <v>9039</v>
          </cell>
          <cell r="E101">
            <v>16355</v>
          </cell>
        </row>
      </sheetData>
      <sheetData sheetId="30"/>
      <sheetData sheetId="31"/>
      <sheetData sheetId="32"/>
      <sheetData sheetId="33"/>
      <sheetData sheetId="34"/>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JUN2021_11h21m06s_m93urou_JCL"/>
    </sheetNames>
    <sheetDataSet>
      <sheetData sheetId="0">
        <row r="55">
          <cell r="K55">
            <v>7241</v>
          </cell>
          <cell r="L55">
            <v>7738</v>
          </cell>
        </row>
        <row r="56">
          <cell r="K56">
            <v>932</v>
          </cell>
          <cell r="L56">
            <v>1254</v>
          </cell>
        </row>
        <row r="58">
          <cell r="L58">
            <v>2</v>
          </cell>
        </row>
        <row r="60">
          <cell r="K60">
            <v>866</v>
          </cell>
          <cell r="L60">
            <v>4092</v>
          </cell>
        </row>
        <row r="61">
          <cell r="K61">
            <v>1573</v>
          </cell>
        </row>
        <row r="62">
          <cell r="K62">
            <v>22</v>
          </cell>
          <cell r="L62">
            <v>8584</v>
          </cell>
        </row>
        <row r="64">
          <cell r="L64">
            <v>9</v>
          </cell>
        </row>
        <row r="66">
          <cell r="K66">
            <v>10634</v>
          </cell>
          <cell r="L66">
            <v>23839</v>
          </cell>
        </row>
      </sheetData>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t33331_2T2021"/>
    </sheetNames>
    <sheetDataSet>
      <sheetData sheetId="0">
        <row r="53">
          <cell r="K53">
            <v>4267</v>
          </cell>
          <cell r="L53">
            <v>7611</v>
          </cell>
        </row>
        <row r="54">
          <cell r="K54">
            <v>6</v>
          </cell>
          <cell r="L54">
            <v>117</v>
          </cell>
        </row>
        <row r="56">
          <cell r="K56">
            <v>723</v>
          </cell>
          <cell r="L56">
            <v>1147</v>
          </cell>
        </row>
        <row r="57">
          <cell r="L57">
            <v>1</v>
          </cell>
        </row>
        <row r="58">
          <cell r="K58">
            <v>0</v>
          </cell>
          <cell r="L58">
            <v>2</v>
          </cell>
        </row>
        <row r="60">
          <cell r="K60">
            <v>668</v>
          </cell>
          <cell r="L60">
            <v>3573</v>
          </cell>
        </row>
        <row r="61">
          <cell r="K61">
            <v>1465</v>
          </cell>
          <cell r="L61">
            <v>1888</v>
          </cell>
        </row>
        <row r="62">
          <cell r="K62">
            <v>11</v>
          </cell>
          <cell r="L62">
            <v>8404</v>
          </cell>
        </row>
        <row r="64">
          <cell r="K64">
            <v>4</v>
          </cell>
          <cell r="L64">
            <v>14</v>
          </cell>
        </row>
        <row r="66">
          <cell r="K66">
            <v>7144</v>
          </cell>
          <cell r="L66">
            <v>22757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3T2010"/>
    </sheetNames>
    <sheetDataSet>
      <sheetData sheetId="0">
        <row r="4">
          <cell r="B4">
            <v>738482</v>
          </cell>
        </row>
        <row r="5">
          <cell r="B5">
            <v>977427</v>
          </cell>
        </row>
        <row r="6">
          <cell r="B6">
            <v>1715909</v>
          </cell>
        </row>
        <row r="16">
          <cell r="A16">
            <v>1240726</v>
          </cell>
          <cell r="B16">
            <v>102566</v>
          </cell>
          <cell r="C16">
            <v>372292</v>
          </cell>
          <cell r="D16">
            <v>325</v>
          </cell>
        </row>
        <row r="26">
          <cell r="A26">
            <v>744739</v>
          </cell>
          <cell r="B26">
            <v>201227</v>
          </cell>
          <cell r="C26">
            <v>294763</v>
          </cell>
          <cell r="D26">
            <v>474858</v>
          </cell>
          <cell r="E26">
            <v>322</v>
          </cell>
        </row>
        <row r="36">
          <cell r="A36">
            <v>3386</v>
          </cell>
          <cell r="B36">
            <v>11</v>
          </cell>
          <cell r="C36">
            <v>205</v>
          </cell>
          <cell r="D36">
            <v>106</v>
          </cell>
          <cell r="E36">
            <v>3</v>
          </cell>
        </row>
        <row r="46">
          <cell r="E46">
            <v>4885.76</v>
          </cell>
        </row>
        <row r="47">
          <cell r="E47">
            <v>5184.68</v>
          </cell>
        </row>
        <row r="48">
          <cell r="E48">
            <v>4659.92</v>
          </cell>
        </row>
        <row r="59">
          <cell r="E59">
            <v>6059.68</v>
          </cell>
        </row>
        <row r="60">
          <cell r="E60">
            <v>4022.48</v>
          </cell>
        </row>
        <row r="61">
          <cell r="E61">
            <v>727.12</v>
          </cell>
        </row>
        <row r="62">
          <cell r="E62">
            <v>5991.08</v>
          </cell>
        </row>
        <row r="74">
          <cell r="E74">
            <v>4462.8</v>
          </cell>
        </row>
        <row r="75">
          <cell r="E75">
            <v>1413.8</v>
          </cell>
        </row>
        <row r="76">
          <cell r="E76">
            <v>7252.68</v>
          </cell>
        </row>
        <row r="87">
          <cell r="E87">
            <v>8537.2000000000007</v>
          </cell>
        </row>
        <row r="88">
          <cell r="C88">
            <v>312080</v>
          </cell>
          <cell r="E88">
            <v>8228.76</v>
          </cell>
        </row>
        <row r="89">
          <cell r="C89">
            <v>47531</v>
          </cell>
          <cell r="E89">
            <v>6455.6</v>
          </cell>
        </row>
        <row r="90">
          <cell r="C90">
            <v>6295</v>
          </cell>
          <cell r="E90">
            <v>7475.08</v>
          </cell>
        </row>
        <row r="91">
          <cell r="C91">
            <v>139368</v>
          </cell>
          <cell r="E91">
            <v>9985.0400000000009</v>
          </cell>
        </row>
        <row r="107">
          <cell r="F107">
            <v>1309939</v>
          </cell>
        </row>
        <row r="108">
          <cell r="F108">
            <v>1613342</v>
          </cell>
        </row>
        <row r="118">
          <cell r="D118">
            <v>99.049000000000007</v>
          </cell>
        </row>
        <row r="130">
          <cell r="F130">
            <v>76.913899999999998</v>
          </cell>
        </row>
        <row r="131">
          <cell r="F131">
            <v>75.267899999999997</v>
          </cell>
        </row>
        <row r="132">
          <cell r="F132">
            <v>78.251099999999994</v>
          </cell>
        </row>
        <row r="133">
          <cell r="F133">
            <v>82.028400000000005</v>
          </cell>
        </row>
        <row r="158">
          <cell r="B158">
            <v>155869</v>
          </cell>
        </row>
        <row r="168">
          <cell r="E168">
            <v>9303.24</v>
          </cell>
        </row>
        <row r="169">
          <cell r="E169">
            <v>9449.2800000000007</v>
          </cell>
        </row>
        <row r="170">
          <cell r="E170">
            <v>8973.56</v>
          </cell>
        </row>
        <row r="181">
          <cell r="C181">
            <v>397318</v>
          </cell>
          <cell r="E181">
            <v>8870.76</v>
          </cell>
        </row>
        <row r="182">
          <cell r="C182">
            <v>107705</v>
          </cell>
          <cell r="E182">
            <v>10897.92</v>
          </cell>
        </row>
        <row r="194">
          <cell r="C194">
            <v>397359</v>
          </cell>
          <cell r="E194">
            <v>8870.9599999999991</v>
          </cell>
        </row>
        <row r="195">
          <cell r="C195">
            <v>2778</v>
          </cell>
          <cell r="E195">
            <v>3799.84</v>
          </cell>
        </row>
        <row r="196">
          <cell r="C196">
            <v>104946</v>
          </cell>
          <cell r="E196">
            <v>11085.92</v>
          </cell>
        </row>
        <row r="207">
          <cell r="E207">
            <v>9991.08</v>
          </cell>
        </row>
        <row r="208">
          <cell r="C208">
            <v>260652</v>
          </cell>
          <cell r="E208">
            <v>9521.7199999999993</v>
          </cell>
        </row>
        <row r="209">
          <cell r="C209">
            <v>71051</v>
          </cell>
          <cell r="E209">
            <v>11712.4</v>
          </cell>
        </row>
        <row r="220">
          <cell r="E220">
            <v>7342.8</v>
          </cell>
        </row>
        <row r="221">
          <cell r="E221">
            <v>7881.24</v>
          </cell>
        </row>
        <row r="222">
          <cell r="E222">
            <v>6019.96</v>
          </cell>
        </row>
        <row r="256">
          <cell r="C256">
            <v>418358</v>
          </cell>
          <cell r="E256">
            <v>9492.1200000000008</v>
          </cell>
        </row>
        <row r="266">
          <cell r="B266">
            <v>529302</v>
          </cell>
        </row>
        <row r="267">
          <cell r="B267">
            <v>215437</v>
          </cell>
        </row>
      </sheetData>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NOV2021_15h56m25s_m93urou_JCL"/>
    </sheetNames>
    <sheetDataSet>
      <sheetData sheetId="0">
        <row r="53">
          <cell r="K53">
            <v>4364</v>
          </cell>
          <cell r="L53">
            <v>6466</v>
          </cell>
        </row>
        <row r="54">
          <cell r="K54">
            <v>33</v>
          </cell>
          <cell r="L54">
            <v>99</v>
          </cell>
        </row>
        <row r="56">
          <cell r="K56">
            <v>774</v>
          </cell>
          <cell r="L56">
            <v>1067</v>
          </cell>
        </row>
        <row r="57">
          <cell r="L57">
            <v>1</v>
          </cell>
        </row>
        <row r="58">
          <cell r="L58">
            <v>3</v>
          </cell>
        </row>
        <row r="60">
          <cell r="K60">
            <v>687</v>
          </cell>
          <cell r="L60">
            <v>3028</v>
          </cell>
        </row>
        <row r="61">
          <cell r="K61">
            <v>1518</v>
          </cell>
          <cell r="L61">
            <v>1645</v>
          </cell>
        </row>
        <row r="62">
          <cell r="K62">
            <v>18</v>
          </cell>
          <cell r="L62">
            <v>6671</v>
          </cell>
        </row>
        <row r="64">
          <cell r="K64">
            <v>5</v>
          </cell>
          <cell r="L64">
            <v>5</v>
          </cell>
        </row>
        <row r="66">
          <cell r="K66">
            <v>7399</v>
          </cell>
          <cell r="L66">
            <v>18987</v>
          </cell>
        </row>
      </sheetData>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FEB2022_15h49m34s_m93urou_JCL"/>
    </sheetNames>
    <sheetDataSet>
      <sheetData sheetId="0">
        <row r="53">
          <cell r="K53">
            <v>6780</v>
          </cell>
          <cell r="L53">
            <v>5618</v>
          </cell>
        </row>
        <row r="54">
          <cell r="K54">
            <v>25</v>
          </cell>
          <cell r="L54">
            <v>84</v>
          </cell>
        </row>
        <row r="56">
          <cell r="K56">
            <v>732</v>
          </cell>
          <cell r="L56">
            <v>873</v>
          </cell>
        </row>
        <row r="58">
          <cell r="K58">
            <v>0</v>
          </cell>
          <cell r="L58">
            <v>4</v>
          </cell>
        </row>
        <row r="60">
          <cell r="K60">
            <v>681</v>
          </cell>
          <cell r="L60">
            <v>2840</v>
          </cell>
        </row>
        <row r="61">
          <cell r="K61">
            <v>1536</v>
          </cell>
          <cell r="L61">
            <v>1615</v>
          </cell>
        </row>
        <row r="62">
          <cell r="K62">
            <v>14</v>
          </cell>
          <cell r="L62">
            <v>6047</v>
          </cell>
        </row>
        <row r="64">
          <cell r="K64">
            <v>0</v>
          </cell>
          <cell r="L64">
            <v>8</v>
          </cell>
        </row>
        <row r="66">
          <cell r="K66">
            <v>9768</v>
          </cell>
          <cell r="L66">
            <v>17090</v>
          </cell>
        </row>
      </sheetData>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JUL2022_10h35m34s_sabinni_JCL"/>
    </sheetNames>
    <sheetDataSet>
      <sheetData sheetId="0">
        <row r="53">
          <cell r="K53">
            <v>7982</v>
          </cell>
          <cell r="L53">
            <v>7341</v>
          </cell>
        </row>
        <row r="54">
          <cell r="K54">
            <v>29</v>
          </cell>
          <cell r="L54">
            <v>128</v>
          </cell>
        </row>
        <row r="56">
          <cell r="K56">
            <v>918</v>
          </cell>
          <cell r="L56">
            <v>1115</v>
          </cell>
        </row>
        <row r="58">
          <cell r="K58">
            <v>0</v>
          </cell>
          <cell r="L58">
            <v>2</v>
          </cell>
        </row>
        <row r="60">
          <cell r="K60">
            <v>946</v>
          </cell>
          <cell r="L60">
            <v>3294</v>
          </cell>
        </row>
        <row r="61">
          <cell r="K61">
            <v>1508</v>
          </cell>
          <cell r="L61">
            <v>1895</v>
          </cell>
        </row>
        <row r="62">
          <cell r="K62">
            <v>16</v>
          </cell>
          <cell r="L62">
            <v>8111</v>
          </cell>
        </row>
        <row r="64">
          <cell r="K64">
            <v>4</v>
          </cell>
          <cell r="L64">
            <v>2</v>
          </cell>
        </row>
        <row r="66">
          <cell r="K66">
            <v>11404</v>
          </cell>
          <cell r="L66">
            <v>21888</v>
          </cell>
        </row>
      </sheetData>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_RECAP_33331_2022_2T"/>
    </sheetNames>
    <sheetDataSet>
      <sheetData sheetId="0" refreshError="1">
        <row r="53">
          <cell r="K53">
            <v>4765</v>
          </cell>
          <cell r="L53">
            <v>4904</v>
          </cell>
        </row>
        <row r="54">
          <cell r="K54">
            <v>35</v>
          </cell>
          <cell r="L54">
            <v>88</v>
          </cell>
        </row>
        <row r="56">
          <cell r="K56">
            <v>797</v>
          </cell>
          <cell r="L56">
            <v>710</v>
          </cell>
        </row>
        <row r="58">
          <cell r="K58">
            <v>0</v>
          </cell>
          <cell r="L58">
            <v>3</v>
          </cell>
        </row>
        <row r="60">
          <cell r="K60">
            <v>678</v>
          </cell>
          <cell r="L60">
            <v>490</v>
          </cell>
        </row>
        <row r="61">
          <cell r="K61">
            <v>1325</v>
          </cell>
          <cell r="L61">
            <v>215</v>
          </cell>
        </row>
        <row r="62">
          <cell r="K62">
            <v>17</v>
          </cell>
          <cell r="L62">
            <v>5926</v>
          </cell>
        </row>
        <row r="64">
          <cell r="K64">
            <v>3</v>
          </cell>
          <cell r="L64">
            <v>10</v>
          </cell>
        </row>
        <row r="66">
          <cell r="K66">
            <v>7620</v>
          </cell>
          <cell r="L66">
            <v>12348</v>
          </cell>
        </row>
      </sheetData>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3T2022"/>
    </sheetNames>
    <sheetDataSet>
      <sheetData sheetId="0">
        <row r="53">
          <cell r="K53">
            <v>4565</v>
          </cell>
          <cell r="L53">
            <v>6438</v>
          </cell>
        </row>
        <row r="54">
          <cell r="K54">
            <v>10</v>
          </cell>
          <cell r="L54">
            <v>98</v>
          </cell>
        </row>
        <row r="56">
          <cell r="K56">
            <v>828</v>
          </cell>
          <cell r="L56">
            <v>991</v>
          </cell>
        </row>
        <row r="58">
          <cell r="K58">
            <v>0</v>
          </cell>
          <cell r="L58">
            <v>1</v>
          </cell>
        </row>
        <row r="60">
          <cell r="K60">
            <v>706</v>
          </cell>
          <cell r="L60">
            <v>2953</v>
          </cell>
        </row>
        <row r="61">
          <cell r="K61">
            <v>1294</v>
          </cell>
          <cell r="L61">
            <v>1640</v>
          </cell>
        </row>
        <row r="62">
          <cell r="K62">
            <v>20</v>
          </cell>
          <cell r="L62">
            <v>7374</v>
          </cell>
        </row>
        <row r="64">
          <cell r="K64">
            <v>1</v>
          </cell>
          <cell r="L64">
            <v>8</v>
          </cell>
        </row>
        <row r="66">
          <cell r="K66">
            <v>7424</v>
          </cell>
          <cell r="L66">
            <v>19504</v>
          </cell>
        </row>
      </sheetData>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4T2022"/>
    </sheetNames>
    <sheetDataSet>
      <sheetData sheetId="0">
        <row r="53">
          <cell r="K53">
            <v>7149</v>
          </cell>
          <cell r="L53">
            <v>5259</v>
          </cell>
        </row>
        <row r="54">
          <cell r="K54">
            <v>24</v>
          </cell>
          <cell r="L54">
            <v>95</v>
          </cell>
        </row>
        <row r="56">
          <cell r="K56">
            <v>725</v>
          </cell>
          <cell r="L56">
            <v>883</v>
          </cell>
        </row>
        <row r="58">
          <cell r="K58">
            <v>0</v>
          </cell>
          <cell r="L58">
            <v>2</v>
          </cell>
        </row>
        <row r="60">
          <cell r="K60">
            <v>565</v>
          </cell>
          <cell r="L60">
            <v>2525</v>
          </cell>
        </row>
        <row r="61">
          <cell r="K61">
            <v>1500</v>
          </cell>
          <cell r="L61">
            <v>1475</v>
          </cell>
        </row>
        <row r="62">
          <cell r="K62">
            <v>22</v>
          </cell>
          <cell r="L62">
            <v>5812</v>
          </cell>
        </row>
        <row r="64">
          <cell r="K64">
            <v>3</v>
          </cell>
          <cell r="L64">
            <v>8</v>
          </cell>
        </row>
        <row r="66">
          <cell r="K66">
            <v>9988</v>
          </cell>
          <cell r="L66">
            <v>16060</v>
          </cell>
        </row>
      </sheetData>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1T2023"/>
    </sheetNames>
    <sheetDataSet>
      <sheetData sheetId="0" refreshError="1">
        <row r="53">
          <cell r="K53">
            <v>8104</v>
          </cell>
          <cell r="L53">
            <v>8249</v>
          </cell>
        </row>
        <row r="54">
          <cell r="K54">
            <v>38</v>
          </cell>
          <cell r="L54">
            <v>137</v>
          </cell>
        </row>
        <row r="56">
          <cell r="K56">
            <v>962</v>
          </cell>
          <cell r="L56">
            <v>1276</v>
          </cell>
        </row>
        <row r="58">
          <cell r="K58">
            <v>0</v>
          </cell>
          <cell r="L58">
            <v>1</v>
          </cell>
        </row>
        <row r="60">
          <cell r="K60">
            <v>869</v>
          </cell>
          <cell r="L60">
            <v>3900</v>
          </cell>
        </row>
        <row r="61">
          <cell r="K61">
            <v>1606</v>
          </cell>
          <cell r="L61">
            <v>2236</v>
          </cell>
        </row>
        <row r="62">
          <cell r="K62">
            <v>17</v>
          </cell>
          <cell r="L62">
            <v>9305</v>
          </cell>
        </row>
        <row r="64">
          <cell r="K64">
            <v>1</v>
          </cell>
          <cell r="L64">
            <v>18</v>
          </cell>
        </row>
        <row r="66">
          <cell r="K66">
            <v>11597</v>
          </cell>
          <cell r="L66">
            <v>25123</v>
          </cell>
        </row>
      </sheetData>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2T2023"/>
      <sheetName val="JCLRECAP_Etat33331_3T2023"/>
    </sheetNames>
    <sheetDataSet>
      <sheetData sheetId="0" refreshError="1">
        <row r="53">
          <cell r="K53">
            <v>5419</v>
          </cell>
          <cell r="L53">
            <v>6486</v>
          </cell>
        </row>
        <row r="54">
          <cell r="K54">
            <v>22</v>
          </cell>
          <cell r="L54">
            <v>107</v>
          </cell>
        </row>
        <row r="56">
          <cell r="K56">
            <v>795</v>
          </cell>
          <cell r="L56">
            <v>1066</v>
          </cell>
        </row>
        <row r="58">
          <cell r="K58">
            <v>0</v>
          </cell>
          <cell r="L58">
            <v>0</v>
          </cell>
        </row>
        <row r="60">
          <cell r="K60">
            <v>690</v>
          </cell>
          <cell r="L60">
            <v>3257</v>
          </cell>
        </row>
        <row r="61">
          <cell r="K61">
            <v>1523</v>
          </cell>
          <cell r="L61">
            <v>1880</v>
          </cell>
        </row>
        <row r="62">
          <cell r="K62">
            <v>10</v>
          </cell>
          <cell r="L62">
            <v>7692</v>
          </cell>
        </row>
        <row r="64">
          <cell r="K64">
            <v>1</v>
          </cell>
          <cell r="L64">
            <v>15</v>
          </cell>
        </row>
        <row r="66">
          <cell r="K66">
            <v>8460</v>
          </cell>
          <cell r="L66">
            <v>20503</v>
          </cell>
        </row>
      </sheetData>
      <sheetData sheetId="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3T2023"/>
    </sheetNames>
    <sheetDataSet>
      <sheetData sheetId="0" refreshError="1">
        <row r="53">
          <cell r="K53">
            <v>5419</v>
          </cell>
          <cell r="L53">
            <v>5893</v>
          </cell>
        </row>
        <row r="54">
          <cell r="K54">
            <v>32</v>
          </cell>
          <cell r="L54">
            <v>94</v>
          </cell>
        </row>
        <row r="56">
          <cell r="K56">
            <v>835</v>
          </cell>
          <cell r="L56">
            <v>913</v>
          </cell>
        </row>
        <row r="58">
          <cell r="K58">
            <v>0</v>
          </cell>
          <cell r="L58">
            <v>0</v>
          </cell>
        </row>
        <row r="60">
          <cell r="K60">
            <v>706</v>
          </cell>
          <cell r="L60">
            <v>2711</v>
          </cell>
        </row>
        <row r="61">
          <cell r="K61">
            <v>1529</v>
          </cell>
          <cell r="L61">
            <v>1567</v>
          </cell>
        </row>
        <row r="62">
          <cell r="K62">
            <v>14</v>
          </cell>
          <cell r="L62">
            <v>6492</v>
          </cell>
        </row>
        <row r="64">
          <cell r="K64">
            <v>3</v>
          </cell>
          <cell r="L64">
            <v>9</v>
          </cell>
        </row>
        <row r="66">
          <cell r="K66">
            <v>8538</v>
          </cell>
          <cell r="L66">
            <v>17679</v>
          </cell>
        </row>
      </sheetData>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4T2023"/>
    </sheetNames>
    <sheetDataSet>
      <sheetData sheetId="0" refreshError="1">
        <row r="53">
          <cell r="K53">
            <v>5857</v>
          </cell>
          <cell r="L53">
            <v>5354</v>
          </cell>
        </row>
        <row r="54">
          <cell r="K54">
            <v>19</v>
          </cell>
          <cell r="L54">
            <v>85</v>
          </cell>
        </row>
        <row r="56">
          <cell r="K56">
            <v>532</v>
          </cell>
          <cell r="L56">
            <v>847</v>
          </cell>
        </row>
        <row r="58">
          <cell r="K58">
            <v>0</v>
          </cell>
          <cell r="L58">
            <v>1</v>
          </cell>
        </row>
        <row r="60">
          <cell r="K60">
            <v>438</v>
          </cell>
          <cell r="L60">
            <v>2493</v>
          </cell>
        </row>
        <row r="61">
          <cell r="K61">
            <v>1829</v>
          </cell>
          <cell r="L61">
            <v>1504</v>
          </cell>
        </row>
        <row r="62">
          <cell r="K62">
            <v>14</v>
          </cell>
          <cell r="L62">
            <v>5823</v>
          </cell>
        </row>
        <row r="64">
          <cell r="K64">
            <v>1</v>
          </cell>
          <cell r="L64">
            <v>8</v>
          </cell>
        </row>
        <row r="66">
          <cell r="K66">
            <v>8690</v>
          </cell>
          <cell r="L66">
            <v>16118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0_4T"/>
    </sheetNames>
    <sheetDataSet>
      <sheetData sheetId="0">
        <row r="4">
          <cell r="B4">
            <v>734587</v>
          </cell>
        </row>
        <row r="5">
          <cell r="B5">
            <v>973081</v>
          </cell>
        </row>
        <row r="6">
          <cell r="B6">
            <v>1707668</v>
          </cell>
        </row>
        <row r="16">
          <cell r="A16">
            <v>1233188</v>
          </cell>
          <cell r="B16">
            <v>102583</v>
          </cell>
          <cell r="C16">
            <v>371554</v>
          </cell>
          <cell r="D16">
            <v>343</v>
          </cell>
        </row>
        <row r="26">
          <cell r="A26">
            <v>741421</v>
          </cell>
          <cell r="B26">
            <v>199099</v>
          </cell>
          <cell r="C26">
            <v>292671</v>
          </cell>
          <cell r="D26">
            <v>474137</v>
          </cell>
          <cell r="E26">
            <v>340</v>
          </cell>
        </row>
        <row r="36">
          <cell r="A36">
            <v>4000</v>
          </cell>
          <cell r="B36">
            <v>18</v>
          </cell>
          <cell r="C36">
            <v>230</v>
          </cell>
          <cell r="D36">
            <v>100</v>
          </cell>
          <cell r="E36">
            <v>2</v>
          </cell>
        </row>
        <row r="46">
          <cell r="E46">
            <v>4884.88</v>
          </cell>
        </row>
        <row r="47">
          <cell r="E47">
            <v>5188.04</v>
          </cell>
        </row>
        <row r="48">
          <cell r="E48">
            <v>4656.04</v>
          </cell>
        </row>
        <row r="59">
          <cell r="E59">
            <v>6055.36</v>
          </cell>
        </row>
        <row r="60">
          <cell r="E60">
            <v>4004.76</v>
          </cell>
        </row>
        <row r="61">
          <cell r="E61">
            <v>723.2</v>
          </cell>
        </row>
        <row r="62">
          <cell r="E62">
            <v>5992</v>
          </cell>
        </row>
        <row r="74">
          <cell r="E74">
            <v>4459.24</v>
          </cell>
        </row>
        <row r="75">
          <cell r="E75">
            <v>1391.48</v>
          </cell>
        </row>
        <row r="76">
          <cell r="E76">
            <v>7262.88</v>
          </cell>
        </row>
        <row r="87">
          <cell r="E87">
            <v>8550.0400000000009</v>
          </cell>
        </row>
        <row r="88">
          <cell r="C88">
            <v>310582</v>
          </cell>
          <cell r="E88">
            <v>8235.32</v>
          </cell>
        </row>
        <row r="89">
          <cell r="C89">
            <v>46588</v>
          </cell>
          <cell r="E89">
            <v>6452.16</v>
          </cell>
        </row>
        <row r="90">
          <cell r="C90">
            <v>6233</v>
          </cell>
          <cell r="E90">
            <v>7454.32</v>
          </cell>
        </row>
        <row r="91">
          <cell r="C91">
            <v>138955</v>
          </cell>
          <cell r="E91">
            <v>10004.719999999999</v>
          </cell>
        </row>
        <row r="107">
          <cell r="F107">
            <v>1308779</v>
          </cell>
        </row>
        <row r="108">
          <cell r="F108">
            <v>1605083</v>
          </cell>
        </row>
        <row r="118">
          <cell r="D118">
            <v>98.971000000000004</v>
          </cell>
        </row>
        <row r="130">
          <cell r="F130">
            <v>76.988699999999994</v>
          </cell>
        </row>
        <row r="131">
          <cell r="F131">
            <v>75.3279</v>
          </cell>
        </row>
        <row r="132">
          <cell r="F132">
            <v>78.319299999999998</v>
          </cell>
        </row>
        <row r="133">
          <cell r="F133">
            <v>82.131299999999996</v>
          </cell>
        </row>
        <row r="158">
          <cell r="B158">
            <v>157835</v>
          </cell>
        </row>
        <row r="168">
          <cell r="E168">
            <v>9296.92</v>
          </cell>
        </row>
        <row r="169">
          <cell r="E169">
            <v>9447.84</v>
          </cell>
        </row>
        <row r="170">
          <cell r="E170">
            <v>8961.76</v>
          </cell>
        </row>
        <row r="181">
          <cell r="C181">
            <v>397147</v>
          </cell>
          <cell r="E181">
            <v>8856.84</v>
          </cell>
        </row>
        <row r="182">
          <cell r="C182">
            <v>109182</v>
          </cell>
          <cell r="E182">
            <v>10896.36</v>
          </cell>
        </row>
        <row r="194">
          <cell r="C194">
            <v>397195</v>
          </cell>
          <cell r="E194">
            <v>8857.1200000000008</v>
          </cell>
        </row>
        <row r="195">
          <cell r="C195">
            <v>2858</v>
          </cell>
          <cell r="E195">
            <v>3764.12</v>
          </cell>
        </row>
        <row r="196">
          <cell r="C196">
            <v>106349</v>
          </cell>
          <cell r="E196">
            <v>11088.2</v>
          </cell>
        </row>
        <row r="207">
          <cell r="E207">
            <v>10000.76</v>
          </cell>
        </row>
        <row r="208">
          <cell r="C208">
            <v>259778</v>
          </cell>
          <cell r="E208">
            <v>9525</v>
          </cell>
        </row>
        <row r="209">
          <cell r="C209">
            <v>71770</v>
          </cell>
          <cell r="E209">
            <v>11721.32</v>
          </cell>
        </row>
        <row r="220">
          <cell r="E220">
            <v>7335.92</v>
          </cell>
        </row>
        <row r="221">
          <cell r="E221">
            <v>7878.28</v>
          </cell>
        </row>
        <row r="222">
          <cell r="E222">
            <v>6008</v>
          </cell>
        </row>
        <row r="256">
          <cell r="C256">
            <v>415774</v>
          </cell>
          <cell r="E256">
            <v>9497</v>
          </cell>
        </row>
        <row r="266">
          <cell r="B266">
            <v>526420</v>
          </cell>
        </row>
        <row r="267">
          <cell r="B267">
            <v>215001</v>
          </cell>
        </row>
      </sheetData>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33331_1T2024"/>
    </sheetNames>
    <sheetDataSet>
      <sheetData sheetId="0" refreshError="1">
        <row r="66">
          <cell r="K66">
            <v>10477</v>
          </cell>
          <cell r="L66">
            <v>5096</v>
          </cell>
        </row>
      </sheetData>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2T2024"/>
    </sheetNames>
    <sheetDataSet>
      <sheetData sheetId="0" refreshError="1">
        <row r="53">
          <cell r="K53">
            <v>4380</v>
          </cell>
          <cell r="L53">
            <v>6638</v>
          </cell>
        </row>
        <row r="54">
          <cell r="K54">
            <v>30</v>
          </cell>
          <cell r="L54">
            <v>120</v>
          </cell>
        </row>
        <row r="56">
          <cell r="K56">
            <v>747</v>
          </cell>
          <cell r="L56">
            <v>1034</v>
          </cell>
        </row>
        <row r="58">
          <cell r="K58">
            <v>0</v>
          </cell>
          <cell r="L58">
            <v>2</v>
          </cell>
        </row>
        <row r="60">
          <cell r="K60">
            <v>800</v>
          </cell>
          <cell r="L60">
            <v>3083</v>
          </cell>
        </row>
        <row r="61">
          <cell r="K61">
            <v>1221</v>
          </cell>
        </row>
        <row r="62">
          <cell r="K62">
            <v>5</v>
          </cell>
          <cell r="L62">
            <v>7526</v>
          </cell>
        </row>
        <row r="64">
          <cell r="K64">
            <v>2</v>
          </cell>
          <cell r="L64">
            <v>9</v>
          </cell>
        </row>
        <row r="65">
          <cell r="K65">
            <v>7185</v>
          </cell>
          <cell r="L65">
            <v>20258</v>
          </cell>
        </row>
      </sheetData>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3T2024"/>
    </sheetNames>
    <sheetDataSet>
      <sheetData sheetId="0" refreshError="1">
        <row r="53">
          <cell r="K53">
            <v>4162</v>
          </cell>
          <cell r="L53">
            <v>5937</v>
          </cell>
        </row>
        <row r="54">
          <cell r="K54">
            <v>22</v>
          </cell>
          <cell r="L54">
            <v>90</v>
          </cell>
        </row>
        <row r="56">
          <cell r="K56">
            <v>661</v>
          </cell>
          <cell r="L56">
            <v>897</v>
          </cell>
        </row>
        <row r="58">
          <cell r="K58">
            <v>0</v>
          </cell>
          <cell r="L58">
            <v>1</v>
          </cell>
        </row>
        <row r="60">
          <cell r="K60">
            <v>756</v>
          </cell>
          <cell r="L60">
            <v>2753</v>
          </cell>
        </row>
        <row r="61">
          <cell r="K61">
            <v>1223</v>
          </cell>
        </row>
        <row r="62">
          <cell r="K62">
            <v>19</v>
          </cell>
          <cell r="L62">
            <v>6343</v>
          </cell>
        </row>
        <row r="64">
          <cell r="K64">
            <v>2</v>
          </cell>
          <cell r="L64">
            <v>12</v>
          </cell>
        </row>
        <row r="65">
          <cell r="K65">
            <v>6845</v>
          </cell>
          <cell r="L65">
            <v>17678</v>
          </cell>
        </row>
      </sheetData>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4T2024"/>
    </sheetNames>
    <sheetDataSet>
      <sheetData sheetId="0">
        <row r="53">
          <cell r="K53">
            <v>6263</v>
          </cell>
          <cell r="L53">
            <v>5550</v>
          </cell>
        </row>
        <row r="54">
          <cell r="K54">
            <v>21</v>
          </cell>
          <cell r="L54">
            <v>76</v>
          </cell>
        </row>
        <row r="56">
          <cell r="K56">
            <v>670</v>
          </cell>
          <cell r="L56">
            <v>846</v>
          </cell>
        </row>
        <row r="58">
          <cell r="K58">
            <v>0</v>
          </cell>
          <cell r="L58">
            <v>0</v>
          </cell>
        </row>
        <row r="60">
          <cell r="K60">
            <v>578</v>
          </cell>
          <cell r="L60">
            <v>2399</v>
          </cell>
        </row>
        <row r="61">
          <cell r="K61">
            <v>1491</v>
          </cell>
        </row>
        <row r="62">
          <cell r="K62">
            <v>15</v>
          </cell>
          <cell r="L62">
            <v>5847</v>
          </cell>
        </row>
        <row r="64">
          <cell r="K64">
            <v>1</v>
          </cell>
          <cell r="L64">
            <v>10</v>
          </cell>
        </row>
        <row r="65">
          <cell r="K65">
            <v>9039</v>
          </cell>
          <cell r="L65">
            <v>16355</v>
          </cell>
        </row>
      </sheetData>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_01"/>
      <sheetName val="NSA_02"/>
      <sheetName val="NSA_04"/>
      <sheetName val="NSA_06_ST"/>
      <sheetName val="NSA_06_MO"/>
      <sheetName val="NSA_09"/>
      <sheetName val="NSA_10"/>
      <sheetName val="NSA_12"/>
    </sheetNames>
    <sheetDataSet>
      <sheetData sheetId="0">
        <row r="26">
          <cell r="C26">
            <v>19543</v>
          </cell>
        </row>
      </sheetData>
      <sheetData sheetId="1"/>
      <sheetData sheetId="2">
        <row r="17">
          <cell r="C17">
            <v>10006</v>
          </cell>
        </row>
        <row r="21">
          <cell r="C21">
            <v>7537</v>
          </cell>
        </row>
      </sheetData>
      <sheetData sheetId="3"/>
      <sheetData sheetId="4"/>
      <sheetData sheetId="5"/>
      <sheetData sheetId="6"/>
      <sheetData sheetId="7"/>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1_1T2024"/>
    </sheetNames>
    <sheetDataSet>
      <sheetData sheetId="0" refreshError="1">
        <row r="53">
          <cell r="K53">
            <v>7400</v>
          </cell>
          <cell r="L53">
            <v>2296</v>
          </cell>
        </row>
        <row r="54">
          <cell r="K54">
            <v>26</v>
          </cell>
          <cell r="L54">
            <v>18</v>
          </cell>
        </row>
        <row r="56">
          <cell r="K56">
            <v>872</v>
          </cell>
          <cell r="L56">
            <v>569</v>
          </cell>
        </row>
        <row r="58">
          <cell r="K58">
            <v>0</v>
          </cell>
          <cell r="L58">
            <v>1</v>
          </cell>
        </row>
        <row r="60">
          <cell r="K60">
            <v>743</v>
          </cell>
          <cell r="L60">
            <v>457</v>
          </cell>
        </row>
        <row r="61">
          <cell r="K61">
            <v>1414</v>
          </cell>
        </row>
        <row r="62">
          <cell r="K62">
            <v>16</v>
          </cell>
          <cell r="L62">
            <v>1632</v>
          </cell>
        </row>
        <row r="64">
          <cell r="K64">
            <v>6</v>
          </cell>
          <cell r="L64">
            <v>9</v>
          </cell>
        </row>
      </sheetData>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7066</v>
          </cell>
          <cell r="J22">
            <v>12742</v>
          </cell>
        </row>
      </sheetData>
      <sheetData sheetId="29">
        <row r="32">
          <cell r="D32">
            <v>4593</v>
          </cell>
        </row>
        <row r="87">
          <cell r="D87">
            <v>5857</v>
          </cell>
          <cell r="E87">
            <v>5354</v>
          </cell>
        </row>
        <row r="88">
          <cell r="D88">
            <v>19</v>
          </cell>
          <cell r="E88">
            <v>85</v>
          </cell>
        </row>
        <row r="90">
          <cell r="D90">
            <v>532</v>
          </cell>
          <cell r="E90">
            <v>847</v>
          </cell>
        </row>
        <row r="92">
          <cell r="D92">
            <v>0</v>
          </cell>
          <cell r="E92">
            <v>1</v>
          </cell>
        </row>
        <row r="94">
          <cell r="D94">
            <v>438</v>
          </cell>
          <cell r="E94">
            <v>2493</v>
          </cell>
        </row>
        <row r="96">
          <cell r="D96">
            <v>1829</v>
          </cell>
          <cell r="E96">
            <v>1504</v>
          </cell>
        </row>
        <row r="97">
          <cell r="D97">
            <v>14</v>
          </cell>
          <cell r="E97">
            <v>5823</v>
          </cell>
        </row>
        <row r="99">
          <cell r="D99">
            <v>1</v>
          </cell>
          <cell r="E99">
            <v>8</v>
          </cell>
        </row>
      </sheetData>
      <sheetData sheetId="30">
        <row r="73">
          <cell r="C73">
            <v>200</v>
          </cell>
        </row>
        <row r="74">
          <cell r="D74">
            <v>734</v>
          </cell>
        </row>
      </sheetData>
      <sheetData sheetId="31"/>
      <sheetData sheetId="32"/>
      <sheetData sheetId="33"/>
      <sheetData sheetId="34"/>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9326</v>
          </cell>
          <cell r="J22">
            <v>13988</v>
          </cell>
        </row>
      </sheetData>
      <sheetData sheetId="29">
        <row r="87">
          <cell r="D87">
            <v>7400</v>
          </cell>
        </row>
        <row r="88">
          <cell r="D88">
            <v>26</v>
          </cell>
        </row>
        <row r="90">
          <cell r="D90">
            <v>872</v>
          </cell>
        </row>
        <row r="92">
          <cell r="D92">
            <v>0</v>
          </cell>
        </row>
        <row r="94">
          <cell r="D94">
            <v>743</v>
          </cell>
        </row>
        <row r="96">
          <cell r="D96">
            <v>1414</v>
          </cell>
          <cell r="E96">
            <v>111</v>
          </cell>
        </row>
        <row r="97">
          <cell r="D97">
            <v>16</v>
          </cell>
        </row>
        <row r="99">
          <cell r="D99">
            <v>6</v>
          </cell>
        </row>
      </sheetData>
      <sheetData sheetId="30">
        <row r="74">
          <cell r="D74">
            <v>938</v>
          </cell>
        </row>
      </sheetData>
      <sheetData sheetId="31"/>
      <sheetData sheetId="32"/>
      <sheetData sheetId="33"/>
      <sheetData sheetId="34"/>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6308</v>
          </cell>
          <cell r="J22">
            <v>10459</v>
          </cell>
        </row>
      </sheetData>
      <sheetData sheetId="29">
        <row r="87">
          <cell r="D87">
            <v>4380</v>
          </cell>
          <cell r="E87">
            <v>6638</v>
          </cell>
        </row>
        <row r="88">
          <cell r="D88">
            <v>30</v>
          </cell>
          <cell r="E88">
            <v>120</v>
          </cell>
        </row>
        <row r="90">
          <cell r="D90">
            <v>747</v>
          </cell>
          <cell r="E90">
            <v>1034</v>
          </cell>
        </row>
        <row r="92">
          <cell r="D92">
            <v>0</v>
          </cell>
          <cell r="E92">
            <v>2</v>
          </cell>
        </row>
        <row r="94">
          <cell r="D94">
            <v>800</v>
          </cell>
          <cell r="E94">
            <v>3083</v>
          </cell>
        </row>
        <row r="96">
          <cell r="D96">
            <v>1221</v>
          </cell>
          <cell r="E96">
            <v>1846</v>
          </cell>
        </row>
        <row r="97">
          <cell r="D97">
            <v>5</v>
          </cell>
          <cell r="E97">
            <v>7526</v>
          </cell>
        </row>
        <row r="99">
          <cell r="D99">
            <v>2</v>
          </cell>
          <cell r="E99">
            <v>9</v>
          </cell>
        </row>
      </sheetData>
      <sheetData sheetId="30">
        <row r="74">
          <cell r="D74">
            <v>682</v>
          </cell>
        </row>
      </sheetData>
      <sheetData sheetId="31"/>
      <sheetData sheetId="32"/>
      <sheetData sheetId="33"/>
      <sheetData sheetId="34"/>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5878</v>
          </cell>
          <cell r="J22">
            <v>9739</v>
          </cell>
        </row>
      </sheetData>
      <sheetData sheetId="29">
        <row r="87">
          <cell r="D87">
            <v>4162</v>
          </cell>
          <cell r="E87">
            <v>5937</v>
          </cell>
        </row>
        <row r="88">
          <cell r="D88">
            <v>22</v>
          </cell>
          <cell r="E88">
            <v>90</v>
          </cell>
        </row>
        <row r="90">
          <cell r="D90">
            <v>661</v>
          </cell>
          <cell r="E90">
            <v>897</v>
          </cell>
        </row>
        <row r="92">
          <cell r="D92">
            <v>0</v>
          </cell>
          <cell r="E92">
            <v>1</v>
          </cell>
        </row>
        <row r="94">
          <cell r="D94">
            <v>756</v>
          </cell>
          <cell r="E94">
            <v>2753</v>
          </cell>
        </row>
        <row r="96">
          <cell r="D96">
            <v>1223</v>
          </cell>
          <cell r="E96">
            <v>1644</v>
          </cell>
        </row>
        <row r="97">
          <cell r="D97">
            <v>19</v>
          </cell>
          <cell r="E97">
            <v>6343</v>
          </cell>
        </row>
        <row r="99">
          <cell r="D99">
            <v>2</v>
          </cell>
          <cell r="E99">
            <v>12</v>
          </cell>
        </row>
      </sheetData>
      <sheetData sheetId="30">
        <row r="74">
          <cell r="D74">
            <v>695</v>
          </cell>
        </row>
      </sheetData>
      <sheetData sheetId="31"/>
      <sheetData sheetId="32"/>
      <sheetData sheetId="33"/>
      <sheetData sheetId="3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1_1T"/>
    </sheetNames>
    <sheetDataSet>
      <sheetData sheetId="0">
        <row r="4">
          <cell r="B4">
            <v>730465</v>
          </cell>
        </row>
        <row r="5">
          <cell r="B5">
            <v>968156</v>
          </cell>
        </row>
        <row r="6">
          <cell r="B6">
            <v>1698621</v>
          </cell>
        </row>
        <row r="16">
          <cell r="A16">
            <v>1225081</v>
          </cell>
          <cell r="B16">
            <v>102434</v>
          </cell>
          <cell r="C16">
            <v>370781</v>
          </cell>
          <cell r="D16">
            <v>325</v>
          </cell>
        </row>
        <row r="26">
          <cell r="A26">
            <v>738173</v>
          </cell>
          <cell r="B26">
            <v>196505</v>
          </cell>
          <cell r="C26">
            <v>290406</v>
          </cell>
          <cell r="D26">
            <v>473215</v>
          </cell>
          <cell r="E26">
            <v>322</v>
          </cell>
        </row>
        <row r="36">
          <cell r="A36">
            <v>770139</v>
          </cell>
          <cell r="B36">
            <v>902</v>
          </cell>
          <cell r="C36">
            <v>31415</v>
          </cell>
          <cell r="D36">
            <v>1658</v>
          </cell>
          <cell r="E36">
            <v>1588</v>
          </cell>
        </row>
        <row r="46">
          <cell r="E46">
            <v>4898.5600000000004</v>
          </cell>
        </row>
        <row r="47">
          <cell r="E47">
            <v>5195.72</v>
          </cell>
        </row>
        <row r="48">
          <cell r="E48">
            <v>4674.3599999999997</v>
          </cell>
        </row>
        <row r="59">
          <cell r="E59">
            <v>6069.04</v>
          </cell>
        </row>
        <row r="60">
          <cell r="E60">
            <v>4022.16</v>
          </cell>
        </row>
        <row r="61">
          <cell r="E61">
            <v>727.28</v>
          </cell>
        </row>
        <row r="62">
          <cell r="E62">
            <v>5995.64</v>
          </cell>
        </row>
        <row r="74">
          <cell r="E74">
            <v>4475.16</v>
          </cell>
        </row>
        <row r="75">
          <cell r="E75">
            <v>1365.16</v>
          </cell>
        </row>
        <row r="76">
          <cell r="E76">
            <v>7275.96</v>
          </cell>
        </row>
        <row r="87">
          <cell r="E87">
            <v>8575.56</v>
          </cell>
        </row>
        <row r="88">
          <cell r="C88">
            <v>309063</v>
          </cell>
          <cell r="E88">
            <v>8259.2800000000007</v>
          </cell>
        </row>
        <row r="89">
          <cell r="C89">
            <v>45451</v>
          </cell>
          <cell r="E89">
            <v>6454.12</v>
          </cell>
        </row>
        <row r="90">
          <cell r="C90">
            <v>6164</v>
          </cell>
          <cell r="E90">
            <v>7446.68</v>
          </cell>
        </row>
        <row r="91">
          <cell r="C91">
            <v>138520</v>
          </cell>
          <cell r="E91">
            <v>10026.799999999999</v>
          </cell>
        </row>
        <row r="107">
          <cell r="F107">
            <v>1307576</v>
          </cell>
        </row>
        <row r="108">
          <cell r="F108">
            <v>1596188</v>
          </cell>
        </row>
        <row r="118">
          <cell r="D118">
            <v>98.881</v>
          </cell>
        </row>
        <row r="130">
          <cell r="F130">
            <v>77.061999999999998</v>
          </cell>
        </row>
        <row r="131">
          <cell r="F131">
            <v>75.381</v>
          </cell>
        </row>
        <row r="132">
          <cell r="F132">
            <v>78.415999999999997</v>
          </cell>
        </row>
        <row r="133">
          <cell r="F133">
            <v>82.237700000000004</v>
          </cell>
        </row>
        <row r="158">
          <cell r="B158">
            <v>161094</v>
          </cell>
        </row>
        <row r="168">
          <cell r="E168">
            <v>9298.56</v>
          </cell>
        </row>
        <row r="169">
          <cell r="E169">
            <v>9449.8799999999992</v>
          </cell>
        </row>
        <row r="170">
          <cell r="E170">
            <v>8969.64</v>
          </cell>
        </row>
        <row r="181">
          <cell r="C181">
            <v>397478</v>
          </cell>
          <cell r="E181">
            <v>8850.2800000000007</v>
          </cell>
        </row>
        <row r="182">
          <cell r="C182">
            <v>111383</v>
          </cell>
          <cell r="E182">
            <v>10897.64</v>
          </cell>
        </row>
        <row r="194">
          <cell r="C194">
            <v>397445</v>
          </cell>
          <cell r="E194">
            <v>8852.1200000000008</v>
          </cell>
        </row>
        <row r="195">
          <cell r="C195">
            <v>2916</v>
          </cell>
          <cell r="E195">
            <v>3754.44</v>
          </cell>
        </row>
        <row r="196">
          <cell r="C196">
            <v>108464</v>
          </cell>
          <cell r="E196">
            <v>11091.88</v>
          </cell>
        </row>
        <row r="207">
          <cell r="E207">
            <v>10021.4</v>
          </cell>
        </row>
        <row r="208">
          <cell r="C208">
            <v>259065</v>
          </cell>
          <cell r="E208">
            <v>9539.32</v>
          </cell>
        </row>
        <row r="209">
          <cell r="C209">
            <v>72934</v>
          </cell>
          <cell r="E209">
            <v>11733.16</v>
          </cell>
        </row>
        <row r="220">
          <cell r="E220">
            <v>7351.16</v>
          </cell>
        </row>
        <row r="221">
          <cell r="E221">
            <v>7882.76</v>
          </cell>
        </row>
        <row r="222">
          <cell r="E222">
            <v>6055.24</v>
          </cell>
        </row>
        <row r="256">
          <cell r="C256">
            <v>412979</v>
          </cell>
          <cell r="E256">
            <v>9523.68</v>
          </cell>
        </row>
        <row r="266">
          <cell r="B266">
            <v>523446</v>
          </cell>
        </row>
        <row r="267">
          <cell r="B267">
            <v>214727</v>
          </cell>
        </row>
      </sheetData>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7794</v>
          </cell>
          <cell r="J22">
            <v>12527</v>
          </cell>
        </row>
      </sheetData>
      <sheetData sheetId="29">
        <row r="87">
          <cell r="D87">
            <v>6263</v>
          </cell>
          <cell r="E87">
            <v>5550</v>
          </cell>
        </row>
        <row r="88">
          <cell r="D88">
            <v>21</v>
          </cell>
          <cell r="E88">
            <v>76</v>
          </cell>
        </row>
        <row r="90">
          <cell r="D90">
            <v>670</v>
          </cell>
          <cell r="E90">
            <v>846</v>
          </cell>
        </row>
        <row r="92">
          <cell r="D92">
            <v>0</v>
          </cell>
          <cell r="E92">
            <v>0</v>
          </cell>
        </row>
        <row r="94">
          <cell r="D94">
            <v>578</v>
          </cell>
          <cell r="E94">
            <v>2399</v>
          </cell>
        </row>
        <row r="96">
          <cell r="D96">
            <v>1491</v>
          </cell>
          <cell r="E96">
            <v>1625</v>
          </cell>
        </row>
        <row r="97">
          <cell r="D97">
            <v>15</v>
          </cell>
          <cell r="E97">
            <v>5847</v>
          </cell>
        </row>
        <row r="99">
          <cell r="D99">
            <v>1</v>
          </cell>
          <cell r="E99">
            <v>10</v>
          </cell>
        </row>
      </sheetData>
      <sheetData sheetId="30">
        <row r="74">
          <cell r="D74">
            <v>716</v>
          </cell>
        </row>
      </sheetData>
      <sheetData sheetId="31"/>
      <sheetData sheetId="32"/>
      <sheetData sheetId="33"/>
      <sheetData sheetId="34"/>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98">
          <cell r="D98">
            <v>1455</v>
          </cell>
        </row>
      </sheetData>
      <sheetData sheetId="30"/>
      <sheetData sheetId="31"/>
      <sheetData sheetId="32"/>
      <sheetData sheetId="33"/>
      <sheetData sheetId="34"/>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96">
          <cell r="D96">
            <v>1529</v>
          </cell>
        </row>
      </sheetData>
      <sheetData sheetId="30">
        <row r="73">
          <cell r="C73">
            <v>137</v>
          </cell>
        </row>
      </sheetData>
      <sheetData sheetId="31"/>
      <sheetData sheetId="32"/>
      <sheetData sheetId="33"/>
      <sheetData sheetId="34"/>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3331"/>
      <sheetName val="33332"/>
      <sheetName val="33333"/>
      <sheetName val="ODRA-DEPT "/>
      <sheetName val="ODRA-CAN1 "/>
      <sheetName val="ODRA-CAN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96">
          <cell r="E96">
            <v>1460</v>
          </cell>
        </row>
      </sheetData>
      <sheetData sheetId="29" refreshError="1"/>
      <sheetData sheetId="30" refreshError="1"/>
      <sheetData sheetId="31" refreshError="1"/>
      <sheetData sheetId="32" refreshError="1"/>
      <sheetData sheetId="33"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_RECAP_33331_2022_1T"/>
    </sheetNames>
    <sheetDataSet>
      <sheetData sheetId="0" refreshError="1">
        <row r="53">
          <cell r="K53">
            <v>7982</v>
          </cell>
        </row>
        <row r="61">
          <cell r="L61">
            <v>1895</v>
          </cell>
        </row>
      </sheetData>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6671</v>
          </cell>
        </row>
      </sheetData>
      <sheetData sheetId="29">
        <row r="87">
          <cell r="E87">
            <v>7466</v>
          </cell>
        </row>
      </sheetData>
      <sheetData sheetId="30">
        <row r="74">
          <cell r="D74">
            <v>1541</v>
          </cell>
        </row>
      </sheetData>
      <sheetData sheetId="31"/>
      <sheetData sheetId="32"/>
      <sheetData sheetId="33"/>
      <sheetData sheetId="34"/>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026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2">
          <cell r="D22">
            <v>10211</v>
          </cell>
          <cell r="J22">
            <v>16274</v>
          </cell>
        </row>
      </sheetData>
      <sheetData sheetId="29">
        <row r="101">
          <cell r="E101">
            <v>21751</v>
          </cell>
        </row>
      </sheetData>
      <sheetData sheetId="30">
        <row r="74">
          <cell r="D74">
            <v>2493</v>
          </cell>
        </row>
      </sheetData>
      <sheetData sheetId="31"/>
      <sheetData sheetId="32">
        <row r="26">
          <cell r="D26">
            <v>25244</v>
          </cell>
        </row>
      </sheetData>
      <sheetData sheetId="33"/>
      <sheetData sheetId="34"/>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JUN2021_11h23m27s_m93urou_JCL"/>
    </sheetNames>
    <sheetDataSet>
      <sheetData sheetId="0">
        <row r="37">
          <cell r="K37">
            <v>1744</v>
          </cell>
        </row>
      </sheetData>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T_33332_2T2021"/>
    </sheetNames>
    <sheetDataSet>
      <sheetData sheetId="0">
        <row r="37">
          <cell r="K37">
            <v>1092</v>
          </cell>
        </row>
      </sheetData>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NOV2021_16h09m43s_m93urou_JCL"/>
    </sheetNames>
    <sheetDataSet>
      <sheetData sheetId="0">
        <row r="37">
          <cell r="K37">
            <v>1016</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1_2T"/>
    </sheetNames>
    <sheetDataSet>
      <sheetData sheetId="0">
        <row r="4">
          <cell r="B4">
            <v>724010</v>
          </cell>
        </row>
        <row r="5">
          <cell r="B5">
            <v>961394</v>
          </cell>
        </row>
        <row r="6">
          <cell r="B6">
            <v>1685404</v>
          </cell>
        </row>
        <row r="16">
          <cell r="A16">
            <v>1213862</v>
          </cell>
          <cell r="B16">
            <v>102192</v>
          </cell>
          <cell r="C16">
            <v>369037</v>
          </cell>
          <cell r="D16">
            <v>313</v>
          </cell>
        </row>
        <row r="26">
          <cell r="A26">
            <v>732084</v>
          </cell>
          <cell r="B26">
            <v>194011</v>
          </cell>
          <cell r="C26">
            <v>287769</v>
          </cell>
          <cell r="D26">
            <v>471229</v>
          </cell>
          <cell r="E26">
            <v>311</v>
          </cell>
        </row>
        <row r="36">
          <cell r="A36">
            <v>3551</v>
          </cell>
          <cell r="B36">
            <v>16</v>
          </cell>
          <cell r="C36">
            <v>4279</v>
          </cell>
          <cell r="D36">
            <v>149</v>
          </cell>
          <cell r="E36">
            <v>11</v>
          </cell>
        </row>
        <row r="46">
          <cell r="E46">
            <v>5011</v>
          </cell>
        </row>
        <row r="47">
          <cell r="E47">
            <v>5310.68</v>
          </cell>
        </row>
        <row r="48">
          <cell r="E48">
            <v>4785.32</v>
          </cell>
        </row>
        <row r="59">
          <cell r="E59">
            <v>6205.72</v>
          </cell>
        </row>
        <row r="60">
          <cell r="E60">
            <v>4101.5600000000004</v>
          </cell>
        </row>
        <row r="61">
          <cell r="E61">
            <v>746.84</v>
          </cell>
        </row>
        <row r="62">
          <cell r="E62">
            <v>6132.68</v>
          </cell>
        </row>
        <row r="74">
          <cell r="E74">
            <v>4575.6000000000004</v>
          </cell>
        </row>
        <row r="75">
          <cell r="E75">
            <v>1376.56</v>
          </cell>
        </row>
        <row r="76">
          <cell r="E76">
            <v>7450.4</v>
          </cell>
        </row>
        <row r="87">
          <cell r="E87">
            <v>8788</v>
          </cell>
        </row>
        <row r="88">
          <cell r="C88">
            <v>305962</v>
          </cell>
          <cell r="E88">
            <v>8458.44</v>
          </cell>
        </row>
        <row r="89">
          <cell r="C89">
            <v>44391</v>
          </cell>
          <cell r="E89">
            <v>6597.36</v>
          </cell>
        </row>
        <row r="90">
          <cell r="C90">
            <v>6084</v>
          </cell>
          <cell r="E90">
            <v>7769.52</v>
          </cell>
        </row>
        <row r="91">
          <cell r="C91">
            <v>137829</v>
          </cell>
          <cell r="E91">
            <v>10269.280000000001</v>
          </cell>
        </row>
        <row r="107">
          <cell r="F107">
            <v>1303273</v>
          </cell>
        </row>
        <row r="108">
          <cell r="F108">
            <v>1583212</v>
          </cell>
        </row>
        <row r="118">
          <cell r="D118">
            <v>98.742999999999995</v>
          </cell>
        </row>
        <row r="130">
          <cell r="F130">
            <v>77.137699999999995</v>
          </cell>
        </row>
        <row r="131">
          <cell r="F131">
            <v>75.445499999999996</v>
          </cell>
        </row>
        <row r="132">
          <cell r="F132">
            <v>78.495699999999999</v>
          </cell>
        </row>
        <row r="133">
          <cell r="F133">
            <v>82.325699999999998</v>
          </cell>
        </row>
        <row r="158">
          <cell r="B158">
            <v>162732</v>
          </cell>
        </row>
        <row r="168">
          <cell r="E168">
            <v>9480.44</v>
          </cell>
        </row>
        <row r="169">
          <cell r="E169">
            <v>9631.84</v>
          </cell>
        </row>
        <row r="170">
          <cell r="E170">
            <v>9157.2000000000007</v>
          </cell>
        </row>
        <row r="181">
          <cell r="C181">
            <v>395396</v>
          </cell>
          <cell r="E181">
            <v>9014.68</v>
          </cell>
        </row>
        <row r="182">
          <cell r="C182">
            <v>112819</v>
          </cell>
          <cell r="E182">
            <v>11112.08</v>
          </cell>
        </row>
        <row r="194">
          <cell r="C194">
            <v>395439</v>
          </cell>
          <cell r="E194">
            <v>9014.7999999999993</v>
          </cell>
        </row>
        <row r="195">
          <cell r="C195">
            <v>3008</v>
          </cell>
          <cell r="E195">
            <v>3830.12</v>
          </cell>
        </row>
        <row r="196">
          <cell r="C196">
            <v>109829</v>
          </cell>
          <cell r="E196">
            <v>11311.6</v>
          </cell>
        </row>
        <row r="207">
          <cell r="E207">
            <v>10234.24</v>
          </cell>
        </row>
        <row r="208">
          <cell r="C208">
            <v>256807</v>
          </cell>
          <cell r="E208">
            <v>9734.76</v>
          </cell>
        </row>
        <row r="209">
          <cell r="C209">
            <v>73642</v>
          </cell>
          <cell r="E209">
            <v>11975.56</v>
          </cell>
        </row>
        <row r="220">
          <cell r="E220">
            <v>7502.2</v>
          </cell>
        </row>
        <row r="221">
          <cell r="E221">
            <v>8037.2</v>
          </cell>
        </row>
        <row r="222">
          <cell r="E222">
            <v>6202.92</v>
          </cell>
        </row>
        <row r="256">
          <cell r="C256">
            <v>408514</v>
          </cell>
          <cell r="E256">
            <v>9728.92</v>
          </cell>
        </row>
        <row r="266">
          <cell r="B266">
            <v>518559</v>
          </cell>
        </row>
        <row r="267">
          <cell r="B267">
            <v>213525</v>
          </cell>
        </row>
      </sheetData>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FEB2022_57836_m93urou_JCLRECA"/>
    </sheetNames>
    <sheetDataSet>
      <sheetData sheetId="0">
        <row r="37">
          <cell r="K37">
            <v>1517</v>
          </cell>
        </row>
      </sheetData>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JUL2022_11h00m34s_sabinni_JCL"/>
    </sheetNames>
    <sheetDataSet>
      <sheetData sheetId="0">
        <row r="37">
          <cell r="K37">
            <v>2045</v>
          </cell>
        </row>
      </sheetData>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_RECAP_33332_2022_2T"/>
    </sheetNames>
    <sheetDataSet>
      <sheetData sheetId="0" refreshError="1">
        <row r="37">
          <cell r="K37">
            <v>1165</v>
          </cell>
        </row>
      </sheetData>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3T2022"/>
    </sheetNames>
    <sheetDataSet>
      <sheetData sheetId="0" refreshError="1">
        <row r="37">
          <cell r="K37">
            <v>1040</v>
          </cell>
        </row>
      </sheetData>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4T2022"/>
    </sheetNames>
    <sheetDataSet>
      <sheetData sheetId="0">
        <row r="37">
          <cell r="K37">
            <v>1346</v>
          </cell>
        </row>
      </sheetData>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1T2023"/>
    </sheetNames>
    <sheetDataSet>
      <sheetData sheetId="0" refreshError="1">
        <row r="37">
          <cell r="K37">
            <v>1830</v>
          </cell>
        </row>
      </sheetData>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2T2023"/>
    </sheetNames>
    <sheetDataSet>
      <sheetData sheetId="0" refreshError="1">
        <row r="37">
          <cell r="K37">
            <v>1207</v>
          </cell>
        </row>
      </sheetData>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3T2023"/>
    </sheetNames>
    <sheetDataSet>
      <sheetData sheetId="0" refreshError="1">
        <row r="37">
          <cell r="K37">
            <v>1233</v>
          </cell>
        </row>
      </sheetData>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4T2023"/>
    </sheetNames>
    <sheetDataSet>
      <sheetData sheetId="0" refreshError="1">
        <row r="37">
          <cell r="K37">
            <v>734</v>
          </cell>
        </row>
      </sheetData>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1T2024"/>
      <sheetName val="JCLRECAP_Etat33332_2T2024"/>
      <sheetName val="JCLRECAP_Etat33332_3T2024"/>
    </sheetNames>
    <sheetDataSet>
      <sheetData sheetId="0" refreshError="1">
        <row r="37">
          <cell r="K37">
            <v>938</v>
          </cell>
        </row>
      </sheetData>
      <sheetData sheetId="1" refreshError="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1_3T"/>
      <sheetName val="SAS_NSA_201_3T"/>
      <sheetName val="SAS_NSA_2012_3T"/>
    </sheetNames>
    <sheetDataSet>
      <sheetData sheetId="0">
        <row r="4">
          <cell r="B4">
            <v>717848</v>
          </cell>
        </row>
        <row r="5">
          <cell r="B5">
            <v>955273</v>
          </cell>
        </row>
        <row r="6">
          <cell r="B6">
            <v>1673121</v>
          </cell>
        </row>
        <row r="16">
          <cell r="A16">
            <v>1202421</v>
          </cell>
          <cell r="B16">
            <v>102212</v>
          </cell>
          <cell r="C16">
            <v>368173</v>
          </cell>
          <cell r="D16">
            <v>315</v>
          </cell>
        </row>
        <row r="26">
          <cell r="A26">
            <v>725904</v>
          </cell>
          <cell r="B26">
            <v>191364</v>
          </cell>
          <cell r="C26">
            <v>285155</v>
          </cell>
          <cell r="D26">
            <v>470385</v>
          </cell>
          <cell r="E26">
            <v>313</v>
          </cell>
        </row>
        <row r="36">
          <cell r="A36">
            <v>2802</v>
          </cell>
          <cell r="B36">
            <v>5</v>
          </cell>
          <cell r="C36">
            <v>179</v>
          </cell>
          <cell r="D36">
            <v>99</v>
          </cell>
          <cell r="E36">
            <v>0</v>
          </cell>
        </row>
        <row r="46">
          <cell r="E46">
            <v>5008.08</v>
          </cell>
        </row>
        <row r="47">
          <cell r="E47">
            <v>5308.88</v>
          </cell>
        </row>
        <row r="48">
          <cell r="E48">
            <v>4782.04</v>
          </cell>
        </row>
        <row r="59">
          <cell r="E59">
            <v>6198.08</v>
          </cell>
        </row>
        <row r="60">
          <cell r="E60">
            <v>4086.84</v>
          </cell>
        </row>
        <row r="61">
          <cell r="E61">
            <v>741.4</v>
          </cell>
        </row>
        <row r="62">
          <cell r="E62">
            <v>6132.2</v>
          </cell>
        </row>
        <row r="74">
          <cell r="E74">
            <v>4568.3599999999997</v>
          </cell>
        </row>
        <row r="75">
          <cell r="E75">
            <v>1350.12</v>
          </cell>
        </row>
        <row r="76">
          <cell r="E76">
            <v>7460.44</v>
          </cell>
        </row>
        <row r="87">
          <cell r="E87">
            <v>8802.7999999999993</v>
          </cell>
        </row>
        <row r="88">
          <cell r="C88">
            <v>302923</v>
          </cell>
          <cell r="E88">
            <v>8464.7199999999993</v>
          </cell>
        </row>
        <row r="89">
          <cell r="C89">
            <v>43370</v>
          </cell>
          <cell r="E89">
            <v>6596.96</v>
          </cell>
        </row>
        <row r="90">
          <cell r="C90">
            <v>5990</v>
          </cell>
          <cell r="E90">
            <v>7732.28</v>
          </cell>
        </row>
        <row r="91">
          <cell r="C91">
            <v>137336</v>
          </cell>
          <cell r="E91">
            <v>10290.959999999999</v>
          </cell>
        </row>
        <row r="107">
          <cell r="F107">
            <v>1298275</v>
          </cell>
        </row>
        <row r="108">
          <cell r="F108">
            <v>1570905</v>
          </cell>
        </row>
        <row r="118">
          <cell r="D118">
            <v>98.628</v>
          </cell>
        </row>
        <row r="130">
          <cell r="F130">
            <v>77.243499999999997</v>
          </cell>
        </row>
        <row r="131">
          <cell r="F131">
            <v>75.540800000000004</v>
          </cell>
        </row>
        <row r="132">
          <cell r="F132">
            <v>78.579499999999996</v>
          </cell>
        </row>
        <row r="133">
          <cell r="F133">
            <v>82.431299999999993</v>
          </cell>
        </row>
        <row r="158">
          <cell r="B158">
            <v>164249</v>
          </cell>
        </row>
        <row r="168">
          <cell r="E168">
            <v>9479.76</v>
          </cell>
        </row>
        <row r="169">
          <cell r="E169">
            <v>9629.64</v>
          </cell>
        </row>
        <row r="170">
          <cell r="E170">
            <v>9164.9599999999991</v>
          </cell>
        </row>
        <row r="181">
          <cell r="C181">
            <v>392929</v>
          </cell>
          <cell r="E181">
            <v>9004.48</v>
          </cell>
        </row>
        <row r="182">
          <cell r="C182">
            <v>114368</v>
          </cell>
          <cell r="E182">
            <v>11111.96</v>
          </cell>
        </row>
        <row r="194">
          <cell r="C194">
            <v>392967</v>
          </cell>
          <cell r="E194">
            <v>9004.68</v>
          </cell>
        </row>
        <row r="195">
          <cell r="C195">
            <v>3085</v>
          </cell>
          <cell r="E195">
            <v>3814.2</v>
          </cell>
        </row>
        <row r="196">
          <cell r="C196">
            <v>111303</v>
          </cell>
          <cell r="E196">
            <v>11314.44</v>
          </cell>
        </row>
        <row r="207">
          <cell r="E207">
            <v>10248.280000000001</v>
          </cell>
        </row>
        <row r="208">
          <cell r="C208">
            <v>254511</v>
          </cell>
          <cell r="E208">
            <v>9739.8799999999992</v>
          </cell>
        </row>
        <row r="209">
          <cell r="C209">
            <v>74347</v>
          </cell>
          <cell r="E209">
            <v>11987.96</v>
          </cell>
        </row>
        <row r="220">
          <cell r="E220">
            <v>7492.76</v>
          </cell>
        </row>
        <row r="221">
          <cell r="E221">
            <v>8029.04</v>
          </cell>
        </row>
        <row r="222">
          <cell r="E222">
            <v>6193.08</v>
          </cell>
        </row>
        <row r="256">
          <cell r="C256">
            <v>404235</v>
          </cell>
          <cell r="E256">
            <v>9733.8799999999992</v>
          </cell>
        </row>
        <row r="266">
          <cell r="B266">
            <v>513856</v>
          </cell>
        </row>
        <row r="267">
          <cell r="B267">
            <v>212048</v>
          </cell>
        </row>
      </sheetData>
      <sheetData sheetId="1" refreshError="1"/>
      <sheetData sheetId="2"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2T2024"/>
    </sheetNames>
    <sheetDataSet>
      <sheetData sheetId="0">
        <row r="37">
          <cell r="K37">
            <v>682</v>
          </cell>
        </row>
      </sheetData>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3T2024"/>
    </sheetNames>
    <sheetDataSet>
      <sheetData sheetId="0" refreshError="1">
        <row r="37">
          <cell r="K37">
            <v>695</v>
          </cell>
        </row>
      </sheetData>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3332_4T2024"/>
    </sheetNames>
    <sheetDataSet>
      <sheetData sheetId="0">
        <row r="37">
          <cell r="K37">
            <v>716</v>
          </cell>
        </row>
      </sheetData>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FEB2022_16h07m11s_m93urou_JCL"/>
    </sheetNames>
    <sheetDataSet>
      <sheetData sheetId="0">
        <row r="19">
          <cell r="K19">
            <v>8438</v>
          </cell>
          <cell r="Q19">
            <v>13482</v>
          </cell>
        </row>
      </sheetData>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JUL2022_11h15m25s_sabinni_JCL"/>
    </sheetNames>
    <sheetDataSet>
      <sheetData sheetId="0">
        <row r="19">
          <cell r="K19">
            <v>10149</v>
          </cell>
          <cell r="Q19">
            <v>15129</v>
          </cell>
        </row>
      </sheetData>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_RECAP_30262_2022_2T"/>
    </sheetNames>
    <sheetDataSet>
      <sheetData sheetId="0" refreshError="1">
        <row r="19">
          <cell r="K19">
            <v>6503</v>
          </cell>
          <cell r="Q19">
            <v>11062</v>
          </cell>
        </row>
      </sheetData>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3T2022"/>
    </sheetNames>
    <sheetDataSet>
      <sheetData sheetId="0">
        <row r="19">
          <cell r="K19">
            <v>6325</v>
          </cell>
          <cell r="Q19">
            <v>10793</v>
          </cell>
        </row>
      </sheetData>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4T2022"/>
    </sheetNames>
    <sheetDataSet>
      <sheetData sheetId="0">
        <row r="19">
          <cell r="K19">
            <v>8736</v>
          </cell>
          <cell r="Q19">
            <v>13440</v>
          </cell>
        </row>
      </sheetData>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1T2023"/>
    </sheetNames>
    <sheetDataSet>
      <sheetData sheetId="0" refreshError="1">
        <row r="19">
          <cell r="K19">
            <v>10254</v>
          </cell>
          <cell r="Q19">
            <v>15462</v>
          </cell>
        </row>
      </sheetData>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2T2023"/>
    </sheetNames>
    <sheetDataSet>
      <sheetData sheetId="0" refreshError="1">
        <row r="19">
          <cell r="K19">
            <v>7167</v>
          </cell>
          <cell r="Q19">
            <v>12334</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1_4T"/>
    </sheetNames>
    <sheetDataSet>
      <sheetData sheetId="0">
        <row r="4">
          <cell r="B4">
            <v>712464</v>
          </cell>
        </row>
        <row r="5">
          <cell r="B5">
            <v>949667</v>
          </cell>
        </row>
        <row r="6">
          <cell r="B6">
            <v>1662131</v>
          </cell>
        </row>
        <row r="16">
          <cell r="A16">
            <v>1192176</v>
          </cell>
          <cell r="B16">
            <v>102444</v>
          </cell>
          <cell r="C16">
            <v>367205</v>
          </cell>
          <cell r="D16">
            <v>306</v>
          </cell>
        </row>
        <row r="26">
          <cell r="A26">
            <v>720700</v>
          </cell>
          <cell r="B26">
            <v>188630</v>
          </cell>
          <cell r="C26">
            <v>282848</v>
          </cell>
          <cell r="D26">
            <v>469649</v>
          </cell>
          <cell r="E26">
            <v>304</v>
          </cell>
        </row>
        <row r="36">
          <cell r="A36">
            <v>2789</v>
          </cell>
          <cell r="B36">
            <v>3</v>
          </cell>
          <cell r="C36">
            <v>189</v>
          </cell>
          <cell r="D36">
            <v>116</v>
          </cell>
          <cell r="E36">
            <v>2</v>
          </cell>
        </row>
        <row r="46">
          <cell r="E46">
            <v>5008.4399999999996</v>
          </cell>
        </row>
        <row r="47">
          <cell r="E47">
            <v>5313.6</v>
          </cell>
        </row>
        <row r="48">
          <cell r="E48">
            <v>4779.4399999999996</v>
          </cell>
        </row>
        <row r="59">
          <cell r="E59">
            <v>6196.4</v>
          </cell>
        </row>
        <row r="60">
          <cell r="E60">
            <v>4074.4</v>
          </cell>
        </row>
        <row r="61">
          <cell r="E61">
            <v>738.36</v>
          </cell>
        </row>
        <row r="62">
          <cell r="E62">
            <v>6131.36</v>
          </cell>
        </row>
        <row r="74">
          <cell r="E74">
            <v>4565.92</v>
          </cell>
        </row>
        <row r="75">
          <cell r="E75">
            <v>1331.84</v>
          </cell>
        </row>
        <row r="76">
          <cell r="E76">
            <v>7471.04</v>
          </cell>
        </row>
        <row r="87">
          <cell r="E87">
            <v>8818.7199999999993</v>
          </cell>
        </row>
        <row r="88">
          <cell r="C88">
            <v>300636</v>
          </cell>
          <cell r="E88">
            <v>8472.24</v>
          </cell>
        </row>
        <row r="89">
          <cell r="C89">
            <v>42344</v>
          </cell>
          <cell r="E89">
            <v>6598.76</v>
          </cell>
        </row>
        <row r="90">
          <cell r="C90">
            <v>5925</v>
          </cell>
          <cell r="E90">
            <v>7726.32</v>
          </cell>
        </row>
        <row r="91">
          <cell r="C91">
            <v>136853</v>
          </cell>
          <cell r="E91">
            <v>10313.32</v>
          </cell>
        </row>
        <row r="107">
          <cell r="F107">
            <v>1293946</v>
          </cell>
        </row>
        <row r="108">
          <cell r="F108">
            <v>1559685</v>
          </cell>
        </row>
        <row r="118">
          <cell r="D118">
            <v>98.546000000000006</v>
          </cell>
        </row>
        <row r="130">
          <cell r="F130">
            <v>77.343299999999999</v>
          </cell>
        </row>
        <row r="131">
          <cell r="F131">
            <v>75.631500000000003</v>
          </cell>
        </row>
        <row r="132">
          <cell r="F132">
            <v>78.639399999999995</v>
          </cell>
        </row>
        <row r="133">
          <cell r="F133">
            <v>82.538200000000003</v>
          </cell>
        </row>
        <row r="158">
          <cell r="B158">
            <v>165995</v>
          </cell>
        </row>
        <row r="168">
          <cell r="E168">
            <v>9478.2800000000007</v>
          </cell>
        </row>
        <row r="169">
          <cell r="E169">
            <v>9631.7999999999993</v>
          </cell>
        </row>
        <row r="170">
          <cell r="E170">
            <v>9160.7199999999993</v>
          </cell>
        </row>
        <row r="181">
          <cell r="C181">
            <v>391537</v>
          </cell>
          <cell r="E181">
            <v>8995.52</v>
          </cell>
        </row>
        <row r="182">
          <cell r="C182">
            <v>115814</v>
          </cell>
          <cell r="E182">
            <v>11108.68</v>
          </cell>
        </row>
        <row r="194">
          <cell r="C194">
            <v>391577</v>
          </cell>
          <cell r="E194">
            <v>8995.68</v>
          </cell>
        </row>
        <row r="195">
          <cell r="C195">
            <v>3195</v>
          </cell>
          <cell r="E195">
            <v>3808.76</v>
          </cell>
        </row>
        <row r="196">
          <cell r="C196">
            <v>112636</v>
          </cell>
          <cell r="E196">
            <v>11316.84</v>
          </cell>
        </row>
        <row r="207">
          <cell r="E207">
            <v>10259.84</v>
          </cell>
        </row>
        <row r="208">
          <cell r="C208">
            <v>252990</v>
          </cell>
          <cell r="E208">
            <v>9744.08</v>
          </cell>
        </row>
        <row r="209">
          <cell r="C209">
            <v>74967</v>
          </cell>
          <cell r="E209">
            <v>11999.76</v>
          </cell>
        </row>
        <row r="220">
          <cell r="E220">
            <v>7488.64</v>
          </cell>
        </row>
        <row r="221">
          <cell r="E221">
            <v>8028.44</v>
          </cell>
        </row>
        <row r="222">
          <cell r="E222">
            <v>6184.08</v>
          </cell>
        </row>
        <row r="256">
          <cell r="C256">
            <v>400710</v>
          </cell>
          <cell r="E256">
            <v>9739.7199999999993</v>
          </cell>
        </row>
        <row r="266">
          <cell r="B266">
            <v>509761</v>
          </cell>
        </row>
        <row r="267">
          <cell r="B267">
            <v>210939</v>
          </cell>
        </row>
      </sheetData>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3T2023"/>
    </sheetNames>
    <sheetDataSet>
      <sheetData sheetId="0" refreshError="1">
        <row r="19">
          <cell r="K19">
            <v>7237</v>
          </cell>
          <cell r="Q19">
            <v>12060</v>
          </cell>
        </row>
      </sheetData>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4T2023"/>
    </sheetNames>
    <sheetDataSet>
      <sheetData sheetId="0" refreshError="1">
        <row r="19">
          <cell r="K19">
            <v>7066</v>
          </cell>
          <cell r="Q19">
            <v>12742</v>
          </cell>
        </row>
      </sheetData>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1T2024"/>
    </sheetNames>
    <sheetDataSet>
      <sheetData sheetId="0" refreshError="1">
        <row r="19">
          <cell r="K19">
            <v>9326</v>
          </cell>
          <cell r="Q19">
            <v>13988</v>
          </cell>
        </row>
      </sheetData>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2T2024"/>
    </sheetNames>
    <sheetDataSet>
      <sheetData sheetId="0">
        <row r="19">
          <cell r="K19">
            <v>6308</v>
          </cell>
          <cell r="Q19">
            <v>10459</v>
          </cell>
        </row>
      </sheetData>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3T2024"/>
    </sheetNames>
    <sheetDataSet>
      <sheetData sheetId="0" refreshError="1">
        <row r="19">
          <cell r="K19">
            <v>5878</v>
          </cell>
          <cell r="Q19">
            <v>9739</v>
          </cell>
        </row>
      </sheetData>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CLRECAP_Etat30262_4T2024"/>
    </sheetNames>
    <sheetDataSet>
      <sheetData sheetId="0">
        <row r="19">
          <cell r="K19">
            <v>7794</v>
          </cell>
          <cell r="Q19">
            <v>12527</v>
          </cell>
        </row>
      </sheetData>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JUN2021_11h25m07s_m93urou_JCL"/>
    </sheetNames>
    <sheetDataSet>
      <sheetData sheetId="0">
        <row r="19">
          <cell r="K19">
            <v>9294</v>
          </cell>
          <cell r="Q19">
            <v>14720</v>
          </cell>
        </row>
      </sheetData>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AT_30262_2T2021"/>
    </sheetNames>
    <sheetDataSet>
      <sheetData sheetId="0">
        <row r="19">
          <cell r="K19">
            <v>5886</v>
          </cell>
          <cell r="Q19">
            <v>11146</v>
          </cell>
        </row>
      </sheetData>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Remplacement"/>
      <sheetName val="31 dec n-3"/>
      <sheetName val="31 mars n-2"/>
      <sheetName val="30 juin n-2"/>
      <sheetName val="30 sept n-2"/>
      <sheetName val="31 dec n-2"/>
    </sheetNames>
    <sheetDataSet>
      <sheetData sheetId="0"/>
      <sheetData sheetId="1"/>
      <sheetData sheetId="2">
        <row r="7">
          <cell r="B7">
            <v>462996</v>
          </cell>
        </row>
      </sheetData>
      <sheetData sheetId="3">
        <row r="7">
          <cell r="B7">
            <v>464846</v>
          </cell>
        </row>
      </sheetData>
      <sheetData sheetId="4">
        <row r="7">
          <cell r="B7">
            <v>505750</v>
          </cell>
        </row>
      </sheetData>
      <sheetData sheetId="5">
        <row r="7">
          <cell r="B7">
            <v>506002</v>
          </cell>
        </row>
      </sheetData>
      <sheetData sheetId="6">
        <row r="7">
          <cell r="B7">
            <v>507106</v>
          </cell>
        </row>
      </sheetData>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Remplacement"/>
      <sheetName val="31 dec n-3"/>
      <sheetName val="31 mars n-2"/>
      <sheetName val="30 juin n-2"/>
      <sheetName val="30 sept n-2"/>
      <sheetName val="31 dec n-2"/>
    </sheetNames>
    <sheetDataSet>
      <sheetData sheetId="0"/>
      <sheetData sheetId="1"/>
      <sheetData sheetId="2"/>
      <sheetData sheetId="3">
        <row r="7">
          <cell r="B7">
            <v>510600</v>
          </cell>
        </row>
      </sheetData>
      <sheetData sheetId="4">
        <row r="7">
          <cell r="B7">
            <v>509018</v>
          </cell>
        </row>
      </sheetData>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2_1T"/>
    </sheetNames>
    <sheetDataSet>
      <sheetData sheetId="0">
        <row r="4">
          <cell r="B4">
            <v>707972</v>
          </cell>
        </row>
        <row r="5">
          <cell r="B5">
            <v>944549</v>
          </cell>
        </row>
        <row r="6">
          <cell r="B6">
            <v>1652521</v>
          </cell>
        </row>
        <row r="16">
          <cell r="A16">
            <v>1183642</v>
          </cell>
          <cell r="B16">
            <v>102345</v>
          </cell>
          <cell r="C16">
            <v>366240</v>
          </cell>
          <cell r="D16">
            <v>294</v>
          </cell>
        </row>
        <row r="26">
          <cell r="A26">
            <v>716995</v>
          </cell>
          <cell r="B26">
            <v>186206</v>
          </cell>
          <cell r="C26">
            <v>280442</v>
          </cell>
          <cell r="D26">
            <v>468585</v>
          </cell>
          <cell r="E26">
            <v>293</v>
          </cell>
        </row>
        <row r="36">
          <cell r="A36">
            <v>746763</v>
          </cell>
          <cell r="B36">
            <v>860</v>
          </cell>
          <cell r="C36">
            <v>29940</v>
          </cell>
          <cell r="D36">
            <v>2034</v>
          </cell>
          <cell r="E36">
            <v>1459</v>
          </cell>
        </row>
        <row r="46">
          <cell r="E46">
            <v>4999.76</v>
          </cell>
        </row>
        <row r="47">
          <cell r="E47">
            <v>5307.52</v>
          </cell>
        </row>
        <row r="48">
          <cell r="E48">
            <v>4769.08</v>
          </cell>
        </row>
        <row r="59">
          <cell r="E59">
            <v>6176.88</v>
          </cell>
        </row>
        <row r="60">
          <cell r="E60">
            <v>4050.96</v>
          </cell>
        </row>
        <row r="61">
          <cell r="E61">
            <v>734.68</v>
          </cell>
        </row>
        <row r="62">
          <cell r="E62">
            <v>6127.76</v>
          </cell>
        </row>
        <row r="74">
          <cell r="E74">
            <v>4553.28</v>
          </cell>
        </row>
        <row r="75">
          <cell r="E75">
            <v>1310.52</v>
          </cell>
        </row>
        <row r="76">
          <cell r="E76">
            <v>7474.4</v>
          </cell>
        </row>
        <row r="87">
          <cell r="E87">
            <v>8816.16</v>
          </cell>
        </row>
        <row r="88">
          <cell r="C88">
            <v>298902</v>
          </cell>
          <cell r="E88">
            <v>8457</v>
          </cell>
        </row>
        <row r="89">
          <cell r="C89">
            <v>41334</v>
          </cell>
          <cell r="E89">
            <v>6595</v>
          </cell>
        </row>
        <row r="90">
          <cell r="C90">
            <v>5850</v>
          </cell>
          <cell r="E90">
            <v>7717.24</v>
          </cell>
        </row>
        <row r="91">
          <cell r="C91">
            <v>136431</v>
          </cell>
          <cell r="E91">
            <v>10322.44</v>
          </cell>
        </row>
        <row r="107">
          <cell r="F107">
            <v>1291482</v>
          </cell>
        </row>
        <row r="108">
          <cell r="F108">
            <v>1550175</v>
          </cell>
        </row>
        <row r="118">
          <cell r="D118">
            <v>98.462000000000003</v>
          </cell>
        </row>
        <row r="130">
          <cell r="F130">
            <v>77.421999999999997</v>
          </cell>
        </row>
        <row r="131">
          <cell r="F131">
            <v>75.688000000000002</v>
          </cell>
        </row>
        <row r="132">
          <cell r="F132">
            <v>78.753100000000003</v>
          </cell>
        </row>
        <row r="133">
          <cell r="F133">
            <v>82.652900000000002</v>
          </cell>
        </row>
        <row r="158">
          <cell r="B158">
            <v>169111</v>
          </cell>
        </row>
        <row r="168">
          <cell r="E168">
            <v>9454.2000000000007</v>
          </cell>
        </row>
        <row r="169">
          <cell r="E169">
            <v>9622</v>
          </cell>
        </row>
        <row r="170">
          <cell r="E170">
            <v>9113.76</v>
          </cell>
        </row>
        <row r="181">
          <cell r="C181">
            <v>391156</v>
          </cell>
          <cell r="E181">
            <v>8970.36</v>
          </cell>
        </row>
        <row r="182">
          <cell r="C182">
            <v>635</v>
          </cell>
          <cell r="E182">
            <v>4212.04</v>
          </cell>
        </row>
        <row r="183">
          <cell r="C183">
            <v>31</v>
          </cell>
          <cell r="E183">
            <v>2779.88</v>
          </cell>
        </row>
        <row r="184">
          <cell r="C184">
            <v>117563</v>
          </cell>
          <cell r="E184">
            <v>11093.52</v>
          </cell>
        </row>
        <row r="196">
          <cell r="C196">
            <v>391844</v>
          </cell>
          <cell r="E196">
            <v>8962.76</v>
          </cell>
        </row>
        <row r="197">
          <cell r="C197">
            <v>3279</v>
          </cell>
          <cell r="E197">
            <v>3782.2</v>
          </cell>
        </row>
        <row r="198">
          <cell r="C198">
            <v>114294</v>
          </cell>
          <cell r="E198">
            <v>11303.64</v>
          </cell>
        </row>
        <row r="209">
          <cell r="E209">
            <v>10257.36</v>
          </cell>
        </row>
        <row r="210">
          <cell r="C210">
            <v>251991</v>
          </cell>
          <cell r="E210">
            <v>9736.6</v>
          </cell>
        </row>
        <row r="211">
          <cell r="C211">
            <v>202</v>
          </cell>
          <cell r="E211">
            <v>6138.16</v>
          </cell>
        </row>
        <row r="212">
          <cell r="C212">
            <v>2</v>
          </cell>
          <cell r="E212">
            <v>5092</v>
          </cell>
        </row>
        <row r="213">
          <cell r="C213">
            <v>75872</v>
          </cell>
          <cell r="E213">
            <v>11997.68</v>
          </cell>
        </row>
        <row r="224">
          <cell r="E224">
            <v>7473.04</v>
          </cell>
        </row>
        <row r="225">
          <cell r="E225">
            <v>8019.96</v>
          </cell>
        </row>
        <row r="226">
          <cell r="E226">
            <v>6156.4</v>
          </cell>
        </row>
        <row r="260">
          <cell r="C260">
            <v>397709</v>
          </cell>
          <cell r="E260">
            <v>9737.0400000000009</v>
          </cell>
        </row>
        <row r="270">
          <cell r="B270">
            <v>506569</v>
          </cell>
        </row>
        <row r="271">
          <cell r="B271">
            <v>210426</v>
          </cell>
        </row>
      </sheetData>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1210-16H05S02-PROGRAM-INDICAT"/>
    </sheetNames>
    <sheetDataSet>
      <sheetData sheetId="0" refreshError="1">
        <row r="305">
          <cell r="N305">
            <v>690225</v>
          </cell>
        </row>
      </sheetData>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0911-10H02S57-PROGRAM-INDICAT"/>
    </sheetNames>
    <sheetDataSet>
      <sheetData sheetId="0">
        <row r="296">
          <cell r="N296">
            <v>685220</v>
          </cell>
        </row>
      </sheetData>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1210-15H25S00-PROGRAM-INDICAT"/>
    </sheetNames>
    <sheetDataSet>
      <sheetData sheetId="0">
        <row r="306">
          <cell r="N306">
            <v>682017</v>
          </cell>
        </row>
      </sheetData>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AUG2021_15h43m07s_m93urouINDI"/>
    </sheetNames>
    <sheetDataSet>
      <sheetData sheetId="0">
        <row r="310">
          <cell r="N310">
            <v>649198</v>
          </cell>
        </row>
      </sheetData>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0_4T"/>
    </sheetNames>
    <sheetDataSet>
      <sheetData sheetId="0">
        <row r="117">
          <cell r="E117">
            <v>9390.2615788666408</v>
          </cell>
        </row>
        <row r="118">
          <cell r="E118">
            <v>10152.918994801999</v>
          </cell>
        </row>
        <row r="119">
          <cell r="E119">
            <v>8685.0860178274397</v>
          </cell>
        </row>
        <row r="124">
          <cell r="E124">
            <v>9390.2615788666408</v>
          </cell>
        </row>
        <row r="125">
          <cell r="E125">
            <v>8716.4126320781197</v>
          </cell>
        </row>
        <row r="126">
          <cell r="E126">
            <v>3480.2672413793121</v>
          </cell>
        </row>
        <row r="127">
          <cell r="E127">
            <v>11532.38168854684</v>
          </cell>
        </row>
        <row r="128">
          <cell r="C128">
            <v>1836</v>
          </cell>
        </row>
        <row r="133">
          <cell r="C133">
            <v>658333</v>
          </cell>
          <cell r="E133">
            <v>9390.2615788666408</v>
          </cell>
        </row>
        <row r="134">
          <cell r="C134">
            <v>410238</v>
          </cell>
          <cell r="E134">
            <v>9130.4450782228796</v>
          </cell>
        </row>
        <row r="135">
          <cell r="C135">
            <v>57848</v>
          </cell>
          <cell r="E135">
            <v>5854.4086571705202</v>
          </cell>
        </row>
        <row r="136">
          <cell r="C136">
            <v>4229</v>
          </cell>
          <cell r="E136">
            <v>7671.6093639158398</v>
          </cell>
        </row>
        <row r="137">
          <cell r="C137">
            <v>185944</v>
          </cell>
          <cell r="E137">
            <v>11102.421847437919</v>
          </cell>
        </row>
        <row r="138">
          <cell r="C138">
            <v>74</v>
          </cell>
        </row>
      </sheetData>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1_1T"/>
    </sheetNames>
    <sheetDataSet>
      <sheetData sheetId="0">
        <row r="117">
          <cell r="E117">
            <v>9411.3771612353594</v>
          </cell>
        </row>
        <row r="118">
          <cell r="E118">
            <v>10178.816036509999</v>
          </cell>
        </row>
        <row r="119">
          <cell r="E119">
            <v>8698.317739176</v>
          </cell>
        </row>
        <row r="124">
          <cell r="E124">
            <v>9411.3771612353594</v>
          </cell>
        </row>
        <row r="125">
          <cell r="E125">
            <v>8739.9721215003192</v>
          </cell>
        </row>
        <row r="126">
          <cell r="E126">
            <v>3476.307406916656</v>
          </cell>
        </row>
        <row r="127">
          <cell r="E127">
            <v>11579.78095750896</v>
          </cell>
        </row>
        <row r="133">
          <cell r="E133">
            <v>9411.3771612353594</v>
          </cell>
        </row>
        <row r="134">
          <cell r="E134">
            <v>9153.6727073974798</v>
          </cell>
        </row>
        <row r="135">
          <cell r="E135">
            <v>5843.1002348981601</v>
          </cell>
        </row>
        <row r="136">
          <cell r="E136">
            <v>7646.38532110092</v>
          </cell>
        </row>
        <row r="137">
          <cell r="C137">
            <v>184029</v>
          </cell>
          <cell r="E137">
            <v>11131.031783034199</v>
          </cell>
        </row>
      </sheetData>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1_2T"/>
    </sheetNames>
    <sheetDataSet>
      <sheetData sheetId="0">
        <row r="117">
          <cell r="E117">
            <v>9404.5122026748795</v>
          </cell>
        </row>
        <row r="118">
          <cell r="E118">
            <v>10173.929225765</v>
          </cell>
        </row>
        <row r="119">
          <cell r="E119">
            <v>8688.07798590948</v>
          </cell>
        </row>
        <row r="124">
          <cell r="E124">
            <v>9404.5122026748795</v>
          </cell>
        </row>
        <row r="133">
          <cell r="E133">
            <v>9404.5122026748795</v>
          </cell>
        </row>
        <row r="137">
          <cell r="C137">
            <v>181854</v>
          </cell>
          <cell r="E137">
            <v>11118.69563495992</v>
          </cell>
        </row>
      </sheetData>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1_3T"/>
    </sheetNames>
    <sheetDataSet>
      <sheetData sheetId="0">
        <row r="133">
          <cell r="E133">
            <v>9412.0772751925197</v>
          </cell>
        </row>
        <row r="137">
          <cell r="C137">
            <v>180759</v>
          </cell>
          <cell r="E137">
            <v>11116.56800491264</v>
          </cell>
        </row>
      </sheetData>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0808-14H02S16-PROGRAM-TdB_STO"/>
    </sheetNames>
    <sheetDataSet>
      <sheetData sheetId="0">
        <row r="327">
          <cell r="D327">
            <v>2731.17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3_1T"/>
    </sheetNames>
    <sheetDataSet>
      <sheetData sheetId="0">
        <row r="9">
          <cell r="B9">
            <v>518784</v>
          </cell>
        </row>
        <row r="10">
          <cell r="B10">
            <v>642424</v>
          </cell>
        </row>
        <row r="11">
          <cell r="B11">
            <v>1161208</v>
          </cell>
        </row>
        <row r="16">
          <cell r="A16">
            <v>487125</v>
          </cell>
          <cell r="B16">
            <v>397</v>
          </cell>
          <cell r="C16">
            <v>5337</v>
          </cell>
          <cell r="D16">
            <v>3053</v>
          </cell>
        </row>
        <row r="21">
          <cell r="A21">
            <v>827223</v>
          </cell>
          <cell r="B21">
            <v>89742</v>
          </cell>
          <cell r="C21">
            <v>243999</v>
          </cell>
          <cell r="D21">
            <v>244</v>
          </cell>
        </row>
        <row r="26">
          <cell r="A26">
            <v>556758</v>
          </cell>
          <cell r="B26">
            <v>107083</v>
          </cell>
          <cell r="C26">
            <v>163382</v>
          </cell>
          <cell r="D26">
            <v>333742</v>
          </cell>
          <cell r="E26">
            <v>243</v>
          </cell>
        </row>
        <row r="31">
          <cell r="E31">
            <v>5675.5656553913204</v>
          </cell>
        </row>
        <row r="32">
          <cell r="E32">
            <v>6226.5729139158402</v>
          </cell>
        </row>
        <row r="33">
          <cell r="E33">
            <v>5230.6053198510799</v>
          </cell>
        </row>
        <row r="38">
          <cell r="E38">
            <v>5675.5656553913204</v>
          </cell>
        </row>
        <row r="39">
          <cell r="E39">
            <v>5266.0406674362002</v>
          </cell>
        </row>
        <row r="40">
          <cell r="E40">
            <v>936.53911181496005</v>
          </cell>
        </row>
        <row r="41">
          <cell r="E41">
            <v>8809.3729960987603</v>
          </cell>
        </row>
        <row r="47">
          <cell r="E47">
            <v>5675.5656553913204</v>
          </cell>
        </row>
        <row r="48">
          <cell r="E48">
            <v>6856.1004603444799</v>
          </cell>
        </row>
        <row r="49">
          <cell r="E49">
            <v>3979.7101687476079</v>
          </cell>
        </row>
        <row r="50">
          <cell r="E50">
            <v>690.67344015864796</v>
          </cell>
        </row>
        <row r="51">
          <cell r="E51">
            <v>6691.8197529828403</v>
          </cell>
        </row>
        <row r="57">
          <cell r="F57">
            <v>78.954773782796707</v>
          </cell>
        </row>
        <row r="58">
          <cell r="F58">
            <v>76.608638476089197</v>
          </cell>
        </row>
        <row r="59">
          <cell r="F59">
            <v>81.648439765351398</v>
          </cell>
        </row>
        <row r="60">
          <cell r="F60">
            <v>85.919130905156905</v>
          </cell>
        </row>
        <row r="81">
          <cell r="D81">
            <v>790896</v>
          </cell>
        </row>
        <row r="82">
          <cell r="D82">
            <v>1071464</v>
          </cell>
        </row>
        <row r="87">
          <cell r="D87">
            <v>94.583093785698793</v>
          </cell>
        </row>
        <row r="94">
          <cell r="A94">
            <v>16</v>
          </cell>
          <cell r="B94">
            <v>92</v>
          </cell>
          <cell r="C94">
            <v>152</v>
          </cell>
        </row>
        <row r="99">
          <cell r="C99">
            <v>260817</v>
          </cell>
          <cell r="E99">
            <v>11051.39668043112</v>
          </cell>
        </row>
        <row r="100">
          <cell r="C100">
            <v>169037</v>
          </cell>
          <cell r="E100">
            <v>10500.988067701161</v>
          </cell>
        </row>
        <row r="101">
          <cell r="C101">
            <v>9879</v>
          </cell>
          <cell r="E101">
            <v>8748.3563113675591</v>
          </cell>
        </row>
        <row r="102">
          <cell r="C102">
            <v>1644</v>
          </cell>
          <cell r="E102">
            <v>9866.0364963503598</v>
          </cell>
        </row>
        <row r="103">
          <cell r="C103">
            <v>80222</v>
          </cell>
          <cell r="E103">
            <v>12518.58587419912</v>
          </cell>
        </row>
        <row r="104">
          <cell r="C104">
            <v>35</v>
          </cell>
        </row>
        <row r="111">
          <cell r="B111">
            <v>311055</v>
          </cell>
        </row>
        <row r="112">
          <cell r="B112">
            <v>321495</v>
          </cell>
        </row>
        <row r="117">
          <cell r="E117">
            <v>10485.435642171</v>
          </cell>
        </row>
        <row r="118">
          <cell r="E118">
            <v>11492.42752362608</v>
          </cell>
        </row>
        <row r="119">
          <cell r="E119">
            <v>9511.1597030805606</v>
          </cell>
        </row>
        <row r="124">
          <cell r="E124">
            <v>10485.435642171</v>
          </cell>
        </row>
        <row r="125">
          <cell r="C125">
            <v>515564</v>
          </cell>
          <cell r="E125">
            <v>10088.726443273759</v>
          </cell>
        </row>
        <row r="126">
          <cell r="C126">
            <v>27588</v>
          </cell>
          <cell r="E126">
            <v>6682.1802232854798</v>
          </cell>
        </row>
        <row r="127">
          <cell r="C127">
            <v>89273</v>
          </cell>
          <cell r="E127">
            <v>13951.80500263236</v>
          </cell>
        </row>
        <row r="132">
          <cell r="E132">
            <v>10485.435642171</v>
          </cell>
        </row>
        <row r="133">
          <cell r="C133">
            <v>404982</v>
          </cell>
          <cell r="E133">
            <v>10345.34162999836</v>
          </cell>
        </row>
        <row r="134">
          <cell r="C134">
            <v>51846</v>
          </cell>
          <cell r="E134">
            <v>6706.4052771670003</v>
          </cell>
        </row>
        <row r="135">
          <cell r="C135">
            <v>3479</v>
          </cell>
          <cell r="E135">
            <v>8480.9129060074793</v>
          </cell>
        </row>
        <row r="136">
          <cell r="C136">
            <v>172044</v>
          </cell>
          <cell r="E136">
            <v>11994.812582827641</v>
          </cell>
        </row>
        <row r="142">
          <cell r="C142">
            <v>257678</v>
          </cell>
          <cell r="E142">
            <v>13173.88919504188</v>
          </cell>
        </row>
        <row r="143">
          <cell r="C143">
            <v>167628</v>
          </cell>
          <cell r="E143">
            <v>12877.7923497268</v>
          </cell>
        </row>
        <row r="144">
          <cell r="C144">
            <v>9463</v>
          </cell>
          <cell r="E144">
            <v>9158.0061291345191</v>
          </cell>
        </row>
        <row r="145">
          <cell r="C145">
            <v>1580</v>
          </cell>
          <cell r="E145">
            <v>10278.87088607596</v>
          </cell>
        </row>
        <row r="146">
          <cell r="C146">
            <v>78980</v>
          </cell>
          <cell r="E146">
            <v>14341.258749050399</v>
          </cell>
        </row>
        <row r="147">
          <cell r="C147">
            <v>27</v>
          </cell>
        </row>
        <row r="152">
          <cell r="C152">
            <v>237598</v>
          </cell>
          <cell r="D152">
            <v>138.879400387121</v>
          </cell>
        </row>
        <row r="159">
          <cell r="C159">
            <v>556756</v>
          </cell>
          <cell r="E159">
            <v>9475.0112868114393</v>
          </cell>
        </row>
        <row r="160">
          <cell r="C160">
            <v>390470</v>
          </cell>
          <cell r="E160">
            <v>10286.142494942</v>
          </cell>
        </row>
        <row r="161">
          <cell r="C161">
            <v>166286</v>
          </cell>
          <cell r="E161">
            <v>7570.3265698856403</v>
          </cell>
        </row>
        <row r="183">
          <cell r="C183">
            <v>399433</v>
          </cell>
          <cell r="E183">
            <v>13308.400868230719</v>
          </cell>
        </row>
        <row r="184">
          <cell r="C184">
            <v>267275</v>
          </cell>
          <cell r="E184">
            <v>13086.78748105884</v>
          </cell>
        </row>
        <row r="298">
          <cell r="D298">
            <v>260817</v>
          </cell>
          <cell r="E298">
            <v>2762.8491701077801</v>
          </cell>
        </row>
        <row r="299">
          <cell r="D299">
            <v>180571</v>
          </cell>
          <cell r="E299">
            <v>2600.0715231127901</v>
          </cell>
        </row>
        <row r="300">
          <cell r="D300">
            <v>80225</v>
          </cell>
          <cell r="E300">
            <v>3129.95346837021</v>
          </cell>
        </row>
        <row r="320">
          <cell r="B320">
            <v>69870</v>
          </cell>
          <cell r="C320">
            <v>110333</v>
          </cell>
          <cell r="D320">
            <v>180203</v>
          </cell>
        </row>
        <row r="331">
          <cell r="B331">
            <v>163538</v>
          </cell>
          <cell r="C331">
            <v>43273</v>
          </cell>
          <cell r="D331">
            <v>206811</v>
          </cell>
        </row>
        <row r="425">
          <cell r="C425">
            <v>67593</v>
          </cell>
        </row>
        <row r="433">
          <cell r="D433">
            <v>27.895168900000002</v>
          </cell>
        </row>
        <row r="434">
          <cell r="D434">
            <v>76.673722699999999</v>
          </cell>
        </row>
        <row r="442">
          <cell r="D442">
            <v>118.7049873</v>
          </cell>
        </row>
        <row r="443">
          <cell r="D443">
            <v>109.4659224</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919-14H22S23-PROGRAM-TdB_STO"/>
    </sheetNames>
    <sheetDataSet>
      <sheetData sheetId="0">
        <row r="4">
          <cell r="B4">
            <v>700346</v>
          </cell>
        </row>
        <row r="5">
          <cell r="B5">
            <v>936041</v>
          </cell>
        </row>
        <row r="6">
          <cell r="B6">
            <v>1636387</v>
          </cell>
        </row>
        <row r="16">
          <cell r="A16">
            <v>1170601</v>
          </cell>
          <cell r="B16">
            <v>102019</v>
          </cell>
          <cell r="C16">
            <v>363485</v>
          </cell>
          <cell r="D16">
            <v>282</v>
          </cell>
        </row>
        <row r="26">
          <cell r="A26">
            <v>709755</v>
          </cell>
          <cell r="B26">
            <v>183461</v>
          </cell>
          <cell r="C26">
            <v>277386</v>
          </cell>
          <cell r="D26">
            <v>465504</v>
          </cell>
          <cell r="E26">
            <v>281</v>
          </cell>
        </row>
        <row r="36">
          <cell r="A36">
            <v>2760</v>
          </cell>
          <cell r="B36">
            <v>11</v>
          </cell>
          <cell r="C36">
            <v>3800</v>
          </cell>
          <cell r="D36">
            <v>144</v>
          </cell>
          <cell r="E36">
            <v>5</v>
          </cell>
        </row>
        <row r="46">
          <cell r="E46">
            <v>5111.68</v>
          </cell>
        </row>
        <row r="47">
          <cell r="E47">
            <v>5429.12</v>
          </cell>
        </row>
        <row r="48">
          <cell r="E48">
            <v>4874.16</v>
          </cell>
        </row>
        <row r="59">
          <cell r="E59">
            <v>6315.36</v>
          </cell>
        </row>
        <row r="60">
          <cell r="E60">
            <v>4118.8</v>
          </cell>
        </row>
        <row r="61">
          <cell r="E61">
            <v>751.32</v>
          </cell>
        </row>
        <row r="62">
          <cell r="E62">
            <v>6265.48</v>
          </cell>
        </row>
        <row r="74">
          <cell r="E74">
            <v>4653.12</v>
          </cell>
        </row>
        <row r="75">
          <cell r="E75">
            <v>1322.56</v>
          </cell>
        </row>
        <row r="76">
          <cell r="E76">
            <v>7653.68</v>
          </cell>
        </row>
        <row r="87">
          <cell r="E87">
            <v>9038.56</v>
          </cell>
        </row>
        <row r="88">
          <cell r="C88">
            <v>295383</v>
          </cell>
          <cell r="E88">
            <v>8667.76</v>
          </cell>
        </row>
        <row r="89">
          <cell r="C89">
            <v>40279</v>
          </cell>
          <cell r="E89">
            <v>6732.28</v>
          </cell>
        </row>
        <row r="90">
          <cell r="C90">
            <v>5748</v>
          </cell>
          <cell r="E90">
            <v>8053.08</v>
          </cell>
        </row>
        <row r="91">
          <cell r="C91">
            <v>135183</v>
          </cell>
          <cell r="E91">
            <v>10577.2</v>
          </cell>
        </row>
        <row r="107">
          <cell r="F107">
            <v>1284683</v>
          </cell>
        </row>
        <row r="108">
          <cell r="F108">
            <v>1534366</v>
          </cell>
        </row>
        <row r="118">
          <cell r="D118">
            <v>98.311999999999998</v>
          </cell>
        </row>
        <row r="130">
          <cell r="F130">
            <v>77.500799999999998</v>
          </cell>
        </row>
        <row r="131">
          <cell r="F131">
            <v>75.758799999999994</v>
          </cell>
        </row>
        <row r="132">
          <cell r="F132">
            <v>78.819800000000001</v>
          </cell>
        </row>
        <row r="133">
          <cell r="F133">
            <v>82.7376</v>
          </cell>
        </row>
        <row r="158">
          <cell r="B158">
            <v>170181</v>
          </cell>
        </row>
        <row r="168">
          <cell r="E168">
            <v>9654.16</v>
          </cell>
        </row>
        <row r="169">
          <cell r="E169">
            <v>9824.24</v>
          </cell>
        </row>
        <row r="170">
          <cell r="E170">
            <v>9314.64</v>
          </cell>
        </row>
        <row r="181">
          <cell r="C181">
            <v>388288</v>
          </cell>
          <cell r="E181">
            <v>9156.0400000000009</v>
          </cell>
        </row>
        <row r="182">
          <cell r="C182">
            <v>812</v>
          </cell>
          <cell r="E182">
            <v>4191.16</v>
          </cell>
        </row>
        <row r="183">
          <cell r="C183">
            <v>40</v>
          </cell>
          <cell r="E183">
            <v>2733.12</v>
          </cell>
        </row>
        <row r="184">
          <cell r="C184">
            <v>118520</v>
          </cell>
          <cell r="E184">
            <v>11325.24</v>
          </cell>
        </row>
        <row r="196">
          <cell r="C196">
            <v>389180</v>
          </cell>
          <cell r="E196">
            <v>9145.2000000000007</v>
          </cell>
        </row>
        <row r="197">
          <cell r="C197">
            <v>3364</v>
          </cell>
          <cell r="E197">
            <v>3861.96</v>
          </cell>
        </row>
        <row r="198">
          <cell r="C198">
            <v>115167</v>
          </cell>
          <cell r="E198">
            <v>11543.4</v>
          </cell>
        </row>
        <row r="209">
          <cell r="E209">
            <v>10493.04</v>
          </cell>
        </row>
        <row r="210">
          <cell r="C210">
            <v>249310</v>
          </cell>
          <cell r="E210">
            <v>9957.0400000000009</v>
          </cell>
        </row>
        <row r="211">
          <cell r="C211">
            <v>236</v>
          </cell>
          <cell r="E211">
            <v>6170.12</v>
          </cell>
        </row>
        <row r="212">
          <cell r="C212">
            <v>10</v>
          </cell>
          <cell r="E212">
            <v>5266.4</v>
          </cell>
        </row>
        <row r="213">
          <cell r="C213">
            <v>76139</v>
          </cell>
          <cell r="E213">
            <v>12261.88</v>
          </cell>
        </row>
        <row r="224">
          <cell r="E224">
            <v>7628.96</v>
          </cell>
        </row>
        <row r="225">
          <cell r="E225">
            <v>8188.04</v>
          </cell>
        </row>
        <row r="226">
          <cell r="E226">
            <v>6287.92</v>
          </cell>
        </row>
        <row r="260">
          <cell r="C260">
            <v>392836</v>
          </cell>
          <cell r="E260">
            <v>9955.76</v>
          </cell>
        </row>
        <row r="270">
          <cell r="B270">
            <v>500932</v>
          </cell>
        </row>
        <row r="271">
          <cell r="B271">
            <v>208823</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1105-15H12S18-PROGRAM-TdB_STO"/>
    </sheetNames>
    <sheetDataSet>
      <sheetData sheetId="0">
        <row r="4">
          <cell r="B4">
            <v>693121</v>
          </cell>
        </row>
        <row r="5">
          <cell r="B5">
            <v>928173</v>
          </cell>
        </row>
        <row r="6">
          <cell r="B6">
            <v>1621294</v>
          </cell>
        </row>
        <row r="16">
          <cell r="A16">
            <v>1157232</v>
          </cell>
          <cell r="B16">
            <v>102111</v>
          </cell>
          <cell r="C16">
            <v>361666</v>
          </cell>
          <cell r="D16">
            <v>285</v>
          </cell>
        </row>
        <row r="26">
          <cell r="A26">
            <v>702259</v>
          </cell>
          <cell r="B26">
            <v>180510</v>
          </cell>
          <cell r="C26">
            <v>274464</v>
          </cell>
          <cell r="D26">
            <v>463777</v>
          </cell>
          <cell r="E26">
            <v>284</v>
          </cell>
        </row>
        <row r="36">
          <cell r="A36">
            <v>2110</v>
          </cell>
          <cell r="B36">
            <v>7</v>
          </cell>
          <cell r="C36">
            <v>636</v>
          </cell>
          <cell r="D36">
            <v>107</v>
          </cell>
          <cell r="E36">
            <v>0</v>
          </cell>
        </row>
        <row r="46">
          <cell r="E46">
            <v>5106.88</v>
          </cell>
        </row>
        <row r="47">
          <cell r="E47">
            <v>5427.4</v>
          </cell>
        </row>
        <row r="48">
          <cell r="E48">
            <v>4867.5200000000004</v>
          </cell>
        </row>
        <row r="59">
          <cell r="E59">
            <v>6310.76</v>
          </cell>
        </row>
        <row r="60">
          <cell r="E60">
            <v>4105.72</v>
          </cell>
        </row>
        <row r="61">
          <cell r="E61">
            <v>744.56</v>
          </cell>
        </row>
        <row r="62">
          <cell r="E62">
            <v>6254.76</v>
          </cell>
        </row>
        <row r="74">
          <cell r="E74">
            <v>4646.88</v>
          </cell>
        </row>
        <row r="75">
          <cell r="E75">
            <v>1300.3599999999999</v>
          </cell>
        </row>
        <row r="76">
          <cell r="E76">
            <v>7654.24</v>
          </cell>
        </row>
        <row r="87">
          <cell r="E87">
            <v>9052.1200000000008</v>
          </cell>
        </row>
        <row r="88">
          <cell r="C88">
            <v>291901</v>
          </cell>
          <cell r="E88">
            <v>8675.32</v>
          </cell>
        </row>
        <row r="89">
          <cell r="C89">
            <v>39259</v>
          </cell>
          <cell r="E89">
            <v>6732.84</v>
          </cell>
        </row>
        <row r="90">
          <cell r="C90">
            <v>5649</v>
          </cell>
          <cell r="E90">
            <v>7996.72</v>
          </cell>
        </row>
        <row r="91">
          <cell r="C91">
            <v>134360</v>
          </cell>
          <cell r="E91">
            <v>10592.28</v>
          </cell>
        </row>
        <row r="107">
          <cell r="F107">
            <v>1276884</v>
          </cell>
        </row>
        <row r="108">
          <cell r="F108">
            <v>1519181</v>
          </cell>
        </row>
        <row r="118">
          <cell r="D118">
            <v>98.197000000000003</v>
          </cell>
        </row>
        <row r="130">
          <cell r="F130">
            <v>77.613500000000002</v>
          </cell>
        </row>
        <row r="131">
          <cell r="F131">
            <v>75.868799999999993</v>
          </cell>
        </row>
        <row r="132">
          <cell r="F132">
            <v>78.875699999999995</v>
          </cell>
        </row>
        <row r="133">
          <cell r="F133">
            <v>82.838999999999999</v>
          </cell>
        </row>
        <row r="158">
          <cell r="B158">
            <v>171260</v>
          </cell>
        </row>
        <row r="168">
          <cell r="E168">
            <v>9652.36</v>
          </cell>
        </row>
        <row r="169">
          <cell r="E169">
            <v>9823.2800000000007</v>
          </cell>
        </row>
        <row r="170">
          <cell r="E170">
            <v>9316.24</v>
          </cell>
        </row>
        <row r="181">
          <cell r="C181">
            <v>385056</v>
          </cell>
          <cell r="E181">
            <v>9150.16</v>
          </cell>
        </row>
        <row r="182">
          <cell r="C182">
            <v>895</v>
          </cell>
          <cell r="E182">
            <v>4355.3999999999996</v>
          </cell>
        </row>
        <row r="183">
          <cell r="C183">
            <v>44</v>
          </cell>
          <cell r="E183">
            <v>2762</v>
          </cell>
        </row>
        <row r="184">
          <cell r="C184">
            <v>119789</v>
          </cell>
          <cell r="E184">
            <v>11308.2</v>
          </cell>
        </row>
        <row r="196">
          <cell r="C196">
            <v>386038</v>
          </cell>
          <cell r="E196">
            <v>9138.48</v>
          </cell>
        </row>
        <row r="197">
          <cell r="C197">
            <v>3508</v>
          </cell>
          <cell r="E197">
            <v>3832.88</v>
          </cell>
        </row>
        <row r="198">
          <cell r="C198">
            <v>116291</v>
          </cell>
          <cell r="E198">
            <v>11533.84</v>
          </cell>
        </row>
        <row r="209">
          <cell r="E209">
            <v>10505.72</v>
          </cell>
        </row>
        <row r="210">
          <cell r="C210">
            <v>246608</v>
          </cell>
          <cell r="E210">
            <v>9964.08</v>
          </cell>
        </row>
        <row r="211">
          <cell r="C211">
            <v>262</v>
          </cell>
          <cell r="E211">
            <v>6305.6</v>
          </cell>
        </row>
        <row r="212">
          <cell r="C212">
            <v>10</v>
          </cell>
          <cell r="E212">
            <v>5422.4</v>
          </cell>
        </row>
        <row r="213">
          <cell r="C213">
            <v>76666</v>
          </cell>
          <cell r="E213">
            <v>12262.64</v>
          </cell>
        </row>
        <row r="224">
          <cell r="E224">
            <v>7624.16</v>
          </cell>
        </row>
        <row r="225">
          <cell r="E225">
            <v>8184.96</v>
          </cell>
        </row>
        <row r="226">
          <cell r="E226">
            <v>6281.04</v>
          </cell>
        </row>
        <row r="260">
          <cell r="C260">
            <v>388040</v>
          </cell>
          <cell r="E260">
            <v>9962</v>
          </cell>
        </row>
        <row r="270">
          <cell r="B270">
            <v>495413</v>
          </cell>
        </row>
        <row r="271">
          <cell r="B271">
            <v>206846</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2_4T"/>
    </sheetNames>
    <sheetDataSet>
      <sheetData sheetId="0">
        <row r="4">
          <cell r="B4">
            <v>687693</v>
          </cell>
        </row>
        <row r="5">
          <cell r="B5">
            <v>922149</v>
          </cell>
        </row>
        <row r="6">
          <cell r="B6">
            <v>1609842</v>
          </cell>
        </row>
        <row r="16">
          <cell r="A16">
            <v>1147131</v>
          </cell>
          <cell r="B16">
            <v>102073</v>
          </cell>
          <cell r="C16">
            <v>360355</v>
          </cell>
          <cell r="D16">
            <v>283</v>
          </cell>
        </row>
        <row r="26">
          <cell r="A26">
            <v>697136</v>
          </cell>
          <cell r="B26">
            <v>178078</v>
          </cell>
          <cell r="C26">
            <v>271918</v>
          </cell>
          <cell r="D26">
            <v>462428</v>
          </cell>
          <cell r="E26">
            <v>282</v>
          </cell>
        </row>
        <row r="36">
          <cell r="A36">
            <v>2834</v>
          </cell>
          <cell r="B36">
            <v>4</v>
          </cell>
          <cell r="C36">
            <v>157</v>
          </cell>
          <cell r="D36">
            <v>97</v>
          </cell>
          <cell r="E36">
            <v>2</v>
          </cell>
        </row>
        <row r="46">
          <cell r="E46">
            <v>5106.96</v>
          </cell>
        </row>
        <row r="47">
          <cell r="E47">
            <v>5431.04</v>
          </cell>
        </row>
        <row r="48">
          <cell r="E48">
            <v>4865.28</v>
          </cell>
        </row>
        <row r="59">
          <cell r="E59">
            <v>6307.28</v>
          </cell>
        </row>
        <row r="60">
          <cell r="E60">
            <v>4090.56</v>
          </cell>
        </row>
        <row r="61">
          <cell r="E61">
            <v>741.24</v>
          </cell>
        </row>
        <row r="62">
          <cell r="E62">
            <v>6255.12</v>
          </cell>
        </row>
        <row r="74">
          <cell r="E74">
            <v>4643.92</v>
          </cell>
        </row>
        <row r="75">
          <cell r="E75">
            <v>1282.96</v>
          </cell>
        </row>
        <row r="76">
          <cell r="E76">
            <v>7664.32</v>
          </cell>
        </row>
        <row r="87">
          <cell r="E87">
            <v>9067.68</v>
          </cell>
        </row>
        <row r="88">
          <cell r="C88">
            <v>289507</v>
          </cell>
          <cell r="E88">
            <v>8683.2000000000007</v>
          </cell>
        </row>
        <row r="89">
          <cell r="C89">
            <v>38323</v>
          </cell>
          <cell r="E89">
            <v>6733.28</v>
          </cell>
        </row>
        <row r="90">
          <cell r="C90">
            <v>5567</v>
          </cell>
          <cell r="E90">
            <v>7996.52</v>
          </cell>
        </row>
        <row r="91">
          <cell r="C91">
            <v>133818</v>
          </cell>
          <cell r="E91">
            <v>10611.92</v>
          </cell>
        </row>
        <row r="107">
          <cell r="F107">
            <v>1271729</v>
          </cell>
        </row>
        <row r="108">
          <cell r="F108">
            <v>1507769</v>
          </cell>
        </row>
        <row r="118">
          <cell r="D118">
            <v>98.122</v>
          </cell>
        </row>
        <row r="130">
          <cell r="F130">
            <v>77.705399999999997</v>
          </cell>
        </row>
        <row r="131">
          <cell r="F131">
            <v>75.948800000000006</v>
          </cell>
        </row>
        <row r="132">
          <cell r="F132">
            <v>78.9375</v>
          </cell>
        </row>
        <row r="133">
          <cell r="F133">
            <v>82.947999999999993</v>
          </cell>
        </row>
        <row r="158">
          <cell r="B158">
            <v>172922</v>
          </cell>
        </row>
        <row r="168">
          <cell r="E168">
            <v>9647.76</v>
          </cell>
        </row>
        <row r="169">
          <cell r="E169">
            <v>9823.48</v>
          </cell>
        </row>
        <row r="170">
          <cell r="E170">
            <v>9307.48</v>
          </cell>
        </row>
        <row r="181">
          <cell r="C181">
            <v>383534</v>
          </cell>
          <cell r="E181">
            <v>9139.64</v>
          </cell>
        </row>
        <row r="182">
          <cell r="C182">
            <v>1024</v>
          </cell>
          <cell r="E182">
            <v>4362.3599999999997</v>
          </cell>
        </row>
        <row r="183">
          <cell r="C183">
            <v>52</v>
          </cell>
          <cell r="E183">
            <v>3236.16</v>
          </cell>
        </row>
        <row r="184">
          <cell r="C184">
            <v>121049</v>
          </cell>
          <cell r="E184">
            <v>11303.2</v>
          </cell>
        </row>
        <row r="196">
          <cell r="C196">
            <v>384654</v>
          </cell>
          <cell r="E196">
            <v>9126.36</v>
          </cell>
        </row>
        <row r="197">
          <cell r="C197">
            <v>3628</v>
          </cell>
          <cell r="E197">
            <v>3830.16</v>
          </cell>
        </row>
        <row r="198">
          <cell r="C198">
            <v>117434</v>
          </cell>
          <cell r="E198">
            <v>11535.48</v>
          </cell>
        </row>
        <row r="209">
          <cell r="E209">
            <v>10517.32</v>
          </cell>
        </row>
        <row r="210">
          <cell r="C210">
            <v>244861</v>
          </cell>
          <cell r="E210">
            <v>9969.92</v>
          </cell>
        </row>
        <row r="211">
          <cell r="C211">
            <v>297</v>
          </cell>
          <cell r="E211">
            <v>6357.52</v>
          </cell>
        </row>
        <row r="212">
          <cell r="C212">
            <v>14</v>
          </cell>
          <cell r="E212">
            <v>6217.72</v>
          </cell>
        </row>
        <row r="213">
          <cell r="C213">
            <v>77210</v>
          </cell>
          <cell r="E213">
            <v>12269.68</v>
          </cell>
        </row>
        <row r="224">
          <cell r="E224">
            <v>7619.04</v>
          </cell>
        </row>
        <row r="225">
          <cell r="E225">
            <v>8183.68</v>
          </cell>
        </row>
        <row r="226">
          <cell r="E226">
            <v>6270.32</v>
          </cell>
        </row>
        <row r="260">
          <cell r="C260">
            <v>384560</v>
          </cell>
          <cell r="E260">
            <v>9968.48</v>
          </cell>
        </row>
        <row r="270">
          <cell r="B270">
            <v>491415</v>
          </cell>
        </row>
        <row r="271">
          <cell r="B271">
            <v>205721</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3_1T"/>
      <sheetName val="SAS_NSA_2013_T"/>
      <sheetName val="SAS_NSA_2013_2T"/>
    </sheetNames>
    <sheetDataSet>
      <sheetData sheetId="0">
        <row r="4">
          <cell r="B4">
            <v>683165</v>
          </cell>
        </row>
        <row r="5">
          <cell r="B5">
            <v>916041</v>
          </cell>
        </row>
        <row r="6">
          <cell r="B6">
            <v>1599206</v>
          </cell>
        </row>
        <row r="16">
          <cell r="A16">
            <v>1139101</v>
          </cell>
          <cell r="B16">
            <v>101784</v>
          </cell>
          <cell r="C16">
            <v>358046</v>
          </cell>
          <cell r="D16">
            <v>275</v>
          </cell>
        </row>
        <row r="26">
          <cell r="A26">
            <v>693738</v>
          </cell>
          <cell r="B26">
            <v>176067</v>
          </cell>
          <cell r="C26">
            <v>269297</v>
          </cell>
          <cell r="D26">
            <v>459830</v>
          </cell>
          <cell r="E26">
            <v>274</v>
          </cell>
        </row>
        <row r="36">
          <cell r="A36">
            <v>720279</v>
          </cell>
          <cell r="B36">
            <v>1311</v>
          </cell>
          <cell r="C36">
            <v>28496</v>
          </cell>
          <cell r="D36">
            <v>2283</v>
          </cell>
        </row>
        <row r="46">
          <cell r="E46">
            <v>5103.04</v>
          </cell>
        </row>
        <row r="47">
          <cell r="E47">
            <v>5431.64</v>
          </cell>
        </row>
        <row r="48">
          <cell r="E48">
            <v>4858</v>
          </cell>
        </row>
        <row r="59">
          <cell r="E59">
            <v>6298.16</v>
          </cell>
        </row>
        <row r="60">
          <cell r="E60">
            <v>4068.16</v>
          </cell>
        </row>
        <row r="61">
          <cell r="E61">
            <v>735.88</v>
          </cell>
        </row>
        <row r="62">
          <cell r="E62">
            <v>6253.52</v>
          </cell>
        </row>
        <row r="74">
          <cell r="E74">
            <v>4638.84</v>
          </cell>
        </row>
        <row r="75">
          <cell r="E75">
            <v>1264.72</v>
          </cell>
        </row>
        <row r="76">
          <cell r="E76">
            <v>7672.28</v>
          </cell>
        </row>
        <row r="87">
          <cell r="E87">
            <v>9075.16</v>
          </cell>
        </row>
        <row r="88">
          <cell r="C88">
            <v>287883</v>
          </cell>
          <cell r="E88">
            <v>8683.48</v>
          </cell>
        </row>
        <row r="89">
          <cell r="C89">
            <v>37449</v>
          </cell>
          <cell r="E89">
            <v>6729.44</v>
          </cell>
        </row>
        <row r="90">
          <cell r="C90">
            <v>5472</v>
          </cell>
          <cell r="E90">
            <v>7992.44</v>
          </cell>
        </row>
        <row r="91">
          <cell r="C91">
            <v>132803</v>
          </cell>
          <cell r="E91">
            <v>10629.92</v>
          </cell>
        </row>
        <row r="107">
          <cell r="F107">
            <v>1268203</v>
          </cell>
        </row>
        <row r="108">
          <cell r="F108">
            <v>1497419</v>
          </cell>
        </row>
        <row r="118">
          <cell r="D118">
            <v>98.039000000000001</v>
          </cell>
        </row>
        <row r="130">
          <cell r="F130">
            <v>77.772599999999997</v>
          </cell>
        </row>
        <row r="131">
          <cell r="F131">
            <v>75.996799999999993</v>
          </cell>
        </row>
        <row r="132">
          <cell r="F132">
            <v>79.049899999999994</v>
          </cell>
        </row>
        <row r="133">
          <cell r="F133">
            <v>83.058099999999996</v>
          </cell>
        </row>
        <row r="158">
          <cell r="B158">
            <v>175433</v>
          </cell>
        </row>
        <row r="168">
          <cell r="E168">
            <v>9643.4</v>
          </cell>
        </row>
        <row r="169">
          <cell r="E169">
            <v>9831.84</v>
          </cell>
        </row>
        <row r="170">
          <cell r="E170">
            <v>9284.08</v>
          </cell>
        </row>
        <row r="181">
          <cell r="C181">
            <v>383672</v>
          </cell>
          <cell r="E181">
            <v>9133.08</v>
          </cell>
        </row>
        <row r="182">
          <cell r="C182">
            <v>1293</v>
          </cell>
          <cell r="E182">
            <v>4154.72</v>
          </cell>
        </row>
        <row r="183">
          <cell r="C183">
            <v>54</v>
          </cell>
          <cell r="E183">
            <v>2977.2</v>
          </cell>
        </row>
        <row r="184">
          <cell r="C184">
            <v>122020</v>
          </cell>
          <cell r="E184">
            <v>11308.48</v>
          </cell>
        </row>
        <row r="196">
          <cell r="C196">
            <v>385032</v>
          </cell>
          <cell r="E196">
            <v>9116.44</v>
          </cell>
        </row>
        <row r="197">
          <cell r="C197">
            <v>3747</v>
          </cell>
          <cell r="E197">
            <v>3802.32</v>
          </cell>
        </row>
        <row r="198">
          <cell r="C198">
            <v>118271</v>
          </cell>
          <cell r="E198">
            <v>11547.56</v>
          </cell>
        </row>
        <row r="209">
          <cell r="E209">
            <v>10536.96</v>
          </cell>
        </row>
        <row r="210">
          <cell r="C210">
            <v>243984</v>
          </cell>
          <cell r="E210">
            <v>9986.2000000000007</v>
          </cell>
        </row>
        <row r="211">
          <cell r="C211">
            <v>358</v>
          </cell>
          <cell r="E211">
            <v>6056.08</v>
          </cell>
        </row>
        <row r="212">
          <cell r="C212">
            <v>15</v>
          </cell>
          <cell r="E212">
            <v>5989.88</v>
          </cell>
        </row>
        <row r="213">
          <cell r="C213">
            <v>77474</v>
          </cell>
          <cell r="E213">
            <v>12292.52</v>
          </cell>
        </row>
        <row r="224">
          <cell r="E224">
            <v>7618.52</v>
          </cell>
        </row>
        <row r="225">
          <cell r="E225">
            <v>8190.72</v>
          </cell>
        </row>
        <row r="226">
          <cell r="E226">
            <v>6257.08</v>
          </cell>
        </row>
        <row r="260">
          <cell r="C260">
            <v>381950</v>
          </cell>
          <cell r="E260">
            <v>9984.2800000000007</v>
          </cell>
        </row>
        <row r="270">
          <cell r="B270">
            <v>488446</v>
          </cell>
        </row>
        <row r="271">
          <cell r="B271">
            <v>205292</v>
          </cell>
        </row>
      </sheetData>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3_2T"/>
    </sheetNames>
    <sheetDataSet>
      <sheetData sheetId="0">
        <row r="4">
          <cell r="B4">
            <v>675979</v>
          </cell>
        </row>
        <row r="5">
          <cell r="B5">
            <v>907346</v>
          </cell>
        </row>
        <row r="6">
          <cell r="B6">
            <v>1583325</v>
          </cell>
        </row>
        <row r="16">
          <cell r="A16">
            <v>1127323</v>
          </cell>
          <cell r="B16">
            <v>101243</v>
          </cell>
          <cell r="C16">
            <v>354487</v>
          </cell>
          <cell r="D16">
            <v>272</v>
          </cell>
        </row>
        <row r="26">
          <cell r="A26">
            <v>687370</v>
          </cell>
          <cell r="B26">
            <v>173783</v>
          </cell>
          <cell r="C26">
            <v>266171</v>
          </cell>
          <cell r="D26">
            <v>455730</v>
          </cell>
          <cell r="E26">
            <v>271</v>
          </cell>
        </row>
        <row r="36">
          <cell r="A36">
            <v>712691</v>
          </cell>
          <cell r="B36">
            <v>1286</v>
          </cell>
          <cell r="C36">
            <v>27989</v>
          </cell>
          <cell r="D36">
            <v>2342</v>
          </cell>
        </row>
        <row r="46">
          <cell r="E46">
            <v>5165.08</v>
          </cell>
        </row>
        <row r="47">
          <cell r="E47">
            <v>5501.28</v>
          </cell>
        </row>
        <row r="48">
          <cell r="E48">
            <v>4914.6000000000004</v>
          </cell>
        </row>
        <row r="59">
          <cell r="E59">
            <v>6374.08</v>
          </cell>
        </row>
        <row r="60">
          <cell r="E60">
            <v>4099.72</v>
          </cell>
        </row>
        <row r="61">
          <cell r="E61">
            <v>741.4</v>
          </cell>
        </row>
        <row r="62">
          <cell r="E62">
            <v>6331.12</v>
          </cell>
        </row>
        <row r="74">
          <cell r="E74">
            <v>4693.68</v>
          </cell>
        </row>
        <row r="75">
          <cell r="E75">
            <v>1259.96</v>
          </cell>
        </row>
        <row r="76">
          <cell r="E76">
            <v>7779.84</v>
          </cell>
        </row>
        <row r="87">
          <cell r="E87">
            <v>9207.84</v>
          </cell>
        </row>
        <row r="88">
          <cell r="C88">
            <v>284802</v>
          </cell>
          <cell r="E88">
            <v>8806.68</v>
          </cell>
        </row>
        <row r="89">
          <cell r="C89">
            <v>36508</v>
          </cell>
          <cell r="E89">
            <v>6810.88</v>
          </cell>
        </row>
        <row r="90">
          <cell r="C90">
            <v>5358</v>
          </cell>
          <cell r="E90">
            <v>8111.16</v>
          </cell>
        </row>
        <row r="91">
          <cell r="C91">
            <v>131327</v>
          </cell>
          <cell r="E91">
            <v>10788.6</v>
          </cell>
        </row>
        <row r="107">
          <cell r="F107">
            <v>1260877</v>
          </cell>
        </row>
        <row r="108">
          <cell r="F108">
            <v>1482081</v>
          </cell>
        </row>
        <row r="118">
          <cell r="D118">
            <v>97.902000000000001</v>
          </cell>
        </row>
        <row r="130">
          <cell r="F130">
            <v>77.835700000000003</v>
          </cell>
        </row>
        <row r="131">
          <cell r="F131">
            <v>76.051400000000001</v>
          </cell>
        </row>
        <row r="132">
          <cell r="F132">
            <v>79.123599999999996</v>
          </cell>
        </row>
        <row r="133">
          <cell r="F133">
            <v>83.141800000000003</v>
          </cell>
        </row>
        <row r="158">
          <cell r="B158">
            <v>176464</v>
          </cell>
        </row>
        <row r="168">
          <cell r="E168">
            <v>9749.68</v>
          </cell>
        </row>
        <row r="169">
          <cell r="E169">
            <v>9943.48</v>
          </cell>
        </row>
        <row r="170">
          <cell r="E170">
            <v>9385.6</v>
          </cell>
        </row>
        <row r="181">
          <cell r="C181">
            <v>381478</v>
          </cell>
          <cell r="E181">
            <v>9228.9599999999991</v>
          </cell>
        </row>
        <row r="182">
          <cell r="C182">
            <v>1512</v>
          </cell>
          <cell r="E182">
            <v>4134.2</v>
          </cell>
        </row>
        <row r="183">
          <cell r="C183">
            <v>68</v>
          </cell>
          <cell r="E183">
            <v>3295.36</v>
          </cell>
        </row>
        <row r="184">
          <cell r="C184">
            <v>122614</v>
          </cell>
          <cell r="E184">
            <v>11442</v>
          </cell>
        </row>
        <row r="196">
          <cell r="C196">
            <v>383100</v>
          </cell>
          <cell r="E196">
            <v>9207.9599999999991</v>
          </cell>
        </row>
        <row r="197">
          <cell r="C197">
            <v>3819</v>
          </cell>
          <cell r="E197">
            <v>3827.28</v>
          </cell>
        </row>
        <row r="198">
          <cell r="C198">
            <v>118805</v>
          </cell>
          <cell r="E198">
            <v>11686.92</v>
          </cell>
        </row>
        <row r="209">
          <cell r="E209">
            <v>10674.16</v>
          </cell>
        </row>
        <row r="210">
          <cell r="C210">
            <v>241688</v>
          </cell>
          <cell r="E210">
            <v>10112.24</v>
          </cell>
        </row>
        <row r="211">
          <cell r="C211">
            <v>415</v>
          </cell>
          <cell r="E211">
            <v>6010.2</v>
          </cell>
        </row>
        <row r="212">
          <cell r="C212">
            <v>18</v>
          </cell>
          <cell r="E212">
            <v>6330</v>
          </cell>
        </row>
        <row r="213">
          <cell r="C213">
            <v>77585</v>
          </cell>
          <cell r="E213">
            <v>12450.2</v>
          </cell>
        </row>
        <row r="224">
          <cell r="E224">
            <v>7703.84</v>
          </cell>
        </row>
        <row r="225">
          <cell r="E225">
            <v>8285.4</v>
          </cell>
        </row>
        <row r="226">
          <cell r="E226">
            <v>6324.88</v>
          </cell>
        </row>
        <row r="260">
          <cell r="C260">
            <v>377668</v>
          </cell>
          <cell r="E260">
            <v>10111.84</v>
          </cell>
        </row>
        <row r="270">
          <cell r="B270">
            <v>483473</v>
          </cell>
        </row>
        <row r="271">
          <cell r="B271">
            <v>203897</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3_3T"/>
    </sheetNames>
    <sheetDataSet>
      <sheetData sheetId="0">
        <row r="4">
          <cell r="B4">
            <v>671217</v>
          </cell>
        </row>
        <row r="5">
          <cell r="B5">
            <v>901384</v>
          </cell>
        </row>
        <row r="6">
          <cell r="B6">
            <v>1572601</v>
          </cell>
        </row>
        <row r="16">
          <cell r="A16">
            <v>1118319</v>
          </cell>
          <cell r="B16">
            <v>101218</v>
          </cell>
          <cell r="C16">
            <v>352789</v>
          </cell>
          <cell r="D16">
            <v>275</v>
          </cell>
        </row>
        <row r="26">
          <cell r="A26">
            <v>682749</v>
          </cell>
          <cell r="B26">
            <v>171713</v>
          </cell>
          <cell r="C26">
            <v>263858</v>
          </cell>
          <cell r="D26">
            <v>454007</v>
          </cell>
          <cell r="E26">
            <v>274</v>
          </cell>
        </row>
        <row r="36">
          <cell r="A36">
            <v>707122</v>
          </cell>
          <cell r="B36">
            <v>1250</v>
          </cell>
          <cell r="C36">
            <v>26022</v>
          </cell>
          <cell r="D36">
            <v>2401</v>
          </cell>
        </row>
        <row r="46">
          <cell r="E46">
            <v>5159.3999999999996</v>
          </cell>
        </row>
        <row r="47">
          <cell r="E47">
            <v>5498.96</v>
          </cell>
        </row>
        <row r="48">
          <cell r="E48">
            <v>4906.5600000000004</v>
          </cell>
        </row>
        <row r="59">
          <cell r="E59">
            <v>6364.36</v>
          </cell>
        </row>
        <row r="60">
          <cell r="E60">
            <v>4078.72</v>
          </cell>
        </row>
        <row r="61">
          <cell r="E61">
            <v>737.4</v>
          </cell>
        </row>
        <row r="62">
          <cell r="E62">
            <v>6325.8</v>
          </cell>
        </row>
        <row r="74">
          <cell r="E74">
            <v>4685.88</v>
          </cell>
        </row>
        <row r="75">
          <cell r="E75">
            <v>1240.5999999999999</v>
          </cell>
        </row>
        <row r="76">
          <cell r="E76">
            <v>7785</v>
          </cell>
        </row>
        <row r="87">
          <cell r="E87">
            <v>9219.7199999999993</v>
          </cell>
        </row>
        <row r="88">
          <cell r="C88">
            <v>282375</v>
          </cell>
          <cell r="E88">
            <v>8812.0400000000009</v>
          </cell>
        </row>
        <row r="89">
          <cell r="C89">
            <v>35636</v>
          </cell>
          <cell r="E89">
            <v>6809.56</v>
          </cell>
        </row>
        <row r="90">
          <cell r="C90">
            <v>5297</v>
          </cell>
          <cell r="E90">
            <v>8072.76</v>
          </cell>
        </row>
        <row r="91">
          <cell r="C91">
            <v>130558</v>
          </cell>
          <cell r="E91">
            <v>10805.36</v>
          </cell>
        </row>
        <row r="107">
          <cell r="F107">
            <v>1256349</v>
          </cell>
        </row>
        <row r="108">
          <cell r="F108">
            <v>1471382</v>
          </cell>
        </row>
        <row r="118">
          <cell r="D118">
            <v>97.760999999999996</v>
          </cell>
        </row>
        <row r="130">
          <cell r="F130">
            <v>77.914100000000005</v>
          </cell>
        </row>
        <row r="131">
          <cell r="F131">
            <v>76.117000000000004</v>
          </cell>
        </row>
        <row r="132">
          <cell r="F132">
            <v>79.196299999999994</v>
          </cell>
        </row>
        <row r="133">
          <cell r="F133">
            <v>83.242800000000003</v>
          </cell>
        </row>
        <row r="158">
          <cell r="B158">
            <v>177928</v>
          </cell>
        </row>
        <row r="168">
          <cell r="E168">
            <v>9740.0400000000009</v>
          </cell>
        </row>
        <row r="169">
          <cell r="E169">
            <v>9938.32</v>
          </cell>
        </row>
        <row r="170">
          <cell r="E170">
            <v>9372.48</v>
          </cell>
        </row>
        <row r="181">
          <cell r="C181">
            <v>379982</v>
          </cell>
          <cell r="E181">
            <v>9215.84</v>
          </cell>
        </row>
        <row r="182">
          <cell r="C182">
            <v>1711</v>
          </cell>
          <cell r="E182">
            <v>4176.3599999999997</v>
          </cell>
        </row>
        <row r="183">
          <cell r="C183">
            <v>76</v>
          </cell>
          <cell r="E183">
            <v>3288.36</v>
          </cell>
        </row>
        <row r="184">
          <cell r="C184">
            <v>123722</v>
          </cell>
          <cell r="E184">
            <v>11430.28</v>
          </cell>
        </row>
        <row r="196">
          <cell r="C196">
            <v>381812</v>
          </cell>
          <cell r="E196">
            <v>9192.2800000000007</v>
          </cell>
        </row>
        <row r="197">
          <cell r="C197">
            <v>3935</v>
          </cell>
          <cell r="E197">
            <v>3804.16</v>
          </cell>
        </row>
        <row r="198">
          <cell r="C198">
            <v>119796</v>
          </cell>
          <cell r="E198">
            <v>11680.92</v>
          </cell>
        </row>
        <row r="209">
          <cell r="E209">
            <v>10682.12</v>
          </cell>
        </row>
        <row r="210">
          <cell r="C210">
            <v>239995</v>
          </cell>
          <cell r="E210">
            <v>10115.16</v>
          </cell>
        </row>
        <row r="211">
          <cell r="C211">
            <v>460</v>
          </cell>
          <cell r="E211">
            <v>6036.32</v>
          </cell>
        </row>
        <row r="212">
          <cell r="C212">
            <v>20</v>
          </cell>
          <cell r="E212">
            <v>6377.2</v>
          </cell>
        </row>
        <row r="213">
          <cell r="C213">
            <v>77976</v>
          </cell>
          <cell r="E213">
            <v>12455.2</v>
          </cell>
        </row>
        <row r="224">
          <cell r="E224">
            <v>7691.36</v>
          </cell>
        </row>
        <row r="225">
          <cell r="E225">
            <v>8274.76</v>
          </cell>
        </row>
        <row r="226">
          <cell r="E226">
            <v>6309.84</v>
          </cell>
        </row>
        <row r="260">
          <cell r="C260">
            <v>374194</v>
          </cell>
          <cell r="E260">
            <v>10115.200000000001</v>
          </cell>
        </row>
        <row r="270">
          <cell r="B270">
            <v>480035</v>
          </cell>
        </row>
        <row r="271">
          <cell r="B271">
            <v>202714</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3_4T"/>
    </sheetNames>
    <sheetDataSet>
      <sheetData sheetId="0">
        <row r="4">
          <cell r="B4">
            <v>666661</v>
          </cell>
        </row>
        <row r="5">
          <cell r="B5">
            <v>895769</v>
          </cell>
        </row>
        <row r="6">
          <cell r="B6">
            <v>1562430</v>
          </cell>
        </row>
        <row r="16">
          <cell r="A16">
            <v>1109085</v>
          </cell>
          <cell r="B16">
            <v>101387</v>
          </cell>
          <cell r="C16">
            <v>351687</v>
          </cell>
          <cell r="D16">
            <v>271</v>
          </cell>
        </row>
        <row r="26">
          <cell r="A26">
            <v>678312</v>
          </cell>
          <cell r="B26">
            <v>169447</v>
          </cell>
          <cell r="C26">
            <v>261327</v>
          </cell>
          <cell r="D26">
            <v>453074</v>
          </cell>
          <cell r="E26">
            <v>270</v>
          </cell>
        </row>
        <row r="36">
          <cell r="A36">
            <v>701923</v>
          </cell>
          <cell r="B36">
            <v>1225</v>
          </cell>
          <cell r="C36">
            <v>25511</v>
          </cell>
          <cell r="D36">
            <v>2454</v>
          </cell>
        </row>
        <row r="46">
          <cell r="E46">
            <v>5149.16</v>
          </cell>
        </row>
        <row r="47">
          <cell r="E47">
            <v>5488.72</v>
          </cell>
        </row>
        <row r="48">
          <cell r="E48">
            <v>4896.4399999999996</v>
          </cell>
        </row>
        <row r="59">
          <cell r="E59">
            <v>6340.88</v>
          </cell>
        </row>
        <row r="60">
          <cell r="E60">
            <v>4059.8</v>
          </cell>
        </row>
        <row r="61">
          <cell r="E61">
            <v>734</v>
          </cell>
        </row>
        <row r="62">
          <cell r="E62">
            <v>6318.76</v>
          </cell>
        </row>
        <row r="74">
          <cell r="E74">
            <v>4671.3599999999997</v>
          </cell>
        </row>
        <row r="75">
          <cell r="E75">
            <v>1222.96</v>
          </cell>
        </row>
        <row r="76">
          <cell r="E76">
            <v>7788</v>
          </cell>
        </row>
        <row r="87">
          <cell r="E87">
            <v>9213.36</v>
          </cell>
        </row>
        <row r="88">
          <cell r="C88">
            <v>280420</v>
          </cell>
          <cell r="E88">
            <v>8788.48</v>
          </cell>
        </row>
        <row r="89">
          <cell r="C89">
            <v>34756</v>
          </cell>
          <cell r="E89">
            <v>6806.72</v>
          </cell>
        </row>
        <row r="90">
          <cell r="C90">
            <v>5244</v>
          </cell>
          <cell r="E90">
            <v>8069.6</v>
          </cell>
        </row>
        <row r="91">
          <cell r="C91">
            <v>129999</v>
          </cell>
          <cell r="E91">
            <v>10819</v>
          </cell>
        </row>
        <row r="107">
          <cell r="F107">
            <v>1251621</v>
          </cell>
        </row>
        <row r="108">
          <cell r="F108">
            <v>1461041</v>
          </cell>
        </row>
        <row r="118">
          <cell r="D118">
            <v>97.69</v>
          </cell>
        </row>
        <row r="130">
          <cell r="F130">
            <v>77.990200000000002</v>
          </cell>
        </row>
        <row r="131">
          <cell r="F131">
            <v>76.176100000000005</v>
          </cell>
        </row>
        <row r="132">
          <cell r="F132">
            <v>79.258399999999995</v>
          </cell>
        </row>
        <row r="133">
          <cell r="F133">
            <v>83.345500000000001</v>
          </cell>
        </row>
        <row r="158">
          <cell r="B158">
            <v>179740</v>
          </cell>
        </row>
        <row r="168">
          <cell r="E168">
            <v>9708.32</v>
          </cell>
        </row>
        <row r="169">
          <cell r="E169">
            <v>9911.76</v>
          </cell>
        </row>
        <row r="170">
          <cell r="E170">
            <v>9335.8799999999992</v>
          </cell>
        </row>
        <row r="181">
          <cell r="C181">
            <v>379177</v>
          </cell>
          <cell r="E181">
            <v>9174.56</v>
          </cell>
        </row>
        <row r="182">
          <cell r="C182">
            <v>1868</v>
          </cell>
          <cell r="E182">
            <v>4191.92</v>
          </cell>
        </row>
        <row r="183">
          <cell r="C183">
            <v>81</v>
          </cell>
          <cell r="E183">
            <v>3373</v>
          </cell>
        </row>
        <row r="184">
          <cell r="C184">
            <v>125004</v>
          </cell>
          <cell r="E184">
            <v>11413.32</v>
          </cell>
        </row>
        <row r="196">
          <cell r="C196">
            <v>381168</v>
          </cell>
          <cell r="E196">
            <v>9149.16</v>
          </cell>
        </row>
        <row r="197">
          <cell r="C197">
            <v>4042</v>
          </cell>
          <cell r="E197">
            <v>3765.84</v>
          </cell>
        </row>
        <row r="198">
          <cell r="C198">
            <v>120967</v>
          </cell>
          <cell r="E198">
            <v>11669.28</v>
          </cell>
        </row>
        <row r="209">
          <cell r="E209">
            <v>10667.96</v>
          </cell>
        </row>
        <row r="210">
          <cell r="C210">
            <v>238786</v>
          </cell>
          <cell r="E210">
            <v>10089.48</v>
          </cell>
        </row>
        <row r="211">
          <cell r="C211">
            <v>492</v>
          </cell>
          <cell r="E211">
            <v>6105.12</v>
          </cell>
        </row>
        <row r="212">
          <cell r="C212">
            <v>22</v>
          </cell>
          <cell r="E212">
            <v>6121.8</v>
          </cell>
        </row>
        <row r="213">
          <cell r="C213">
            <v>78516</v>
          </cell>
          <cell r="E213">
            <v>12456.76</v>
          </cell>
        </row>
        <row r="224">
          <cell r="E224">
            <v>7670.84</v>
          </cell>
        </row>
        <row r="225">
          <cell r="E225">
            <v>8258.48</v>
          </cell>
        </row>
        <row r="226">
          <cell r="E226">
            <v>6281.2</v>
          </cell>
        </row>
        <row r="260">
          <cell r="C260">
            <v>371321</v>
          </cell>
          <cell r="E260">
            <v>10101.36</v>
          </cell>
        </row>
        <row r="270">
          <cell r="B270">
            <v>476725</v>
          </cell>
        </row>
        <row r="271">
          <cell r="B271">
            <v>201587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4_1T"/>
    </sheetNames>
    <sheetDataSet>
      <sheetData sheetId="0">
        <row r="4">
          <cell r="B4">
            <v>661436</v>
          </cell>
        </row>
        <row r="5">
          <cell r="B5">
            <v>889185</v>
          </cell>
        </row>
        <row r="6">
          <cell r="B6">
            <v>1550621</v>
          </cell>
        </row>
        <row r="16">
          <cell r="A16">
            <v>1099191</v>
          </cell>
          <cell r="B16">
            <v>101245</v>
          </cell>
          <cell r="C16">
            <v>349909</v>
          </cell>
          <cell r="D16">
            <v>276</v>
          </cell>
        </row>
        <row r="26">
          <cell r="A26">
            <v>673834</v>
          </cell>
          <cell r="B26">
            <v>166890</v>
          </cell>
          <cell r="C26">
            <v>258468</v>
          </cell>
          <cell r="D26">
            <v>451154</v>
          </cell>
          <cell r="E26">
            <v>275</v>
          </cell>
        </row>
        <row r="36">
          <cell r="A36">
            <v>695809</v>
          </cell>
          <cell r="B36">
            <v>1193</v>
          </cell>
          <cell r="C36">
            <v>24405</v>
          </cell>
          <cell r="D36">
            <v>2497</v>
          </cell>
        </row>
        <row r="46">
          <cell r="E46">
            <v>5160.6400000000003</v>
          </cell>
        </row>
        <row r="47">
          <cell r="E47">
            <v>5509.56</v>
          </cell>
        </row>
        <row r="48">
          <cell r="E48">
            <v>4901.12</v>
          </cell>
        </row>
        <row r="59">
          <cell r="E59">
            <v>6357.72</v>
          </cell>
        </row>
        <row r="60">
          <cell r="E60">
            <v>4044.4</v>
          </cell>
        </row>
        <row r="61">
          <cell r="E61">
            <v>729.8</v>
          </cell>
        </row>
        <row r="62">
          <cell r="E62">
            <v>6323.88</v>
          </cell>
        </row>
        <row r="74">
          <cell r="E74">
            <v>4683.28</v>
          </cell>
        </row>
        <row r="75">
          <cell r="E75">
            <v>1205.96</v>
          </cell>
        </row>
        <row r="76">
          <cell r="E76">
            <v>7805.12</v>
          </cell>
        </row>
        <row r="87">
          <cell r="E87">
            <v>9250.56</v>
          </cell>
        </row>
        <row r="88">
          <cell r="C88">
            <v>278479</v>
          </cell>
          <cell r="E88">
            <v>8828.64</v>
          </cell>
        </row>
        <row r="89">
          <cell r="C89">
            <v>33848</v>
          </cell>
          <cell r="E89">
            <v>6808.32</v>
          </cell>
        </row>
        <row r="90">
          <cell r="C90">
            <v>5156</v>
          </cell>
          <cell r="E90">
            <v>8065.84</v>
          </cell>
        </row>
        <row r="91">
          <cell r="C91">
            <v>129332</v>
          </cell>
          <cell r="E91">
            <v>10845.04</v>
          </cell>
        </row>
        <row r="107">
          <cell r="F107">
            <v>1245968</v>
          </cell>
        </row>
        <row r="108">
          <cell r="F108">
            <v>1449375</v>
          </cell>
        </row>
        <row r="118">
          <cell r="D118">
            <v>97.641000000000005</v>
          </cell>
        </row>
        <row r="130">
          <cell r="F130">
            <v>78.074399999999997</v>
          </cell>
        </row>
        <row r="131">
          <cell r="F131">
            <v>76.243799999999993</v>
          </cell>
        </row>
        <row r="132">
          <cell r="F132">
            <v>79.342399999999998</v>
          </cell>
        </row>
        <row r="133">
          <cell r="F133">
            <v>83.457499999999996</v>
          </cell>
        </row>
        <row r="158">
          <cell r="B158">
            <v>181576</v>
          </cell>
        </row>
        <row r="168">
          <cell r="E168">
            <v>9737.9599999999991</v>
          </cell>
        </row>
        <row r="169">
          <cell r="E169">
            <v>9946.92</v>
          </cell>
        </row>
        <row r="170">
          <cell r="E170">
            <v>9360.7199999999993</v>
          </cell>
        </row>
        <row r="181">
          <cell r="C181">
            <v>378441</v>
          </cell>
          <cell r="E181">
            <v>9205.4</v>
          </cell>
        </row>
        <row r="182">
          <cell r="C182">
            <v>2052</v>
          </cell>
          <cell r="E182">
            <v>4237.6000000000004</v>
          </cell>
        </row>
        <row r="183">
          <cell r="C183">
            <v>85</v>
          </cell>
          <cell r="E183">
            <v>3508.08</v>
          </cell>
        </row>
        <row r="184">
          <cell r="C184">
            <v>126123</v>
          </cell>
          <cell r="E184">
            <v>11429.04</v>
          </cell>
        </row>
        <row r="196">
          <cell r="C196">
            <v>380620</v>
          </cell>
          <cell r="E196">
            <v>9177.56</v>
          </cell>
        </row>
        <row r="197">
          <cell r="C197">
            <v>4131</v>
          </cell>
          <cell r="E197">
            <v>3763.96</v>
          </cell>
        </row>
        <row r="198">
          <cell r="C198">
            <v>122001</v>
          </cell>
          <cell r="E198">
            <v>11688.8</v>
          </cell>
        </row>
        <row r="209">
          <cell r="E209">
            <v>10716.36</v>
          </cell>
        </row>
        <row r="210">
          <cell r="C210">
            <v>237633</v>
          </cell>
          <cell r="E210">
            <v>10140.799999999999</v>
          </cell>
        </row>
        <row r="211">
          <cell r="C211">
            <v>543</v>
          </cell>
          <cell r="E211">
            <v>6140.4</v>
          </cell>
        </row>
        <row r="212">
          <cell r="C212">
            <v>25</v>
          </cell>
          <cell r="E212">
            <v>6079.52</v>
          </cell>
        </row>
        <row r="213">
          <cell r="C213">
            <v>78969</v>
          </cell>
          <cell r="E213">
            <v>12480.84</v>
          </cell>
        </row>
        <row r="224">
          <cell r="E224">
            <v>7691.28</v>
          </cell>
        </row>
        <row r="225">
          <cell r="E225">
            <v>8283.36</v>
          </cell>
        </row>
        <row r="226">
          <cell r="E226">
            <v>6294.48</v>
          </cell>
        </row>
        <row r="260">
          <cell r="C260">
            <v>368282</v>
          </cell>
          <cell r="E260">
            <v>10142</v>
          </cell>
        </row>
        <row r="270">
          <cell r="B270">
            <v>473231</v>
          </cell>
        </row>
        <row r="271">
          <cell r="B271">
            <v>200603</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4_2T"/>
    </sheetNames>
    <sheetDataSet>
      <sheetData sheetId="0">
        <row r="4">
          <cell r="B4">
            <v>655922</v>
          </cell>
        </row>
        <row r="5">
          <cell r="B5">
            <v>881783</v>
          </cell>
        </row>
        <row r="6">
          <cell r="B6">
            <v>1537705</v>
          </cell>
        </row>
        <row r="16">
          <cell r="A16">
            <v>1090063</v>
          </cell>
          <cell r="B16">
            <v>100886</v>
          </cell>
          <cell r="C16">
            <v>346485</v>
          </cell>
          <cell r="D16">
            <v>271</v>
          </cell>
        </row>
        <row r="26">
          <cell r="A26">
            <v>669307</v>
          </cell>
          <cell r="B26">
            <v>165055</v>
          </cell>
          <cell r="C26">
            <v>255702</v>
          </cell>
          <cell r="D26">
            <v>447371</v>
          </cell>
          <cell r="E26">
            <v>270</v>
          </cell>
        </row>
        <row r="36">
          <cell r="A36">
            <v>689370</v>
          </cell>
          <cell r="B36">
            <v>1170</v>
          </cell>
          <cell r="C36">
            <v>24019</v>
          </cell>
          <cell r="D36">
            <v>2537</v>
          </cell>
        </row>
        <row r="46">
          <cell r="E46">
            <v>5155.4399999999996</v>
          </cell>
        </row>
        <row r="47">
          <cell r="E47">
            <v>5509</v>
          </cell>
        </row>
        <row r="48">
          <cell r="E48">
            <v>4892.4399999999996</v>
          </cell>
        </row>
        <row r="59">
          <cell r="E59">
            <v>6351.68</v>
          </cell>
        </row>
        <row r="60">
          <cell r="E60">
            <v>4027.44</v>
          </cell>
        </row>
        <row r="61">
          <cell r="E61">
            <v>724.08</v>
          </cell>
        </row>
        <row r="62">
          <cell r="E62">
            <v>6314.56</v>
          </cell>
        </row>
        <row r="74">
          <cell r="E74">
            <v>4679.72</v>
          </cell>
        </row>
        <row r="75">
          <cell r="E75">
            <v>1192.3599999999999</v>
          </cell>
        </row>
        <row r="76">
          <cell r="E76">
            <v>7806.2</v>
          </cell>
        </row>
        <row r="87">
          <cell r="E87">
            <v>9256.08</v>
          </cell>
        </row>
        <row r="88">
          <cell r="C88">
            <v>276405</v>
          </cell>
          <cell r="E88">
            <v>8833.84</v>
          </cell>
        </row>
        <row r="89">
          <cell r="C89">
            <v>33220</v>
          </cell>
          <cell r="E89">
            <v>6801.28</v>
          </cell>
        </row>
        <row r="90">
          <cell r="C90">
            <v>5077</v>
          </cell>
          <cell r="E90">
            <v>7955.12</v>
          </cell>
        </row>
        <row r="91">
          <cell r="C91">
            <v>127811</v>
          </cell>
          <cell r="E91">
            <v>10858.44</v>
          </cell>
        </row>
        <row r="107">
          <cell r="F107">
            <v>1239612</v>
          </cell>
        </row>
        <row r="108">
          <cell r="F108">
            <v>1436820</v>
          </cell>
        </row>
        <row r="118">
          <cell r="D118">
            <v>97.542000000000002</v>
          </cell>
        </row>
        <row r="130">
          <cell r="F130">
            <v>78.151600000000002</v>
          </cell>
        </row>
        <row r="131">
          <cell r="F131">
            <v>76.313000000000002</v>
          </cell>
        </row>
        <row r="132">
          <cell r="F132">
            <v>79.425399999999996</v>
          </cell>
        </row>
        <row r="133">
          <cell r="F133">
            <v>83.565299999999993</v>
          </cell>
        </row>
        <row r="158">
          <cell r="B158">
            <v>396158</v>
          </cell>
        </row>
        <row r="168">
          <cell r="E168">
            <v>9178.08</v>
          </cell>
        </row>
        <row r="169">
          <cell r="E169">
            <v>9864.68</v>
          </cell>
        </row>
        <row r="170">
          <cell r="E170">
            <v>8596.48</v>
          </cell>
        </row>
        <row r="181">
          <cell r="C181">
            <v>438827</v>
          </cell>
          <cell r="E181">
            <v>8951.64</v>
          </cell>
        </row>
        <row r="182">
          <cell r="C182">
            <v>80398</v>
          </cell>
          <cell r="E182">
            <v>6328.96</v>
          </cell>
        </row>
        <row r="183">
          <cell r="C183">
            <v>6692</v>
          </cell>
          <cell r="E183">
            <v>7677.72</v>
          </cell>
        </row>
        <row r="184">
          <cell r="C184">
            <v>204065</v>
          </cell>
          <cell r="E184">
            <v>10836.2</v>
          </cell>
        </row>
        <row r="196">
          <cell r="C196">
            <v>525966</v>
          </cell>
          <cell r="E196">
            <v>8534.64</v>
          </cell>
        </row>
        <row r="197">
          <cell r="C197">
            <v>4218</v>
          </cell>
          <cell r="E197">
            <v>3740.88</v>
          </cell>
        </row>
        <row r="198">
          <cell r="C198">
            <v>199879</v>
          </cell>
          <cell r="E198">
            <v>10986</v>
          </cell>
        </row>
        <row r="209">
          <cell r="E209">
            <v>10194.08</v>
          </cell>
        </row>
        <row r="210">
          <cell r="C210">
            <v>272355</v>
          </cell>
          <cell r="E210">
            <v>9876.64</v>
          </cell>
        </row>
        <row r="211">
          <cell r="C211">
            <v>31904</v>
          </cell>
          <cell r="E211">
            <v>7177.32</v>
          </cell>
        </row>
        <row r="212">
          <cell r="C212">
            <v>4476</v>
          </cell>
          <cell r="E212">
            <v>8321.64</v>
          </cell>
        </row>
        <row r="213">
          <cell r="C213">
            <v>123897</v>
          </cell>
          <cell r="E213">
            <v>11735.96</v>
          </cell>
        </row>
        <row r="224">
          <cell r="E224">
            <v>7751.72</v>
          </cell>
        </row>
        <row r="225">
          <cell r="E225">
            <v>8305.7199999999993</v>
          </cell>
        </row>
        <row r="226">
          <cell r="E226">
            <v>6449.12</v>
          </cell>
        </row>
        <row r="260">
          <cell r="C260">
            <v>365196</v>
          </cell>
          <cell r="E260">
            <v>10234.68</v>
          </cell>
        </row>
        <row r="270">
          <cell r="B270">
            <v>469592</v>
          </cell>
        </row>
        <row r="271">
          <cell r="B271">
            <v>199715</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4_3T"/>
    </sheetNames>
    <sheetDataSet>
      <sheetData sheetId="0">
        <row r="4">
          <cell r="B4">
            <v>650870</v>
          </cell>
        </row>
        <row r="5">
          <cell r="B5">
            <v>875106</v>
          </cell>
        </row>
        <row r="6">
          <cell r="B6">
            <v>1525976</v>
          </cell>
        </row>
        <row r="16">
          <cell r="A16">
            <v>1080753</v>
          </cell>
          <cell r="B16">
            <v>100538</v>
          </cell>
          <cell r="C16">
            <v>344408</v>
          </cell>
          <cell r="D16">
            <v>277</v>
          </cell>
        </row>
        <row r="26">
          <cell r="A26">
            <v>664589</v>
          </cell>
          <cell r="B26">
            <v>163136</v>
          </cell>
          <cell r="C26">
            <v>253029</v>
          </cell>
          <cell r="D26">
            <v>444946</v>
          </cell>
          <cell r="E26">
            <v>276</v>
          </cell>
        </row>
        <row r="36">
          <cell r="A36">
            <v>683552</v>
          </cell>
          <cell r="B36">
            <v>1139</v>
          </cell>
          <cell r="C36">
            <v>21859</v>
          </cell>
          <cell r="D36">
            <v>2538</v>
          </cell>
        </row>
        <row r="46">
          <cell r="E46">
            <v>5152.8</v>
          </cell>
        </row>
        <row r="47">
          <cell r="E47">
            <v>5508.68</v>
          </cell>
        </row>
        <row r="48">
          <cell r="E48">
            <v>4888.08</v>
          </cell>
        </row>
        <row r="59">
          <cell r="E59">
            <v>6343.28</v>
          </cell>
        </row>
        <row r="60">
          <cell r="E60">
            <v>4005.44</v>
          </cell>
        </row>
        <row r="61">
          <cell r="E61">
            <v>718.52</v>
          </cell>
        </row>
        <row r="62">
          <cell r="E62">
            <v>6316.44</v>
          </cell>
        </row>
        <row r="74">
          <cell r="E74">
            <v>4673.6400000000003</v>
          </cell>
        </row>
        <row r="75">
          <cell r="E75">
            <v>1180.52</v>
          </cell>
        </row>
        <row r="76">
          <cell r="E76">
            <v>7815.92</v>
          </cell>
        </row>
        <row r="87">
          <cell r="E87">
            <v>9267.1200000000008</v>
          </cell>
        </row>
        <row r="88">
          <cell r="C88">
            <v>273991</v>
          </cell>
          <cell r="E88">
            <v>8838.68</v>
          </cell>
        </row>
        <row r="89">
          <cell r="C89">
            <v>32396</v>
          </cell>
          <cell r="E89">
            <v>6796.52</v>
          </cell>
        </row>
        <row r="90">
          <cell r="C90">
            <v>5006</v>
          </cell>
          <cell r="E90">
            <v>7898.08</v>
          </cell>
        </row>
        <row r="91">
          <cell r="C91">
            <v>127036</v>
          </cell>
          <cell r="E91">
            <v>10874.72</v>
          </cell>
        </row>
        <row r="107">
          <cell r="F107">
            <v>1233865</v>
          </cell>
        </row>
        <row r="108">
          <cell r="F108">
            <v>1425432</v>
          </cell>
        </row>
        <row r="118">
          <cell r="D118">
            <v>97.447000000000003</v>
          </cell>
        </row>
        <row r="130">
          <cell r="F130">
            <v>78.234399999999994</v>
          </cell>
        </row>
        <row r="131">
          <cell r="F131">
            <v>76.382300000000001</v>
          </cell>
        </row>
        <row r="132">
          <cell r="F132">
            <v>79.5214</v>
          </cell>
        </row>
        <row r="133">
          <cell r="F133">
            <v>83.671099999999996</v>
          </cell>
        </row>
        <row r="158">
          <cell r="B158">
            <v>395346</v>
          </cell>
        </row>
        <row r="168">
          <cell r="E168">
            <v>9194.52</v>
          </cell>
        </row>
        <row r="169">
          <cell r="E169">
            <v>9873.76</v>
          </cell>
        </row>
        <row r="170">
          <cell r="E170">
            <v>8620.76</v>
          </cell>
        </row>
        <row r="181">
          <cell r="C181">
            <v>436512</v>
          </cell>
          <cell r="E181">
            <v>8967.36</v>
          </cell>
        </row>
        <row r="182">
          <cell r="C182">
            <v>79675</v>
          </cell>
          <cell r="E182">
            <v>6313.12</v>
          </cell>
        </row>
        <row r="183">
          <cell r="C183">
            <v>6643</v>
          </cell>
          <cell r="E183">
            <v>7613.16</v>
          </cell>
        </row>
        <row r="184">
          <cell r="C184">
            <v>204507</v>
          </cell>
          <cell r="E184">
            <v>10852.68</v>
          </cell>
        </row>
        <row r="196">
          <cell r="C196">
            <v>522883</v>
          </cell>
          <cell r="E196">
            <v>8545.84</v>
          </cell>
        </row>
        <row r="197">
          <cell r="C197">
            <v>4263</v>
          </cell>
          <cell r="E197">
            <v>3738.76</v>
          </cell>
        </row>
        <row r="198">
          <cell r="C198">
            <v>200274</v>
          </cell>
          <cell r="E198">
            <v>11004.28</v>
          </cell>
        </row>
        <row r="209">
          <cell r="E209">
            <v>10227.879999999999</v>
          </cell>
        </row>
        <row r="210">
          <cell r="C210">
            <v>270143</v>
          </cell>
          <cell r="E210">
            <v>9909.0400000000009</v>
          </cell>
        </row>
        <row r="211">
          <cell r="C211">
            <v>31320</v>
          </cell>
          <cell r="E211">
            <v>7174.36</v>
          </cell>
        </row>
        <row r="212">
          <cell r="C212">
            <v>4438</v>
          </cell>
          <cell r="E212">
            <v>8256.7199999999993</v>
          </cell>
        </row>
        <row r="213">
          <cell r="C213">
            <v>123829</v>
          </cell>
          <cell r="E213">
            <v>11766</v>
          </cell>
        </row>
        <row r="224">
          <cell r="E224">
            <v>7759.08</v>
          </cell>
        </row>
        <row r="225">
          <cell r="E225">
            <v>8310.48</v>
          </cell>
        </row>
        <row r="226">
          <cell r="E226">
            <v>6463.52</v>
          </cell>
        </row>
        <row r="260">
          <cell r="C260">
            <v>361779</v>
          </cell>
          <cell r="E260">
            <v>10263.48</v>
          </cell>
        </row>
        <row r="270">
          <cell r="B270">
            <v>466175</v>
          </cell>
        </row>
        <row r="271">
          <cell r="B271">
            <v>198414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3_2T"/>
      <sheetName val="SAS_NSA_2023_3T"/>
    </sheetNames>
    <sheetDataSet>
      <sheetData sheetId="0">
        <row r="9">
          <cell r="B9">
            <v>514818</v>
          </cell>
        </row>
        <row r="10">
          <cell r="B10">
            <v>635124</v>
          </cell>
        </row>
        <row r="11">
          <cell r="B11">
            <v>1149942</v>
          </cell>
        </row>
        <row r="16">
          <cell r="A16">
            <v>481181</v>
          </cell>
          <cell r="B16">
            <v>378</v>
          </cell>
          <cell r="C16">
            <v>5038</v>
          </cell>
          <cell r="D16">
            <v>3028</v>
          </cell>
        </row>
        <row r="21">
          <cell r="A21">
            <v>820033</v>
          </cell>
          <cell r="B21">
            <v>89252</v>
          </cell>
          <cell r="C21">
            <v>240418</v>
          </cell>
          <cell r="D21">
            <v>239</v>
          </cell>
        </row>
        <row r="26">
          <cell r="A26">
            <v>553522</v>
          </cell>
          <cell r="B26">
            <v>105740</v>
          </cell>
          <cell r="C26">
            <v>160771</v>
          </cell>
          <cell r="D26">
            <v>329671</v>
          </cell>
          <cell r="E26">
            <v>238</v>
          </cell>
        </row>
        <row r="31">
          <cell r="E31">
            <v>5676.5725496198002</v>
          </cell>
        </row>
        <row r="32">
          <cell r="E32">
            <v>6238.5366401330002</v>
          </cell>
        </row>
        <row r="33">
          <cell r="E33">
            <v>5221.0578499384401</v>
          </cell>
        </row>
        <row r="38">
          <cell r="E38">
            <v>5676.5725496198002</v>
          </cell>
        </row>
        <row r="39">
          <cell r="E39">
            <v>5272.0309634061996</v>
          </cell>
        </row>
        <row r="40">
          <cell r="E40">
            <v>931.12662599802798</v>
          </cell>
        </row>
        <row r="41">
          <cell r="E41">
            <v>8818.9328542555595</v>
          </cell>
        </row>
        <row r="47">
          <cell r="E47">
            <v>5676.5725496198002</v>
          </cell>
        </row>
        <row r="48">
          <cell r="E48">
            <v>6856.1776550886798</v>
          </cell>
        </row>
        <row r="49">
          <cell r="E49">
            <v>3951.050245410956</v>
          </cell>
        </row>
        <row r="50">
          <cell r="E50">
            <v>688.38865218229603</v>
          </cell>
        </row>
        <row r="51">
          <cell r="E51">
            <v>6683.3345021718396</v>
          </cell>
        </row>
        <row r="57">
          <cell r="F57">
            <v>78.948696632183797</v>
          </cell>
        </row>
        <row r="58">
          <cell r="F58">
            <v>76.602483071078296</v>
          </cell>
        </row>
        <row r="59">
          <cell r="F59">
            <v>81.6847694446937</v>
          </cell>
        </row>
        <row r="60">
          <cell r="F60">
            <v>85.937482845522396</v>
          </cell>
        </row>
        <row r="81">
          <cell r="D81">
            <v>788313</v>
          </cell>
        </row>
        <row r="82">
          <cell r="D82">
            <v>1060691</v>
          </cell>
        </row>
        <row r="87">
          <cell r="D87">
            <v>96.8129392540569</v>
          </cell>
        </row>
        <row r="94">
          <cell r="A94">
            <v>16</v>
          </cell>
          <cell r="B94">
            <v>92</v>
          </cell>
          <cell r="C94">
            <v>152</v>
          </cell>
        </row>
        <row r="99">
          <cell r="C99">
            <v>256679</v>
          </cell>
          <cell r="E99">
            <v>11082.063277478879</v>
          </cell>
        </row>
        <row r="100">
          <cell r="C100">
            <v>166851</v>
          </cell>
          <cell r="E100">
            <v>10539.28604563352</v>
          </cell>
        </row>
        <row r="101">
          <cell r="C101">
            <v>9504</v>
          </cell>
          <cell r="E101">
            <v>8757.9044612794805</v>
          </cell>
        </row>
        <row r="102">
          <cell r="C102">
            <v>1604</v>
          </cell>
          <cell r="E102">
            <v>9804.4613466333994</v>
          </cell>
        </row>
        <row r="103">
          <cell r="C103">
            <v>78689</v>
          </cell>
          <cell r="E103">
            <v>12539.174217489121</v>
          </cell>
        </row>
        <row r="104">
          <cell r="C104">
            <v>31</v>
          </cell>
        </row>
        <row r="111">
          <cell r="B111">
            <v>309933</v>
          </cell>
        </row>
        <row r="112">
          <cell r="B112">
            <v>319007</v>
          </cell>
        </row>
        <row r="117">
          <cell r="E117">
            <v>10493.6318279474</v>
          </cell>
        </row>
        <row r="118">
          <cell r="E118">
            <v>11515.49366680112</v>
          </cell>
        </row>
        <row r="119">
          <cell r="E119">
            <v>9500.8634294385593</v>
          </cell>
        </row>
        <row r="124">
          <cell r="E124">
            <v>10493.6318279474</v>
          </cell>
        </row>
        <row r="125">
          <cell r="C125">
            <v>511948</v>
          </cell>
          <cell r="E125">
            <v>10095.865892629719</v>
          </cell>
        </row>
        <row r="126">
          <cell r="C126">
            <v>27592</v>
          </cell>
          <cell r="E126">
            <v>6633.1256886053998</v>
          </cell>
        </row>
        <row r="127">
          <cell r="C127">
            <v>89291</v>
          </cell>
          <cell r="E127">
            <v>13967.15727228948</v>
          </cell>
        </row>
        <row r="132">
          <cell r="E132">
            <v>10493.6318279474</v>
          </cell>
        </row>
        <row r="133">
          <cell r="C133">
            <v>403554</v>
          </cell>
          <cell r="E133">
            <v>10358.82586221424</v>
          </cell>
        </row>
        <row r="134">
          <cell r="C134">
            <v>51156</v>
          </cell>
          <cell r="E134">
            <v>6677.9437016186002</v>
          </cell>
        </row>
        <row r="135">
          <cell r="C135">
            <v>3419</v>
          </cell>
          <cell r="E135">
            <v>8435.1880666861598</v>
          </cell>
        </row>
        <row r="136">
          <cell r="C136">
            <v>170634</v>
          </cell>
          <cell r="E136">
            <v>11997.9403635852</v>
          </cell>
        </row>
        <row r="142">
          <cell r="C142">
            <v>253678</v>
          </cell>
          <cell r="E142">
            <v>13236.904674429799</v>
          </cell>
        </row>
        <row r="143">
          <cell r="C143">
            <v>165507</v>
          </cell>
          <cell r="E143">
            <v>12945.459394466719</v>
          </cell>
        </row>
        <row r="144">
          <cell r="C144">
            <v>9110</v>
          </cell>
          <cell r="E144">
            <v>9167.9683863886003</v>
          </cell>
        </row>
        <row r="145">
          <cell r="C145">
            <v>1542</v>
          </cell>
          <cell r="E145">
            <v>10217.78728923476</v>
          </cell>
        </row>
        <row r="146">
          <cell r="C146">
            <v>77496</v>
          </cell>
          <cell r="E146">
            <v>14397.578920202321</v>
          </cell>
        </row>
        <row r="147">
          <cell r="C147">
            <v>23</v>
          </cell>
        </row>
        <row r="152">
          <cell r="C152">
            <v>238643</v>
          </cell>
          <cell r="D152">
            <v>140.62360314226299</v>
          </cell>
        </row>
        <row r="159">
          <cell r="C159">
            <v>553522</v>
          </cell>
          <cell r="E159">
            <v>9516.5101369051208</v>
          </cell>
        </row>
        <row r="160">
          <cell r="C160">
            <v>388270</v>
          </cell>
          <cell r="E160">
            <v>10334.428639864</v>
          </cell>
        </row>
        <row r="161">
          <cell r="C161">
            <v>165252</v>
          </cell>
          <cell r="E161">
            <v>7594.7590104809597</v>
          </cell>
        </row>
        <row r="183">
          <cell r="C183">
            <v>396291</v>
          </cell>
          <cell r="E183">
            <v>13371.42466520816</v>
          </cell>
        </row>
        <row r="184">
          <cell r="C184">
            <v>265889</v>
          </cell>
          <cell r="E184">
            <v>13159.63584804184</v>
          </cell>
        </row>
        <row r="298">
          <cell r="D298">
            <v>256679</v>
          </cell>
          <cell r="E298">
            <v>2770.5158193697198</v>
          </cell>
        </row>
        <row r="299">
          <cell r="D299">
            <v>177973</v>
          </cell>
          <cell r="E299">
            <v>2609.5117180696002</v>
          </cell>
        </row>
        <row r="300">
          <cell r="D300">
            <v>78700</v>
          </cell>
          <cell r="E300">
            <v>3134.8233926302401</v>
          </cell>
        </row>
        <row r="320">
          <cell r="B320">
            <v>73889</v>
          </cell>
          <cell r="C320">
            <v>107876</v>
          </cell>
          <cell r="D320">
            <v>181765</v>
          </cell>
        </row>
        <row r="331">
          <cell r="B331">
            <v>164981</v>
          </cell>
          <cell r="C331">
            <v>43411</v>
          </cell>
          <cell r="D331">
            <v>208392</v>
          </cell>
        </row>
        <row r="425">
          <cell r="C425">
            <v>71959</v>
          </cell>
        </row>
        <row r="433">
          <cell r="D433">
            <v>27.6884783</v>
          </cell>
        </row>
        <row r="434">
          <cell r="D434">
            <v>76.1110659</v>
          </cell>
        </row>
        <row r="442">
          <cell r="D442">
            <v>120.8079886</v>
          </cell>
        </row>
        <row r="443">
          <cell r="D443">
            <v>110.8460889</v>
          </cell>
        </row>
      </sheetData>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4_4T"/>
    </sheetNames>
    <sheetDataSet>
      <sheetData sheetId="0">
        <row r="4">
          <cell r="B4">
            <v>647258</v>
          </cell>
        </row>
        <row r="5">
          <cell r="B5">
            <v>870131</v>
          </cell>
        </row>
        <row r="6">
          <cell r="B6">
            <v>1517389</v>
          </cell>
        </row>
        <row r="16">
          <cell r="A16">
            <v>1073439</v>
          </cell>
          <cell r="B16">
            <v>100625</v>
          </cell>
          <cell r="C16">
            <v>343064</v>
          </cell>
          <cell r="D16">
            <v>261</v>
          </cell>
        </row>
        <row r="26">
          <cell r="A26">
            <v>661570</v>
          </cell>
          <cell r="B26">
            <v>161273</v>
          </cell>
          <cell r="C26">
            <v>250597</v>
          </cell>
          <cell r="D26">
            <v>443689</v>
          </cell>
          <cell r="E26">
            <v>260</v>
          </cell>
        </row>
        <row r="36">
          <cell r="A36">
            <v>678891</v>
          </cell>
          <cell r="B36">
            <v>1113</v>
          </cell>
          <cell r="C36">
            <v>21785</v>
          </cell>
          <cell r="D36">
            <v>2610</v>
          </cell>
        </row>
        <row r="46">
          <cell r="E46">
            <v>5153.88</v>
          </cell>
        </row>
        <row r="47">
          <cell r="E47">
            <v>5513.48</v>
          </cell>
        </row>
        <row r="48">
          <cell r="E48">
            <v>4886.3999999999996</v>
          </cell>
        </row>
        <row r="59">
          <cell r="E59">
            <v>6339.16</v>
          </cell>
        </row>
        <row r="60">
          <cell r="E60">
            <v>3986.6</v>
          </cell>
        </row>
        <row r="61">
          <cell r="E61">
            <v>717.52</v>
          </cell>
        </row>
        <row r="62">
          <cell r="E62">
            <v>6316.36</v>
          </cell>
        </row>
        <row r="74">
          <cell r="E74">
            <v>4673.3999999999996</v>
          </cell>
        </row>
        <row r="75">
          <cell r="E75">
            <v>1166.8800000000001</v>
          </cell>
        </row>
        <row r="76">
          <cell r="E76">
            <v>7826.88</v>
          </cell>
        </row>
        <row r="87">
          <cell r="E87">
            <v>9281.52</v>
          </cell>
        </row>
        <row r="88">
          <cell r="C88">
            <v>272603</v>
          </cell>
          <cell r="E88">
            <v>8846.76</v>
          </cell>
        </row>
        <row r="89">
          <cell r="C89">
            <v>31646</v>
          </cell>
          <cell r="E89">
            <v>6795.4</v>
          </cell>
        </row>
        <row r="90">
          <cell r="C90">
            <v>4938</v>
          </cell>
          <cell r="E90">
            <v>7946.48</v>
          </cell>
        </row>
        <row r="91">
          <cell r="C91">
            <v>126443</v>
          </cell>
          <cell r="E91">
            <v>10892.68</v>
          </cell>
        </row>
        <row r="107">
          <cell r="F107">
            <v>1230156</v>
          </cell>
        </row>
        <row r="108">
          <cell r="F108">
            <v>1416759</v>
          </cell>
        </row>
        <row r="118">
          <cell r="D118">
            <v>97.379000000000005</v>
          </cell>
        </row>
        <row r="130">
          <cell r="F130">
            <v>78.296499999999995</v>
          </cell>
        </row>
        <row r="131">
          <cell r="F131">
            <v>76.423299999999998</v>
          </cell>
        </row>
        <row r="132">
          <cell r="F132">
            <v>79.607699999999994</v>
          </cell>
        </row>
        <row r="133">
          <cell r="F133">
            <v>83.774199999999993</v>
          </cell>
        </row>
        <row r="158">
          <cell r="B158">
            <v>394877</v>
          </cell>
        </row>
        <row r="168">
          <cell r="E168">
            <v>9194.32</v>
          </cell>
        </row>
        <row r="169">
          <cell r="E169">
            <v>9870.4</v>
          </cell>
        </row>
        <row r="170">
          <cell r="E170">
            <v>8619.4</v>
          </cell>
        </row>
        <row r="181">
          <cell r="C181">
            <v>435806</v>
          </cell>
          <cell r="E181">
            <v>8957.68</v>
          </cell>
        </row>
        <row r="182">
          <cell r="C182">
            <v>78817</v>
          </cell>
          <cell r="E182">
            <v>6294.8</v>
          </cell>
        </row>
        <row r="183">
          <cell r="C183">
            <v>6567</v>
          </cell>
          <cell r="E183">
            <v>7642.44</v>
          </cell>
        </row>
        <row r="184">
          <cell r="C184">
            <v>207402</v>
          </cell>
          <cell r="E184">
            <v>10842.04</v>
          </cell>
        </row>
        <row r="196">
          <cell r="C196">
            <v>521237</v>
          </cell>
          <cell r="E196">
            <v>8538.6</v>
          </cell>
        </row>
        <row r="197">
          <cell r="C197">
            <v>4617</v>
          </cell>
          <cell r="E197">
            <v>3688.8</v>
          </cell>
        </row>
        <row r="198">
          <cell r="C198">
            <v>202813</v>
          </cell>
          <cell r="E198">
            <v>11004.96</v>
          </cell>
        </row>
        <row r="209">
          <cell r="E209">
            <v>10250.4</v>
          </cell>
        </row>
        <row r="210">
          <cell r="C210">
            <v>268810</v>
          </cell>
          <cell r="E210">
            <v>9918.4</v>
          </cell>
        </row>
        <row r="211">
          <cell r="C211">
            <v>30619</v>
          </cell>
          <cell r="E211">
            <v>7174.24</v>
          </cell>
        </row>
        <row r="212">
          <cell r="C212">
            <v>4380</v>
          </cell>
          <cell r="E212">
            <v>8308.6</v>
          </cell>
        </row>
        <row r="213">
          <cell r="C213">
            <v>123401</v>
          </cell>
          <cell r="E213">
            <v>11805.32</v>
          </cell>
        </row>
        <row r="224">
          <cell r="E224">
            <v>7754.92</v>
          </cell>
        </row>
        <row r="225">
          <cell r="E225">
            <v>8309.24</v>
          </cell>
        </row>
        <row r="226">
          <cell r="E226">
            <v>6454.08</v>
          </cell>
        </row>
        <row r="260">
          <cell r="C260">
            <v>359551</v>
          </cell>
          <cell r="E260">
            <v>10271.52</v>
          </cell>
        </row>
        <row r="270">
          <cell r="B270">
            <v>463887</v>
          </cell>
        </row>
        <row r="271">
          <cell r="B271">
            <v>197683</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5_1T"/>
    </sheetNames>
    <sheetDataSet>
      <sheetData sheetId="0">
        <row r="4">
          <cell r="B4">
            <v>643488</v>
          </cell>
        </row>
        <row r="5">
          <cell r="B5">
            <v>864009</v>
          </cell>
        </row>
        <row r="6">
          <cell r="B6">
            <v>1507497</v>
          </cell>
        </row>
        <row r="16">
          <cell r="A16">
            <v>1066056</v>
          </cell>
          <cell r="B16">
            <v>100388</v>
          </cell>
          <cell r="C16">
            <v>340792</v>
          </cell>
          <cell r="D16">
            <v>261</v>
          </cell>
        </row>
        <row r="26">
          <cell r="A26">
            <v>658677</v>
          </cell>
          <cell r="B26">
            <v>159408</v>
          </cell>
          <cell r="C26">
            <v>247972</v>
          </cell>
          <cell r="D26">
            <v>441180</v>
          </cell>
          <cell r="E26">
            <v>260</v>
          </cell>
        </row>
        <row r="36">
          <cell r="A36">
            <v>673305</v>
          </cell>
          <cell r="B36">
            <v>1084</v>
          </cell>
          <cell r="C36">
            <v>21051</v>
          </cell>
          <cell r="D36">
            <v>2660</v>
          </cell>
        </row>
        <row r="46">
          <cell r="E46">
            <v>5150.92</v>
          </cell>
        </row>
        <row r="47">
          <cell r="E47">
            <v>5515.68</v>
          </cell>
        </row>
        <row r="48">
          <cell r="E48">
            <v>4879.28</v>
          </cell>
        </row>
        <row r="59">
          <cell r="E59">
            <v>6332.28</v>
          </cell>
        </row>
        <row r="60">
          <cell r="E60">
            <v>3959.6</v>
          </cell>
        </row>
        <row r="61">
          <cell r="E61">
            <v>712.68</v>
          </cell>
        </row>
        <row r="62">
          <cell r="E62">
            <v>6312.16</v>
          </cell>
        </row>
        <row r="74">
          <cell r="E74">
            <v>4670.4399999999996</v>
          </cell>
        </row>
        <row r="75">
          <cell r="E75">
            <v>1149.8399999999999</v>
          </cell>
        </row>
        <row r="76">
          <cell r="E76">
            <v>7833.04</v>
          </cell>
        </row>
        <row r="87">
          <cell r="E87">
            <v>9292.9599999999991</v>
          </cell>
        </row>
        <row r="88">
          <cell r="C88">
            <v>271313</v>
          </cell>
          <cell r="E88">
            <v>8855.0400000000009</v>
          </cell>
        </row>
        <row r="89">
          <cell r="C89">
            <v>30876</v>
          </cell>
          <cell r="E89">
            <v>6790.32</v>
          </cell>
        </row>
        <row r="90">
          <cell r="C90">
            <v>4855</v>
          </cell>
          <cell r="E90">
            <v>7926.88</v>
          </cell>
        </row>
        <row r="91">
          <cell r="C91">
            <v>125463</v>
          </cell>
          <cell r="E91">
            <v>10908.2</v>
          </cell>
        </row>
        <row r="107">
          <cell r="F107">
            <v>1226142</v>
          </cell>
        </row>
        <row r="108">
          <cell r="F108">
            <v>1407104</v>
          </cell>
        </row>
        <row r="118">
          <cell r="D118">
            <v>97.304000000000002</v>
          </cell>
        </row>
        <row r="130">
          <cell r="F130">
            <v>78.3</v>
          </cell>
        </row>
        <row r="131">
          <cell r="F131">
            <v>76.5</v>
          </cell>
        </row>
        <row r="132">
          <cell r="F132">
            <v>79.7</v>
          </cell>
        </row>
        <row r="133">
          <cell r="F133">
            <v>83.9</v>
          </cell>
        </row>
        <row r="158">
          <cell r="B158">
            <v>393371</v>
          </cell>
        </row>
        <row r="168">
          <cell r="E168">
            <v>9183.7999999999993</v>
          </cell>
        </row>
        <row r="169">
          <cell r="E169">
            <v>9857.56</v>
          </cell>
        </row>
        <row r="170">
          <cell r="E170">
            <v>8609.2800000000007</v>
          </cell>
        </row>
        <row r="181">
          <cell r="C181">
            <v>435467</v>
          </cell>
          <cell r="E181">
            <v>8942.64</v>
          </cell>
        </row>
        <row r="182">
          <cell r="C182">
            <v>77958</v>
          </cell>
          <cell r="E182">
            <v>6258</v>
          </cell>
        </row>
        <row r="183">
          <cell r="C183">
            <v>6460</v>
          </cell>
          <cell r="E183">
            <v>7608.6</v>
          </cell>
        </row>
        <row r="184">
          <cell r="C184">
            <v>206834</v>
          </cell>
          <cell r="E184">
            <v>10842.9</v>
          </cell>
        </row>
        <row r="196">
          <cell r="C196">
            <v>519929</v>
          </cell>
          <cell r="E196">
            <v>8523.68</v>
          </cell>
        </row>
        <row r="197">
          <cell r="C197">
            <v>4688</v>
          </cell>
          <cell r="E197">
            <v>3671.16</v>
          </cell>
        </row>
        <row r="198">
          <cell r="C198">
            <v>202173</v>
          </cell>
          <cell r="E198">
            <v>11009.5</v>
          </cell>
        </row>
        <row r="209">
          <cell r="E209">
            <v>10265.4</v>
          </cell>
        </row>
        <row r="210">
          <cell r="C210">
            <v>267606</v>
          </cell>
          <cell r="E210">
            <v>9928.64</v>
          </cell>
        </row>
        <row r="211">
          <cell r="C211">
            <v>29881</v>
          </cell>
          <cell r="E211">
            <v>7168.92</v>
          </cell>
        </row>
        <row r="212">
          <cell r="C212">
            <v>4293</v>
          </cell>
          <cell r="E212">
            <v>8287.64</v>
          </cell>
        </row>
        <row r="213">
          <cell r="C213">
            <v>122472</v>
          </cell>
          <cell r="E213">
            <v>11825.7</v>
          </cell>
        </row>
        <row r="224">
          <cell r="E224">
            <v>7746.68</v>
          </cell>
        </row>
        <row r="225">
          <cell r="E225">
            <v>8303.4</v>
          </cell>
        </row>
        <row r="226">
          <cell r="E226">
            <v>6441.72</v>
          </cell>
        </row>
        <row r="260">
          <cell r="C260">
            <v>357267</v>
          </cell>
          <cell r="E260">
            <v>10277.4</v>
          </cell>
        </row>
        <row r="270">
          <cell r="B270">
            <v>461710</v>
          </cell>
        </row>
        <row r="271">
          <cell r="B271">
            <v>196967</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5_2T"/>
    </sheetNames>
    <sheetDataSet>
      <sheetData sheetId="0">
        <row r="4">
          <cell r="B4">
            <v>636243</v>
          </cell>
        </row>
        <row r="5">
          <cell r="B5">
            <v>854573</v>
          </cell>
        </row>
        <row r="6">
          <cell r="B6">
            <v>1490816</v>
          </cell>
        </row>
        <row r="16">
          <cell r="A16">
            <v>1053290</v>
          </cell>
          <cell r="B16">
            <v>99877</v>
          </cell>
          <cell r="C16">
            <v>337392</v>
          </cell>
          <cell r="D16">
            <v>257</v>
          </cell>
        </row>
        <row r="26">
          <cell r="A26">
            <v>651978</v>
          </cell>
          <cell r="B26">
            <v>156804</v>
          </cell>
          <cell r="C26">
            <v>244510</v>
          </cell>
          <cell r="D26">
            <v>437269</v>
          </cell>
          <cell r="E26">
            <v>255</v>
          </cell>
        </row>
        <row r="36">
          <cell r="A36">
            <v>665157</v>
          </cell>
          <cell r="B36">
            <v>1048</v>
          </cell>
          <cell r="C36">
            <v>20177</v>
          </cell>
          <cell r="D36">
            <v>2690</v>
          </cell>
        </row>
        <row r="46">
          <cell r="E46">
            <v>5148.76</v>
          </cell>
        </row>
        <row r="47">
          <cell r="E47">
            <v>5516.96</v>
          </cell>
        </row>
        <row r="48">
          <cell r="E48">
            <v>4874.6400000000003</v>
          </cell>
        </row>
        <row r="59">
          <cell r="E59">
            <v>6326.24</v>
          </cell>
        </row>
        <row r="60">
          <cell r="E60">
            <v>3939.12</v>
          </cell>
        </row>
        <row r="61">
          <cell r="E61">
            <v>708.28</v>
          </cell>
        </row>
        <row r="62">
          <cell r="E62">
            <v>6309.88</v>
          </cell>
        </row>
        <row r="74">
          <cell r="E74">
            <v>4666.76</v>
          </cell>
        </row>
        <row r="75">
          <cell r="E75">
            <v>1132</v>
          </cell>
        </row>
        <row r="76">
          <cell r="E76">
            <v>7842.92</v>
          </cell>
        </row>
        <row r="87">
          <cell r="E87">
            <v>9311.44</v>
          </cell>
        </row>
        <row r="88">
          <cell r="C88">
            <v>268011</v>
          </cell>
          <cell r="E88">
            <v>8868.24</v>
          </cell>
        </row>
        <row r="89">
          <cell r="C89">
            <v>29968</v>
          </cell>
          <cell r="E89">
            <v>6787.6</v>
          </cell>
        </row>
        <row r="90">
          <cell r="C90">
            <v>4757</v>
          </cell>
          <cell r="E90">
            <v>7912.36</v>
          </cell>
        </row>
        <row r="91">
          <cell r="C91">
            <v>124072</v>
          </cell>
          <cell r="E91">
            <v>10931.4</v>
          </cell>
        </row>
        <row r="109">
          <cell r="E109">
            <v>0.87467836337192373</v>
          </cell>
        </row>
        <row r="118">
          <cell r="D118">
            <v>97.170299999999997</v>
          </cell>
        </row>
        <row r="130">
          <cell r="F130">
            <v>78.4011</v>
          </cell>
        </row>
        <row r="131">
          <cell r="F131">
            <v>76.499499999999998</v>
          </cell>
        </row>
        <row r="132">
          <cell r="F132">
            <v>79.731099999999998</v>
          </cell>
        </row>
        <row r="133">
          <cell r="F133">
            <v>83.944699999999997</v>
          </cell>
        </row>
        <row r="158">
          <cell r="B158">
            <v>389948</v>
          </cell>
        </row>
        <row r="168">
          <cell r="E168">
            <v>9183.2000000000007</v>
          </cell>
        </row>
        <row r="169">
          <cell r="E169">
            <v>9853.4</v>
          </cell>
        </row>
        <row r="170">
          <cell r="E170">
            <v>8611.24</v>
          </cell>
        </row>
        <row r="181">
          <cell r="C181">
            <v>432121</v>
          </cell>
          <cell r="E181">
            <v>8934.7999999999993</v>
          </cell>
        </row>
        <row r="182">
          <cell r="C182">
            <v>76599</v>
          </cell>
          <cell r="E182">
            <v>6240</v>
          </cell>
        </row>
        <row r="183">
          <cell r="C183">
            <v>6312</v>
          </cell>
          <cell r="E183">
            <v>7593.08</v>
          </cell>
        </row>
        <row r="184">
          <cell r="C184">
            <v>205608</v>
          </cell>
          <cell r="E184">
            <v>10849.88</v>
          </cell>
        </row>
        <row r="196">
          <cell r="C196">
            <v>515077</v>
          </cell>
          <cell r="E196">
            <v>8517.7999999999993</v>
          </cell>
        </row>
        <row r="197">
          <cell r="C197">
            <v>4793</v>
          </cell>
          <cell r="E197">
            <v>3649</v>
          </cell>
        </row>
        <row r="198">
          <cell r="C198">
            <v>200838</v>
          </cell>
          <cell r="E198">
            <v>11021.84</v>
          </cell>
        </row>
        <row r="209">
          <cell r="E209">
            <v>10287.92</v>
          </cell>
        </row>
        <row r="210">
          <cell r="C210">
            <v>264448</v>
          </cell>
          <cell r="E210">
            <v>9943.2800000000007</v>
          </cell>
        </row>
        <row r="211">
          <cell r="C211">
            <v>28991</v>
          </cell>
          <cell r="E211">
            <v>7166.72</v>
          </cell>
        </row>
        <row r="212">
          <cell r="C212">
            <v>4195</v>
          </cell>
          <cell r="E212">
            <v>8278.68</v>
          </cell>
        </row>
        <row r="213">
          <cell r="C213">
            <v>121179</v>
          </cell>
          <cell r="E213">
            <v>11855.64</v>
          </cell>
        </row>
        <row r="224">
          <cell r="E224">
            <v>7742.2</v>
          </cell>
        </row>
        <row r="225">
          <cell r="E225">
            <v>8302.16</v>
          </cell>
        </row>
        <row r="226">
          <cell r="E226">
            <v>6432.12</v>
          </cell>
        </row>
        <row r="260">
          <cell r="C260">
            <v>352800</v>
          </cell>
          <cell r="E260">
            <v>10291.879999999999</v>
          </cell>
        </row>
        <row r="270">
          <cell r="B270">
            <v>456758</v>
          </cell>
        </row>
        <row r="271">
          <cell r="B271">
            <v>195220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5_3T"/>
    </sheetNames>
    <sheetDataSet>
      <sheetData sheetId="0">
        <row r="4">
          <cell r="B4">
            <v>630658</v>
          </cell>
        </row>
        <row r="5">
          <cell r="B5">
            <v>847567</v>
          </cell>
        </row>
        <row r="6">
          <cell r="B6">
            <v>1478225</v>
          </cell>
        </row>
        <row r="16">
          <cell r="A16">
            <v>1042351</v>
          </cell>
          <cell r="B16">
            <v>100012</v>
          </cell>
          <cell r="C16">
            <v>335610</v>
          </cell>
          <cell r="D16">
            <v>252</v>
          </cell>
        </row>
        <row r="26">
          <cell r="A26">
            <v>646220</v>
          </cell>
          <cell r="B26">
            <v>154470</v>
          </cell>
          <cell r="C26">
            <v>241664</v>
          </cell>
          <cell r="D26">
            <v>435622</v>
          </cell>
          <cell r="E26">
            <v>249</v>
          </cell>
        </row>
        <row r="36">
          <cell r="A36">
            <v>658902</v>
          </cell>
          <cell r="B36">
            <v>1029</v>
          </cell>
          <cell r="C36">
            <v>19493</v>
          </cell>
          <cell r="D36">
            <v>2737</v>
          </cell>
        </row>
        <row r="46">
          <cell r="E46">
            <v>5148.04</v>
          </cell>
        </row>
        <row r="47">
          <cell r="E47">
            <v>5518.44</v>
          </cell>
        </row>
        <row r="48">
          <cell r="E48">
            <v>4872.4399999999996</v>
          </cell>
        </row>
        <row r="59">
          <cell r="E59">
            <v>6321.12</v>
          </cell>
        </row>
        <row r="60">
          <cell r="E60">
            <v>3921.08</v>
          </cell>
        </row>
        <row r="61">
          <cell r="E61">
            <v>704.84</v>
          </cell>
        </row>
        <row r="62">
          <cell r="E62">
            <v>6307.8</v>
          </cell>
        </row>
        <row r="74">
          <cell r="E74">
            <v>4663.3599999999997</v>
          </cell>
        </row>
        <row r="75">
          <cell r="E75">
            <v>1121.44</v>
          </cell>
        </row>
        <row r="76">
          <cell r="E76">
            <v>7853.44</v>
          </cell>
        </row>
        <row r="87">
          <cell r="E87">
            <v>9329.8799999999992</v>
          </cell>
        </row>
        <row r="88">
          <cell r="C88">
            <v>265188</v>
          </cell>
          <cell r="E88">
            <v>8879.64</v>
          </cell>
        </row>
        <row r="89">
          <cell r="C89">
            <v>29153</v>
          </cell>
          <cell r="E89">
            <v>6787.48</v>
          </cell>
        </row>
        <row r="90">
          <cell r="C90">
            <v>4688</v>
          </cell>
          <cell r="E90">
            <v>7924.92</v>
          </cell>
        </row>
        <row r="91">
          <cell r="C91">
            <v>123296</v>
          </cell>
          <cell r="E91">
            <v>10952.36</v>
          </cell>
        </row>
        <row r="109">
          <cell r="F109">
            <v>0.87739014909930202</v>
          </cell>
        </row>
        <row r="118">
          <cell r="D118">
            <v>97.050899999999999</v>
          </cell>
        </row>
        <row r="130">
          <cell r="F130">
            <v>78.479900000000001</v>
          </cell>
        </row>
        <row r="131">
          <cell r="F131">
            <v>76.564499999999995</v>
          </cell>
        </row>
        <row r="132">
          <cell r="F132">
            <v>79.794300000000007</v>
          </cell>
        </row>
        <row r="133">
          <cell r="F133">
            <v>84.037899999999993</v>
          </cell>
        </row>
        <row r="158">
          <cell r="B158">
            <v>387371</v>
          </cell>
        </row>
        <row r="168">
          <cell r="E168">
            <v>9184.4</v>
          </cell>
        </row>
        <row r="169">
          <cell r="E169">
            <v>9848.32</v>
          </cell>
        </row>
        <row r="170">
          <cell r="E170">
            <v>8617.32</v>
          </cell>
        </row>
        <row r="181">
          <cell r="C181">
            <v>429219</v>
          </cell>
          <cell r="E181">
            <v>8927.76</v>
          </cell>
        </row>
        <row r="182">
          <cell r="C182">
            <v>75418</v>
          </cell>
          <cell r="E182">
            <v>6224.76</v>
          </cell>
        </row>
        <row r="183">
          <cell r="C183">
            <v>6221</v>
          </cell>
          <cell r="E183">
            <v>7580.84</v>
          </cell>
        </row>
        <row r="184">
          <cell r="C184">
            <v>205311</v>
          </cell>
          <cell r="E184">
            <v>10856.24</v>
          </cell>
        </row>
        <row r="196">
          <cell r="C196">
            <v>510904</v>
          </cell>
          <cell r="E196">
            <v>8512.52</v>
          </cell>
        </row>
        <row r="197">
          <cell r="C197">
            <v>4954</v>
          </cell>
          <cell r="E197">
            <v>3640.8</v>
          </cell>
        </row>
        <row r="198">
          <cell r="C198">
            <v>200375</v>
          </cell>
          <cell r="E198">
            <v>11034.8</v>
          </cell>
        </row>
        <row r="209">
          <cell r="E209">
            <v>10309.280000000001</v>
          </cell>
        </row>
        <row r="210">
          <cell r="C210">
            <v>261714</v>
          </cell>
          <cell r="E210">
            <v>9956.08</v>
          </cell>
        </row>
        <row r="211">
          <cell r="C211">
            <v>28207</v>
          </cell>
          <cell r="E211">
            <v>7165.88</v>
          </cell>
        </row>
        <row r="212">
          <cell r="C212">
            <v>4133</v>
          </cell>
          <cell r="E212">
            <v>8279.36</v>
          </cell>
        </row>
        <row r="213">
          <cell r="C213">
            <v>120480</v>
          </cell>
          <cell r="E213">
            <v>11881.68</v>
          </cell>
        </row>
        <row r="224">
          <cell r="E224">
            <v>7738.2</v>
          </cell>
        </row>
        <row r="225">
          <cell r="E225">
            <v>8300.16</v>
          </cell>
        </row>
        <row r="226">
          <cell r="E226">
            <v>6423.4</v>
          </cell>
        </row>
        <row r="260">
          <cell r="C260">
            <v>348873</v>
          </cell>
          <cell r="E260">
            <v>10304.08</v>
          </cell>
        </row>
        <row r="270">
          <cell r="B270">
            <v>452715</v>
          </cell>
        </row>
        <row r="271">
          <cell r="B271">
            <v>193505</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5_4T"/>
    </sheetNames>
    <sheetDataSet>
      <sheetData sheetId="0">
        <row r="4">
          <cell r="B4">
            <v>627469</v>
          </cell>
        </row>
        <row r="5">
          <cell r="B5">
            <v>842375</v>
          </cell>
        </row>
        <row r="6">
          <cell r="B6">
            <v>1469844</v>
          </cell>
        </row>
        <row r="16">
          <cell r="A16">
            <v>1034918</v>
          </cell>
          <cell r="B16">
            <v>100204</v>
          </cell>
          <cell r="C16">
            <v>334469</v>
          </cell>
          <cell r="D16">
            <v>253</v>
          </cell>
        </row>
        <row r="26">
          <cell r="A26">
            <v>643295</v>
          </cell>
          <cell r="B26">
            <v>152421</v>
          </cell>
          <cell r="C26">
            <v>239203</v>
          </cell>
          <cell r="D26">
            <v>434673</v>
          </cell>
          <cell r="E26">
            <v>252</v>
          </cell>
        </row>
        <row r="36">
          <cell r="A36">
            <v>654211</v>
          </cell>
          <cell r="B36">
            <v>999</v>
          </cell>
          <cell r="C36">
            <v>18886</v>
          </cell>
          <cell r="D36">
            <v>2828</v>
          </cell>
        </row>
        <row r="46">
          <cell r="E46">
            <v>5155.28</v>
          </cell>
        </row>
        <row r="47">
          <cell r="E47">
            <v>5532.76</v>
          </cell>
        </row>
        <row r="48">
          <cell r="E48">
            <v>4874.08</v>
          </cell>
        </row>
        <row r="59">
          <cell r="E59">
            <v>6325.56</v>
          </cell>
        </row>
        <row r="60">
          <cell r="E60">
            <v>3907.08</v>
          </cell>
        </row>
        <row r="61">
          <cell r="E61">
            <v>702.2</v>
          </cell>
        </row>
        <row r="62">
          <cell r="E62">
            <v>6311.6</v>
          </cell>
        </row>
        <row r="74">
          <cell r="E74">
            <v>4669.6400000000003</v>
          </cell>
        </row>
        <row r="75">
          <cell r="E75">
            <v>1108.56</v>
          </cell>
        </row>
        <row r="76">
          <cell r="E76">
            <v>7870.44</v>
          </cell>
        </row>
        <row r="87">
          <cell r="E87">
            <v>9355.0400000000009</v>
          </cell>
        </row>
        <row r="88">
          <cell r="C88">
            <v>264086</v>
          </cell>
          <cell r="E88">
            <v>8899.32</v>
          </cell>
        </row>
        <row r="89">
          <cell r="C89">
            <v>28416</v>
          </cell>
          <cell r="E89">
            <v>6795.16</v>
          </cell>
        </row>
        <row r="90">
          <cell r="C90">
            <v>4620</v>
          </cell>
          <cell r="E90">
            <v>7923.72</v>
          </cell>
        </row>
        <row r="91">
          <cell r="C91">
            <v>122850</v>
          </cell>
          <cell r="E91">
            <v>10980.2</v>
          </cell>
        </row>
        <row r="109">
          <cell r="F109">
            <v>0.87983175116344614</v>
          </cell>
        </row>
        <row r="118">
          <cell r="D118">
            <v>97.013199999999998</v>
          </cell>
        </row>
        <row r="130">
          <cell r="F130">
            <v>78.532700000000006</v>
          </cell>
        </row>
        <row r="131">
          <cell r="F131">
            <v>76.594800000000006</v>
          </cell>
        </row>
        <row r="132">
          <cell r="F132">
            <v>79.862200000000001</v>
          </cell>
        </row>
        <row r="133">
          <cell r="F133">
            <v>84.131399999999999</v>
          </cell>
        </row>
        <row r="158">
          <cell r="B158">
            <v>385959</v>
          </cell>
        </row>
        <row r="168">
          <cell r="E168">
            <v>9192.48</v>
          </cell>
        </row>
        <row r="169">
          <cell r="E169">
            <v>9854.64</v>
          </cell>
        </row>
        <row r="170">
          <cell r="E170">
            <v>8625.2800000000007</v>
          </cell>
        </row>
        <row r="181">
          <cell r="C181">
            <v>428556</v>
          </cell>
          <cell r="E181">
            <v>8928.16</v>
          </cell>
        </row>
        <row r="182">
          <cell r="C182">
            <v>74441</v>
          </cell>
          <cell r="E182">
            <v>6212.04</v>
          </cell>
        </row>
        <row r="183">
          <cell r="C183">
            <v>6135</v>
          </cell>
          <cell r="E183">
            <v>7567.64</v>
          </cell>
        </row>
        <row r="184">
          <cell r="C184">
            <v>205373</v>
          </cell>
          <cell r="E184">
            <v>10872.48</v>
          </cell>
        </row>
        <row r="196">
          <cell r="C196">
            <v>509178</v>
          </cell>
          <cell r="E196">
            <v>8514.7999999999993</v>
          </cell>
        </row>
        <row r="197">
          <cell r="C197">
            <v>5045</v>
          </cell>
          <cell r="E197">
            <v>3635.56</v>
          </cell>
        </row>
        <row r="198">
          <cell r="C198">
            <v>200347</v>
          </cell>
          <cell r="E198">
            <v>11054.8</v>
          </cell>
        </row>
        <row r="209">
          <cell r="E209">
            <v>10338.92</v>
          </cell>
        </row>
        <row r="210">
          <cell r="C210">
            <v>260581</v>
          </cell>
          <cell r="E210">
            <v>9978.1200000000008</v>
          </cell>
        </row>
        <row r="211">
          <cell r="C211">
            <v>27487</v>
          </cell>
          <cell r="E211">
            <v>7175.04</v>
          </cell>
        </row>
        <row r="212">
          <cell r="C212">
            <v>4067</v>
          </cell>
          <cell r="E212">
            <v>8277.1200000000008</v>
          </cell>
        </row>
        <row r="213">
          <cell r="C213">
            <v>120096</v>
          </cell>
          <cell r="E213">
            <v>11915.28</v>
          </cell>
        </row>
        <row r="224">
          <cell r="E224">
            <v>7744.04</v>
          </cell>
        </row>
        <row r="225">
          <cell r="E225">
            <v>8310</v>
          </cell>
        </row>
        <row r="226">
          <cell r="E226">
            <v>6419.84</v>
          </cell>
        </row>
        <row r="260">
          <cell r="C260">
            <v>346890</v>
          </cell>
          <cell r="E260">
            <v>10323.32</v>
          </cell>
        </row>
        <row r="270">
          <cell r="B270">
            <v>450675</v>
          </cell>
        </row>
        <row r="271">
          <cell r="B271">
            <v>192620</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6_1T"/>
    </sheetNames>
    <sheetDataSet>
      <sheetData sheetId="0">
        <row r="4">
          <cell r="B4">
            <v>624322</v>
          </cell>
        </row>
        <row r="5">
          <cell r="B5">
            <v>836430</v>
          </cell>
        </row>
        <row r="6">
          <cell r="B6">
            <v>1460752</v>
          </cell>
        </row>
        <row r="16">
          <cell r="A16">
            <v>1028382</v>
          </cell>
          <cell r="B16">
            <v>99990</v>
          </cell>
          <cell r="C16">
            <v>332126</v>
          </cell>
          <cell r="D16">
            <v>254</v>
          </cell>
        </row>
        <row r="26">
          <cell r="A26">
            <v>641284</v>
          </cell>
          <cell r="B26">
            <v>150676</v>
          </cell>
          <cell r="C26">
            <v>236423</v>
          </cell>
          <cell r="D26">
            <v>432116</v>
          </cell>
          <cell r="E26">
            <v>253</v>
          </cell>
        </row>
        <row r="36">
          <cell r="A36">
            <v>649014</v>
          </cell>
          <cell r="B36">
            <v>973</v>
          </cell>
          <cell r="C36">
            <v>17598</v>
          </cell>
          <cell r="D36">
            <v>2867</v>
          </cell>
        </row>
        <row r="46">
          <cell r="E46">
            <v>5155.88</v>
          </cell>
        </row>
        <row r="47">
          <cell r="E47">
            <v>5540.12</v>
          </cell>
        </row>
        <row r="48">
          <cell r="E48">
            <v>4869.12</v>
          </cell>
        </row>
        <row r="59">
          <cell r="E59">
            <v>6320.48</v>
          </cell>
        </row>
        <row r="60">
          <cell r="E60">
            <v>3883.4</v>
          </cell>
        </row>
        <row r="61">
          <cell r="E61">
            <v>697.04</v>
          </cell>
        </row>
        <row r="62">
          <cell r="E62">
            <v>6311</v>
          </cell>
        </row>
        <row r="74">
          <cell r="E74">
            <v>4670.68</v>
          </cell>
        </row>
        <row r="75">
          <cell r="E75">
            <v>1095.44</v>
          </cell>
        </row>
        <row r="76">
          <cell r="E76">
            <v>7881.36</v>
          </cell>
        </row>
        <row r="87">
          <cell r="E87">
            <v>9369.16</v>
          </cell>
        </row>
        <row r="88">
          <cell r="C88">
            <v>263221</v>
          </cell>
          <cell r="E88">
            <v>8910.08</v>
          </cell>
        </row>
        <row r="89">
          <cell r="C89">
            <v>27733</v>
          </cell>
          <cell r="E89">
            <v>6787.12</v>
          </cell>
        </row>
        <row r="90">
          <cell r="C90">
            <v>4521</v>
          </cell>
          <cell r="E90">
            <v>7921.04</v>
          </cell>
        </row>
        <row r="91">
          <cell r="C91">
            <v>121867</v>
          </cell>
          <cell r="E91">
            <v>11001.6</v>
          </cell>
        </row>
        <row r="109">
          <cell r="F109">
            <v>0.88267118963929636</v>
          </cell>
        </row>
        <row r="118">
          <cell r="D118">
            <v>96.958299999999994</v>
          </cell>
        </row>
        <row r="130">
          <cell r="F130">
            <v>78.562600000000003</v>
          </cell>
        </row>
        <row r="131">
          <cell r="F131">
            <v>76.599500000000006</v>
          </cell>
        </row>
        <row r="132">
          <cell r="F132">
            <v>79.959500000000006</v>
          </cell>
        </row>
        <row r="133">
          <cell r="F133">
            <v>84.220799999999997</v>
          </cell>
        </row>
        <row r="158">
          <cell r="B158">
            <v>384497</v>
          </cell>
        </row>
        <row r="168">
          <cell r="E168">
            <v>9281.44</v>
          </cell>
        </row>
        <row r="169">
          <cell r="E169">
            <v>10005.36</v>
          </cell>
        </row>
        <row r="170">
          <cell r="E170">
            <v>8658.4</v>
          </cell>
        </row>
        <row r="181">
          <cell r="C181">
            <v>428979</v>
          </cell>
          <cell r="E181">
            <v>9041</v>
          </cell>
        </row>
        <row r="182">
          <cell r="C182">
            <v>73599</v>
          </cell>
          <cell r="E182">
            <v>6183.12</v>
          </cell>
        </row>
        <row r="183">
          <cell r="C183">
            <v>6017</v>
          </cell>
          <cell r="E183">
            <v>7540.04</v>
          </cell>
        </row>
        <row r="184">
          <cell r="C184">
            <v>204666</v>
          </cell>
          <cell r="E184">
            <v>10950.32</v>
          </cell>
        </row>
        <row r="196">
          <cell r="C196">
            <v>508642</v>
          </cell>
          <cell r="E196">
            <v>8609.84</v>
          </cell>
        </row>
        <row r="197">
          <cell r="C197">
            <v>5130</v>
          </cell>
          <cell r="E197">
            <v>3641.72</v>
          </cell>
        </row>
        <row r="198">
          <cell r="C198">
            <v>199554</v>
          </cell>
          <cell r="E198">
            <v>11138.32</v>
          </cell>
        </row>
        <row r="209">
          <cell r="E209">
            <v>10475.48</v>
          </cell>
        </row>
        <row r="210">
          <cell r="C210">
            <v>259810</v>
          </cell>
          <cell r="E210">
            <v>10136.040000000001</v>
          </cell>
        </row>
        <row r="211">
          <cell r="C211">
            <v>26819</v>
          </cell>
          <cell r="E211">
            <v>7167.12</v>
          </cell>
        </row>
        <row r="212">
          <cell r="C212">
            <v>3974</v>
          </cell>
          <cell r="E212">
            <v>8272.08</v>
          </cell>
        </row>
        <row r="213">
          <cell r="C213">
            <v>119162</v>
          </cell>
          <cell r="E213">
            <v>12033.16</v>
          </cell>
        </row>
        <row r="224">
          <cell r="E224">
            <v>7822.32</v>
          </cell>
        </row>
        <row r="225">
          <cell r="E225">
            <v>8410.36</v>
          </cell>
        </row>
        <row r="226">
          <cell r="E226">
            <v>6448.16</v>
          </cell>
        </row>
        <row r="260">
          <cell r="C260">
            <v>345091</v>
          </cell>
          <cell r="E260">
            <v>10462.64</v>
          </cell>
        </row>
        <row r="270">
          <cell r="B270">
            <v>449096</v>
          </cell>
        </row>
        <row r="271">
          <cell r="B271">
            <v>192188</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6_2T"/>
    </sheetNames>
    <sheetDataSet>
      <sheetData sheetId="0">
        <row r="4">
          <cell r="B4">
            <v>618846</v>
          </cell>
        </row>
        <row r="5">
          <cell r="B5">
            <v>828479</v>
          </cell>
        </row>
        <row r="6">
          <cell r="B6">
            <v>1447325</v>
          </cell>
        </row>
        <row r="16">
          <cell r="A16">
            <v>1018636</v>
          </cell>
          <cell r="B16">
            <v>99644</v>
          </cell>
          <cell r="C16">
            <v>328795</v>
          </cell>
          <cell r="D16">
            <v>250</v>
          </cell>
        </row>
        <row r="26">
          <cell r="A26">
            <v>636568</v>
          </cell>
          <cell r="B26">
            <v>148630</v>
          </cell>
          <cell r="C26">
            <v>233439</v>
          </cell>
          <cell r="D26">
            <v>428439</v>
          </cell>
          <cell r="E26">
            <v>249</v>
          </cell>
        </row>
        <row r="36">
          <cell r="A36">
            <v>641945</v>
          </cell>
          <cell r="B36">
            <v>939</v>
          </cell>
          <cell r="C36">
            <v>16832</v>
          </cell>
          <cell r="D36">
            <v>2894</v>
          </cell>
        </row>
        <row r="46">
          <cell r="E46">
            <v>5152.92</v>
          </cell>
        </row>
        <row r="47">
          <cell r="E47">
            <v>5541.24</v>
          </cell>
        </row>
        <row r="48">
          <cell r="E48">
            <v>4862.84</v>
          </cell>
        </row>
        <row r="59">
          <cell r="E59">
            <v>6315.16</v>
          </cell>
        </row>
        <row r="60">
          <cell r="E60">
            <v>3861.6</v>
          </cell>
        </row>
        <row r="61">
          <cell r="E61">
            <v>692.4</v>
          </cell>
        </row>
        <row r="62">
          <cell r="E62">
            <v>6304.56</v>
          </cell>
        </row>
        <row r="74">
          <cell r="E74">
            <v>4668.6000000000004</v>
          </cell>
        </row>
        <row r="75">
          <cell r="E75">
            <v>1080.5999999999999</v>
          </cell>
        </row>
        <row r="76">
          <cell r="E76">
            <v>7887.8</v>
          </cell>
        </row>
        <row r="87">
          <cell r="E87">
            <v>9385.8799999999992</v>
          </cell>
        </row>
        <row r="88">
          <cell r="C88">
            <v>260804</v>
          </cell>
          <cell r="E88">
            <v>8925.64</v>
          </cell>
        </row>
        <row r="89">
          <cell r="C89">
            <v>27007</v>
          </cell>
          <cell r="E89">
            <v>6785.68</v>
          </cell>
        </row>
        <row r="90">
          <cell r="C90">
            <v>4414</v>
          </cell>
          <cell r="E90">
            <v>7910.2</v>
          </cell>
        </row>
        <row r="91">
          <cell r="C91">
            <v>120496</v>
          </cell>
          <cell r="E91">
            <v>11018.48</v>
          </cell>
        </row>
        <row r="109">
          <cell r="F109">
            <v>0.88549852820816854</v>
          </cell>
        </row>
        <row r="118">
          <cell r="D118">
            <v>96.828000000000003</v>
          </cell>
        </row>
        <row r="130">
          <cell r="F130">
            <v>78.607100000000003</v>
          </cell>
        </row>
        <row r="131">
          <cell r="F131">
            <v>76.629199999999997</v>
          </cell>
        </row>
        <row r="132">
          <cell r="F132">
            <v>80.043800000000005</v>
          </cell>
        </row>
        <row r="133">
          <cell r="F133">
            <v>84.300200000000004</v>
          </cell>
        </row>
        <row r="158">
          <cell r="B158">
            <v>381774</v>
          </cell>
        </row>
        <row r="168">
          <cell r="E168">
            <v>9274.76</v>
          </cell>
        </row>
        <row r="169">
          <cell r="E169">
            <v>9995.32</v>
          </cell>
        </row>
        <row r="170">
          <cell r="E170">
            <v>8653.4</v>
          </cell>
        </row>
        <row r="181">
          <cell r="C181">
            <v>426996</v>
          </cell>
          <cell r="E181">
            <v>9029.56</v>
          </cell>
        </row>
        <row r="182">
          <cell r="C182">
            <v>72595</v>
          </cell>
          <cell r="E182">
            <v>6162.88</v>
          </cell>
        </row>
        <row r="183">
          <cell r="C183">
            <v>5885</v>
          </cell>
          <cell r="E183">
            <v>7517.32</v>
          </cell>
        </row>
        <row r="184">
          <cell r="C184">
            <v>203335</v>
          </cell>
          <cell r="E184">
            <v>10951.12</v>
          </cell>
        </row>
        <row r="196">
          <cell r="C196">
            <v>505519</v>
          </cell>
          <cell r="E196">
            <v>8600.44</v>
          </cell>
        </row>
        <row r="197">
          <cell r="C197">
            <v>5227</v>
          </cell>
          <cell r="E197">
            <v>3608.8</v>
          </cell>
        </row>
        <row r="198">
          <cell r="C198">
            <v>198129</v>
          </cell>
          <cell r="E198">
            <v>11144.84</v>
          </cell>
        </row>
        <row r="209">
          <cell r="E209">
            <v>10493.12</v>
          </cell>
        </row>
        <row r="210">
          <cell r="C210">
            <v>257538</v>
          </cell>
          <cell r="E210">
            <v>10149.040000000001</v>
          </cell>
        </row>
        <row r="211">
          <cell r="C211">
            <v>26115</v>
          </cell>
          <cell r="E211">
            <v>7165.12</v>
          </cell>
        </row>
        <row r="212">
          <cell r="C212">
            <v>3873</v>
          </cell>
          <cell r="E212">
            <v>8261.4</v>
          </cell>
        </row>
        <row r="213">
          <cell r="C213">
            <v>117868</v>
          </cell>
          <cell r="E213">
            <v>12055.28</v>
          </cell>
        </row>
        <row r="224">
          <cell r="E224">
            <v>7818.2</v>
          </cell>
        </row>
        <row r="225">
          <cell r="E225">
            <v>8408.4</v>
          </cell>
        </row>
        <row r="226">
          <cell r="E226">
            <v>6440.64</v>
          </cell>
        </row>
        <row r="260">
          <cell r="C260">
            <v>341813</v>
          </cell>
          <cell r="E260">
            <v>10476.84</v>
          </cell>
        </row>
        <row r="270">
          <cell r="B270">
            <v>445640</v>
          </cell>
        </row>
        <row r="271">
          <cell r="B271">
            <v>190928</v>
          </cell>
        </row>
        <row r="281">
          <cell r="C281">
            <v>220861</v>
          </cell>
          <cell r="D281">
            <v>25.224900000000002</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6_3T"/>
    </sheetNames>
    <sheetDataSet>
      <sheetData sheetId="0">
        <row r="4">
          <cell r="B4">
            <v>614266</v>
          </cell>
        </row>
        <row r="5">
          <cell r="B5">
            <v>821736</v>
          </cell>
        </row>
        <row r="6">
          <cell r="B6">
            <v>1436002</v>
          </cell>
        </row>
        <row r="16">
          <cell r="A16">
            <v>1009815</v>
          </cell>
          <cell r="B16">
            <v>99454</v>
          </cell>
          <cell r="C16">
            <v>326475</v>
          </cell>
          <cell r="D16">
            <v>258</v>
          </cell>
        </row>
        <row r="26">
          <cell r="A26">
            <v>632180</v>
          </cell>
          <cell r="B26">
            <v>146805</v>
          </cell>
          <cell r="C26">
            <v>230831</v>
          </cell>
          <cell r="D26">
            <v>425929</v>
          </cell>
          <cell r="E26">
            <v>257</v>
          </cell>
        </row>
        <row r="36">
          <cell r="A36">
            <v>636042</v>
          </cell>
          <cell r="B36">
            <v>913</v>
          </cell>
          <cell r="C36">
            <v>16220</v>
          </cell>
          <cell r="D36">
            <v>2939</v>
          </cell>
        </row>
        <row r="46">
          <cell r="E46">
            <v>5149.92</v>
          </cell>
        </row>
        <row r="47">
          <cell r="E47">
            <v>5541.28</v>
          </cell>
        </row>
        <row r="48">
          <cell r="E48">
            <v>4857.3999999999996</v>
          </cell>
        </row>
        <row r="59">
          <cell r="E59">
            <v>6306.68</v>
          </cell>
        </row>
        <row r="60">
          <cell r="E60">
            <v>3841.76</v>
          </cell>
        </row>
        <row r="61">
          <cell r="E61">
            <v>688.4</v>
          </cell>
        </row>
        <row r="62">
          <cell r="E62">
            <v>6301.92</v>
          </cell>
        </row>
        <row r="74">
          <cell r="E74">
            <v>4664.08</v>
          </cell>
        </row>
        <row r="75">
          <cell r="E75">
            <v>1069.32</v>
          </cell>
        </row>
        <row r="76">
          <cell r="E76">
            <v>7896.08</v>
          </cell>
        </row>
        <row r="87">
          <cell r="E87">
            <v>9399.36</v>
          </cell>
        </row>
        <row r="88">
          <cell r="C88">
            <v>258503</v>
          </cell>
          <cell r="E88">
            <v>8933.48</v>
          </cell>
        </row>
        <row r="89">
          <cell r="C89">
            <v>26328</v>
          </cell>
          <cell r="E89">
            <v>6785.24</v>
          </cell>
        </row>
        <row r="90">
          <cell r="C90">
            <v>4329</v>
          </cell>
          <cell r="E90">
            <v>7909.32</v>
          </cell>
        </row>
        <row r="91">
          <cell r="C91">
            <v>119484</v>
          </cell>
          <cell r="E91">
            <v>11036.88</v>
          </cell>
        </row>
        <row r="109">
          <cell r="F109">
            <v>0.88798440158438241</v>
          </cell>
        </row>
        <row r="118">
          <cell r="D118">
            <v>96.703400000000002</v>
          </cell>
        </row>
        <row r="130">
          <cell r="F130">
            <v>78.665300000000002</v>
          </cell>
        </row>
        <row r="131">
          <cell r="F131">
            <v>76.671199999999999</v>
          </cell>
        </row>
        <row r="132">
          <cell r="F132">
            <v>80.116399999999999</v>
          </cell>
        </row>
        <row r="133">
          <cell r="F133">
            <v>84.391800000000003</v>
          </cell>
        </row>
        <row r="158">
          <cell r="B158">
            <v>379564</v>
          </cell>
        </row>
        <row r="168">
          <cell r="E168">
            <v>9269.48</v>
          </cell>
        </row>
        <row r="169">
          <cell r="E169">
            <v>9984.0400000000009</v>
          </cell>
        </row>
        <row r="170">
          <cell r="E170">
            <v>8652.24</v>
          </cell>
        </row>
        <row r="181">
          <cell r="C181">
            <v>425036</v>
          </cell>
          <cell r="E181">
            <v>9017.4</v>
          </cell>
        </row>
        <row r="182">
          <cell r="C182">
            <v>71685</v>
          </cell>
          <cell r="E182">
            <v>6143.2</v>
          </cell>
        </row>
        <row r="183">
          <cell r="C183">
            <v>5785</v>
          </cell>
          <cell r="E183">
            <v>7497.12</v>
          </cell>
        </row>
        <row r="184">
          <cell r="C184">
            <v>202667</v>
          </cell>
          <cell r="E184">
            <v>10954.04</v>
          </cell>
        </row>
        <row r="196">
          <cell r="C196">
            <v>502551</v>
          </cell>
          <cell r="E196">
            <v>8590.1200000000008</v>
          </cell>
        </row>
        <row r="197">
          <cell r="C197">
            <v>5328</v>
          </cell>
          <cell r="E197">
            <v>3588.96</v>
          </cell>
        </row>
        <row r="198">
          <cell r="C198">
            <v>197363</v>
          </cell>
          <cell r="E198">
            <v>11152.88</v>
          </cell>
        </row>
        <row r="209">
          <cell r="E209">
            <v>10510.32</v>
          </cell>
        </row>
        <row r="210">
          <cell r="C210">
            <v>255346</v>
          </cell>
          <cell r="E210">
            <v>10158.76</v>
          </cell>
        </row>
        <row r="211">
          <cell r="C211">
            <v>25455</v>
          </cell>
          <cell r="E211">
            <v>7165</v>
          </cell>
        </row>
        <row r="212">
          <cell r="C212">
            <v>3794</v>
          </cell>
          <cell r="E212">
            <v>8262.56</v>
          </cell>
        </row>
        <row r="213">
          <cell r="C213">
            <v>116930</v>
          </cell>
          <cell r="E213">
            <v>12078.92</v>
          </cell>
        </row>
        <row r="224">
          <cell r="E224">
            <v>7811.6</v>
          </cell>
        </row>
        <row r="225">
          <cell r="E225">
            <v>8405.32</v>
          </cell>
        </row>
        <row r="226">
          <cell r="E226">
            <v>6425.64</v>
          </cell>
        </row>
        <row r="260">
          <cell r="C260">
            <v>338755</v>
          </cell>
          <cell r="E260">
            <v>10485.36</v>
          </cell>
        </row>
        <row r="270">
          <cell r="B270">
            <v>442586</v>
          </cell>
        </row>
        <row r="271">
          <cell r="B271">
            <v>189594</v>
          </cell>
        </row>
        <row r="281">
          <cell r="C281">
            <v>217610</v>
          </cell>
          <cell r="D281">
            <v>25.1891</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6_4T"/>
    </sheetNames>
    <sheetDataSet>
      <sheetData sheetId="0">
        <row r="4">
          <cell r="B4">
            <v>610896</v>
          </cell>
        </row>
        <row r="5">
          <cell r="B5">
            <v>815915</v>
          </cell>
        </row>
        <row r="6">
          <cell r="B6">
            <v>1426811</v>
          </cell>
        </row>
        <row r="16">
          <cell r="A16">
            <v>1001864</v>
          </cell>
          <cell r="B16">
            <v>99731</v>
          </cell>
          <cell r="C16">
            <v>324960</v>
          </cell>
          <cell r="D16">
            <v>256</v>
          </cell>
        </row>
        <row r="26">
          <cell r="A26">
            <v>628889</v>
          </cell>
          <cell r="B26">
            <v>144717</v>
          </cell>
          <cell r="C26">
            <v>228259</v>
          </cell>
          <cell r="D26">
            <v>424691</v>
          </cell>
          <cell r="E26">
            <v>255</v>
          </cell>
        </row>
        <row r="36">
          <cell r="A36">
            <v>631040</v>
          </cell>
          <cell r="B36">
            <v>891</v>
          </cell>
          <cell r="C36">
            <v>15707</v>
          </cell>
          <cell r="D36">
            <v>2978</v>
          </cell>
        </row>
        <row r="46">
          <cell r="E46">
            <v>5152.3599999999997</v>
          </cell>
        </row>
        <row r="47">
          <cell r="E47">
            <v>5549.64</v>
          </cell>
        </row>
        <row r="48">
          <cell r="E48">
            <v>4854.92</v>
          </cell>
        </row>
        <row r="59">
          <cell r="E59">
            <v>6305.72</v>
          </cell>
        </row>
        <row r="60">
          <cell r="E60">
            <v>3826.56</v>
          </cell>
        </row>
        <row r="61">
          <cell r="E61">
            <v>685.48</v>
          </cell>
        </row>
        <row r="62">
          <cell r="E62">
            <v>6297.24</v>
          </cell>
        </row>
        <row r="74">
          <cell r="E74">
            <v>4667.16</v>
          </cell>
        </row>
        <row r="75">
          <cell r="E75">
            <v>1060.2</v>
          </cell>
        </row>
        <row r="76">
          <cell r="E76">
            <v>7904.6</v>
          </cell>
        </row>
        <row r="87">
          <cell r="E87">
            <v>9414.7999999999993</v>
          </cell>
        </row>
        <row r="88">
          <cell r="C88">
            <v>257261</v>
          </cell>
          <cell r="E88">
            <v>8945.68</v>
          </cell>
        </row>
        <row r="89">
          <cell r="C89">
            <v>25722</v>
          </cell>
          <cell r="E89">
            <v>6784.16</v>
          </cell>
        </row>
        <row r="90">
          <cell r="C90">
            <v>4265</v>
          </cell>
          <cell r="E90">
            <v>7899.72</v>
          </cell>
        </row>
        <row r="91">
          <cell r="C91">
            <v>118789</v>
          </cell>
          <cell r="E91">
            <v>11054.48</v>
          </cell>
        </row>
        <row r="109">
          <cell r="F109">
            <v>0.89008860067004347</v>
          </cell>
        </row>
        <row r="118">
          <cell r="D118">
            <v>96.6755</v>
          </cell>
        </row>
        <row r="130">
          <cell r="F130">
            <v>78.727900000000005</v>
          </cell>
        </row>
        <row r="131">
          <cell r="F131">
            <v>76.719099999999997</v>
          </cell>
        </row>
        <row r="132">
          <cell r="F132">
            <v>80.168099999999995</v>
          </cell>
        </row>
        <row r="133">
          <cell r="F133">
            <v>84.48</v>
          </cell>
        </row>
        <row r="158">
          <cell r="B158">
            <v>377816</v>
          </cell>
        </row>
        <row r="168">
          <cell r="E168">
            <v>9318.6</v>
          </cell>
        </row>
        <row r="169">
          <cell r="E169">
            <v>10064.64</v>
          </cell>
        </row>
        <row r="170">
          <cell r="E170">
            <v>8671.7199999999993</v>
          </cell>
        </row>
        <row r="181">
          <cell r="C181">
            <v>424124</v>
          </cell>
          <cell r="E181">
            <v>9078.2800000000007</v>
          </cell>
        </row>
        <row r="182">
          <cell r="C182">
            <v>70735</v>
          </cell>
          <cell r="E182">
            <v>6126.64</v>
          </cell>
        </row>
        <row r="183">
          <cell r="C183">
            <v>5707</v>
          </cell>
          <cell r="E183">
            <v>7479.28</v>
          </cell>
        </row>
        <row r="184">
          <cell r="C184">
            <v>202507</v>
          </cell>
          <cell r="E184">
            <v>10988.4</v>
          </cell>
        </row>
        <row r="196">
          <cell r="C196">
            <v>500604</v>
          </cell>
          <cell r="E196">
            <v>8643.2800000000007</v>
          </cell>
        </row>
        <row r="197">
          <cell r="C197">
            <v>5508</v>
          </cell>
          <cell r="E197">
            <v>3585.24</v>
          </cell>
        </row>
        <row r="198">
          <cell r="C198">
            <v>197023</v>
          </cell>
          <cell r="E198">
            <v>11195.36</v>
          </cell>
        </row>
        <row r="209">
          <cell r="E209">
            <v>10590.48</v>
          </cell>
        </row>
        <row r="210">
          <cell r="C210">
            <v>254140</v>
          </cell>
          <cell r="E210">
            <v>10248.56</v>
          </cell>
        </row>
        <row r="211">
          <cell r="C211">
            <v>24858</v>
          </cell>
          <cell r="E211">
            <v>7165.08</v>
          </cell>
        </row>
        <row r="212">
          <cell r="C212">
            <v>3735</v>
          </cell>
          <cell r="E212">
            <v>8249.36</v>
          </cell>
        </row>
        <row r="213">
          <cell r="C213">
            <v>116305</v>
          </cell>
          <cell r="E213">
            <v>12144.72</v>
          </cell>
        </row>
        <row r="224">
          <cell r="E224">
            <v>7856.52</v>
          </cell>
        </row>
        <row r="225">
          <cell r="E225">
            <v>8464</v>
          </cell>
        </row>
        <row r="226">
          <cell r="E226">
            <v>6436.32</v>
          </cell>
        </row>
        <row r="260">
          <cell r="C260">
            <v>336732</v>
          </cell>
          <cell r="E260">
            <v>10566.32</v>
          </cell>
        </row>
        <row r="270">
          <cell r="B270">
            <v>440482</v>
          </cell>
        </row>
        <row r="271">
          <cell r="B271">
            <v>188407</v>
          </cell>
        </row>
        <row r="281">
          <cell r="C281">
            <v>232901</v>
          </cell>
          <cell r="D281">
            <v>35.956099999999999</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7_1T"/>
    </sheetNames>
    <sheetDataSet>
      <sheetData sheetId="0">
        <row r="4">
          <cell r="B4">
            <v>607120</v>
          </cell>
        </row>
        <row r="5">
          <cell r="B5">
            <v>808624</v>
          </cell>
        </row>
        <row r="6">
          <cell r="B6">
            <v>1415744</v>
          </cell>
        </row>
        <row r="16">
          <cell r="A16">
            <v>994111</v>
          </cell>
          <cell r="B16">
            <v>99377</v>
          </cell>
          <cell r="C16">
            <v>322001</v>
          </cell>
          <cell r="D16">
            <v>255</v>
          </cell>
        </row>
        <row r="26">
          <cell r="A26">
            <v>626145</v>
          </cell>
          <cell r="B26">
            <v>142769</v>
          </cell>
          <cell r="C26">
            <v>225199</v>
          </cell>
          <cell r="D26">
            <v>421378</v>
          </cell>
          <cell r="E26">
            <v>253</v>
          </cell>
        </row>
        <row r="36">
          <cell r="A36">
            <v>624908</v>
          </cell>
          <cell r="B36">
            <v>856</v>
          </cell>
          <cell r="C36">
            <v>14893</v>
          </cell>
          <cell r="D36">
            <v>2949</v>
          </cell>
        </row>
        <row r="46">
          <cell r="E46">
            <v>5152.72</v>
          </cell>
        </row>
        <row r="47">
          <cell r="E47">
            <v>5557.96</v>
          </cell>
        </row>
        <row r="48">
          <cell r="E48">
            <v>4848.4399999999996</v>
          </cell>
        </row>
        <row r="59">
          <cell r="E59">
            <v>6301.92</v>
          </cell>
        </row>
        <row r="60">
          <cell r="E60">
            <v>3801.92</v>
          </cell>
        </row>
        <row r="61">
          <cell r="E61">
            <v>680.48</v>
          </cell>
        </row>
        <row r="62">
          <cell r="E62">
            <v>6293.12</v>
          </cell>
        </row>
        <row r="74">
          <cell r="E74">
            <v>4669.4799999999996</v>
          </cell>
        </row>
        <row r="75">
          <cell r="E75">
            <v>1046.3599999999999</v>
          </cell>
        </row>
        <row r="76">
          <cell r="E76">
            <v>7912.56</v>
          </cell>
        </row>
        <row r="87">
          <cell r="E87">
            <v>9429.2800000000007</v>
          </cell>
        </row>
        <row r="88">
          <cell r="C88">
            <v>256132</v>
          </cell>
          <cell r="E88">
            <v>8958.4</v>
          </cell>
        </row>
        <row r="89">
          <cell r="C89">
            <v>25028</v>
          </cell>
          <cell r="E89">
            <v>6777.88</v>
          </cell>
        </row>
        <row r="90">
          <cell r="C90">
            <v>4170</v>
          </cell>
          <cell r="E90">
            <v>7893.72</v>
          </cell>
        </row>
        <row r="91">
          <cell r="C91">
            <v>117560</v>
          </cell>
          <cell r="E91">
            <v>11073.68</v>
          </cell>
        </row>
        <row r="109">
          <cell r="F109">
            <v>0.892858824977248</v>
          </cell>
        </row>
        <row r="118">
          <cell r="D118">
            <v>96.621799999999993</v>
          </cell>
        </row>
        <row r="130">
          <cell r="F130">
            <v>78.751400000000004</v>
          </cell>
        </row>
        <row r="131">
          <cell r="F131">
            <v>76.721999999999994</v>
          </cell>
        </row>
        <row r="132">
          <cell r="F132">
            <v>80.240200000000002</v>
          </cell>
        </row>
        <row r="133">
          <cell r="F133">
            <v>84.558199999999999</v>
          </cell>
        </row>
        <row r="158">
          <cell r="B158">
            <v>375649</v>
          </cell>
        </row>
        <row r="168">
          <cell r="E168">
            <v>9310.08</v>
          </cell>
        </row>
        <row r="169">
          <cell r="E169">
            <v>10052.799999999999</v>
          </cell>
        </row>
        <row r="170">
          <cell r="E170">
            <v>8662.76</v>
          </cell>
        </row>
        <row r="181">
          <cell r="C181">
            <v>423854</v>
          </cell>
          <cell r="E181">
            <v>9063.9599999999991</v>
          </cell>
        </row>
        <row r="182">
          <cell r="C182">
            <v>69738</v>
          </cell>
          <cell r="E182">
            <v>6099.68</v>
          </cell>
        </row>
        <row r="183">
          <cell r="C183">
            <v>5585</v>
          </cell>
          <cell r="E183">
            <v>7456.08</v>
          </cell>
        </row>
        <row r="184">
          <cell r="C184">
            <v>201474</v>
          </cell>
          <cell r="E184">
            <v>10990.16</v>
          </cell>
        </row>
        <row r="196">
          <cell r="C196">
            <v>499221</v>
          </cell>
          <cell r="E196">
            <v>8632.08</v>
          </cell>
        </row>
        <row r="197">
          <cell r="C197">
            <v>5619</v>
          </cell>
          <cell r="E197">
            <v>3576.24</v>
          </cell>
        </row>
        <row r="198">
          <cell r="C198">
            <v>195876</v>
          </cell>
          <cell r="E198">
            <v>11202.84</v>
          </cell>
        </row>
        <row r="209">
          <cell r="E209">
            <v>10607.96</v>
          </cell>
        </row>
        <row r="210">
          <cell r="C210">
            <v>253065</v>
          </cell>
          <cell r="E210">
            <v>10261.16</v>
          </cell>
        </row>
        <row r="211">
          <cell r="C211">
            <v>24180</v>
          </cell>
          <cell r="E211">
            <v>7158.96</v>
          </cell>
        </row>
        <row r="212">
          <cell r="C212">
            <v>3647</v>
          </cell>
          <cell r="E212">
            <v>8241.32</v>
          </cell>
        </row>
        <row r="213">
          <cell r="C213">
            <v>115141</v>
          </cell>
          <cell r="E213">
            <v>12169.2</v>
          </cell>
        </row>
        <row r="224">
          <cell r="E224">
            <v>7850.92</v>
          </cell>
        </row>
        <row r="225">
          <cell r="E225">
            <v>8461.7199999999993</v>
          </cell>
        </row>
        <row r="226">
          <cell r="E226">
            <v>6422.76</v>
          </cell>
        </row>
        <row r="260">
          <cell r="C260">
            <v>334505</v>
          </cell>
          <cell r="E260">
            <v>10577.64</v>
          </cell>
        </row>
        <row r="270">
          <cell r="B270">
            <v>438580</v>
          </cell>
        </row>
        <row r="271">
          <cell r="B271">
            <v>187565</v>
          </cell>
        </row>
        <row r="281">
          <cell r="C281">
            <v>229164</v>
          </cell>
          <cell r="D281">
            <v>35.931399999999996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3_3T"/>
    </sheetNames>
    <sheetDataSet>
      <sheetData sheetId="0">
        <row r="9">
          <cell r="B9">
            <v>511998</v>
          </cell>
        </row>
        <row r="10">
          <cell r="B10">
            <v>629541</v>
          </cell>
        </row>
        <row r="11">
          <cell r="B11">
            <v>1141539</v>
          </cell>
        </row>
        <row r="16">
          <cell r="A16">
            <v>476546</v>
          </cell>
          <cell r="B16">
            <v>373</v>
          </cell>
          <cell r="C16">
            <v>4796</v>
          </cell>
          <cell r="D16">
            <v>2988</v>
          </cell>
        </row>
        <row r="21">
          <cell r="A21">
            <v>814590</v>
          </cell>
          <cell r="B21">
            <v>89009</v>
          </cell>
          <cell r="C21">
            <v>237698</v>
          </cell>
          <cell r="D21">
            <v>242</v>
          </cell>
        </row>
        <row r="26">
          <cell r="A26">
            <v>551199</v>
          </cell>
          <cell r="B26">
            <v>104699</v>
          </cell>
          <cell r="C26">
            <v>158692</v>
          </cell>
          <cell r="D26">
            <v>326708</v>
          </cell>
          <cell r="E26">
            <v>241</v>
          </cell>
        </row>
        <row r="31">
          <cell r="E31">
            <v>5674.0140162027201</v>
          </cell>
        </row>
        <row r="32">
          <cell r="E32">
            <v>6246.1691341338801</v>
          </cell>
        </row>
        <row r="33">
          <cell r="E33">
            <v>5208.6883311624397</v>
          </cell>
        </row>
        <row r="38">
          <cell r="E38">
            <v>5674.0140162027201</v>
          </cell>
        </row>
        <row r="39">
          <cell r="E39">
            <v>5272.9490102509599</v>
          </cell>
        </row>
        <row r="40">
          <cell r="E40">
            <v>927.61710070615595</v>
          </cell>
        </row>
        <row r="41">
          <cell r="E41">
            <v>8826.5508048607207</v>
          </cell>
        </row>
        <row r="47">
          <cell r="E47">
            <v>5674.0140162027201</v>
          </cell>
        </row>
        <row r="48">
          <cell r="E48">
            <v>6852.2732230523197</v>
          </cell>
        </row>
        <row r="49">
          <cell r="E49">
            <v>3917.246850495228</v>
          </cell>
        </row>
        <row r="50">
          <cell r="E50">
            <v>683.30249792049995</v>
          </cell>
        </row>
        <row r="51">
          <cell r="E51">
            <v>6674.5587531297197</v>
          </cell>
        </row>
        <row r="57">
          <cell r="F57">
            <v>78.962198301236199</v>
          </cell>
        </row>
        <row r="58">
          <cell r="F58">
            <v>76.610405374887094</v>
          </cell>
        </row>
        <row r="59">
          <cell r="F59">
            <v>81.752766158413195</v>
          </cell>
        </row>
        <row r="60">
          <cell r="F60">
            <v>85.979124516810202</v>
          </cell>
        </row>
        <row r="81">
          <cell r="D81">
            <v>786839</v>
          </cell>
        </row>
        <row r="82">
          <cell r="D82">
            <v>1052528</v>
          </cell>
        </row>
        <row r="87">
          <cell r="D87">
            <v>96.731586593409006</v>
          </cell>
        </row>
        <row r="94">
          <cell r="A94">
            <v>16</v>
          </cell>
          <cell r="B94">
            <v>92</v>
          </cell>
          <cell r="C94">
            <v>152</v>
          </cell>
        </row>
        <row r="99">
          <cell r="C99">
            <v>253525</v>
          </cell>
          <cell r="E99">
            <v>11107.425082339039</v>
          </cell>
        </row>
        <row r="100">
          <cell r="C100">
            <v>165266</v>
          </cell>
          <cell r="E100">
            <v>10568.68800600244</v>
          </cell>
        </row>
        <row r="101">
          <cell r="C101">
            <v>9222</v>
          </cell>
          <cell r="E101">
            <v>8752.3430926046403</v>
          </cell>
        </row>
        <row r="102">
          <cell r="C102">
            <v>1547</v>
          </cell>
          <cell r="E102">
            <v>9818.8364576599997</v>
          </cell>
        </row>
        <row r="103">
          <cell r="C103">
            <v>77458</v>
          </cell>
          <cell r="E103">
            <v>12562.51010870408</v>
          </cell>
        </row>
        <row r="104">
          <cell r="C104">
            <v>32</v>
          </cell>
        </row>
        <row r="111">
          <cell r="B111">
            <v>309337</v>
          </cell>
        </row>
        <row r="112">
          <cell r="B112">
            <v>317073</v>
          </cell>
        </row>
        <row r="117">
          <cell r="E117">
            <v>10485.03744435716</v>
          </cell>
        </row>
        <row r="118">
          <cell r="E118">
            <v>11510.07393803792</v>
          </cell>
        </row>
        <row r="119">
          <cell r="E119">
            <v>9485.0392202630792</v>
          </cell>
        </row>
        <row r="124">
          <cell r="E124">
            <v>10485.03744435716</v>
          </cell>
        </row>
        <row r="125">
          <cell r="C125">
            <v>509269</v>
          </cell>
          <cell r="E125">
            <v>10085.27009497928</v>
          </cell>
        </row>
        <row r="126">
          <cell r="C126">
            <v>27654</v>
          </cell>
          <cell r="E126">
            <v>6583.6718015476799</v>
          </cell>
        </row>
        <row r="127">
          <cell r="C127">
            <v>89393</v>
          </cell>
          <cell r="E127">
            <v>13969.398454017641</v>
          </cell>
        </row>
        <row r="132">
          <cell r="E132">
            <v>10485.03744435716</v>
          </cell>
        </row>
        <row r="133">
          <cell r="C133">
            <v>402701</v>
          </cell>
          <cell r="E133">
            <v>10352.270781547601</v>
          </cell>
        </row>
        <row r="134">
          <cell r="C134">
            <v>50613</v>
          </cell>
          <cell r="E134">
            <v>6638.8591863750398</v>
          </cell>
        </row>
        <row r="135">
          <cell r="C135">
            <v>3346</v>
          </cell>
          <cell r="E135">
            <v>8392.9742976688394</v>
          </cell>
        </row>
        <row r="136">
          <cell r="C136">
            <v>169587</v>
          </cell>
          <cell r="E136">
            <v>11989.82136602452</v>
          </cell>
        </row>
        <row r="142">
          <cell r="C142">
            <v>250607</v>
          </cell>
          <cell r="E142">
            <v>13273.06809466616</v>
          </cell>
        </row>
        <row r="143">
          <cell r="C143">
            <v>163968</v>
          </cell>
          <cell r="E143">
            <v>12982.96694476972</v>
          </cell>
        </row>
        <row r="144">
          <cell r="C144">
            <v>8832</v>
          </cell>
          <cell r="E144">
            <v>9163.3600543478406</v>
          </cell>
        </row>
        <row r="145">
          <cell r="C145">
            <v>1490</v>
          </cell>
          <cell r="E145">
            <v>10229.774496644281</v>
          </cell>
        </row>
        <row r="146">
          <cell r="C146">
            <v>76294</v>
          </cell>
          <cell r="E146">
            <v>14431.57779117624</v>
          </cell>
        </row>
        <row r="147">
          <cell r="C147">
            <v>23</v>
          </cell>
        </row>
        <row r="152">
          <cell r="C152">
            <v>236442</v>
          </cell>
          <cell r="D152">
            <v>140.620006527024</v>
          </cell>
        </row>
        <row r="159">
          <cell r="C159">
            <v>551198</v>
          </cell>
          <cell r="E159">
            <v>9543.5973134880805</v>
          </cell>
        </row>
        <row r="160">
          <cell r="C160">
            <v>386721</v>
          </cell>
          <cell r="E160">
            <v>10365.651743763599</v>
          </cell>
        </row>
        <row r="161">
          <cell r="C161">
            <v>164477</v>
          </cell>
          <cell r="E161">
            <v>7610.7695544057997</v>
          </cell>
        </row>
        <row r="183">
          <cell r="C183">
            <v>394272</v>
          </cell>
          <cell r="E183">
            <v>13409.109163217279</v>
          </cell>
        </row>
        <row r="184">
          <cell r="C184">
            <v>265065</v>
          </cell>
          <cell r="E184">
            <v>13203.991760511561</v>
          </cell>
        </row>
        <row r="299">
          <cell r="D299">
            <v>253525</v>
          </cell>
          <cell r="E299">
            <v>2776.8562705847598</v>
          </cell>
        </row>
        <row r="300">
          <cell r="D300">
            <v>176054</v>
          </cell>
          <cell r="E300">
            <v>2616.8290297295198</v>
          </cell>
        </row>
        <row r="301">
          <cell r="D301">
            <v>77468</v>
          </cell>
          <cell r="E301">
            <v>3140.6421748334801</v>
          </cell>
        </row>
        <row r="320">
          <cell r="B320">
            <v>72633</v>
          </cell>
          <cell r="C320">
            <v>105501</v>
          </cell>
          <cell r="D320">
            <v>178134</v>
          </cell>
        </row>
        <row r="331">
          <cell r="B331">
            <v>163469</v>
          </cell>
          <cell r="C331">
            <v>42979</v>
          </cell>
          <cell r="D331">
            <v>206448</v>
          </cell>
        </row>
        <row r="425">
          <cell r="C425">
            <v>70875</v>
          </cell>
        </row>
        <row r="433">
          <cell r="D433">
            <v>27.881196599999999</v>
          </cell>
        </row>
        <row r="434">
          <cell r="D434">
            <v>75.783255999999994</v>
          </cell>
        </row>
        <row r="442">
          <cell r="D442">
            <v>120.8609452</v>
          </cell>
        </row>
        <row r="443">
          <cell r="D443">
            <v>110.7369379</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7_2T"/>
    </sheetNames>
    <sheetDataSet>
      <sheetData sheetId="0">
        <row r="4">
          <cell r="B4">
            <v>600974</v>
          </cell>
        </row>
        <row r="5">
          <cell r="B5">
            <v>798999</v>
          </cell>
        </row>
        <row r="6">
          <cell r="B6">
            <v>1399973</v>
          </cell>
        </row>
        <row r="16">
          <cell r="A16">
            <v>983461</v>
          </cell>
          <cell r="B16">
            <v>98705</v>
          </cell>
          <cell r="C16">
            <v>317554</v>
          </cell>
          <cell r="D16">
            <v>253</v>
          </cell>
        </row>
        <row r="26">
          <cell r="A26">
            <v>620757</v>
          </cell>
          <cell r="B26">
            <v>140724</v>
          </cell>
          <cell r="C26">
            <v>221981</v>
          </cell>
          <cell r="D26">
            <v>416259</v>
          </cell>
          <cell r="E26">
            <v>252</v>
          </cell>
        </row>
        <row r="36">
          <cell r="A36">
            <v>616820</v>
          </cell>
          <cell r="B36">
            <v>841</v>
          </cell>
          <cell r="C36">
            <v>14297</v>
          </cell>
          <cell r="D36">
            <v>2969</v>
          </cell>
        </row>
        <row r="46">
          <cell r="E46">
            <v>5146.32</v>
          </cell>
        </row>
        <row r="47">
          <cell r="E47">
            <v>5554.84</v>
          </cell>
        </row>
        <row r="48">
          <cell r="E48">
            <v>4839.08</v>
          </cell>
        </row>
        <row r="59">
          <cell r="E59">
            <v>6292.6</v>
          </cell>
        </row>
        <row r="60">
          <cell r="E60">
            <v>3777.28</v>
          </cell>
        </row>
        <row r="61">
          <cell r="E61">
            <v>677</v>
          </cell>
        </row>
        <row r="62">
          <cell r="E62">
            <v>6283.4</v>
          </cell>
        </row>
        <row r="74">
          <cell r="E74">
            <v>4665.24</v>
          </cell>
        </row>
        <row r="75">
          <cell r="E75">
            <v>1033.8800000000001</v>
          </cell>
        </row>
        <row r="76">
          <cell r="E76">
            <v>7915.32</v>
          </cell>
        </row>
        <row r="87">
          <cell r="E87">
            <v>9436.2000000000007</v>
          </cell>
        </row>
        <row r="88">
          <cell r="C88">
            <v>253691</v>
          </cell>
          <cell r="E88">
            <v>8962.8799999999992</v>
          </cell>
        </row>
        <row r="89">
          <cell r="C89">
            <v>24309</v>
          </cell>
          <cell r="E89">
            <v>6772.52</v>
          </cell>
        </row>
        <row r="90">
          <cell r="C90">
            <v>4088</v>
          </cell>
          <cell r="E90">
            <v>7885.36</v>
          </cell>
        </row>
        <row r="91">
          <cell r="C91">
            <v>115660</v>
          </cell>
          <cell r="E91">
            <v>11088.52</v>
          </cell>
        </row>
        <row r="109">
          <cell r="F109">
            <v>0.89572123062073583</v>
          </cell>
        </row>
        <row r="118">
          <cell r="D118">
            <v>96.496700000000004</v>
          </cell>
        </row>
        <row r="130">
          <cell r="F130">
            <v>78.777299999999997</v>
          </cell>
        </row>
        <row r="131">
          <cell r="F131">
            <v>76.739000000000004</v>
          </cell>
        </row>
        <row r="132">
          <cell r="F132">
            <v>80.298299999999998</v>
          </cell>
        </row>
        <row r="133">
          <cell r="F133">
            <v>84.617400000000004</v>
          </cell>
        </row>
        <row r="158">
          <cell r="B158">
            <v>372084</v>
          </cell>
        </row>
        <row r="168">
          <cell r="E168">
            <v>9295.52</v>
          </cell>
        </row>
        <row r="169">
          <cell r="E169">
            <v>10033.36</v>
          </cell>
        </row>
        <row r="170">
          <cell r="E170">
            <v>8650.36</v>
          </cell>
        </row>
        <row r="181">
          <cell r="C181">
            <v>421437</v>
          </cell>
          <cell r="E181">
            <v>9045.84</v>
          </cell>
        </row>
        <row r="182">
          <cell r="C182">
            <v>68703</v>
          </cell>
          <cell r="E182">
            <v>6074.6</v>
          </cell>
        </row>
        <row r="183">
          <cell r="C183">
            <v>5476</v>
          </cell>
          <cell r="E183">
            <v>7434.52</v>
          </cell>
        </row>
        <row r="184">
          <cell r="C184">
            <v>199390</v>
          </cell>
          <cell r="E184">
            <v>10983.88</v>
          </cell>
        </row>
        <row r="196">
          <cell r="C196">
            <v>495664</v>
          </cell>
          <cell r="E196">
            <v>8616.4</v>
          </cell>
        </row>
        <row r="197">
          <cell r="C197">
            <v>5727</v>
          </cell>
          <cell r="E197">
            <v>3563.44</v>
          </cell>
        </row>
        <row r="198">
          <cell r="C198">
            <v>193684</v>
          </cell>
          <cell r="E198">
            <v>11203.2</v>
          </cell>
        </row>
        <row r="209">
          <cell r="E209">
            <v>10617.4</v>
          </cell>
        </row>
        <row r="210">
          <cell r="C210">
            <v>250701</v>
          </cell>
          <cell r="E210">
            <v>10265.120000000001</v>
          </cell>
        </row>
        <row r="211">
          <cell r="C211">
            <v>23478</v>
          </cell>
          <cell r="E211">
            <v>7154.32</v>
          </cell>
        </row>
        <row r="212">
          <cell r="C212">
            <v>3568</v>
          </cell>
          <cell r="E212">
            <v>8238.76</v>
          </cell>
        </row>
        <row r="213">
          <cell r="C213">
            <v>113305</v>
          </cell>
          <cell r="E213">
            <v>12188.92</v>
          </cell>
        </row>
        <row r="224">
          <cell r="E224">
            <v>7843</v>
          </cell>
        </row>
        <row r="225">
          <cell r="E225">
            <v>8456.56</v>
          </cell>
        </row>
        <row r="226">
          <cell r="E226">
            <v>6410.24</v>
          </cell>
        </row>
        <row r="260">
          <cell r="C260">
            <v>331143</v>
          </cell>
          <cell r="E260">
            <v>10581.28</v>
          </cell>
        </row>
        <row r="270">
          <cell r="B270">
            <v>434630</v>
          </cell>
        </row>
        <row r="271">
          <cell r="B271">
            <v>186127</v>
          </cell>
        </row>
        <row r="281">
          <cell r="C281">
            <v>224936</v>
          </cell>
          <cell r="D281">
            <v>35.854599999999998</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7_3T"/>
    </sheetNames>
    <sheetDataSet>
      <sheetData sheetId="0">
        <row r="4">
          <cell r="B4">
            <v>597136</v>
          </cell>
        </row>
        <row r="5">
          <cell r="B5">
            <v>792012</v>
          </cell>
        </row>
        <row r="6">
          <cell r="B6">
            <v>1389148</v>
          </cell>
        </row>
        <row r="16">
          <cell r="A16">
            <v>975800</v>
          </cell>
          <cell r="B16">
            <v>98408</v>
          </cell>
          <cell r="C16">
            <v>314687</v>
          </cell>
          <cell r="D16">
            <v>253</v>
          </cell>
        </row>
        <row r="26">
          <cell r="A26">
            <v>617080</v>
          </cell>
          <cell r="B26">
            <v>139063</v>
          </cell>
          <cell r="C26">
            <v>219658</v>
          </cell>
          <cell r="D26">
            <v>413095</v>
          </cell>
          <cell r="E26">
            <v>252</v>
          </cell>
        </row>
        <row r="36">
          <cell r="A36">
            <v>611074</v>
          </cell>
          <cell r="B36">
            <v>822</v>
          </cell>
          <cell r="C36">
            <v>13795</v>
          </cell>
          <cell r="D36">
            <v>2983</v>
          </cell>
        </row>
        <row r="46">
          <cell r="E46">
            <v>5146.5600000000004</v>
          </cell>
        </row>
        <row r="47">
          <cell r="E47">
            <v>5558.28</v>
          </cell>
        </row>
        <row r="48">
          <cell r="E48">
            <v>4836.16</v>
          </cell>
        </row>
        <row r="59">
          <cell r="E59">
            <v>6290.16</v>
          </cell>
        </row>
        <row r="60">
          <cell r="E60">
            <v>3758.84</v>
          </cell>
        </row>
        <row r="61">
          <cell r="E61">
            <v>673.56</v>
          </cell>
        </row>
        <row r="62">
          <cell r="E62">
            <v>6284.2</v>
          </cell>
        </row>
        <row r="74">
          <cell r="E74">
            <v>4665.08</v>
          </cell>
        </row>
        <row r="75">
          <cell r="E75">
            <v>1024.6400000000001</v>
          </cell>
        </row>
        <row r="76">
          <cell r="E76">
            <v>7929.04</v>
          </cell>
        </row>
        <row r="87">
          <cell r="E87">
            <v>9455.16</v>
          </cell>
        </row>
        <row r="88">
          <cell r="C88">
            <v>251901</v>
          </cell>
          <cell r="E88">
            <v>8980.7199999999993</v>
          </cell>
        </row>
        <row r="89">
          <cell r="C89">
            <v>23746</v>
          </cell>
          <cell r="E89">
            <v>6773.32</v>
          </cell>
        </row>
        <row r="90">
          <cell r="C90">
            <v>4025</v>
          </cell>
          <cell r="E90">
            <v>7886.08</v>
          </cell>
        </row>
        <row r="91">
          <cell r="C91">
            <v>114491</v>
          </cell>
          <cell r="E91">
            <v>11109.88</v>
          </cell>
        </row>
        <row r="109">
          <cell r="F109">
            <v>0.8978845386543326</v>
          </cell>
        </row>
        <row r="118">
          <cell r="D118">
            <v>96.384</v>
          </cell>
        </row>
        <row r="130">
          <cell r="F130">
            <v>78.822699999999998</v>
          </cell>
        </row>
        <row r="131">
          <cell r="F131">
            <v>76.767600000000002</v>
          </cell>
        </row>
        <row r="132">
          <cell r="F132">
            <v>80.394099999999995</v>
          </cell>
        </row>
        <row r="133">
          <cell r="F133">
            <v>84.704800000000006</v>
          </cell>
        </row>
        <row r="158">
          <cell r="B158">
            <v>369615</v>
          </cell>
        </row>
        <row r="168">
          <cell r="E168">
            <v>9294.36</v>
          </cell>
        </row>
        <row r="169">
          <cell r="E169">
            <v>10028.959999999999</v>
          </cell>
        </row>
        <row r="170">
          <cell r="E170">
            <v>8649.92</v>
          </cell>
        </row>
        <row r="181">
          <cell r="C181">
            <v>419790</v>
          </cell>
          <cell r="E181">
            <v>9040.4</v>
          </cell>
        </row>
        <row r="182">
          <cell r="C182">
            <v>67856</v>
          </cell>
          <cell r="E182">
            <v>6058.48</v>
          </cell>
        </row>
        <row r="183">
          <cell r="C183">
            <v>5404</v>
          </cell>
          <cell r="E183">
            <v>7415.32</v>
          </cell>
        </row>
        <row r="184">
          <cell r="C184">
            <v>198368</v>
          </cell>
          <cell r="E184">
            <v>10989.48</v>
          </cell>
        </row>
        <row r="196">
          <cell r="C196">
            <v>493098</v>
          </cell>
          <cell r="E196">
            <v>8612.4</v>
          </cell>
        </row>
        <row r="197">
          <cell r="C197">
            <v>5819</v>
          </cell>
          <cell r="E197">
            <v>3569.04</v>
          </cell>
        </row>
        <row r="198">
          <cell r="C198">
            <v>192570</v>
          </cell>
          <cell r="E198">
            <v>11213.6</v>
          </cell>
        </row>
        <row r="209">
          <cell r="E209">
            <v>10638.68</v>
          </cell>
        </row>
        <row r="210">
          <cell r="C210">
            <v>248922</v>
          </cell>
          <cell r="E210">
            <v>10282.48</v>
          </cell>
        </row>
        <row r="211">
          <cell r="C211">
            <v>22927</v>
          </cell>
          <cell r="E211">
            <v>7155.88</v>
          </cell>
        </row>
        <row r="212">
          <cell r="C212">
            <v>3508</v>
          </cell>
          <cell r="E212">
            <v>8235.16</v>
          </cell>
        </row>
        <row r="213">
          <cell r="C213">
            <v>112181</v>
          </cell>
          <cell r="E213">
            <v>12215.64</v>
          </cell>
        </row>
        <row r="224">
          <cell r="E224">
            <v>7848.96</v>
          </cell>
        </row>
        <row r="225">
          <cell r="E225">
            <v>8465.9599999999991</v>
          </cell>
        </row>
        <row r="226">
          <cell r="E226">
            <v>6407.32</v>
          </cell>
        </row>
        <row r="260">
          <cell r="C260">
            <v>329212</v>
          </cell>
          <cell r="E260">
            <v>10599.24</v>
          </cell>
        </row>
        <row r="270">
          <cell r="B270">
            <v>432142</v>
          </cell>
        </row>
        <row r="271">
          <cell r="B271">
            <v>184938</v>
          </cell>
        </row>
        <row r="281">
          <cell r="C281">
            <v>221576</v>
          </cell>
          <cell r="D281">
            <v>35.797499999999999</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7_4T"/>
    </sheetNames>
    <sheetDataSet>
      <sheetData sheetId="0">
        <row r="4">
          <cell r="B4">
            <v>594751</v>
          </cell>
        </row>
        <row r="5">
          <cell r="B5">
            <v>786153</v>
          </cell>
        </row>
        <row r="6">
          <cell r="B6">
            <v>1380904</v>
          </cell>
        </row>
        <row r="16">
          <cell r="A16">
            <v>970081</v>
          </cell>
          <cell r="B16">
            <v>98235</v>
          </cell>
          <cell r="C16">
            <v>312336</v>
          </cell>
          <cell r="D16">
            <v>252</v>
          </cell>
        </row>
        <row r="26">
          <cell r="A26">
            <v>615366</v>
          </cell>
          <cell r="B26">
            <v>137488</v>
          </cell>
          <cell r="C26">
            <v>217229</v>
          </cell>
          <cell r="D26">
            <v>410571</v>
          </cell>
          <cell r="E26">
            <v>250</v>
          </cell>
        </row>
        <row r="36">
          <cell r="A36">
            <v>606385</v>
          </cell>
          <cell r="B36">
            <v>800</v>
          </cell>
          <cell r="C36">
            <v>13297</v>
          </cell>
          <cell r="D36">
            <v>3020</v>
          </cell>
        </row>
        <row r="46">
          <cell r="E46">
            <v>5185.3999999999996</v>
          </cell>
        </row>
        <row r="47">
          <cell r="E47">
            <v>5606.16</v>
          </cell>
        </row>
        <row r="48">
          <cell r="E48">
            <v>4867.12</v>
          </cell>
        </row>
        <row r="59">
          <cell r="E59">
            <v>6333.52</v>
          </cell>
        </row>
        <row r="60">
          <cell r="E60">
            <v>3767.24</v>
          </cell>
        </row>
        <row r="61">
          <cell r="E61">
            <v>673.56</v>
          </cell>
        </row>
        <row r="62">
          <cell r="E62">
            <v>6327.16</v>
          </cell>
        </row>
        <row r="74">
          <cell r="E74">
            <v>4702.28</v>
          </cell>
        </row>
        <row r="75">
          <cell r="E75">
            <v>1020.76</v>
          </cell>
        </row>
        <row r="76">
          <cell r="E76">
            <v>7996.12</v>
          </cell>
        </row>
        <row r="87">
          <cell r="E87">
            <v>9534.36</v>
          </cell>
        </row>
        <row r="88">
          <cell r="C88">
            <v>251451</v>
          </cell>
          <cell r="E88">
            <v>9052.64</v>
          </cell>
        </row>
        <row r="89">
          <cell r="C89">
            <v>23195</v>
          </cell>
          <cell r="E89">
            <v>6824.44</v>
          </cell>
        </row>
        <row r="90">
          <cell r="C90">
            <v>3940</v>
          </cell>
          <cell r="E90">
            <v>7934.76</v>
          </cell>
        </row>
        <row r="91">
          <cell r="C91">
            <v>113535</v>
          </cell>
          <cell r="E91">
            <v>11209.96</v>
          </cell>
        </row>
        <row r="109">
          <cell r="F109">
            <v>0.89981437143955301</v>
          </cell>
        </row>
        <row r="118">
          <cell r="D118">
            <v>96.364099999999993</v>
          </cell>
        </row>
        <row r="130">
          <cell r="F130">
            <v>78.846999999999994</v>
          </cell>
        </row>
        <row r="131">
          <cell r="F131">
            <v>76.771000000000001</v>
          </cell>
        </row>
        <row r="132">
          <cell r="F132">
            <v>80.466300000000004</v>
          </cell>
        </row>
        <row r="133">
          <cell r="F133">
            <v>84.786799999999999</v>
          </cell>
        </row>
        <row r="158">
          <cell r="B158">
            <v>367899</v>
          </cell>
        </row>
        <row r="168">
          <cell r="E168">
            <v>9447.56</v>
          </cell>
        </row>
        <row r="169">
          <cell r="E169">
            <v>10252.64</v>
          </cell>
        </row>
        <row r="170">
          <cell r="E170">
            <v>8737.32</v>
          </cell>
        </row>
        <row r="181">
          <cell r="C181">
            <v>420008</v>
          </cell>
          <cell r="E181">
            <v>9220.9599999999991</v>
          </cell>
        </row>
        <row r="182">
          <cell r="C182">
            <v>67058</v>
          </cell>
          <cell r="E182">
            <v>6081.36</v>
          </cell>
        </row>
        <row r="183">
          <cell r="C183">
            <v>5301</v>
          </cell>
          <cell r="E183">
            <v>7439.88</v>
          </cell>
        </row>
        <row r="184">
          <cell r="C184">
            <v>197609</v>
          </cell>
          <cell r="E184">
            <v>11125.12</v>
          </cell>
        </row>
        <row r="196">
          <cell r="C196">
            <v>492412</v>
          </cell>
          <cell r="E196">
            <v>8774.4</v>
          </cell>
        </row>
        <row r="197">
          <cell r="C197">
            <v>5899</v>
          </cell>
          <cell r="E197">
            <v>3569.44</v>
          </cell>
        </row>
        <row r="198">
          <cell r="C198">
            <v>191730</v>
          </cell>
          <cell r="E198">
            <v>11357.44</v>
          </cell>
        </row>
        <row r="209">
          <cell r="E209">
            <v>10845.6</v>
          </cell>
        </row>
        <row r="210">
          <cell r="C210">
            <v>248424</v>
          </cell>
          <cell r="E210">
            <v>10512</v>
          </cell>
        </row>
        <row r="211">
          <cell r="C211">
            <v>22395</v>
          </cell>
          <cell r="E211">
            <v>7207.2</v>
          </cell>
        </row>
        <row r="212">
          <cell r="C212">
            <v>3427</v>
          </cell>
          <cell r="E212">
            <v>8281.68</v>
          </cell>
        </row>
        <row r="213">
          <cell r="C213">
            <v>111276</v>
          </cell>
          <cell r="E213">
            <v>12401.4</v>
          </cell>
        </row>
        <row r="224">
          <cell r="E224">
            <v>8002.4</v>
          </cell>
        </row>
        <row r="225">
          <cell r="E225">
            <v>8649.4</v>
          </cell>
        </row>
        <row r="226">
          <cell r="E226">
            <v>6488.68</v>
          </cell>
        </row>
        <row r="260">
          <cell r="C260">
            <v>329132</v>
          </cell>
          <cell r="E260">
            <v>10817.36</v>
          </cell>
        </row>
        <row r="270">
          <cell r="B270">
            <v>431104</v>
          </cell>
        </row>
        <row r="271">
          <cell r="B271">
            <v>184262</v>
          </cell>
        </row>
        <row r="281">
          <cell r="C281">
            <v>236954</v>
          </cell>
          <cell r="D281">
            <v>44.895800000000001</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8_1T"/>
    </sheetNames>
    <sheetDataSet>
      <sheetData sheetId="0">
        <row r="4">
          <cell r="B4">
            <v>592103</v>
          </cell>
        </row>
        <row r="5">
          <cell r="B5">
            <v>779752</v>
          </cell>
        </row>
        <row r="6">
          <cell r="B6">
            <v>1371855</v>
          </cell>
        </row>
        <row r="16">
          <cell r="A16">
            <v>965003</v>
          </cell>
          <cell r="B16">
            <v>97652</v>
          </cell>
          <cell r="C16">
            <v>308948</v>
          </cell>
          <cell r="D16">
            <v>252</v>
          </cell>
        </row>
        <row r="26">
          <cell r="A26">
            <v>614170</v>
          </cell>
          <cell r="B26">
            <v>136051</v>
          </cell>
          <cell r="C26">
            <v>214782</v>
          </cell>
          <cell r="D26">
            <v>406600</v>
          </cell>
          <cell r="E26">
            <v>252</v>
          </cell>
        </row>
        <row r="36">
          <cell r="A36">
            <v>601053</v>
          </cell>
          <cell r="B36">
            <v>775</v>
          </cell>
          <cell r="C36">
            <v>12389</v>
          </cell>
          <cell r="D36">
            <v>2997</v>
          </cell>
        </row>
        <row r="46">
          <cell r="D46">
            <v>1296.26</v>
          </cell>
        </row>
        <row r="47">
          <cell r="D47">
            <v>1403.42</v>
          </cell>
        </row>
        <row r="48">
          <cell r="D48">
            <v>1214.8900000000001</v>
          </cell>
        </row>
        <row r="59">
          <cell r="D59">
            <v>1582.46</v>
          </cell>
        </row>
        <row r="60">
          <cell r="D60">
            <v>936.14</v>
          </cell>
        </row>
        <row r="61">
          <cell r="D61">
            <v>167.24</v>
          </cell>
        </row>
        <row r="62">
          <cell r="D62">
            <v>1580.96</v>
          </cell>
        </row>
        <row r="74">
          <cell r="D74">
            <v>1176.3599999999999</v>
          </cell>
        </row>
        <row r="75">
          <cell r="D75">
            <v>252.93</v>
          </cell>
        </row>
        <row r="76">
          <cell r="D76">
            <v>2000.77</v>
          </cell>
        </row>
        <row r="87">
          <cell r="D87">
            <v>2387.0500000000002</v>
          </cell>
        </row>
        <row r="88">
          <cell r="C88">
            <v>250804</v>
          </cell>
          <cell r="D88">
            <v>2267.44</v>
          </cell>
        </row>
        <row r="89">
          <cell r="C89">
            <v>22633</v>
          </cell>
          <cell r="D89">
            <v>1704.69</v>
          </cell>
        </row>
        <row r="90">
          <cell r="C90">
            <v>3881</v>
          </cell>
          <cell r="D90">
            <v>1976.15</v>
          </cell>
        </row>
        <row r="91">
          <cell r="C91">
            <v>112092</v>
          </cell>
          <cell r="D91">
            <v>2806.61</v>
          </cell>
        </row>
        <row r="118">
          <cell r="D118">
            <v>96.278199999999998</v>
          </cell>
        </row>
        <row r="184">
          <cell r="A184">
            <v>20</v>
          </cell>
          <cell r="B184">
            <v>100</v>
          </cell>
          <cell r="C184">
            <v>152</v>
          </cell>
        </row>
        <row r="194">
          <cell r="F194">
            <v>78.840800000000002</v>
          </cell>
        </row>
        <row r="195">
          <cell r="F195">
            <v>76.739599999999996</v>
          </cell>
        </row>
        <row r="196">
          <cell r="F196">
            <v>80.552099999999996</v>
          </cell>
        </row>
        <row r="197">
          <cell r="F197">
            <v>84.863900000000001</v>
          </cell>
        </row>
        <row r="232">
          <cell r="D232">
            <v>2345.4499999999998</v>
          </cell>
        </row>
        <row r="233">
          <cell r="D233">
            <v>2536.39</v>
          </cell>
        </row>
        <row r="234">
          <cell r="D234">
            <v>2176.0100000000002</v>
          </cell>
        </row>
        <row r="245">
          <cell r="C245">
            <v>420807</v>
          </cell>
          <cell r="D245">
            <v>2283.4899999999998</v>
          </cell>
        </row>
        <row r="246">
          <cell r="C246">
            <v>66382</v>
          </cell>
          <cell r="D246">
            <v>1513.58</v>
          </cell>
        </row>
        <row r="247">
          <cell r="C247">
            <v>5218</v>
          </cell>
          <cell r="D247">
            <v>1849.32</v>
          </cell>
        </row>
        <row r="248">
          <cell r="C248">
            <v>196109</v>
          </cell>
          <cell r="D248">
            <v>2773.12</v>
          </cell>
        </row>
        <row r="260">
          <cell r="C260">
            <v>492455</v>
          </cell>
          <cell r="D260">
            <v>2175.16</v>
          </cell>
        </row>
        <row r="261">
          <cell r="C261">
            <v>5993</v>
          </cell>
          <cell r="D261">
            <v>891.27</v>
          </cell>
        </row>
        <row r="262">
          <cell r="C262">
            <v>190134</v>
          </cell>
          <cell r="D262">
            <v>2832.41</v>
          </cell>
        </row>
        <row r="273">
          <cell r="D273">
            <v>2698.9</v>
          </cell>
        </row>
        <row r="274">
          <cell r="C274">
            <v>247839</v>
          </cell>
          <cell r="D274">
            <v>2611.36</v>
          </cell>
        </row>
        <row r="275">
          <cell r="C275">
            <v>21846</v>
          </cell>
          <cell r="D275">
            <v>1800.35</v>
          </cell>
        </row>
        <row r="276">
          <cell r="C276">
            <v>3372</v>
          </cell>
          <cell r="D276">
            <v>2063.65</v>
          </cell>
        </row>
        <row r="277">
          <cell r="C277">
            <v>109887</v>
          </cell>
          <cell r="D277">
            <v>3094.41</v>
          </cell>
        </row>
        <row r="288">
          <cell r="D288">
            <v>1990.83</v>
          </cell>
        </row>
        <row r="289">
          <cell r="D289">
            <v>2151</v>
          </cell>
        </row>
        <row r="290">
          <cell r="D290">
            <v>1616.58</v>
          </cell>
        </row>
        <row r="327">
          <cell r="C327">
            <v>505755</v>
          </cell>
          <cell r="D327">
            <v>2776.14</v>
          </cell>
        </row>
        <row r="328">
          <cell r="C328">
            <v>329069</v>
          </cell>
          <cell r="D328">
            <v>2690.1</v>
          </cell>
        </row>
        <row r="342">
          <cell r="B342">
            <v>430091</v>
          </cell>
        </row>
        <row r="343">
          <cell r="B343">
            <v>184079</v>
          </cell>
        </row>
        <row r="353">
          <cell r="C353">
            <v>232609</v>
          </cell>
          <cell r="D353">
            <v>44.672600000000003</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8_2T"/>
    </sheetNames>
    <sheetDataSet>
      <sheetData sheetId="0">
        <row r="5">
          <cell r="B5">
            <v>586611</v>
          </cell>
        </row>
        <row r="6">
          <cell r="B6">
            <v>770870</v>
          </cell>
        </row>
        <row r="7">
          <cell r="B7">
            <v>1357481</v>
          </cell>
        </row>
        <row r="17">
          <cell r="A17">
            <v>956094</v>
          </cell>
          <cell r="B17">
            <v>96858</v>
          </cell>
          <cell r="C17">
            <v>304278</v>
          </cell>
          <cell r="D17">
            <v>251</v>
          </cell>
        </row>
        <row r="27">
          <cell r="A27">
            <v>609797</v>
          </cell>
        </row>
        <row r="28">
          <cell r="B28">
            <v>134543</v>
          </cell>
          <cell r="C28">
            <v>211754</v>
          </cell>
          <cell r="D28">
            <v>401136</v>
          </cell>
          <cell r="E28">
            <v>251</v>
          </cell>
        </row>
        <row r="38">
          <cell r="A38">
            <v>593951</v>
          </cell>
          <cell r="B38">
            <v>754</v>
          </cell>
          <cell r="C38">
            <v>12520</v>
          </cell>
          <cell r="D38">
            <v>3090</v>
          </cell>
        </row>
        <row r="48">
          <cell r="E48">
            <v>5187.4399999999996</v>
          </cell>
        </row>
        <row r="49">
          <cell r="E49">
            <v>5621.48</v>
          </cell>
        </row>
        <row r="50">
          <cell r="E50">
            <v>4857.16</v>
          </cell>
        </row>
        <row r="61">
          <cell r="E61">
            <v>6330.48</v>
          </cell>
        </row>
        <row r="62">
          <cell r="E62">
            <v>3726.64</v>
          </cell>
        </row>
        <row r="63">
          <cell r="E63">
            <v>670.96</v>
          </cell>
        </row>
        <row r="64">
          <cell r="E64">
            <v>6324.4</v>
          </cell>
        </row>
        <row r="76">
          <cell r="E76">
            <v>4710.5600000000004</v>
          </cell>
        </row>
        <row r="77">
          <cell r="E77">
            <v>1005.92</v>
          </cell>
        </row>
        <row r="78">
          <cell r="E78">
            <v>8017.8</v>
          </cell>
        </row>
        <row r="89">
          <cell r="E89">
            <v>9566.8799999999992</v>
          </cell>
        </row>
        <row r="90">
          <cell r="C90">
            <v>248690</v>
          </cell>
          <cell r="E90">
            <v>9088.68</v>
          </cell>
        </row>
        <row r="91">
          <cell r="C91">
            <v>22101</v>
          </cell>
          <cell r="E91">
            <v>6818.4</v>
          </cell>
        </row>
        <row r="92">
          <cell r="C92">
            <v>3775</v>
          </cell>
          <cell r="E92">
            <v>8079</v>
          </cell>
        </row>
        <row r="93">
          <cell r="C93">
            <v>110279</v>
          </cell>
          <cell r="E93">
            <v>11246.6</v>
          </cell>
        </row>
        <row r="109">
          <cell r="G109">
            <v>0.90441951653679598</v>
          </cell>
        </row>
        <row r="123">
          <cell r="J123">
            <v>96.175461499999997</v>
          </cell>
        </row>
        <row r="132">
          <cell r="F132">
            <v>78.874399999999994</v>
          </cell>
        </row>
        <row r="133">
          <cell r="F133">
            <v>76.7667</v>
          </cell>
        </row>
        <row r="134">
          <cell r="F134">
            <v>80.633799999999994</v>
          </cell>
        </row>
        <row r="135">
          <cell r="F135">
            <v>84.937799999999996</v>
          </cell>
        </row>
        <row r="160">
          <cell r="B160">
            <v>363014</v>
          </cell>
        </row>
        <row r="170">
          <cell r="E170">
            <v>9376.4</v>
          </cell>
        </row>
        <row r="171">
          <cell r="E171">
            <v>10139.879999999999</v>
          </cell>
        </row>
        <row r="172">
          <cell r="E172">
            <v>8696.64</v>
          </cell>
        </row>
        <row r="183">
          <cell r="C183">
            <v>418969</v>
          </cell>
          <cell r="E183">
            <v>9127.16</v>
          </cell>
        </row>
        <row r="184">
          <cell r="C184">
            <v>65667</v>
          </cell>
          <cell r="E184">
            <v>6033.32</v>
          </cell>
        </row>
        <row r="185">
          <cell r="C185">
            <v>5095</v>
          </cell>
          <cell r="E185">
            <v>7513.92</v>
          </cell>
        </row>
        <row r="186">
          <cell r="C186">
            <v>193867</v>
          </cell>
          <cell r="E186">
            <v>11096.04</v>
          </cell>
        </row>
        <row r="198">
          <cell r="C198">
            <v>489782</v>
          </cell>
          <cell r="E198">
            <v>8695.7199999999993</v>
          </cell>
        </row>
        <row r="199">
          <cell r="C199">
            <v>6067</v>
          </cell>
          <cell r="E199">
            <v>3563.2</v>
          </cell>
        </row>
        <row r="200">
          <cell r="C200">
            <v>187822</v>
          </cell>
          <cell r="E200">
            <v>11339.32</v>
          </cell>
        </row>
        <row r="211">
          <cell r="E211">
            <v>10815.84</v>
          </cell>
        </row>
        <row r="212">
          <cell r="C212">
            <v>245801</v>
          </cell>
          <cell r="E212">
            <v>10463.200000000001</v>
          </cell>
        </row>
        <row r="213">
          <cell r="C213">
            <v>21335</v>
          </cell>
          <cell r="E213">
            <v>7201.48</v>
          </cell>
        </row>
        <row r="214">
          <cell r="C214">
            <v>3269</v>
          </cell>
          <cell r="E214">
            <v>8423.7999999999993</v>
          </cell>
        </row>
        <row r="215">
          <cell r="C215">
            <v>108115</v>
          </cell>
          <cell r="E215">
            <v>12402.92</v>
          </cell>
        </row>
        <row r="226">
          <cell r="C226">
            <v>609796</v>
          </cell>
          <cell r="E226">
            <v>7977.56</v>
          </cell>
        </row>
        <row r="227">
          <cell r="C227">
            <v>426821</v>
          </cell>
          <cell r="E227">
            <v>8623.24</v>
          </cell>
        </row>
        <row r="228">
          <cell r="C228">
            <v>182975</v>
          </cell>
          <cell r="E228">
            <v>6471.4</v>
          </cell>
        </row>
        <row r="261">
          <cell r="E261">
            <v>10780.88</v>
          </cell>
        </row>
        <row r="262">
          <cell r="C262">
            <v>327093</v>
          </cell>
        </row>
        <row r="283">
          <cell r="C283">
            <v>228845</v>
          </cell>
          <cell r="D283">
            <v>44.578899999999997</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8_3T"/>
    </sheetNames>
    <sheetDataSet>
      <sheetData sheetId="0">
        <row r="4">
          <cell r="B4">
            <v>582598</v>
          </cell>
        </row>
        <row r="5">
          <cell r="B5">
            <v>764450</v>
          </cell>
        </row>
        <row r="6">
          <cell r="B6">
            <v>1347048</v>
          </cell>
        </row>
        <row r="16">
          <cell r="A16">
            <v>948201</v>
          </cell>
          <cell r="B16">
            <v>96656</v>
          </cell>
          <cell r="C16">
            <v>301943</v>
          </cell>
          <cell r="D16">
            <v>248</v>
          </cell>
        </row>
        <row r="36">
          <cell r="A36">
            <v>588136</v>
          </cell>
          <cell r="B36">
            <v>736</v>
          </cell>
          <cell r="C36">
            <v>12187</v>
          </cell>
          <cell r="D36">
            <v>3109</v>
          </cell>
        </row>
        <row r="46">
          <cell r="D46">
            <v>1295.94</v>
          </cell>
        </row>
        <row r="47">
          <cell r="D47">
            <v>1405.09</v>
          </cell>
        </row>
        <row r="48">
          <cell r="D48">
            <v>1212.76</v>
          </cell>
        </row>
        <row r="59">
          <cell r="C59">
            <v>605976</v>
          </cell>
          <cell r="D59">
            <v>1580.11</v>
          </cell>
        </row>
        <row r="60">
          <cell r="C60">
            <v>132908</v>
          </cell>
          <cell r="D60">
            <v>924.37</v>
          </cell>
        </row>
        <row r="61">
          <cell r="C61">
            <v>209318</v>
          </cell>
          <cell r="D61">
            <v>166.87</v>
          </cell>
        </row>
        <row r="62">
          <cell r="C62">
            <v>398597</v>
          </cell>
          <cell r="D62">
            <v>1580.85</v>
          </cell>
        </row>
        <row r="63">
          <cell r="C63">
            <v>248</v>
          </cell>
        </row>
        <row r="74">
          <cell r="D74">
            <v>1176.22</v>
          </cell>
        </row>
        <row r="75">
          <cell r="D75">
            <v>248.83</v>
          </cell>
        </row>
        <row r="76">
          <cell r="D76">
            <v>2007.43</v>
          </cell>
        </row>
        <row r="87">
          <cell r="D87">
            <v>2395.5300000000002</v>
          </cell>
        </row>
        <row r="88">
          <cell r="C88">
            <v>246518</v>
          </cell>
          <cell r="D88">
            <v>2275.04</v>
          </cell>
        </row>
        <row r="89">
          <cell r="C89">
            <v>21489</v>
          </cell>
          <cell r="D89">
            <v>1703.27</v>
          </cell>
        </row>
        <row r="90">
          <cell r="C90">
            <v>3706</v>
          </cell>
          <cell r="D90">
            <v>2019.15</v>
          </cell>
        </row>
        <row r="91">
          <cell r="C91">
            <v>109300</v>
          </cell>
          <cell r="D91">
            <v>2816.05</v>
          </cell>
        </row>
        <row r="107">
          <cell r="F107">
            <v>1133441</v>
          </cell>
        </row>
        <row r="108">
          <cell r="F108">
            <v>1250391</v>
          </cell>
        </row>
        <row r="118">
          <cell r="D118">
            <v>96.035799999999995</v>
          </cell>
        </row>
        <row r="159">
          <cell r="B159">
            <v>152</v>
          </cell>
        </row>
        <row r="160">
          <cell r="B160">
            <v>100</v>
          </cell>
        </row>
        <row r="161">
          <cell r="B161">
            <v>20</v>
          </cell>
        </row>
        <row r="194">
          <cell r="F194">
            <v>78.902900000000002</v>
          </cell>
        </row>
        <row r="195">
          <cell r="F195">
            <v>76.780799999999999</v>
          </cell>
        </row>
        <row r="196">
          <cell r="F196">
            <v>80.686599999999999</v>
          </cell>
        </row>
        <row r="197">
          <cell r="F197">
            <v>84.995999999999995</v>
          </cell>
        </row>
        <row r="221">
          <cell r="B221">
            <v>321092</v>
          </cell>
        </row>
        <row r="222">
          <cell r="B222">
            <v>360925</v>
          </cell>
        </row>
        <row r="232">
          <cell r="D232">
            <v>2341.52</v>
          </cell>
        </row>
        <row r="233">
          <cell r="D233">
            <v>2530.92</v>
          </cell>
        </row>
        <row r="234">
          <cell r="D234">
            <v>2172.4899999999998</v>
          </cell>
        </row>
        <row r="245">
          <cell r="C245">
            <v>417217</v>
          </cell>
          <cell r="D245">
            <v>2277.5700000000002</v>
          </cell>
        </row>
        <row r="246">
          <cell r="C246">
            <v>64772</v>
          </cell>
          <cell r="D246">
            <v>1501.29</v>
          </cell>
        </row>
        <row r="247">
          <cell r="C247">
            <v>5007</v>
          </cell>
          <cell r="D247">
            <v>1875.2</v>
          </cell>
        </row>
        <row r="248">
          <cell r="C248">
            <v>193324</v>
          </cell>
          <cell r="D248">
            <v>2773.05</v>
          </cell>
        </row>
        <row r="260">
          <cell r="C260">
            <v>487044</v>
          </cell>
          <cell r="D260">
            <v>2170.2399999999998</v>
          </cell>
        </row>
        <row r="261">
          <cell r="C261">
            <v>6225</v>
          </cell>
          <cell r="D261">
            <v>881.34</v>
          </cell>
        </row>
        <row r="262">
          <cell r="C262">
            <v>187117</v>
          </cell>
          <cell r="D262">
            <v>2836.02</v>
          </cell>
        </row>
        <row r="273">
          <cell r="D273">
            <v>2708.32</v>
          </cell>
        </row>
        <row r="274">
          <cell r="C274">
            <v>243660</v>
          </cell>
          <cell r="D274">
            <v>2618.6</v>
          </cell>
        </row>
        <row r="275">
          <cell r="C275">
            <v>20739</v>
          </cell>
          <cell r="D275">
            <v>1799.28</v>
          </cell>
        </row>
        <row r="276">
          <cell r="C276">
            <v>3207</v>
          </cell>
          <cell r="D276">
            <v>2106.4299999999998</v>
          </cell>
        </row>
        <row r="277">
          <cell r="C277">
            <v>107178</v>
          </cell>
          <cell r="D277">
            <v>3106.12</v>
          </cell>
        </row>
        <row r="288">
          <cell r="D288">
            <v>1995.61</v>
          </cell>
        </row>
        <row r="289">
          <cell r="C289">
            <v>424193</v>
          </cell>
          <cell r="D289">
            <v>2157.96</v>
          </cell>
        </row>
        <row r="290">
          <cell r="C290">
            <v>181782</v>
          </cell>
          <cell r="D290">
            <v>1616.77</v>
          </cell>
        </row>
        <row r="327">
          <cell r="C327">
            <v>498355</v>
          </cell>
          <cell r="D327">
            <v>2784.87</v>
          </cell>
        </row>
        <row r="328">
          <cell r="C328">
            <v>325262</v>
          </cell>
          <cell r="D328">
            <v>2698.42</v>
          </cell>
        </row>
        <row r="353">
          <cell r="C353">
            <v>225281</v>
          </cell>
          <cell r="D353">
            <v>44.495399999999997</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8_4T"/>
    </sheetNames>
    <sheetDataSet>
      <sheetData sheetId="0">
        <row r="4">
          <cell r="B4">
            <v>580926</v>
          </cell>
        </row>
        <row r="5">
          <cell r="B5">
            <v>759655</v>
          </cell>
        </row>
        <row r="6">
          <cell r="B6">
            <v>1340581</v>
          </cell>
        </row>
        <row r="16">
          <cell r="A16">
            <v>942906</v>
          </cell>
          <cell r="B16">
            <v>96845</v>
          </cell>
          <cell r="C16">
            <v>300579</v>
          </cell>
          <cell r="D16">
            <v>251</v>
          </cell>
        </row>
        <row r="26">
          <cell r="A26">
            <v>604386</v>
          </cell>
          <cell r="B26">
            <v>131235</v>
          </cell>
          <cell r="C26">
            <v>207285</v>
          </cell>
          <cell r="D26">
            <v>397424</v>
          </cell>
          <cell r="E26">
            <v>251</v>
          </cell>
        </row>
        <row r="36">
          <cell r="A36">
            <v>584171</v>
          </cell>
          <cell r="B36">
            <v>713</v>
          </cell>
          <cell r="C36">
            <v>11735</v>
          </cell>
          <cell r="D36">
            <v>3141</v>
          </cell>
        </row>
        <row r="46">
          <cell r="D46">
            <v>1295.8699999999999</v>
          </cell>
        </row>
        <row r="47">
          <cell r="D47">
            <v>1406.34</v>
          </cell>
        </row>
        <row r="48">
          <cell r="D48">
            <v>1211.4000000000001</v>
          </cell>
        </row>
        <row r="59">
          <cell r="D59">
            <v>1578.89</v>
          </cell>
        </row>
        <row r="60">
          <cell r="D60">
            <v>917.65</v>
          </cell>
        </row>
        <row r="61">
          <cell r="D61">
            <v>165.75</v>
          </cell>
        </row>
        <row r="62">
          <cell r="D62">
            <v>1579.91</v>
          </cell>
        </row>
        <row r="74">
          <cell r="D74">
            <v>1176.17</v>
          </cell>
        </row>
        <row r="75">
          <cell r="D75">
            <v>247</v>
          </cell>
        </row>
        <row r="76">
          <cell r="D76">
            <v>2009.44</v>
          </cell>
        </row>
        <row r="87">
          <cell r="D87">
            <v>2398.7600000000002</v>
          </cell>
        </row>
        <row r="88">
          <cell r="C88">
            <v>245897</v>
          </cell>
          <cell r="D88">
            <v>2277.5500000000002</v>
          </cell>
        </row>
        <row r="89">
          <cell r="C89">
            <v>20919</v>
          </cell>
          <cell r="D89">
            <v>1702.16</v>
          </cell>
        </row>
        <row r="90">
          <cell r="C90">
            <v>3640</v>
          </cell>
          <cell r="D90">
            <v>2014.37</v>
          </cell>
        </row>
        <row r="91">
          <cell r="C91">
            <v>108722</v>
          </cell>
          <cell r="D91">
            <v>2819.7</v>
          </cell>
        </row>
        <row r="107">
          <cell r="F107">
            <v>1129421</v>
          </cell>
        </row>
        <row r="108">
          <cell r="F108">
            <v>1243733</v>
          </cell>
        </row>
        <row r="159">
          <cell r="B159">
            <v>152</v>
          </cell>
        </row>
        <row r="160">
          <cell r="B160">
            <v>100</v>
          </cell>
        </row>
        <row r="161">
          <cell r="B161">
            <v>20</v>
          </cell>
        </row>
        <row r="194">
          <cell r="F194">
            <v>78.919799999999995</v>
          </cell>
        </row>
        <row r="195">
          <cell r="F195">
            <v>76.774600000000007</v>
          </cell>
        </row>
        <row r="196">
          <cell r="F196">
            <v>80.734800000000007</v>
          </cell>
        </row>
        <row r="197">
          <cell r="F197">
            <v>85.065899999999999</v>
          </cell>
        </row>
        <row r="221">
          <cell r="C221">
            <v>321486</v>
          </cell>
        </row>
        <row r="222">
          <cell r="B222">
            <v>359556</v>
          </cell>
          <cell r="C222">
            <v>681042</v>
          </cell>
        </row>
        <row r="232">
          <cell r="D232">
            <v>2340.0500000000002</v>
          </cell>
        </row>
        <row r="233">
          <cell r="D233">
            <v>2528.19</v>
          </cell>
        </row>
        <row r="234">
          <cell r="D234">
            <v>2171.2800000000002</v>
          </cell>
        </row>
        <row r="245">
          <cell r="C245">
            <v>417168</v>
          </cell>
          <cell r="D245">
            <v>2274.9899999999998</v>
          </cell>
        </row>
        <row r="246">
          <cell r="C246">
            <v>63866</v>
          </cell>
          <cell r="D246">
            <v>1494.61</v>
          </cell>
        </row>
        <row r="247">
          <cell r="C247">
            <v>4924</v>
          </cell>
          <cell r="D247">
            <v>1866.03</v>
          </cell>
        </row>
        <row r="248">
          <cell r="C248">
            <v>193374</v>
          </cell>
          <cell r="D248">
            <v>2771.62</v>
          </cell>
        </row>
        <row r="260">
          <cell r="C260">
            <v>486009</v>
          </cell>
          <cell r="D260">
            <v>2168.33</v>
          </cell>
        </row>
        <row r="261">
          <cell r="C261">
            <v>6396</v>
          </cell>
          <cell r="D261">
            <v>876.78</v>
          </cell>
        </row>
        <row r="262">
          <cell r="C262">
            <v>187001</v>
          </cell>
          <cell r="D262">
            <v>2836.41</v>
          </cell>
        </row>
        <row r="273">
          <cell r="D273">
            <v>2712.8</v>
          </cell>
        </row>
        <row r="274">
          <cell r="C274">
            <v>242980</v>
          </cell>
          <cell r="D274">
            <v>2621.98</v>
          </cell>
        </row>
        <row r="275">
          <cell r="C275">
            <v>20179</v>
          </cell>
          <cell r="D275">
            <v>1798.53</v>
          </cell>
        </row>
        <row r="276">
          <cell r="C276">
            <v>3148</v>
          </cell>
          <cell r="D276">
            <v>2100.27</v>
          </cell>
        </row>
        <row r="277">
          <cell r="C277">
            <v>106646</v>
          </cell>
          <cell r="D277">
            <v>3110.74</v>
          </cell>
        </row>
        <row r="288">
          <cell r="C288">
            <v>604385</v>
          </cell>
          <cell r="D288">
            <v>1998.66</v>
          </cell>
        </row>
        <row r="289">
          <cell r="C289">
            <v>423408</v>
          </cell>
          <cell r="D289">
            <v>2162.0700000000002</v>
          </cell>
        </row>
        <row r="290">
          <cell r="C290">
            <v>180977</v>
          </cell>
          <cell r="D290">
            <v>1616.34</v>
          </cell>
        </row>
        <row r="327">
          <cell r="C327">
            <v>497675</v>
          </cell>
          <cell r="D327">
            <v>2789.41</v>
          </cell>
        </row>
        <row r="328">
          <cell r="C328">
            <v>325267</v>
          </cell>
          <cell r="D328">
            <v>2702.56</v>
          </cell>
        </row>
        <row r="353">
          <cell r="C353">
            <v>226637</v>
          </cell>
          <cell r="D353">
            <v>44.6021</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9_1T"/>
    </sheetNames>
    <sheetDataSet>
      <sheetData sheetId="0">
        <row r="4">
          <cell r="B4">
            <v>578049</v>
          </cell>
        </row>
        <row r="5">
          <cell r="B5">
            <v>753301</v>
          </cell>
        </row>
        <row r="6">
          <cell r="B6">
            <v>1331350</v>
          </cell>
        </row>
        <row r="16">
          <cell r="A16">
            <v>936728</v>
          </cell>
          <cell r="B16">
            <v>96590</v>
          </cell>
          <cell r="C16">
            <v>297784</v>
          </cell>
          <cell r="D16">
            <v>248</v>
          </cell>
        </row>
        <row r="26">
          <cell r="A26">
            <v>602437</v>
          </cell>
          <cell r="B26">
            <v>129644</v>
          </cell>
          <cell r="C26">
            <v>204647</v>
          </cell>
          <cell r="D26">
            <v>394374</v>
          </cell>
          <cell r="E26">
            <v>248</v>
          </cell>
        </row>
        <row r="36">
          <cell r="A36">
            <v>578950</v>
          </cell>
          <cell r="B36">
            <v>691</v>
          </cell>
          <cell r="C36">
            <v>12140</v>
          </cell>
          <cell r="D36">
            <v>3250</v>
          </cell>
        </row>
        <row r="46">
          <cell r="D46">
            <v>1301.06</v>
          </cell>
        </row>
        <row r="47">
          <cell r="D47">
            <v>1413.59</v>
          </cell>
        </row>
        <row r="48">
          <cell r="D48">
            <v>1214.7</v>
          </cell>
        </row>
        <row r="59">
          <cell r="D59">
            <v>1583.86</v>
          </cell>
        </row>
        <row r="60">
          <cell r="D60">
            <v>914.66</v>
          </cell>
        </row>
        <row r="61">
          <cell r="D61">
            <v>166.97</v>
          </cell>
        </row>
        <row r="62">
          <cell r="D62">
            <v>1584.66</v>
          </cell>
        </row>
        <row r="74">
          <cell r="D74">
            <v>1181.67</v>
          </cell>
        </row>
        <row r="75">
          <cell r="D75">
            <v>245.35</v>
          </cell>
        </row>
        <row r="76">
          <cell r="D76">
            <v>2019.16</v>
          </cell>
        </row>
        <row r="87">
          <cell r="C87">
            <v>376468</v>
          </cell>
          <cell r="D87">
            <v>2410.66</v>
          </cell>
        </row>
        <row r="88">
          <cell r="C88">
            <v>245008</v>
          </cell>
          <cell r="D88">
            <v>2288.6999999999998</v>
          </cell>
        </row>
        <row r="89">
          <cell r="C89">
            <v>20339</v>
          </cell>
          <cell r="D89">
            <v>1706.83</v>
          </cell>
        </row>
        <row r="90">
          <cell r="C90">
            <v>3548</v>
          </cell>
          <cell r="D90">
            <v>2070.42</v>
          </cell>
        </row>
        <row r="91">
          <cell r="C91">
            <v>107522</v>
          </cell>
          <cell r="D91">
            <v>2832.85</v>
          </cell>
        </row>
        <row r="92">
          <cell r="C92">
            <v>51</v>
          </cell>
        </row>
        <row r="107">
          <cell r="F107">
            <v>1123454</v>
          </cell>
        </row>
        <row r="108">
          <cell r="F108">
            <v>1234760</v>
          </cell>
        </row>
        <row r="118">
          <cell r="D118">
            <v>95.928399999999996</v>
          </cell>
        </row>
        <row r="159">
          <cell r="B159">
            <v>152</v>
          </cell>
        </row>
        <row r="160">
          <cell r="B160">
            <v>100</v>
          </cell>
        </row>
        <row r="161">
          <cell r="B161">
            <v>20</v>
          </cell>
        </row>
        <row r="194">
          <cell r="F194">
            <v>78.915599999999998</v>
          </cell>
        </row>
        <row r="195">
          <cell r="F195">
            <v>76.746200000000002</v>
          </cell>
        </row>
        <row r="196">
          <cell r="F196">
            <v>80.801500000000004</v>
          </cell>
        </row>
        <row r="197">
          <cell r="F197">
            <v>85.129199999999997</v>
          </cell>
        </row>
        <row r="221">
          <cell r="B221">
            <v>321664</v>
          </cell>
        </row>
        <row r="222">
          <cell r="B222">
            <v>357720</v>
          </cell>
        </row>
        <row r="232">
          <cell r="D232">
            <v>2344.6799999999998</v>
          </cell>
        </row>
        <row r="233">
          <cell r="D233">
            <v>2532.27</v>
          </cell>
        </row>
        <row r="234">
          <cell r="D234">
            <v>2175.4299999999998</v>
          </cell>
        </row>
        <row r="245">
          <cell r="C245">
            <v>417434</v>
          </cell>
          <cell r="D245">
            <v>2278.04</v>
          </cell>
        </row>
        <row r="246">
          <cell r="C246">
            <v>63024</v>
          </cell>
          <cell r="D246">
            <v>1492.2</v>
          </cell>
        </row>
        <row r="247">
          <cell r="C247">
            <v>4817</v>
          </cell>
          <cell r="D247">
            <v>1904.25</v>
          </cell>
        </row>
        <row r="248">
          <cell r="C248">
            <v>192413</v>
          </cell>
          <cell r="D248">
            <v>2779.41</v>
          </cell>
        </row>
        <row r="260">
          <cell r="C260">
            <v>485323</v>
          </cell>
          <cell r="D260">
            <v>2172.3200000000002</v>
          </cell>
        </row>
        <row r="261">
          <cell r="C261">
            <v>6486</v>
          </cell>
          <cell r="D261">
            <v>877.2</v>
          </cell>
        </row>
        <row r="262">
          <cell r="C262">
            <v>185949</v>
          </cell>
          <cell r="D262">
            <v>2845.76</v>
          </cell>
        </row>
        <row r="273">
          <cell r="D273">
            <v>2725.55</v>
          </cell>
        </row>
        <row r="274">
          <cell r="C274">
            <v>242117</v>
          </cell>
          <cell r="D274">
            <v>2633.41</v>
          </cell>
        </row>
        <row r="275">
          <cell r="C275">
            <v>19611</v>
          </cell>
          <cell r="D275">
            <v>1803.29</v>
          </cell>
        </row>
        <row r="276">
          <cell r="C276">
            <v>3064</v>
          </cell>
          <cell r="D276">
            <v>2155.06</v>
          </cell>
        </row>
        <row r="277">
          <cell r="C277">
            <v>105503</v>
          </cell>
          <cell r="D277">
            <v>3124.94</v>
          </cell>
        </row>
        <row r="288">
          <cell r="C288">
            <v>602437</v>
          </cell>
          <cell r="D288">
            <v>2008.74</v>
          </cell>
        </row>
        <row r="289">
          <cell r="C289">
            <v>422084</v>
          </cell>
          <cell r="D289">
            <v>2173.71</v>
          </cell>
        </row>
        <row r="290">
          <cell r="C290">
            <v>180353</v>
          </cell>
          <cell r="D290">
            <v>1622.65</v>
          </cell>
        </row>
        <row r="327">
          <cell r="C327">
            <v>495792</v>
          </cell>
          <cell r="D327">
            <v>2802.14</v>
          </cell>
        </row>
        <row r="328">
          <cell r="C328">
            <v>324896</v>
          </cell>
          <cell r="D328">
            <v>2715.03</v>
          </cell>
        </row>
        <row r="353">
          <cell r="C353">
            <v>222834</v>
          </cell>
          <cell r="D353">
            <v>44.522300000000001</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9_2T"/>
    </sheetNames>
    <sheetDataSet>
      <sheetData sheetId="0">
        <row r="4">
          <cell r="B4">
            <v>572196</v>
          </cell>
        </row>
        <row r="5">
          <cell r="B5">
            <v>744585</v>
          </cell>
        </row>
        <row r="6">
          <cell r="B6">
            <v>1316781</v>
          </cell>
        </row>
        <row r="16">
          <cell r="A16">
            <v>926970</v>
          </cell>
          <cell r="B16">
            <v>95866</v>
          </cell>
          <cell r="C16">
            <v>293696</v>
          </cell>
          <cell r="D16">
            <v>249</v>
          </cell>
        </row>
        <row r="26">
          <cell r="A26">
            <v>597415</v>
          </cell>
          <cell r="B26">
            <v>127951</v>
          </cell>
          <cell r="C26">
            <v>201604</v>
          </cell>
          <cell r="D26">
            <v>389562</v>
          </cell>
          <cell r="E26">
            <v>249</v>
          </cell>
        </row>
        <row r="36">
          <cell r="A36">
            <v>571661</v>
          </cell>
          <cell r="B36">
            <v>675</v>
          </cell>
          <cell r="C36">
            <v>11523</v>
          </cell>
          <cell r="D36">
            <v>3265</v>
          </cell>
        </row>
        <row r="46">
          <cell r="D46">
            <v>1300.49</v>
          </cell>
        </row>
        <row r="47">
          <cell r="D47">
            <v>1414.65</v>
          </cell>
        </row>
        <row r="48">
          <cell r="D48">
            <v>1212.76</v>
          </cell>
        </row>
        <row r="59">
          <cell r="D59">
            <v>1582.67</v>
          </cell>
        </row>
        <row r="60">
          <cell r="D60">
            <v>908.83</v>
          </cell>
        </row>
        <row r="61">
          <cell r="D61">
            <v>165.84</v>
          </cell>
        </row>
        <row r="62">
          <cell r="D62">
            <v>1583.69</v>
          </cell>
        </row>
        <row r="74">
          <cell r="D74">
            <v>1181.49</v>
          </cell>
        </row>
        <row r="75">
          <cell r="D75">
            <v>243.24</v>
          </cell>
        </row>
        <row r="76">
          <cell r="D76">
            <v>2021.28</v>
          </cell>
        </row>
        <row r="87">
          <cell r="C87">
            <v>371693</v>
          </cell>
          <cell r="D87">
            <v>2414.77</v>
          </cell>
        </row>
        <row r="88">
          <cell r="C88">
            <v>242499</v>
          </cell>
          <cell r="D88">
            <v>2293</v>
          </cell>
        </row>
        <row r="89">
          <cell r="C89">
            <v>19782</v>
          </cell>
          <cell r="D89">
            <v>1706.17</v>
          </cell>
        </row>
        <row r="90">
          <cell r="C90">
            <v>3459</v>
          </cell>
          <cell r="D90">
            <v>2065.86</v>
          </cell>
        </row>
        <row r="91">
          <cell r="C91">
            <v>105900</v>
          </cell>
          <cell r="D91">
            <v>2837.28</v>
          </cell>
        </row>
        <row r="92">
          <cell r="C92">
            <v>53</v>
          </cell>
        </row>
        <row r="107">
          <cell r="F107">
            <v>1113365</v>
          </cell>
        </row>
        <row r="108">
          <cell r="F108">
            <v>1220914</v>
          </cell>
        </row>
        <row r="118">
          <cell r="D118">
            <v>95.800600000000003</v>
          </cell>
        </row>
        <row r="159">
          <cell r="B159">
            <v>152</v>
          </cell>
        </row>
        <row r="160">
          <cell r="B160">
            <v>98</v>
          </cell>
        </row>
        <row r="161">
          <cell r="B161">
            <v>20</v>
          </cell>
        </row>
        <row r="194">
          <cell r="F194">
            <v>78.934700000000007</v>
          </cell>
        </row>
        <row r="195">
          <cell r="F195">
            <v>76.757599999999996</v>
          </cell>
        </row>
        <row r="196">
          <cell r="F196">
            <v>80.843599999999995</v>
          </cell>
        </row>
        <row r="197">
          <cell r="F197">
            <v>85.1845</v>
          </cell>
        </row>
        <row r="221">
          <cell r="B221">
            <v>319742</v>
          </cell>
        </row>
        <row r="222">
          <cell r="B222">
            <v>354545</v>
          </cell>
          <cell r="C222">
            <v>674287</v>
          </cell>
        </row>
        <row r="232">
          <cell r="D232">
            <v>2342.4</v>
          </cell>
        </row>
        <row r="233">
          <cell r="D233">
            <v>2530.02</v>
          </cell>
        </row>
        <row r="234">
          <cell r="D234">
            <v>2172.62</v>
          </cell>
        </row>
        <row r="245">
          <cell r="C245">
            <v>415095</v>
          </cell>
          <cell r="D245">
            <v>2275.4899999999998</v>
          </cell>
        </row>
        <row r="246">
          <cell r="C246">
            <v>62188</v>
          </cell>
          <cell r="D246">
            <v>1485.66</v>
          </cell>
        </row>
        <row r="247">
          <cell r="C247">
            <v>4706</v>
          </cell>
          <cell r="D247">
            <v>1899.7</v>
          </cell>
        </row>
        <row r="248">
          <cell r="C248">
            <v>190573</v>
          </cell>
          <cell r="D248">
            <v>2778.59</v>
          </cell>
        </row>
        <row r="260">
          <cell r="C260">
            <v>482041</v>
          </cell>
          <cell r="D260">
            <v>2169.9499999999998</v>
          </cell>
        </row>
        <row r="261">
          <cell r="C261">
            <v>6596</v>
          </cell>
          <cell r="D261">
            <v>875.39</v>
          </cell>
        </row>
        <row r="262">
          <cell r="C262">
            <v>184003</v>
          </cell>
          <cell r="D262">
            <v>2846.78</v>
          </cell>
        </row>
        <row r="273">
          <cell r="D273">
            <v>2730.38</v>
          </cell>
        </row>
        <row r="274">
          <cell r="C274">
            <v>239752</v>
          </cell>
          <cell r="D274">
            <v>2637.95</v>
          </cell>
        </row>
        <row r="275">
          <cell r="C275">
            <v>19067</v>
          </cell>
          <cell r="D275">
            <v>1802.61</v>
          </cell>
        </row>
        <row r="276">
          <cell r="C276">
            <v>2984</v>
          </cell>
          <cell r="D276">
            <v>2153.3200000000002</v>
          </cell>
        </row>
        <row r="277">
          <cell r="C277">
            <v>103928</v>
          </cell>
          <cell r="D277">
            <v>3130.33</v>
          </cell>
        </row>
        <row r="288">
          <cell r="C288">
            <v>597414</v>
          </cell>
          <cell r="D288">
            <v>2011.63</v>
          </cell>
        </row>
        <row r="289">
          <cell r="C289">
            <v>418377</v>
          </cell>
          <cell r="D289">
            <v>2178.2199999999998</v>
          </cell>
        </row>
        <row r="290">
          <cell r="C290">
            <v>179037</v>
          </cell>
          <cell r="D290">
            <v>1622.32</v>
          </cell>
        </row>
        <row r="327">
          <cell r="C327">
            <v>491246</v>
          </cell>
          <cell r="D327">
            <v>2806.92</v>
          </cell>
        </row>
        <row r="328">
          <cell r="C328">
            <v>322524</v>
          </cell>
          <cell r="D328">
            <v>2720.37</v>
          </cell>
        </row>
        <row r="353">
          <cell r="C353">
            <v>218802</v>
          </cell>
          <cell r="D353">
            <v>44.4407</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9_3T"/>
    </sheetNames>
    <sheetDataSet>
      <sheetData sheetId="0">
        <row r="4">
          <cell r="B4">
            <v>568287</v>
          </cell>
        </row>
        <row r="5">
          <cell r="B5">
            <v>738329</v>
          </cell>
        </row>
        <row r="6">
          <cell r="B6">
            <v>1306616</v>
          </cell>
        </row>
        <row r="16">
          <cell r="A16">
            <v>919849</v>
          </cell>
          <cell r="B16">
            <v>95650</v>
          </cell>
          <cell r="C16">
            <v>290869</v>
          </cell>
          <cell r="D16">
            <v>248</v>
          </cell>
        </row>
        <row r="36">
          <cell r="A36">
            <v>566237</v>
          </cell>
          <cell r="B36">
            <v>658</v>
          </cell>
          <cell r="C36">
            <v>11937</v>
          </cell>
          <cell r="D36">
            <v>3368</v>
          </cell>
        </row>
        <row r="46">
          <cell r="D46">
            <v>1300.24</v>
          </cell>
        </row>
        <row r="47">
          <cell r="D47">
            <v>1414.65</v>
          </cell>
        </row>
        <row r="48">
          <cell r="D48">
            <v>1212.18</v>
          </cell>
        </row>
        <row r="59">
          <cell r="C59">
            <v>593973</v>
          </cell>
          <cell r="D59">
            <v>1580.07</v>
          </cell>
        </row>
        <row r="60">
          <cell r="C60">
            <v>126640</v>
          </cell>
          <cell r="D60">
            <v>902.59</v>
          </cell>
        </row>
        <row r="61">
          <cell r="C61">
            <v>199236</v>
          </cell>
          <cell r="D61">
            <v>165.26</v>
          </cell>
        </row>
        <row r="62">
          <cell r="C62">
            <v>386519</v>
          </cell>
          <cell r="D62">
            <v>1585.65</v>
          </cell>
        </row>
        <row r="63">
          <cell r="C63">
            <v>248</v>
          </cell>
        </row>
        <row r="74">
          <cell r="D74">
            <v>1180.31</v>
          </cell>
        </row>
        <row r="75">
          <cell r="D75">
            <v>241.57</v>
          </cell>
        </row>
        <row r="76">
          <cell r="D76">
            <v>2027.72</v>
          </cell>
        </row>
        <row r="87">
          <cell r="C87">
            <v>367902</v>
          </cell>
          <cell r="D87">
            <v>2420</v>
          </cell>
        </row>
        <row r="88">
          <cell r="C88">
            <v>240397</v>
          </cell>
          <cell r="D88">
            <v>2295.91</v>
          </cell>
        </row>
        <row r="89">
          <cell r="C89">
            <v>19325</v>
          </cell>
          <cell r="D89">
            <v>1705.56</v>
          </cell>
        </row>
        <row r="90">
          <cell r="C90">
            <v>3399</v>
          </cell>
          <cell r="D90">
            <v>2066.27</v>
          </cell>
        </row>
        <row r="91">
          <cell r="C91">
            <v>104731</v>
          </cell>
          <cell r="D91">
            <v>2847.98</v>
          </cell>
        </row>
        <row r="107">
          <cell r="F107">
            <v>1106379</v>
          </cell>
        </row>
        <row r="108">
          <cell r="F108">
            <v>1210966</v>
          </cell>
        </row>
        <row r="118">
          <cell r="D118">
            <v>95.642799999999994</v>
          </cell>
        </row>
        <row r="184">
          <cell r="A184">
            <v>20</v>
          </cell>
          <cell r="B184">
            <v>96</v>
          </cell>
          <cell r="C184">
            <v>152</v>
          </cell>
        </row>
        <row r="194">
          <cell r="F194">
            <v>78.967600000000004</v>
          </cell>
        </row>
        <row r="195">
          <cell r="F195">
            <v>76.779399999999995</v>
          </cell>
        </row>
        <row r="196">
          <cell r="F196">
            <v>80.901700000000005</v>
          </cell>
        </row>
        <row r="197">
          <cell r="F197">
            <v>85.253200000000007</v>
          </cell>
        </row>
        <row r="221">
          <cell r="B221">
            <v>318583</v>
          </cell>
        </row>
        <row r="222">
          <cell r="B222">
            <v>352451</v>
          </cell>
          <cell r="C222">
            <v>671034</v>
          </cell>
        </row>
        <row r="232">
          <cell r="D232">
            <v>2343.46</v>
          </cell>
        </row>
        <row r="233">
          <cell r="D233">
            <v>2529.6</v>
          </cell>
        </row>
        <row r="234">
          <cell r="D234">
            <v>2174.63</v>
          </cell>
        </row>
        <row r="245">
          <cell r="C245">
            <v>413329</v>
          </cell>
          <cell r="D245">
            <v>2274.2199999999998</v>
          </cell>
        </row>
        <row r="246">
          <cell r="C246">
            <v>61503</v>
          </cell>
          <cell r="D246">
            <v>1480.44</v>
          </cell>
        </row>
        <row r="247">
          <cell r="C247">
            <v>4642</v>
          </cell>
          <cell r="D247">
            <v>1895.32</v>
          </cell>
        </row>
        <row r="248">
          <cell r="C248">
            <v>189547</v>
          </cell>
          <cell r="D248">
            <v>2785.39</v>
          </cell>
        </row>
        <row r="260">
          <cell r="C260">
            <v>479518</v>
          </cell>
          <cell r="D260">
            <v>2168.7800000000002</v>
          </cell>
        </row>
        <row r="261">
          <cell r="C261">
            <v>6764</v>
          </cell>
          <cell r="D261">
            <v>873.39</v>
          </cell>
        </row>
        <row r="262">
          <cell r="C262">
            <v>182811</v>
          </cell>
          <cell r="D262">
            <v>2856.13</v>
          </cell>
        </row>
        <row r="273">
          <cell r="D273">
            <v>2738.61</v>
          </cell>
        </row>
        <row r="274">
          <cell r="C274">
            <v>237695</v>
          </cell>
          <cell r="D274">
            <v>2643.55</v>
          </cell>
        </row>
        <row r="275">
          <cell r="C275">
            <v>18621</v>
          </cell>
          <cell r="D275">
            <v>1803.06</v>
          </cell>
        </row>
        <row r="276">
          <cell r="C276">
            <v>2930</v>
          </cell>
          <cell r="D276">
            <v>2153.79</v>
          </cell>
        </row>
        <row r="277">
          <cell r="C277">
            <v>102796</v>
          </cell>
          <cell r="D277">
            <v>3144.47</v>
          </cell>
        </row>
        <row r="288">
          <cell r="C288">
            <v>593969</v>
          </cell>
          <cell r="D288">
            <v>2014.74</v>
          </cell>
        </row>
        <row r="289">
          <cell r="C289">
            <v>415933</v>
          </cell>
          <cell r="D289">
            <v>2182.46</v>
          </cell>
        </row>
        <row r="290">
          <cell r="C290">
            <v>178036</v>
          </cell>
          <cell r="D290">
            <v>1622.91</v>
          </cell>
        </row>
        <row r="327">
          <cell r="C327">
            <v>488203</v>
          </cell>
          <cell r="D327">
            <v>2814.35</v>
          </cell>
        </row>
        <row r="328">
          <cell r="C328">
            <v>320859</v>
          </cell>
          <cell r="D328">
            <v>2726.62</v>
          </cell>
        </row>
        <row r="353">
          <cell r="C353">
            <v>215425</v>
          </cell>
          <cell r="D353">
            <v>44.764600000000002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3_4T"/>
    </sheetNames>
    <sheetDataSet>
      <sheetData sheetId="0">
        <row r="9">
          <cell r="B9">
            <v>510130</v>
          </cell>
        </row>
        <row r="10">
          <cell r="B10">
            <v>625012</v>
          </cell>
        </row>
        <row r="11">
          <cell r="B11">
            <v>1135142</v>
          </cell>
        </row>
        <row r="16">
          <cell r="A16">
            <v>472678</v>
          </cell>
          <cell r="B16">
            <v>367</v>
          </cell>
          <cell r="C16">
            <v>4608</v>
          </cell>
          <cell r="D16">
            <v>3019</v>
          </cell>
        </row>
        <row r="21">
          <cell r="A21">
            <v>809456</v>
          </cell>
          <cell r="B21">
            <v>89225</v>
          </cell>
          <cell r="C21">
            <v>236222</v>
          </cell>
          <cell r="D21">
            <v>239</v>
          </cell>
        </row>
        <row r="26">
          <cell r="A26">
            <v>549680</v>
          </cell>
          <cell r="B26">
            <v>103221</v>
          </cell>
          <cell r="C26">
            <v>156555</v>
          </cell>
          <cell r="D26">
            <v>325448</v>
          </cell>
          <cell r="E26">
            <v>238</v>
          </cell>
        </row>
        <row r="31">
          <cell r="E31">
            <v>5679.6288566794801</v>
          </cell>
        </row>
        <row r="32">
          <cell r="E32">
            <v>6263.9640875151199</v>
          </cell>
        </row>
        <row r="33">
          <cell r="E33">
            <v>5202.6998585627198</v>
          </cell>
        </row>
        <row r="38">
          <cell r="E38">
            <v>5679.6288566794801</v>
          </cell>
        </row>
        <row r="39">
          <cell r="E39">
            <v>5283.0105397076404</v>
          </cell>
        </row>
        <row r="40">
          <cell r="E40">
            <v>925.98449786312801</v>
          </cell>
        </row>
        <row r="41">
          <cell r="E41">
            <v>8835.4711103398404</v>
          </cell>
        </row>
        <row r="47">
          <cell r="E47">
            <v>5679.6288566794801</v>
          </cell>
        </row>
        <row r="48">
          <cell r="E48">
            <v>6855.8761097365596</v>
          </cell>
        </row>
        <row r="49">
          <cell r="E49">
            <v>3888.7605429127798</v>
          </cell>
        </row>
        <row r="50">
          <cell r="E50">
            <v>680.96252435246402</v>
          </cell>
        </row>
        <row r="51">
          <cell r="E51">
            <v>6666.9053086984804</v>
          </cell>
        </row>
        <row r="57">
          <cell r="F57">
            <v>78.9835756086689</v>
          </cell>
        </row>
        <row r="58">
          <cell r="F58">
            <v>76.622702428962299</v>
          </cell>
        </row>
        <row r="59">
          <cell r="F59">
            <v>81.764035491144099</v>
          </cell>
        </row>
        <row r="60">
          <cell r="F60">
            <v>86.026466492565405</v>
          </cell>
        </row>
        <row r="81">
          <cell r="D81">
            <v>785544</v>
          </cell>
        </row>
        <row r="82">
          <cell r="D82">
            <v>1045915</v>
          </cell>
        </row>
        <row r="87">
          <cell r="D87">
            <v>96.814149872616099</v>
          </cell>
        </row>
        <row r="94">
          <cell r="A94">
            <v>16</v>
          </cell>
          <cell r="B94">
            <v>92</v>
          </cell>
          <cell r="C94">
            <v>152</v>
          </cell>
        </row>
        <row r="99">
          <cell r="C99">
            <v>251757</v>
          </cell>
          <cell r="E99">
            <v>11130.19133529556</v>
          </cell>
        </row>
        <row r="100">
          <cell r="C100">
            <v>164641</v>
          </cell>
          <cell r="E100">
            <v>10594.023627164561</v>
          </cell>
        </row>
        <row r="101">
          <cell r="C101">
            <v>8923</v>
          </cell>
          <cell r="E101">
            <v>8752.8499383615199</v>
          </cell>
        </row>
        <row r="102">
          <cell r="C102">
            <v>1522</v>
          </cell>
          <cell r="E102">
            <v>9795.6688567673991</v>
          </cell>
        </row>
        <row r="103">
          <cell r="C103">
            <v>76640</v>
          </cell>
          <cell r="E103">
            <v>12584.87708768268</v>
          </cell>
        </row>
        <row r="104">
          <cell r="C104">
            <v>31</v>
          </cell>
        </row>
        <row r="111">
          <cell r="B111">
            <v>309753</v>
          </cell>
        </row>
        <row r="112">
          <cell r="B112">
            <v>315879</v>
          </cell>
        </row>
        <row r="117">
          <cell r="E117">
            <v>10480.32107126072</v>
          </cell>
        </row>
        <row r="118">
          <cell r="E118">
            <v>11504.569087051839</v>
          </cell>
        </row>
        <row r="119">
          <cell r="E119">
            <v>9475.9471972693209</v>
          </cell>
        </row>
        <row r="124">
          <cell r="E124">
            <v>10480.32107126072</v>
          </cell>
        </row>
        <row r="125">
          <cell r="C125">
            <v>507607</v>
          </cell>
          <cell r="E125">
            <v>10078.32835244588</v>
          </cell>
        </row>
        <row r="126">
          <cell r="C126">
            <v>27919</v>
          </cell>
          <cell r="E126">
            <v>6542.0558042909997</v>
          </cell>
        </row>
        <row r="127">
          <cell r="C127">
            <v>89980</v>
          </cell>
          <cell r="E127">
            <v>13970.060413425201</v>
          </cell>
        </row>
        <row r="132">
          <cell r="E132">
            <v>10480.32107126072</v>
          </cell>
        </row>
        <row r="133">
          <cell r="C133">
            <v>402817</v>
          </cell>
          <cell r="E133">
            <v>10346.7458324748</v>
          </cell>
        </row>
        <row r="134">
          <cell r="C134">
            <v>49898</v>
          </cell>
          <cell r="E134">
            <v>6605.7273638221995</v>
          </cell>
        </row>
        <row r="135">
          <cell r="C135">
            <v>3312</v>
          </cell>
          <cell r="E135">
            <v>8361.5144927536403</v>
          </cell>
        </row>
        <row r="136">
          <cell r="C136">
            <v>169410</v>
          </cell>
          <cell r="E136">
            <v>11980.99479369576</v>
          </cell>
        </row>
        <row r="142">
          <cell r="C142">
            <v>248878</v>
          </cell>
          <cell r="E142">
            <v>13302.67719927032</v>
          </cell>
        </row>
        <row r="143">
          <cell r="C143">
            <v>163331</v>
          </cell>
          <cell r="E143">
            <v>13009.689036374</v>
          </cell>
        </row>
        <row r="144">
          <cell r="C144">
            <v>8548</v>
          </cell>
          <cell r="E144">
            <v>9164.7065980346397</v>
          </cell>
        </row>
        <row r="145">
          <cell r="C145">
            <v>1466</v>
          </cell>
          <cell r="E145">
            <v>10209.52523874488</v>
          </cell>
        </row>
        <row r="146">
          <cell r="C146">
            <v>75510</v>
          </cell>
          <cell r="E146">
            <v>14464.826539531199</v>
          </cell>
        </row>
        <row r="147">
          <cell r="C147">
            <v>23</v>
          </cell>
        </row>
        <row r="152">
          <cell r="C152">
            <v>235582</v>
          </cell>
          <cell r="D152">
            <v>140.802165821085</v>
          </cell>
        </row>
        <row r="159">
          <cell r="C159">
            <v>549679</v>
          </cell>
          <cell r="E159">
            <v>9576.5547965267197</v>
          </cell>
        </row>
        <row r="160">
          <cell r="C160">
            <v>385860</v>
          </cell>
          <cell r="E160">
            <v>10402.592764215</v>
          </cell>
        </row>
        <row r="161">
          <cell r="C161">
            <v>163819</v>
          </cell>
          <cell r="E161">
            <v>7630.9012996050396</v>
          </cell>
        </row>
        <row r="183">
          <cell r="C183">
            <v>393290</v>
          </cell>
          <cell r="E183">
            <v>13447.296661496601</v>
          </cell>
        </row>
        <row r="184">
          <cell r="C184">
            <v>265134</v>
          </cell>
          <cell r="E184">
            <v>13244.278742070041</v>
          </cell>
        </row>
        <row r="298">
          <cell r="D298">
            <v>251757</v>
          </cell>
          <cell r="E298">
            <v>2782.54783382389</v>
          </cell>
        </row>
        <row r="299">
          <cell r="D299">
            <v>175102</v>
          </cell>
          <cell r="E299">
            <v>2623.4417653710402</v>
          </cell>
        </row>
        <row r="300">
          <cell r="D300">
            <v>76648</v>
          </cell>
          <cell r="E300">
            <v>3146.27902880701</v>
          </cell>
        </row>
        <row r="320">
          <cell r="B320">
            <v>70919</v>
          </cell>
          <cell r="C320">
            <v>102684</v>
          </cell>
          <cell r="D320">
            <v>173603</v>
          </cell>
        </row>
        <row r="331">
          <cell r="B331">
            <v>163173</v>
          </cell>
          <cell r="C331">
            <v>42998</v>
          </cell>
          <cell r="D331">
            <v>206171</v>
          </cell>
        </row>
        <row r="425">
          <cell r="C425">
            <v>69483</v>
          </cell>
        </row>
        <row r="433">
          <cell r="D433">
            <v>27.510225599999998</v>
          </cell>
        </row>
        <row r="434">
          <cell r="D434">
            <v>74.636179400000003</v>
          </cell>
        </row>
        <row r="442">
          <cell r="D442">
            <v>121.1701104</v>
          </cell>
        </row>
        <row r="443">
          <cell r="D443">
            <v>110.8482454</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9_4T"/>
    </sheetNames>
    <sheetDataSet>
      <sheetData sheetId="0">
        <row r="4">
          <cell r="B4">
            <v>566707</v>
          </cell>
        </row>
        <row r="5">
          <cell r="B5">
            <v>733532</v>
          </cell>
        </row>
        <row r="6">
          <cell r="B6">
            <v>1300239</v>
          </cell>
        </row>
        <row r="16">
          <cell r="A16">
            <v>915386</v>
          </cell>
          <cell r="B16">
            <v>95730</v>
          </cell>
          <cell r="C16">
            <v>288876</v>
          </cell>
          <cell r="D16">
            <v>247</v>
          </cell>
        </row>
        <row r="36">
          <cell r="A36">
            <v>562139</v>
          </cell>
          <cell r="B36">
            <v>639</v>
          </cell>
          <cell r="C36">
            <v>11204</v>
          </cell>
          <cell r="D36">
            <v>3405</v>
          </cell>
        </row>
        <row r="46">
          <cell r="D46">
            <v>1299.6300000000001</v>
          </cell>
        </row>
        <row r="47">
          <cell r="D47">
            <v>1417</v>
          </cell>
        </row>
        <row r="48">
          <cell r="D48">
            <v>1208.95</v>
          </cell>
        </row>
        <row r="59">
          <cell r="C59">
            <v>593042</v>
          </cell>
          <cell r="D59">
            <v>1579.73</v>
          </cell>
        </row>
        <row r="60">
          <cell r="C60">
            <v>125115</v>
          </cell>
          <cell r="D60">
            <v>896.97</v>
          </cell>
        </row>
        <row r="61">
          <cell r="C61">
            <v>197227</v>
          </cell>
          <cell r="D61">
            <v>164.39</v>
          </cell>
        </row>
        <row r="62">
          <cell r="D62">
            <v>1581.01</v>
          </cell>
        </row>
        <row r="74">
          <cell r="D74">
            <v>1181.43</v>
          </cell>
        </row>
        <row r="75">
          <cell r="D75">
            <v>239.34</v>
          </cell>
        </row>
        <row r="76">
          <cell r="D76">
            <v>2025.71</v>
          </cell>
        </row>
        <row r="87">
          <cell r="C87">
            <v>366200</v>
          </cell>
          <cell r="D87">
            <v>2421.52</v>
          </cell>
        </row>
        <row r="88">
          <cell r="C88">
            <v>240113</v>
          </cell>
          <cell r="D88">
            <v>2299.4</v>
          </cell>
        </row>
        <row r="89">
          <cell r="C89">
            <v>18847</v>
          </cell>
          <cell r="D89">
            <v>1704.49</v>
          </cell>
        </row>
        <row r="90">
          <cell r="C90">
            <v>3354</v>
          </cell>
          <cell r="D90">
            <v>2058.46</v>
          </cell>
        </row>
        <row r="91">
          <cell r="C91">
            <v>103839</v>
          </cell>
          <cell r="D91">
            <v>2845.68</v>
          </cell>
        </row>
        <row r="92">
          <cell r="C92">
            <v>47</v>
          </cell>
        </row>
        <row r="107">
          <cell r="F107">
            <v>1101921</v>
          </cell>
        </row>
        <row r="108">
          <cell r="F108">
            <v>1204504</v>
          </cell>
        </row>
        <row r="118">
          <cell r="D118">
            <v>95.604100000000003</v>
          </cell>
        </row>
        <row r="184">
          <cell r="A184">
            <v>20</v>
          </cell>
          <cell r="B184">
            <v>96</v>
          </cell>
          <cell r="C184">
            <v>152</v>
          </cell>
        </row>
        <row r="194">
          <cell r="F194">
            <v>78.972999999999999</v>
          </cell>
        </row>
        <row r="195">
          <cell r="F195">
            <v>76.7637</v>
          </cell>
        </row>
        <row r="196">
          <cell r="F196">
            <v>80.9572</v>
          </cell>
        </row>
        <row r="197">
          <cell r="F197">
            <v>85.317800000000005</v>
          </cell>
        </row>
        <row r="221">
          <cell r="B221">
            <v>319183</v>
          </cell>
        </row>
        <row r="222">
          <cell r="B222">
            <v>351186</v>
          </cell>
          <cell r="C222">
            <v>670369</v>
          </cell>
        </row>
        <row r="232">
          <cell r="D232">
            <v>2340.73</v>
          </cell>
        </row>
        <row r="233">
          <cell r="D233">
            <v>2528.6999999999998</v>
          </cell>
        </row>
        <row r="234">
          <cell r="D234">
            <v>2169.25</v>
          </cell>
        </row>
        <row r="245">
          <cell r="C245">
            <v>413937</v>
          </cell>
          <cell r="D245">
            <v>2273.17</v>
          </cell>
        </row>
        <row r="246">
          <cell r="C246">
            <v>60761</v>
          </cell>
          <cell r="D246">
            <v>1473.53</v>
          </cell>
        </row>
        <row r="247">
          <cell r="C247">
            <v>4585</v>
          </cell>
          <cell r="D247">
            <v>1883.1</v>
          </cell>
        </row>
        <row r="248">
          <cell r="C248">
            <v>189028</v>
          </cell>
          <cell r="D248">
            <v>2778.47</v>
          </cell>
        </row>
        <row r="260">
          <cell r="C260">
            <v>479326</v>
          </cell>
          <cell r="D260">
            <v>2168.11</v>
          </cell>
        </row>
        <row r="261">
          <cell r="C261">
            <v>6912</v>
          </cell>
          <cell r="D261">
            <v>871.4</v>
          </cell>
        </row>
        <row r="262">
          <cell r="C262">
            <v>182146</v>
          </cell>
          <cell r="D262">
            <v>2850.81</v>
          </cell>
        </row>
        <row r="273">
          <cell r="D273">
            <v>2742.19</v>
          </cell>
        </row>
        <row r="274">
          <cell r="C274">
            <v>237381</v>
          </cell>
          <cell r="D274">
            <v>2649.03</v>
          </cell>
        </row>
        <row r="275">
          <cell r="C275">
            <v>18159</v>
          </cell>
          <cell r="D275">
            <v>1802.3</v>
          </cell>
        </row>
        <row r="276">
          <cell r="C276">
            <v>2890</v>
          </cell>
          <cell r="D276">
            <v>2144.15</v>
          </cell>
        </row>
        <row r="277">
          <cell r="C277">
            <v>101937</v>
          </cell>
          <cell r="D277">
            <v>3143.47</v>
          </cell>
        </row>
        <row r="288">
          <cell r="C288">
            <v>593041</v>
          </cell>
          <cell r="D288">
            <v>2019.9</v>
          </cell>
        </row>
        <row r="289">
          <cell r="C289">
            <v>415415</v>
          </cell>
          <cell r="D289">
            <v>2188.77</v>
          </cell>
        </row>
        <row r="290">
          <cell r="C290">
            <v>177626</v>
          </cell>
          <cell r="D290">
            <v>1624.95</v>
          </cell>
        </row>
        <row r="327">
          <cell r="C327">
            <v>487723</v>
          </cell>
          <cell r="D327">
            <v>2818.13</v>
          </cell>
        </row>
        <row r="328">
          <cell r="C328">
            <v>321352</v>
          </cell>
          <cell r="D328">
            <v>2732.5</v>
          </cell>
        </row>
        <row r="353">
          <cell r="C353">
            <v>216784</v>
          </cell>
          <cell r="D353">
            <v>45.119</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0_1T"/>
    </sheetNames>
    <sheetDataSet>
      <sheetData sheetId="0">
        <row r="13">
          <cell r="B13">
            <v>564695</v>
          </cell>
        </row>
        <row r="14">
          <cell r="B14">
            <v>727812</v>
          </cell>
        </row>
        <row r="15">
          <cell r="B15">
            <v>1292507</v>
          </cell>
        </row>
        <row r="23">
          <cell r="A23">
            <v>910751</v>
          </cell>
          <cell r="B23">
            <v>95374</v>
          </cell>
          <cell r="C23">
            <v>286137</v>
          </cell>
          <cell r="D23">
            <v>245</v>
          </cell>
        </row>
        <row r="31">
          <cell r="A31">
            <v>592045</v>
          </cell>
          <cell r="B31">
            <v>123885</v>
          </cell>
          <cell r="C31">
            <v>194823</v>
          </cell>
          <cell r="D31">
            <v>381511</v>
          </cell>
          <cell r="E31">
            <v>243</v>
          </cell>
        </row>
        <row r="39">
          <cell r="A39">
            <v>557557</v>
          </cell>
          <cell r="B39">
            <v>624</v>
          </cell>
          <cell r="C39">
            <v>10679</v>
          </cell>
          <cell r="D39">
            <v>3448</v>
          </cell>
        </row>
        <row r="47">
          <cell r="D47">
            <v>1314.5</v>
          </cell>
        </row>
        <row r="48">
          <cell r="D48">
            <v>1434.53</v>
          </cell>
        </row>
        <row r="49">
          <cell r="D49">
            <v>1221.3599999999999</v>
          </cell>
        </row>
        <row r="58">
          <cell r="D58">
            <v>1596.39</v>
          </cell>
        </row>
        <row r="59">
          <cell r="D59">
            <v>900.95</v>
          </cell>
        </row>
        <row r="60">
          <cell r="D60">
            <v>168.3</v>
          </cell>
        </row>
        <row r="61">
          <cell r="D61">
            <v>1596.8</v>
          </cell>
        </row>
        <row r="71">
          <cell r="D71">
            <v>1196.33</v>
          </cell>
        </row>
        <row r="72">
          <cell r="D72">
            <v>239.93</v>
          </cell>
        </row>
        <row r="73">
          <cell r="D73">
            <v>2049.2600000000002</v>
          </cell>
        </row>
        <row r="82">
          <cell r="C82">
            <v>363808</v>
          </cell>
          <cell r="D82">
            <v>2450.1</v>
          </cell>
        </row>
        <row r="83">
          <cell r="C83">
            <v>239342</v>
          </cell>
          <cell r="D83">
            <v>2325.6999999999998</v>
          </cell>
        </row>
        <row r="84">
          <cell r="C84">
            <v>18394</v>
          </cell>
          <cell r="D84">
            <v>1727.6</v>
          </cell>
        </row>
        <row r="85">
          <cell r="C85">
            <v>3284</v>
          </cell>
          <cell r="D85">
            <v>2183.7399999999998</v>
          </cell>
        </row>
        <row r="86">
          <cell r="C86">
            <v>102742</v>
          </cell>
          <cell r="D86">
            <v>2877.66</v>
          </cell>
        </row>
        <row r="87">
          <cell r="C87">
            <v>46</v>
          </cell>
        </row>
        <row r="100">
          <cell r="F100">
            <v>1096866</v>
          </cell>
        </row>
        <row r="101">
          <cell r="F101">
            <v>1197133</v>
          </cell>
        </row>
        <row r="109">
          <cell r="D109">
            <v>95.529799999999994</v>
          </cell>
        </row>
        <row r="171">
          <cell r="A171">
            <v>20</v>
          </cell>
          <cell r="B171">
            <v>96</v>
          </cell>
          <cell r="C171">
            <v>152</v>
          </cell>
        </row>
        <row r="179">
          <cell r="F179">
            <v>78.971999999999994</v>
          </cell>
        </row>
        <row r="180">
          <cell r="F180">
            <v>76.741</v>
          </cell>
        </row>
        <row r="181">
          <cell r="F181">
            <v>81.037000000000006</v>
          </cell>
        </row>
        <row r="182">
          <cell r="F182">
            <v>85.387</v>
          </cell>
        </row>
        <row r="204">
          <cell r="B204">
            <v>319735</v>
          </cell>
        </row>
        <row r="205">
          <cell r="B205">
            <v>349576</v>
          </cell>
          <cell r="C205">
            <v>669311</v>
          </cell>
        </row>
        <row r="213">
          <cell r="D213">
            <v>2360.06</v>
          </cell>
        </row>
        <row r="214">
          <cell r="D214">
            <v>2547.6</v>
          </cell>
        </row>
        <row r="215">
          <cell r="D215">
            <v>2187.87</v>
          </cell>
        </row>
        <row r="224">
          <cell r="C224">
            <v>414648</v>
          </cell>
          <cell r="D224">
            <v>2290.91</v>
          </cell>
        </row>
        <row r="225">
          <cell r="C225">
            <v>60132</v>
          </cell>
          <cell r="D225">
            <v>1484.03</v>
          </cell>
        </row>
        <row r="226">
          <cell r="C226">
            <v>4503</v>
          </cell>
          <cell r="D226">
            <v>1958.21</v>
          </cell>
        </row>
        <row r="227">
          <cell r="C227">
            <v>188131</v>
          </cell>
          <cell r="D227">
            <v>2802.04</v>
          </cell>
        </row>
        <row r="237">
          <cell r="C237">
            <v>479324</v>
          </cell>
          <cell r="D237">
            <v>2186.61</v>
          </cell>
        </row>
        <row r="238">
          <cell r="C238">
            <v>7043</v>
          </cell>
          <cell r="D238">
            <v>869.75</v>
          </cell>
        </row>
        <row r="239">
          <cell r="C239">
            <v>181116</v>
          </cell>
          <cell r="D239">
            <v>2877.14</v>
          </cell>
        </row>
        <row r="248">
          <cell r="D248">
            <v>2771.65</v>
          </cell>
        </row>
        <row r="249">
          <cell r="C249">
            <v>236673</v>
          </cell>
          <cell r="D249">
            <v>2676.09</v>
          </cell>
        </row>
        <row r="250">
          <cell r="C250">
            <v>17715</v>
          </cell>
          <cell r="D250">
            <v>1825.73</v>
          </cell>
        </row>
        <row r="251">
          <cell r="C251">
            <v>2826</v>
          </cell>
          <cell r="D251">
            <v>2252.64</v>
          </cell>
        </row>
        <row r="252">
          <cell r="C252">
            <v>100886</v>
          </cell>
          <cell r="D252">
            <v>3176.41</v>
          </cell>
        </row>
        <row r="261">
          <cell r="C261">
            <v>592043</v>
          </cell>
          <cell r="D261">
            <v>2043.52</v>
          </cell>
        </row>
        <row r="262">
          <cell r="C262">
            <v>414835</v>
          </cell>
          <cell r="D262">
            <v>2214.0700000000002</v>
          </cell>
        </row>
        <row r="263">
          <cell r="C263">
            <v>177208</v>
          </cell>
          <cell r="D263">
            <v>1644.27</v>
          </cell>
        </row>
        <row r="294">
          <cell r="C294">
            <v>486520</v>
          </cell>
          <cell r="D294">
            <v>2848.11</v>
          </cell>
        </row>
        <row r="295">
          <cell r="C295">
            <v>321392</v>
          </cell>
          <cell r="D295">
            <v>2761.12</v>
          </cell>
        </row>
        <row r="316">
          <cell r="C316">
            <v>213421</v>
          </cell>
          <cell r="D316">
            <v>45.058900000000001</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0_2T"/>
    </sheetNames>
    <sheetDataSet>
      <sheetData sheetId="0">
        <row r="13">
          <cell r="B13">
            <v>559000</v>
          </cell>
        </row>
        <row r="14">
          <cell r="B14">
            <v>719197</v>
          </cell>
        </row>
        <row r="15">
          <cell r="B15">
            <v>1278197</v>
          </cell>
        </row>
        <row r="23">
          <cell r="A23">
            <v>901283</v>
          </cell>
          <cell r="B23">
            <v>94874</v>
          </cell>
          <cell r="C23">
            <v>281796</v>
          </cell>
          <cell r="D23">
            <v>244</v>
          </cell>
        </row>
        <row r="31">
          <cell r="A31">
            <v>587157</v>
          </cell>
          <cell r="B31">
            <v>122299</v>
          </cell>
          <cell r="C31">
            <v>191829</v>
          </cell>
          <cell r="D31">
            <v>376670</v>
          </cell>
          <cell r="E31">
            <v>242</v>
          </cell>
        </row>
        <row r="39">
          <cell r="A39">
            <v>550255</v>
          </cell>
          <cell r="B39">
            <v>602</v>
          </cell>
          <cell r="C39">
            <v>10098</v>
          </cell>
          <cell r="D39">
            <v>3409</v>
          </cell>
        </row>
        <row r="47">
          <cell r="D47">
            <v>1312.36</v>
          </cell>
        </row>
        <row r="48">
          <cell r="D48">
            <v>1433.75</v>
          </cell>
        </row>
        <row r="49">
          <cell r="D49">
            <v>1218.01</v>
          </cell>
        </row>
        <row r="58">
          <cell r="D58">
            <v>1593.54</v>
          </cell>
        </row>
        <row r="59">
          <cell r="D59">
            <v>894.96</v>
          </cell>
        </row>
        <row r="60">
          <cell r="D60">
            <v>166.34</v>
          </cell>
        </row>
        <row r="61">
          <cell r="D61">
            <v>1593.36</v>
          </cell>
        </row>
        <row r="71">
          <cell r="D71">
            <v>1194.97</v>
          </cell>
        </row>
        <row r="72">
          <cell r="D72">
            <v>237.23</v>
          </cell>
        </row>
        <row r="73">
          <cell r="D73">
            <v>2050.09</v>
          </cell>
        </row>
        <row r="82">
          <cell r="C82">
            <v>358935</v>
          </cell>
          <cell r="D82">
            <v>2452.9</v>
          </cell>
        </row>
        <row r="83">
          <cell r="C83">
            <v>236749</v>
          </cell>
          <cell r="D83">
            <v>2329.5100000000002</v>
          </cell>
        </row>
        <row r="84">
          <cell r="C84">
            <v>17928</v>
          </cell>
          <cell r="D84">
            <v>1726.64</v>
          </cell>
        </row>
        <row r="85">
          <cell r="C85">
            <v>3201</v>
          </cell>
          <cell r="D85">
            <v>2153.62</v>
          </cell>
        </row>
        <row r="86">
          <cell r="C86">
            <v>101012</v>
          </cell>
          <cell r="D86">
            <v>2880.35</v>
          </cell>
        </row>
        <row r="87">
          <cell r="C87">
            <v>45</v>
          </cell>
        </row>
        <row r="100">
          <cell r="F100">
            <v>1086291</v>
          </cell>
        </row>
        <row r="101">
          <cell r="F101">
            <v>1183324</v>
          </cell>
        </row>
        <row r="109">
          <cell r="D109">
            <v>95.376199999999997</v>
          </cell>
        </row>
        <row r="171">
          <cell r="A171">
            <v>20</v>
          </cell>
          <cell r="B171">
            <v>96</v>
          </cell>
          <cell r="C171">
            <v>152</v>
          </cell>
        </row>
        <row r="179">
          <cell r="F179">
            <v>78.991</v>
          </cell>
        </row>
        <row r="180">
          <cell r="F180">
            <v>76.756</v>
          </cell>
        </row>
        <row r="181">
          <cell r="F181">
            <v>81.102000000000004</v>
          </cell>
        </row>
        <row r="182">
          <cell r="F182">
            <v>85.432000000000002</v>
          </cell>
        </row>
        <row r="204">
          <cell r="B204">
            <v>317810</v>
          </cell>
        </row>
        <row r="205">
          <cell r="B205">
            <v>346480</v>
          </cell>
          <cell r="C205">
            <v>664290</v>
          </cell>
        </row>
        <row r="213">
          <cell r="D213">
            <v>2357.7199999999998</v>
          </cell>
        </row>
        <row r="214">
          <cell r="D214">
            <v>2543.02</v>
          </cell>
        </row>
        <row r="215">
          <cell r="D215">
            <v>2187.08</v>
          </cell>
        </row>
        <row r="224">
          <cell r="C224">
            <v>412451</v>
          </cell>
          <cell r="D224">
            <v>2286.25</v>
          </cell>
        </row>
        <row r="225">
          <cell r="C225">
            <v>59422</v>
          </cell>
          <cell r="D225">
            <v>1476.88</v>
          </cell>
        </row>
        <row r="226">
          <cell r="C226">
            <v>4403</v>
          </cell>
          <cell r="D226">
            <v>1931.94</v>
          </cell>
        </row>
        <row r="227">
          <cell r="C227">
            <v>186114</v>
          </cell>
          <cell r="D227">
            <v>2807.37</v>
          </cell>
        </row>
        <row r="237">
          <cell r="C237">
            <v>476321</v>
          </cell>
          <cell r="D237">
            <v>2182.0300000000002</v>
          </cell>
        </row>
        <row r="238">
          <cell r="C238">
            <v>7161</v>
          </cell>
          <cell r="D238">
            <v>879.18</v>
          </cell>
        </row>
        <row r="239">
          <cell r="C239">
            <v>178979</v>
          </cell>
          <cell r="D239">
            <v>2884.49</v>
          </cell>
        </row>
        <row r="248">
          <cell r="D248">
            <v>2777.52</v>
          </cell>
        </row>
        <row r="249">
          <cell r="C249">
            <v>234238</v>
          </cell>
          <cell r="D249">
            <v>2680.43</v>
          </cell>
        </row>
        <row r="250">
          <cell r="C250">
            <v>17271</v>
          </cell>
          <cell r="D250">
            <v>1824.73</v>
          </cell>
        </row>
        <row r="251">
          <cell r="C251">
            <v>2745</v>
          </cell>
          <cell r="D251">
            <v>2228.09</v>
          </cell>
        </row>
        <row r="252">
          <cell r="C252">
            <v>99213</v>
          </cell>
          <cell r="D252">
            <v>3187.72</v>
          </cell>
        </row>
        <row r="261">
          <cell r="C261">
            <v>587155</v>
          </cell>
          <cell r="D261">
            <v>2045.14</v>
          </cell>
        </row>
        <row r="262">
          <cell r="C262">
            <v>411263</v>
          </cell>
          <cell r="D262">
            <v>2216.7800000000002</v>
          </cell>
        </row>
        <row r="263">
          <cell r="C263">
            <v>175892</v>
          </cell>
          <cell r="D263">
            <v>1643.82</v>
          </cell>
        </row>
        <row r="294">
          <cell r="C294">
            <v>481928</v>
          </cell>
          <cell r="D294">
            <v>2853.11</v>
          </cell>
        </row>
        <row r="295">
          <cell r="C295">
            <v>319018</v>
          </cell>
          <cell r="D295">
            <v>2765.81</v>
          </cell>
        </row>
        <row r="316">
          <cell r="C316">
            <v>209631</v>
          </cell>
          <cell r="D316">
            <v>44.994599999999998</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0_3T"/>
    </sheetNames>
    <sheetDataSet>
      <sheetData sheetId="0">
        <row r="13">
          <cell r="B13">
            <v>554013</v>
          </cell>
        </row>
        <row r="14">
          <cell r="B14">
            <v>711744</v>
          </cell>
        </row>
        <row r="15">
          <cell r="B15">
            <v>1265757</v>
          </cell>
        </row>
        <row r="23">
          <cell r="A23">
            <v>892872</v>
          </cell>
          <cell r="B23">
            <v>94292</v>
          </cell>
          <cell r="C23">
            <v>278349</v>
          </cell>
          <cell r="D23">
            <v>244</v>
          </cell>
        </row>
        <row r="31">
          <cell r="A31">
            <v>582781</v>
          </cell>
          <cell r="B31">
            <v>120881</v>
          </cell>
          <cell r="C31">
            <v>189213</v>
          </cell>
          <cell r="D31">
            <v>372641</v>
          </cell>
          <cell r="E31">
            <v>241</v>
          </cell>
        </row>
        <row r="39">
          <cell r="A39">
            <v>543974</v>
          </cell>
          <cell r="B39">
            <v>584</v>
          </cell>
          <cell r="C39">
            <v>9706</v>
          </cell>
          <cell r="D39">
            <v>3441</v>
          </cell>
        </row>
        <row r="47">
          <cell r="D47">
            <v>1311.53</v>
          </cell>
        </row>
        <row r="48">
          <cell r="D48">
            <v>1434.31</v>
          </cell>
        </row>
        <row r="49">
          <cell r="D49">
            <v>1215.96</v>
          </cell>
        </row>
        <row r="58">
          <cell r="D58">
            <v>1591.99</v>
          </cell>
        </row>
        <row r="59">
          <cell r="D59">
            <v>889.08</v>
          </cell>
        </row>
        <row r="60">
          <cell r="D60">
            <v>165.19</v>
          </cell>
        </row>
        <row r="61">
          <cell r="D61">
            <v>1592.16</v>
          </cell>
        </row>
        <row r="71">
          <cell r="D71">
            <v>1194.46</v>
          </cell>
        </row>
        <row r="72">
          <cell r="D72">
            <v>235.9</v>
          </cell>
        </row>
        <row r="73">
          <cell r="D73">
            <v>2051.77</v>
          </cell>
        </row>
        <row r="82">
          <cell r="C82">
            <v>354667</v>
          </cell>
          <cell r="D82">
            <v>2455.61</v>
          </cell>
        </row>
        <row r="83">
          <cell r="C83">
            <v>234474</v>
          </cell>
          <cell r="D83">
            <v>2332.2399999999998</v>
          </cell>
        </row>
        <row r="84">
          <cell r="C84">
            <v>17457</v>
          </cell>
          <cell r="D84">
            <v>1726.07</v>
          </cell>
        </row>
        <row r="85">
          <cell r="C85">
            <v>3120</v>
          </cell>
          <cell r="D85">
            <v>2151.52</v>
          </cell>
        </row>
        <row r="86">
          <cell r="C86">
            <v>99572</v>
          </cell>
          <cell r="D86">
            <v>2883.41</v>
          </cell>
        </row>
        <row r="87">
          <cell r="C87">
            <v>44</v>
          </cell>
        </row>
        <row r="100">
          <cell r="F100">
            <v>1077148</v>
          </cell>
        </row>
        <row r="101">
          <cell r="F101">
            <v>1171463</v>
          </cell>
        </row>
        <row r="109">
          <cell r="D109">
            <v>95.244100000000003</v>
          </cell>
        </row>
        <row r="171">
          <cell r="A171">
            <v>19</v>
          </cell>
          <cell r="B171">
            <v>96</v>
          </cell>
          <cell r="C171">
            <v>152</v>
          </cell>
        </row>
        <row r="179">
          <cell r="F179">
            <v>79.029899999999998</v>
          </cell>
        </row>
        <row r="180">
          <cell r="F180">
            <v>76.787199999999999</v>
          </cell>
        </row>
        <row r="181">
          <cell r="F181">
            <v>81.1631</v>
          </cell>
        </row>
        <row r="182">
          <cell r="F182">
            <v>85.502499999999998</v>
          </cell>
        </row>
        <row r="204">
          <cell r="B204">
            <v>316045</v>
          </cell>
        </row>
        <row r="205">
          <cell r="B205">
            <v>343756</v>
          </cell>
          <cell r="C205">
            <v>659801</v>
          </cell>
        </row>
        <row r="213">
          <cell r="D213">
            <v>2354.41</v>
          </cell>
        </row>
        <row r="214">
          <cell r="D214">
            <v>2540.02</v>
          </cell>
        </row>
        <row r="215">
          <cell r="D215">
            <v>2183.06</v>
          </cell>
        </row>
        <row r="224">
          <cell r="C224">
            <v>410274</v>
          </cell>
          <cell r="D224">
            <v>2283.0300000000002</v>
          </cell>
        </row>
        <row r="225">
          <cell r="C225">
            <v>58673</v>
          </cell>
          <cell r="D225">
            <v>1470.47</v>
          </cell>
        </row>
        <row r="226">
          <cell r="C226">
            <v>4301</v>
          </cell>
          <cell r="D226">
            <v>1925.16</v>
          </cell>
        </row>
        <row r="227">
          <cell r="C227">
            <v>184600</v>
          </cell>
          <cell r="D227">
            <v>2803.97</v>
          </cell>
        </row>
        <row r="237">
          <cell r="C237">
            <v>473289</v>
          </cell>
          <cell r="D237">
            <v>2179.1</v>
          </cell>
        </row>
        <row r="238">
          <cell r="C238">
            <v>7250</v>
          </cell>
          <cell r="D238">
            <v>873.3</v>
          </cell>
        </row>
        <row r="239">
          <cell r="C239">
            <v>177377</v>
          </cell>
          <cell r="D239">
            <v>2882.81</v>
          </cell>
        </row>
        <row r="248">
          <cell r="D248">
            <v>2780.59</v>
          </cell>
        </row>
        <row r="249">
          <cell r="C249">
            <v>232035</v>
          </cell>
          <cell r="D249">
            <v>2683.28</v>
          </cell>
        </row>
        <row r="250">
          <cell r="C250">
            <v>16817</v>
          </cell>
          <cell r="D250">
            <v>1824.34</v>
          </cell>
        </row>
        <row r="251">
          <cell r="C251">
            <v>2668</v>
          </cell>
          <cell r="D251">
            <v>2226.29</v>
          </cell>
        </row>
        <row r="252">
          <cell r="C252">
            <v>97815</v>
          </cell>
          <cell r="D252">
            <v>3190.87</v>
          </cell>
        </row>
        <row r="261">
          <cell r="C261">
            <v>582780</v>
          </cell>
          <cell r="D261">
            <v>2048.0100000000002</v>
          </cell>
        </row>
        <row r="262">
          <cell r="C262">
            <v>408148</v>
          </cell>
          <cell r="D262">
            <v>2220.69</v>
          </cell>
        </row>
        <row r="263">
          <cell r="C263">
            <v>174632</v>
          </cell>
          <cell r="D263">
            <v>1644.42</v>
          </cell>
        </row>
        <row r="294">
          <cell r="C294">
            <v>478165</v>
          </cell>
          <cell r="D294">
            <v>2856.89</v>
          </cell>
        </row>
        <row r="295">
          <cell r="C295">
            <v>316987</v>
          </cell>
          <cell r="D295">
            <v>2770.16</v>
          </cell>
        </row>
        <row r="316">
          <cell r="C316">
            <v>206335</v>
          </cell>
          <cell r="D316">
            <v>45.368600000000001</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0_4T"/>
    </sheetNames>
    <sheetDataSet>
      <sheetData sheetId="0">
        <row r="13">
          <cell r="B13">
            <v>551775</v>
          </cell>
        </row>
        <row r="14">
          <cell r="B14">
            <v>706323</v>
          </cell>
        </row>
        <row r="15">
          <cell r="B15">
            <v>1258098</v>
          </cell>
        </row>
        <row r="23">
          <cell r="A23">
            <v>887247</v>
          </cell>
          <cell r="B23">
            <v>94275</v>
          </cell>
          <cell r="C23">
            <v>276332</v>
          </cell>
          <cell r="D23">
            <v>244</v>
          </cell>
        </row>
        <row r="31">
          <cell r="A31">
            <v>580915</v>
          </cell>
          <cell r="B31">
            <v>119265</v>
          </cell>
          <cell r="C31">
            <v>187070</v>
          </cell>
          <cell r="D31">
            <v>370607</v>
          </cell>
          <cell r="E31">
            <v>241</v>
          </cell>
        </row>
        <row r="39">
          <cell r="A39">
            <v>539588</v>
          </cell>
          <cell r="B39">
            <v>577</v>
          </cell>
          <cell r="C39">
            <v>9324</v>
          </cell>
          <cell r="D39">
            <v>3478</v>
          </cell>
        </row>
        <row r="47">
          <cell r="E47">
            <v>5247.56</v>
          </cell>
        </row>
        <row r="48">
          <cell r="E48">
            <v>5747.04</v>
          </cell>
        </row>
        <row r="49">
          <cell r="E49">
            <v>4857.3599999999997</v>
          </cell>
        </row>
        <row r="58">
          <cell r="E58">
            <v>6366.48</v>
          </cell>
        </row>
        <row r="59">
          <cell r="E59">
            <v>3530.04</v>
          </cell>
        </row>
        <row r="60">
          <cell r="E60">
            <v>657.32</v>
          </cell>
        </row>
        <row r="61">
          <cell r="E61">
            <v>6364.04</v>
          </cell>
        </row>
        <row r="71">
          <cell r="E71">
            <v>4781.4399999999996</v>
          </cell>
        </row>
        <row r="72">
          <cell r="E72">
            <v>938.08</v>
          </cell>
        </row>
        <row r="73">
          <cell r="E73">
            <v>8215.6</v>
          </cell>
        </row>
        <row r="82">
          <cell r="C82">
            <v>352636</v>
          </cell>
          <cell r="E82">
            <v>9835.64</v>
          </cell>
        </row>
        <row r="83">
          <cell r="C83">
            <v>233824</v>
          </cell>
          <cell r="E83">
            <v>9342</v>
          </cell>
        </row>
        <row r="84">
          <cell r="C84">
            <v>16999</v>
          </cell>
          <cell r="E84">
            <v>6896.12</v>
          </cell>
        </row>
        <row r="85">
          <cell r="C85">
            <v>3062</v>
          </cell>
          <cell r="E85">
            <v>8593.52</v>
          </cell>
        </row>
        <row r="86">
          <cell r="C86">
            <v>98708</v>
          </cell>
          <cell r="E86">
            <v>11549.08</v>
          </cell>
        </row>
        <row r="87">
          <cell r="C87">
            <v>43</v>
          </cell>
        </row>
        <row r="100">
          <cell r="F100">
            <v>1071283</v>
          </cell>
        </row>
        <row r="101">
          <cell r="F101">
            <v>1163822</v>
          </cell>
        </row>
        <row r="109">
          <cell r="D109">
            <v>95.212599999999995</v>
          </cell>
        </row>
        <row r="171">
          <cell r="A171">
            <v>18</v>
          </cell>
          <cell r="B171">
            <v>96</v>
          </cell>
          <cell r="C171">
            <v>152</v>
          </cell>
        </row>
        <row r="179">
          <cell r="F179">
            <v>79.038499999999999</v>
          </cell>
        </row>
        <row r="180">
          <cell r="F180">
            <v>76.775999999999996</v>
          </cell>
        </row>
        <row r="181">
          <cell r="F181">
            <v>81.224599999999995</v>
          </cell>
        </row>
        <row r="182">
          <cell r="F182">
            <v>85.558899999999994</v>
          </cell>
        </row>
        <row r="204">
          <cell r="B204">
            <v>316320</v>
          </cell>
        </row>
        <row r="205">
          <cell r="B205">
            <v>342111</v>
          </cell>
          <cell r="C205">
            <v>658431</v>
          </cell>
        </row>
        <row r="237">
          <cell r="C237">
            <v>472353</v>
          </cell>
        </row>
        <row r="238">
          <cell r="C238">
            <v>7424</v>
          </cell>
        </row>
        <row r="239">
          <cell r="C239">
            <v>176720</v>
          </cell>
        </row>
        <row r="248">
          <cell r="E248">
            <v>11145.04</v>
          </cell>
        </row>
        <row r="249">
          <cell r="C249">
            <v>231383</v>
          </cell>
          <cell r="E249">
            <v>10756.96</v>
          </cell>
        </row>
        <row r="250">
          <cell r="C250">
            <v>16371</v>
          </cell>
          <cell r="E250">
            <v>7290.16</v>
          </cell>
        </row>
        <row r="251">
          <cell r="C251">
            <v>2615</v>
          </cell>
          <cell r="E251">
            <v>8893.84</v>
          </cell>
        </row>
        <row r="252">
          <cell r="C252">
            <v>97007</v>
          </cell>
          <cell r="E252">
            <v>12781.48</v>
          </cell>
        </row>
        <row r="261">
          <cell r="C261">
            <v>580914</v>
          </cell>
          <cell r="E261">
            <v>8215.2800000000007</v>
          </cell>
        </row>
        <row r="262">
          <cell r="C262">
            <v>407141</v>
          </cell>
          <cell r="E262">
            <v>8910.1200000000008</v>
          </cell>
        </row>
        <row r="263">
          <cell r="C263">
            <v>173773</v>
          </cell>
          <cell r="E263">
            <v>6587.32</v>
          </cell>
        </row>
        <row r="294">
          <cell r="C294">
            <v>476856</v>
          </cell>
          <cell r="E294">
            <v>11451.6</v>
          </cell>
        </row>
        <row r="295">
          <cell r="C295">
            <v>316828</v>
          </cell>
          <cell r="E295">
            <v>11109.16</v>
          </cell>
        </row>
        <row r="316">
          <cell r="C316">
            <v>207741</v>
          </cell>
          <cell r="D316">
            <v>45.844999999999999</v>
          </cell>
        </row>
      </sheetData>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1_1T"/>
    </sheetNames>
    <sheetDataSet>
      <sheetData sheetId="0">
        <row r="13">
          <cell r="B13">
            <v>547085</v>
          </cell>
        </row>
        <row r="14">
          <cell r="B14">
            <v>697708</v>
          </cell>
        </row>
        <row r="15">
          <cell r="B15">
            <v>1244793</v>
          </cell>
        </row>
        <row r="23">
          <cell r="A23">
            <v>879243</v>
          </cell>
          <cell r="B23">
            <v>93501</v>
          </cell>
          <cell r="C23">
            <v>271808</v>
          </cell>
          <cell r="D23">
            <v>241</v>
          </cell>
        </row>
        <row r="31">
          <cell r="A31">
            <v>578005</v>
          </cell>
          <cell r="B31">
            <v>117571</v>
          </cell>
          <cell r="C31">
            <v>183668</v>
          </cell>
          <cell r="D31">
            <v>365309</v>
          </cell>
          <cell r="E31">
            <v>240</v>
          </cell>
        </row>
        <row r="39">
          <cell r="A39">
            <v>532529</v>
          </cell>
          <cell r="B39">
            <v>558</v>
          </cell>
          <cell r="C39">
            <v>8834</v>
          </cell>
          <cell r="D39">
            <v>3509</v>
          </cell>
        </row>
        <row r="47">
          <cell r="E47">
            <v>5265.8</v>
          </cell>
        </row>
        <row r="48">
          <cell r="E48">
            <v>5774.32</v>
          </cell>
        </row>
        <row r="49">
          <cell r="E49">
            <v>4867.08</v>
          </cell>
        </row>
        <row r="58">
          <cell r="E58">
            <v>6383.28</v>
          </cell>
        </row>
        <row r="59">
          <cell r="E59">
            <v>3515.04</v>
          </cell>
        </row>
        <row r="60">
          <cell r="E60">
            <v>654.84</v>
          </cell>
        </row>
        <row r="61">
          <cell r="E61">
            <v>6380.08</v>
          </cell>
        </row>
        <row r="71">
          <cell r="E71">
            <v>4803.12</v>
          </cell>
        </row>
        <row r="72">
          <cell r="E72">
            <v>932.24</v>
          </cell>
        </row>
        <row r="73">
          <cell r="E73">
            <v>8254.64</v>
          </cell>
        </row>
        <row r="82">
          <cell r="C82">
            <v>348900</v>
          </cell>
          <cell r="E82">
            <v>9882.16</v>
          </cell>
        </row>
        <row r="83">
          <cell r="C83">
            <v>232396</v>
          </cell>
          <cell r="E83">
            <v>9389.9599999999991</v>
          </cell>
        </row>
        <row r="84">
          <cell r="C84">
            <v>16506</v>
          </cell>
          <cell r="E84">
            <v>6917.32</v>
          </cell>
        </row>
        <row r="85">
          <cell r="C85">
            <v>2979</v>
          </cell>
          <cell r="E85">
            <v>8602.56</v>
          </cell>
        </row>
        <row r="86">
          <cell r="C86">
            <v>96975</v>
          </cell>
          <cell r="E86">
            <v>11605.2</v>
          </cell>
        </row>
        <row r="87">
          <cell r="C87">
            <v>44</v>
          </cell>
        </row>
        <row r="100">
          <cell r="F100">
            <v>1061514</v>
          </cell>
        </row>
        <row r="101">
          <cell r="F101">
            <v>1151290</v>
          </cell>
        </row>
        <row r="109">
          <cell r="D109">
            <v>95.156199999999998</v>
          </cell>
        </row>
        <row r="171">
          <cell r="A171">
            <v>18</v>
          </cell>
          <cell r="B171">
            <v>96</v>
          </cell>
          <cell r="C171">
            <v>152</v>
          </cell>
        </row>
        <row r="179">
          <cell r="F179">
            <v>78.997600000000006</v>
          </cell>
        </row>
        <row r="180">
          <cell r="F180">
            <v>76.722399999999993</v>
          </cell>
        </row>
        <row r="181">
          <cell r="F181">
            <v>81.250100000000003</v>
          </cell>
        </row>
        <row r="182">
          <cell r="F182">
            <v>85.584500000000006</v>
          </cell>
        </row>
        <row r="204">
          <cell r="B204">
            <v>315826</v>
          </cell>
        </row>
        <row r="205">
          <cell r="B205">
            <v>339789</v>
          </cell>
          <cell r="C205">
            <v>655615</v>
          </cell>
        </row>
        <row r="224">
          <cell r="C224">
            <v>409828</v>
          </cell>
        </row>
        <row r="225">
          <cell r="C225">
            <v>57046</v>
          </cell>
        </row>
        <row r="226">
          <cell r="C226">
            <v>4142</v>
          </cell>
        </row>
        <row r="237">
          <cell r="C237">
            <v>471044</v>
          </cell>
        </row>
        <row r="238">
          <cell r="C238">
            <v>7547</v>
          </cell>
        </row>
        <row r="239">
          <cell r="C239">
            <v>174578</v>
          </cell>
        </row>
        <row r="248">
          <cell r="E248">
            <v>11208.68</v>
          </cell>
        </row>
        <row r="249">
          <cell r="C249">
            <v>230059</v>
          </cell>
          <cell r="E249">
            <v>10821.56</v>
          </cell>
        </row>
        <row r="250">
          <cell r="C250">
            <v>15892</v>
          </cell>
          <cell r="E250">
            <v>7314.4</v>
          </cell>
        </row>
        <row r="251">
          <cell r="C251">
            <v>2544</v>
          </cell>
          <cell r="E251">
            <v>8901.7999999999993</v>
          </cell>
        </row>
        <row r="252">
          <cell r="C252">
            <v>95329</v>
          </cell>
          <cell r="E252">
            <v>12853.36</v>
          </cell>
        </row>
        <row r="261">
          <cell r="C261">
            <v>578005</v>
          </cell>
          <cell r="E261">
            <v>8269.2800000000007</v>
          </cell>
        </row>
        <row r="262">
          <cell r="C262">
            <v>404975</v>
          </cell>
          <cell r="E262">
            <v>8973.16</v>
          </cell>
        </row>
        <row r="263">
          <cell r="C263">
            <v>173030</v>
          </cell>
          <cell r="E263">
            <v>6621.84</v>
          </cell>
        </row>
        <row r="294">
          <cell r="C294">
            <v>473975</v>
          </cell>
          <cell r="E294">
            <v>11517.04</v>
          </cell>
        </row>
        <row r="295">
          <cell r="C295">
            <v>316110</v>
          </cell>
          <cell r="E295">
            <v>11179.36</v>
          </cell>
        </row>
        <row r="316">
          <cell r="C316">
            <v>203630</v>
          </cell>
          <cell r="D316">
            <v>45.9527</v>
          </cell>
        </row>
      </sheetData>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1_2T"/>
    </sheetNames>
    <sheetDataSet>
      <sheetData sheetId="0">
        <row r="13">
          <cell r="B13">
            <v>540774</v>
          </cell>
        </row>
        <row r="14">
          <cell r="B14">
            <v>688871</v>
          </cell>
        </row>
        <row r="15">
          <cell r="B15">
            <v>1229645</v>
          </cell>
        </row>
        <row r="23">
          <cell r="A23">
            <v>868978</v>
          </cell>
          <cell r="B23">
            <v>92942</v>
          </cell>
          <cell r="C23">
            <v>267490</v>
          </cell>
          <cell r="D23">
            <v>235</v>
          </cell>
        </row>
        <row r="31">
          <cell r="A31">
            <v>572340</v>
          </cell>
          <cell r="B31">
            <v>115983</v>
          </cell>
          <cell r="C31">
            <v>180656</v>
          </cell>
          <cell r="D31">
            <v>360432</v>
          </cell>
          <cell r="E31">
            <v>234</v>
          </cell>
        </row>
        <row r="39">
          <cell r="A39">
            <v>525108</v>
          </cell>
          <cell r="B39">
            <v>538</v>
          </cell>
          <cell r="C39">
            <v>8372</v>
          </cell>
          <cell r="D39">
            <v>3470</v>
          </cell>
        </row>
        <row r="47">
          <cell r="E47">
            <v>5260.84</v>
          </cell>
        </row>
        <row r="48">
          <cell r="E48">
            <v>5775.96</v>
          </cell>
        </row>
        <row r="49">
          <cell r="E49">
            <v>4856.4399999999996</v>
          </cell>
        </row>
        <row r="58">
          <cell r="E58">
            <v>6379.68</v>
          </cell>
        </row>
        <row r="59">
          <cell r="E59">
            <v>3500.64</v>
          </cell>
        </row>
        <row r="60">
          <cell r="E60">
            <v>649.88</v>
          </cell>
        </row>
        <row r="61">
          <cell r="E61">
            <v>6362.52</v>
          </cell>
        </row>
        <row r="71">
          <cell r="E71">
            <v>4804.08</v>
          </cell>
        </row>
        <row r="72">
          <cell r="E72">
            <v>924.64</v>
          </cell>
        </row>
        <row r="73">
          <cell r="E73">
            <v>8252.6</v>
          </cell>
        </row>
        <row r="82">
          <cell r="C82">
            <v>343611</v>
          </cell>
          <cell r="E82">
            <v>9900.6</v>
          </cell>
        </row>
        <row r="83">
          <cell r="C83">
            <v>229479</v>
          </cell>
          <cell r="E83">
            <v>9413.84</v>
          </cell>
        </row>
        <row r="84">
          <cell r="C84">
            <v>16047</v>
          </cell>
          <cell r="E84">
            <v>6925.88</v>
          </cell>
        </row>
        <row r="85">
          <cell r="C85">
            <v>2891</v>
          </cell>
          <cell r="E85">
            <v>8556.44</v>
          </cell>
        </row>
        <row r="86">
          <cell r="C86">
            <v>95154</v>
          </cell>
          <cell r="E86">
            <v>11616.56</v>
          </cell>
        </row>
        <row r="87">
          <cell r="C87">
            <v>40</v>
          </cell>
        </row>
        <row r="100">
          <cell r="E100">
            <v>1049892</v>
          </cell>
        </row>
        <row r="101">
          <cell r="E101">
            <v>1136700</v>
          </cell>
        </row>
        <row r="109">
          <cell r="D109">
            <v>94.985799999999998</v>
          </cell>
        </row>
        <row r="171">
          <cell r="A171">
            <v>18</v>
          </cell>
          <cell r="B171">
            <v>96</v>
          </cell>
          <cell r="C171">
            <v>152</v>
          </cell>
        </row>
        <row r="179">
          <cell r="F179">
            <v>79.009900000000002</v>
          </cell>
        </row>
        <row r="180">
          <cell r="F180">
            <v>76.729699999999994</v>
          </cell>
        </row>
        <row r="181">
          <cell r="F181">
            <v>81.313699999999997</v>
          </cell>
        </row>
        <row r="182">
          <cell r="F182">
            <v>85.617599999999996</v>
          </cell>
        </row>
        <row r="204">
          <cell r="B204">
            <v>313029</v>
          </cell>
        </row>
        <row r="205">
          <cell r="B205">
            <v>336170</v>
          </cell>
          <cell r="C205">
            <v>649199</v>
          </cell>
        </row>
        <row r="224">
          <cell r="C224">
            <v>406795</v>
          </cell>
          <cell r="E224">
            <v>9151.2000000000007</v>
          </cell>
        </row>
        <row r="225">
          <cell r="C225">
            <v>56330</v>
          </cell>
          <cell r="E225">
            <v>5829</v>
          </cell>
        </row>
        <row r="226">
          <cell r="C226">
            <v>4030</v>
          </cell>
          <cell r="E226">
            <v>7595.88</v>
          </cell>
        </row>
        <row r="237">
          <cell r="C237">
            <v>467195</v>
          </cell>
          <cell r="E237">
            <v>8737.4</v>
          </cell>
        </row>
        <row r="238">
          <cell r="C238">
            <v>7644</v>
          </cell>
          <cell r="E238">
            <v>3471.76</v>
          </cell>
        </row>
        <row r="239">
          <cell r="C239">
            <v>172329</v>
          </cell>
          <cell r="E239">
            <v>11575.36</v>
          </cell>
        </row>
        <row r="248">
          <cell r="E248">
            <v>11236.24</v>
          </cell>
        </row>
        <row r="249">
          <cell r="C249">
            <v>227219</v>
          </cell>
          <cell r="E249">
            <v>10853.72</v>
          </cell>
        </row>
        <row r="250">
          <cell r="C250">
            <v>15455</v>
          </cell>
          <cell r="E250">
            <v>7327</v>
          </cell>
        </row>
        <row r="251">
          <cell r="C251">
            <v>2460</v>
          </cell>
          <cell r="E251">
            <v>8863.36</v>
          </cell>
        </row>
        <row r="252">
          <cell r="C252">
            <v>93557</v>
          </cell>
          <cell r="E252">
            <v>12873.16</v>
          </cell>
        </row>
        <row r="261">
          <cell r="C261">
            <v>572336</v>
          </cell>
          <cell r="E261">
            <v>8290.32</v>
          </cell>
        </row>
        <row r="262">
          <cell r="C262">
            <v>400896</v>
          </cell>
          <cell r="E262">
            <v>8997.76</v>
          </cell>
        </row>
        <row r="263">
          <cell r="C263">
            <v>171440</v>
          </cell>
          <cell r="E263">
            <v>6636</v>
          </cell>
        </row>
        <row r="294">
          <cell r="C294">
            <v>468870</v>
          </cell>
          <cell r="E294">
            <v>11546.64</v>
          </cell>
        </row>
        <row r="295">
          <cell r="C295">
            <v>313295</v>
          </cell>
          <cell r="E295">
            <v>11216.76</v>
          </cell>
        </row>
        <row r="316">
          <cell r="C316">
            <v>202102</v>
          </cell>
          <cell r="D316">
            <v>46.143300000000004</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1_3T"/>
    </sheetNames>
    <sheetDataSet>
      <sheetData sheetId="0">
        <row r="13">
          <cell r="B13">
            <v>536277</v>
          </cell>
        </row>
        <row r="14">
          <cell r="B14">
            <v>682333</v>
          </cell>
        </row>
        <row r="15">
          <cell r="B15">
            <v>1218610</v>
          </cell>
        </row>
        <row r="23">
          <cell r="A23">
            <v>519447</v>
          </cell>
          <cell r="B23">
            <v>524</v>
          </cell>
          <cell r="C23">
            <v>8013</v>
          </cell>
          <cell r="D23">
            <v>3485</v>
          </cell>
        </row>
        <row r="31">
          <cell r="A31">
            <v>860898</v>
          </cell>
          <cell r="B31">
            <v>92681</v>
          </cell>
          <cell r="C31">
            <v>264789</v>
          </cell>
          <cell r="D31">
            <v>242</v>
          </cell>
        </row>
        <row r="39">
          <cell r="A39">
            <v>568154</v>
          </cell>
          <cell r="B39">
            <v>114514</v>
          </cell>
          <cell r="C39">
            <v>178231</v>
          </cell>
          <cell r="D39">
            <v>357470</v>
          </cell>
          <cell r="E39">
            <v>241</v>
          </cell>
        </row>
        <row r="47">
          <cell r="E47">
            <v>5259.16</v>
          </cell>
        </row>
        <row r="48">
          <cell r="E48">
            <v>5781</v>
          </cell>
        </row>
        <row r="49">
          <cell r="E49">
            <v>4849.04</v>
          </cell>
        </row>
        <row r="57">
          <cell r="E57">
            <v>5259.16</v>
          </cell>
        </row>
        <row r="58">
          <cell r="E58">
            <v>6375.56</v>
          </cell>
        </row>
        <row r="59">
          <cell r="E59">
            <v>3480.44</v>
          </cell>
        </row>
        <row r="60">
          <cell r="E60">
            <v>646.4</v>
          </cell>
        </row>
        <row r="61">
          <cell r="E61">
            <v>6355.12</v>
          </cell>
        </row>
        <row r="70">
          <cell r="E70">
            <v>5259.16</v>
          </cell>
        </row>
        <row r="71">
          <cell r="E71">
            <v>4804.24</v>
          </cell>
        </row>
        <row r="72">
          <cell r="E72">
            <v>919.36</v>
          </cell>
        </row>
        <row r="73">
          <cell r="E73">
            <v>8258.0400000000009</v>
          </cell>
        </row>
        <row r="82">
          <cell r="E82">
            <v>9919.84</v>
          </cell>
        </row>
        <row r="83">
          <cell r="C83">
            <v>227225</v>
          </cell>
          <cell r="E83">
            <v>9433.56</v>
          </cell>
        </row>
        <row r="84">
          <cell r="C84">
            <v>15646</v>
          </cell>
          <cell r="E84">
            <v>6929.12</v>
          </cell>
        </row>
        <row r="85">
          <cell r="C85">
            <v>2839</v>
          </cell>
          <cell r="E85">
            <v>8528.48</v>
          </cell>
        </row>
        <row r="86">
          <cell r="C86">
            <v>93940</v>
          </cell>
          <cell r="E86">
            <v>11635.72</v>
          </cell>
        </row>
        <row r="87">
          <cell r="C87">
            <v>40</v>
          </cell>
        </row>
        <row r="101">
          <cell r="G101">
            <v>0.92480411678920282</v>
          </cell>
        </row>
        <row r="109">
          <cell r="D109">
            <v>94.847300000000004</v>
          </cell>
        </row>
        <row r="148">
          <cell r="B148">
            <v>152</v>
          </cell>
        </row>
        <row r="149">
          <cell r="B149">
            <v>96</v>
          </cell>
        </row>
        <row r="150">
          <cell r="B150">
            <v>17</v>
          </cell>
        </row>
        <row r="179">
          <cell r="F179">
            <v>79.044899999999998</v>
          </cell>
        </row>
        <row r="180">
          <cell r="F180">
            <v>76.753399999999999</v>
          </cell>
        </row>
        <row r="181">
          <cell r="F181">
            <v>81.379099999999994</v>
          </cell>
        </row>
        <row r="182">
          <cell r="F182">
            <v>85.679599999999994</v>
          </cell>
        </row>
        <row r="204">
          <cell r="B204">
            <v>311678</v>
          </cell>
        </row>
        <row r="205">
          <cell r="B205">
            <v>333740</v>
          </cell>
        </row>
        <row r="213">
          <cell r="E213">
            <v>9412.08</v>
          </cell>
        </row>
        <row r="214">
          <cell r="E214">
            <v>10187.6</v>
          </cell>
        </row>
        <row r="215">
          <cell r="E215">
            <v>8687.7999999999993</v>
          </cell>
        </row>
        <row r="223">
          <cell r="C223">
            <v>645330</v>
          </cell>
        </row>
        <row r="224">
          <cell r="C224">
            <v>404960</v>
          </cell>
          <cell r="E224">
            <v>9163.76</v>
          </cell>
        </row>
        <row r="225">
          <cell r="C225">
            <v>55577</v>
          </cell>
          <cell r="E225">
            <v>5808.84</v>
          </cell>
        </row>
        <row r="226">
          <cell r="C226">
            <v>3962</v>
          </cell>
          <cell r="E226">
            <v>7544.48</v>
          </cell>
        </row>
        <row r="236">
          <cell r="E236">
            <v>9412.08</v>
          </cell>
        </row>
        <row r="237">
          <cell r="C237">
            <v>464543</v>
          </cell>
          <cell r="E237">
            <v>8748.8799999999992</v>
          </cell>
        </row>
        <row r="238">
          <cell r="C238">
            <v>7731</v>
          </cell>
          <cell r="E238">
            <v>3478.28</v>
          </cell>
        </row>
        <row r="239">
          <cell r="C239">
            <v>171150</v>
          </cell>
          <cell r="E239">
            <v>11579.6</v>
          </cell>
        </row>
        <row r="240">
          <cell r="C240">
            <v>1906</v>
          </cell>
        </row>
        <row r="248">
          <cell r="E248">
            <v>11277.04</v>
          </cell>
        </row>
        <row r="249">
          <cell r="C249">
            <v>225211</v>
          </cell>
          <cell r="E249">
            <v>10900.68</v>
          </cell>
        </row>
        <row r="250">
          <cell r="C250">
            <v>15069</v>
          </cell>
          <cell r="E250">
            <v>7330.6</v>
          </cell>
        </row>
        <row r="251">
          <cell r="C251">
            <v>2411</v>
          </cell>
          <cell r="E251">
            <v>8837.24</v>
          </cell>
        </row>
        <row r="252">
          <cell r="C252">
            <v>92393</v>
          </cell>
          <cell r="E252">
            <v>12901.4</v>
          </cell>
        </row>
        <row r="261">
          <cell r="C261">
            <v>568153</v>
          </cell>
          <cell r="E261">
            <v>8321.9599999999991</v>
          </cell>
        </row>
        <row r="262">
          <cell r="C262">
            <v>397971</v>
          </cell>
          <cell r="E262">
            <v>9034.08</v>
          </cell>
        </row>
        <row r="263">
          <cell r="C263">
            <v>170182</v>
          </cell>
          <cell r="E263">
            <v>6656.64</v>
          </cell>
        </row>
        <row r="294">
          <cell r="C294">
            <v>465568</v>
          </cell>
          <cell r="E294">
            <v>11588.8</v>
          </cell>
        </row>
        <row r="295">
          <cell r="C295">
            <v>311368</v>
          </cell>
          <cell r="E295">
            <v>11268.4</v>
          </cell>
        </row>
        <row r="316">
          <cell r="C316">
            <v>211179</v>
          </cell>
          <cell r="D316">
            <v>46.805500000000002</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1_4T"/>
    </sheetNames>
    <sheetDataSet>
      <sheetData sheetId="0">
        <row r="9">
          <cell r="B9">
            <v>534596</v>
          </cell>
        </row>
        <row r="10">
          <cell r="B10">
            <v>677049</v>
          </cell>
        </row>
        <row r="11">
          <cell r="B11">
            <v>1211645</v>
          </cell>
        </row>
        <row r="16">
          <cell r="A16">
            <v>515115</v>
          </cell>
          <cell r="B16">
            <v>504</v>
          </cell>
          <cell r="C16">
            <v>7671</v>
          </cell>
          <cell r="D16">
            <v>3488</v>
          </cell>
        </row>
        <row r="21">
          <cell r="A21">
            <v>856423</v>
          </cell>
          <cell r="B21">
            <v>92476</v>
          </cell>
          <cell r="C21">
            <v>262509</v>
          </cell>
          <cell r="D21">
            <v>237</v>
          </cell>
        </row>
        <row r="26">
          <cell r="A26">
            <v>567206</v>
          </cell>
          <cell r="B26">
            <v>113252</v>
          </cell>
          <cell r="C26">
            <v>175965</v>
          </cell>
          <cell r="D26">
            <v>354985</v>
          </cell>
          <cell r="E26">
            <v>237</v>
          </cell>
        </row>
        <row r="31">
          <cell r="E31">
            <v>5266.1167937671198</v>
          </cell>
        </row>
        <row r="32">
          <cell r="E32">
            <v>5797.5979184164398</v>
          </cell>
        </row>
        <row r="33">
          <cell r="E33">
            <v>4846.4618970322399</v>
          </cell>
        </row>
        <row r="38">
          <cell r="E38">
            <v>5266.1167937671198</v>
          </cell>
        </row>
        <row r="39">
          <cell r="E39">
            <v>4815.6630348114004</v>
          </cell>
        </row>
        <row r="40">
          <cell r="E40">
            <v>913.298873340044</v>
          </cell>
        </row>
        <row r="41">
          <cell r="E41">
            <v>8269.9493949562402</v>
          </cell>
        </row>
        <row r="47">
          <cell r="E47">
            <v>5266.1167937671198</v>
          </cell>
        </row>
        <row r="48">
          <cell r="E48">
            <v>6381.1932024336802</v>
          </cell>
        </row>
        <row r="49">
          <cell r="E49">
            <v>3456.9981192551199</v>
          </cell>
        </row>
        <row r="50">
          <cell r="E50">
            <v>644.85337425056002</v>
          </cell>
        </row>
        <row r="51">
          <cell r="E51">
            <v>6353.23747119572</v>
          </cell>
        </row>
        <row r="57">
          <cell r="F57">
            <v>79.048020864283103</v>
          </cell>
        </row>
        <row r="58">
          <cell r="F58">
            <v>76.740308923670298</v>
          </cell>
        </row>
        <row r="59">
          <cell r="F59">
            <v>81.424039741550104</v>
          </cell>
        </row>
        <row r="60">
          <cell r="F60">
            <v>85.742366012424597</v>
          </cell>
        </row>
        <row r="81">
          <cell r="D81">
            <v>1035888</v>
          </cell>
        </row>
        <row r="82">
          <cell r="D82">
            <v>1119164</v>
          </cell>
        </row>
        <row r="87">
          <cell r="D87">
            <v>94.881944022502495</v>
          </cell>
        </row>
        <row r="94">
          <cell r="A94">
            <v>17</v>
          </cell>
          <cell r="B94">
            <v>96</v>
          </cell>
          <cell r="C94">
            <v>152</v>
          </cell>
        </row>
        <row r="99">
          <cell r="C99">
            <v>338276</v>
          </cell>
          <cell r="E99">
            <v>9936.2029348815595</v>
          </cell>
        </row>
        <row r="100">
          <cell r="C100">
            <v>227154</v>
          </cell>
          <cell r="E100">
            <v>9452.5372742720792</v>
          </cell>
        </row>
        <row r="101">
          <cell r="C101">
            <v>15271</v>
          </cell>
          <cell r="E101">
            <v>6928.3473249950803</v>
          </cell>
        </row>
        <row r="102">
          <cell r="C102">
            <v>2793</v>
          </cell>
          <cell r="E102">
            <v>8534.4332259219591</v>
          </cell>
        </row>
        <row r="103">
          <cell r="C103">
            <v>93021</v>
          </cell>
          <cell r="E103">
            <v>11652.51579750808</v>
          </cell>
        </row>
        <row r="104">
          <cell r="C104">
            <v>37</v>
          </cell>
        </row>
        <row r="111">
          <cell r="B111">
            <v>312318</v>
          </cell>
        </row>
        <row r="112">
          <cell r="B112">
            <v>332377</v>
          </cell>
        </row>
        <row r="117">
          <cell r="E117">
            <v>9660.0760113436809</v>
          </cell>
        </row>
        <row r="118">
          <cell r="E118">
            <v>10597.35198872736</v>
          </cell>
        </row>
        <row r="119">
          <cell r="E119">
            <v>8779.3984978695607</v>
          </cell>
        </row>
        <row r="124">
          <cell r="E124">
            <v>9660.0760113436809</v>
          </cell>
        </row>
        <row r="125">
          <cell r="C125">
            <v>464439</v>
          </cell>
          <cell r="E125">
            <v>9037.1520307295596</v>
          </cell>
        </row>
        <row r="126">
          <cell r="C126">
            <v>7849</v>
          </cell>
          <cell r="E126">
            <v>3474.4711428207438</v>
          </cell>
        </row>
        <row r="127">
          <cell r="C127">
            <v>170349</v>
          </cell>
          <cell r="E127">
            <v>11748.54215757064</v>
          </cell>
        </row>
        <row r="132">
          <cell r="E132">
            <v>9660.0760113436809</v>
          </cell>
        </row>
        <row r="133">
          <cell r="C133">
            <v>405540</v>
          </cell>
          <cell r="E133">
            <v>9492.3098387335594</v>
          </cell>
        </row>
        <row r="134">
          <cell r="C134">
            <v>405540</v>
          </cell>
          <cell r="E134">
            <v>9492.3098387335594</v>
          </cell>
        </row>
        <row r="135">
          <cell r="C135">
            <v>54946</v>
          </cell>
          <cell r="E135">
            <v>5783.3661413023601</v>
          </cell>
        </row>
        <row r="136">
          <cell r="C136">
            <v>3911</v>
          </cell>
          <cell r="E136">
            <v>7534.4638199948804</v>
          </cell>
        </row>
        <row r="142">
          <cell r="C142">
            <v>273716</v>
          </cell>
          <cell r="E142">
            <v>11913.42723114468</v>
          </cell>
        </row>
        <row r="143">
          <cell r="C143">
            <v>333732</v>
          </cell>
          <cell r="E143">
            <v>11671.782783790601</v>
          </cell>
        </row>
        <row r="144">
          <cell r="C144">
            <v>225095</v>
          </cell>
          <cell r="E144">
            <v>11377.4956707168</v>
          </cell>
        </row>
        <row r="145">
          <cell r="C145">
            <v>14711</v>
          </cell>
          <cell r="E145">
            <v>7329.9955135612799</v>
          </cell>
        </row>
        <row r="146">
          <cell r="C146">
            <v>2370</v>
          </cell>
        </row>
        <row r="147">
          <cell r="C147">
            <v>91526</v>
          </cell>
          <cell r="E147">
            <v>13166.2830671066</v>
          </cell>
        </row>
        <row r="152">
          <cell r="C152">
            <v>246309</v>
          </cell>
          <cell r="D152">
            <v>122.12733773004599</v>
          </cell>
        </row>
        <row r="159">
          <cell r="C159">
            <v>567203</v>
          </cell>
          <cell r="E159">
            <v>8585.03380976476</v>
          </cell>
        </row>
        <row r="160">
          <cell r="C160">
            <v>567203</v>
          </cell>
          <cell r="E160">
            <v>8584.0731519403198</v>
          </cell>
        </row>
        <row r="161">
          <cell r="C161">
            <v>397606</v>
          </cell>
          <cell r="E161">
            <v>9352.6706840440002</v>
          </cell>
        </row>
        <row r="183">
          <cell r="C183">
            <v>408530</v>
          </cell>
          <cell r="E183">
            <v>12150.61094166892</v>
          </cell>
        </row>
        <row r="184">
          <cell r="C184">
            <v>465234</v>
          </cell>
          <cell r="E184">
            <v>11906.601839074519</v>
          </cell>
        </row>
        <row r="291">
          <cell r="D291">
            <v>277456</v>
          </cell>
          <cell r="E291">
            <v>2546.9454796436198</v>
          </cell>
        </row>
        <row r="292">
          <cell r="D292">
            <v>189243</v>
          </cell>
          <cell r="E292">
            <v>2369.5672600836001</v>
          </cell>
        </row>
        <row r="293">
          <cell r="D293">
            <v>88206</v>
          </cell>
          <cell r="E293">
            <v>2927.70659592318</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2_1T"/>
    </sheetNames>
    <sheetDataSet>
      <sheetData sheetId="0">
        <row r="9">
          <cell r="B9">
            <v>532453</v>
          </cell>
        </row>
        <row r="10">
          <cell r="B10">
            <v>670410</v>
          </cell>
        </row>
        <row r="11">
          <cell r="B11">
            <v>1202863</v>
          </cell>
        </row>
        <row r="16">
          <cell r="A16">
            <v>510054</v>
          </cell>
          <cell r="B16">
            <v>462</v>
          </cell>
          <cell r="C16">
            <v>7041</v>
          </cell>
          <cell r="D16">
            <v>3329</v>
          </cell>
        </row>
        <row r="21">
          <cell r="A21">
            <v>851817</v>
          </cell>
          <cell r="B21">
            <v>91946</v>
          </cell>
          <cell r="C21">
            <v>258856</v>
          </cell>
          <cell r="D21">
            <v>244</v>
          </cell>
        </row>
        <row r="26">
          <cell r="A26">
            <v>566290</v>
          </cell>
          <cell r="B26">
            <v>111990</v>
          </cell>
          <cell r="C26">
            <v>173538</v>
          </cell>
          <cell r="D26">
            <v>350802</v>
          </cell>
          <cell r="E26">
            <v>243</v>
          </cell>
        </row>
        <row r="31">
          <cell r="E31">
            <v>5426.5100119215203</v>
          </cell>
        </row>
        <row r="32">
          <cell r="E32">
            <v>5911.3066280028397</v>
          </cell>
        </row>
        <row r="33">
          <cell r="E33">
            <v>5041.4765883119999</v>
          </cell>
        </row>
        <row r="38">
          <cell r="E38">
            <v>5426.5100119215203</v>
          </cell>
        </row>
        <row r="39">
          <cell r="E39">
            <v>5016.5044485447597</v>
          </cell>
        </row>
        <row r="40">
          <cell r="E40">
            <v>915.72163197770794</v>
          </cell>
        </row>
        <row r="41">
          <cell r="E41">
            <v>8379.3419082713608</v>
          </cell>
        </row>
        <row r="47">
          <cell r="E47">
            <v>5426.5100119215203</v>
          </cell>
        </row>
        <row r="48">
          <cell r="E48">
            <v>6558.3301206096003</v>
          </cell>
        </row>
        <row r="49">
          <cell r="E49">
            <v>3926.9064121224042</v>
          </cell>
        </row>
        <row r="50">
          <cell r="E50">
            <v>688.87655224473997</v>
          </cell>
        </row>
        <row r="51">
          <cell r="E51">
            <v>6422.6984147798003</v>
          </cell>
        </row>
        <row r="57">
          <cell r="F57">
            <v>79.014596804631594</v>
          </cell>
        </row>
        <row r="58">
          <cell r="F58">
            <v>76.690658290725906</v>
          </cell>
        </row>
        <row r="59">
          <cell r="F59">
            <v>81.480928328833897</v>
          </cell>
        </row>
        <row r="60">
          <cell r="F60">
            <v>85.788917472015598</v>
          </cell>
        </row>
        <row r="81">
          <cell r="D81">
            <v>797136</v>
          </cell>
        </row>
        <row r="82">
          <cell r="D82">
            <v>1110920</v>
          </cell>
        </row>
        <row r="87">
          <cell r="D87">
            <v>94.844293018399199</v>
          </cell>
        </row>
        <row r="94">
          <cell r="A94">
            <v>16</v>
          </cell>
          <cell r="B94">
            <v>96</v>
          </cell>
          <cell r="C94">
            <v>152</v>
          </cell>
        </row>
        <row r="99">
          <cell r="C99">
            <v>274418</v>
          </cell>
          <cell r="E99">
            <v>10486.527152008999</v>
          </cell>
        </row>
        <row r="100">
          <cell r="C100">
            <v>174661</v>
          </cell>
          <cell r="E100">
            <v>9944.2120450472794</v>
          </cell>
        </row>
        <row r="101">
          <cell r="C101">
            <v>11243</v>
          </cell>
          <cell r="E101">
            <v>8375.4385840078394</v>
          </cell>
        </row>
        <row r="102">
          <cell r="C102">
            <v>1873</v>
          </cell>
          <cell r="E102">
            <v>9964.2370528564006</v>
          </cell>
        </row>
        <row r="103">
          <cell r="C103">
            <v>86606</v>
          </cell>
          <cell r="E103">
            <v>11865.0850056578</v>
          </cell>
        </row>
        <row r="104">
          <cell r="C104">
            <v>35</v>
          </cell>
        </row>
        <row r="111">
          <cell r="B111">
            <v>312989</v>
          </cell>
        </row>
        <row r="112">
          <cell r="B112">
            <v>330542</v>
          </cell>
        </row>
        <row r="117">
          <cell r="E117">
            <v>10090.869716044201</v>
          </cell>
        </row>
        <row r="118">
          <cell r="E118">
            <v>11056.9727819198</v>
          </cell>
        </row>
        <row r="119">
          <cell r="E119">
            <v>9176.1451286411593</v>
          </cell>
        </row>
        <row r="124">
          <cell r="E124">
            <v>10090.869716044201</v>
          </cell>
        </row>
        <row r="125">
          <cell r="C125">
            <v>526107</v>
          </cell>
          <cell r="E125">
            <v>9719.7019769742801</v>
          </cell>
        </row>
        <row r="126">
          <cell r="C126">
            <v>27496</v>
          </cell>
          <cell r="E126">
            <v>6584.1931917370002</v>
          </cell>
        </row>
        <row r="127">
          <cell r="C127">
            <v>89807</v>
          </cell>
          <cell r="E127">
            <v>13338.87402986404</v>
          </cell>
        </row>
        <row r="132">
          <cell r="E132">
            <v>10090.869716044201</v>
          </cell>
        </row>
        <row r="133">
          <cell r="C133">
            <v>406617</v>
          </cell>
          <cell r="E133">
            <v>9954.5491211631597</v>
          </cell>
        </row>
        <row r="134">
          <cell r="C134">
            <v>54305</v>
          </cell>
          <cell r="E134">
            <v>6555.5445723229996</v>
          </cell>
        </row>
        <row r="135">
          <cell r="C135">
            <v>3818</v>
          </cell>
          <cell r="E135">
            <v>8650.6076479832409</v>
          </cell>
        </row>
        <row r="136">
          <cell r="C136">
            <v>178597</v>
          </cell>
          <cell r="E136">
            <v>11506.801480427999</v>
          </cell>
        </row>
        <row r="142">
          <cell r="C142">
            <v>270833</v>
          </cell>
          <cell r="E142">
            <v>12505.64040571128</v>
          </cell>
        </row>
        <row r="143">
          <cell r="C143">
            <v>173041</v>
          </cell>
          <cell r="E143">
            <v>12229.0278257754</v>
          </cell>
        </row>
        <row r="144">
          <cell r="C144">
            <v>10773</v>
          </cell>
          <cell r="E144">
            <v>8767.1901977165198</v>
          </cell>
        </row>
        <row r="145">
          <cell r="C145">
            <v>1798</v>
          </cell>
          <cell r="E145">
            <v>10358.177975528361</v>
          </cell>
        </row>
        <row r="146">
          <cell r="C146">
            <v>85193</v>
          </cell>
          <cell r="E146">
            <v>13585.40523282428</v>
          </cell>
        </row>
        <row r="147">
          <cell r="C147">
            <v>28</v>
          </cell>
        </row>
        <row r="152">
          <cell r="C152">
            <v>247658</v>
          </cell>
          <cell r="D152">
            <v>133.62032396657801</v>
          </cell>
        </row>
        <row r="159">
          <cell r="C159">
            <v>566286</v>
          </cell>
          <cell r="E159">
            <v>8980.3530654121605</v>
          </cell>
        </row>
        <row r="160">
          <cell r="C160">
            <v>397059</v>
          </cell>
          <cell r="E160">
            <v>9738.4041666352005</v>
          </cell>
        </row>
        <row r="161">
          <cell r="C161">
            <v>169227</v>
          </cell>
          <cell r="E161">
            <v>7201.7301967180001</v>
          </cell>
        </row>
        <row r="183">
          <cell r="C183">
            <v>409065</v>
          </cell>
          <cell r="E183">
            <v>12640.00220991776</v>
          </cell>
        </row>
        <row r="184">
          <cell r="C184">
            <v>269601</v>
          </cell>
          <cell r="E184">
            <v>12417.627026606</v>
          </cell>
        </row>
        <row r="298">
          <cell r="D298">
            <v>274418</v>
          </cell>
          <cell r="E298">
            <v>2621.6317880022498</v>
          </cell>
        </row>
        <row r="299">
          <cell r="D299">
            <v>187791</v>
          </cell>
          <cell r="E299">
            <v>2462.7918430595701</v>
          </cell>
        </row>
        <row r="300">
          <cell r="D300">
            <v>86613</v>
          </cell>
          <cell r="E300">
            <v>2966.44624940829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4_1T"/>
    </sheetNames>
    <sheetDataSet>
      <sheetData sheetId="0">
        <row r="9">
          <cell r="B9">
            <v>507896</v>
          </cell>
        </row>
        <row r="10">
          <cell r="B10">
            <v>618864</v>
          </cell>
        </row>
        <row r="11">
          <cell r="B11">
            <v>1126760</v>
          </cell>
        </row>
        <row r="16">
          <cell r="A16">
            <v>467844</v>
          </cell>
          <cell r="B16">
            <v>352</v>
          </cell>
          <cell r="C16">
            <v>4358</v>
          </cell>
          <cell r="D16">
            <v>3058</v>
          </cell>
        </row>
        <row r="21">
          <cell r="A21">
            <v>805078</v>
          </cell>
          <cell r="B21">
            <v>88538</v>
          </cell>
          <cell r="C21">
            <v>232899</v>
          </cell>
          <cell r="D21">
            <v>245</v>
          </cell>
        </row>
        <row r="26">
          <cell r="A26">
            <v>548730</v>
          </cell>
          <cell r="B26">
            <v>102100</v>
          </cell>
          <cell r="C26">
            <v>154248</v>
          </cell>
          <cell r="D26">
            <v>321438</v>
          </cell>
          <cell r="E26">
            <v>244</v>
          </cell>
        </row>
        <row r="31">
          <cell r="E31">
            <v>5970.5745774174002</v>
          </cell>
        </row>
        <row r="32">
          <cell r="E32">
            <v>6600.5970907430001</v>
          </cell>
        </row>
        <row r="33">
          <cell r="E33">
            <v>5453.5225590030796</v>
          </cell>
        </row>
        <row r="38">
          <cell r="E38">
            <v>5970.5745774174002</v>
          </cell>
        </row>
        <row r="39">
          <cell r="E39">
            <v>5559.6062432006802</v>
          </cell>
        </row>
        <row r="40">
          <cell r="E40">
            <v>969.700978951416</v>
          </cell>
        </row>
        <row r="41">
          <cell r="E41">
            <v>9293.9813337683609</v>
          </cell>
        </row>
        <row r="47">
          <cell r="E47">
            <v>5970.5745774174002</v>
          </cell>
        </row>
        <row r="48">
          <cell r="E48">
            <v>7204.3067738232003</v>
          </cell>
        </row>
        <row r="49">
          <cell r="E49">
            <v>4041.3129352308001</v>
          </cell>
        </row>
        <row r="50">
          <cell r="E50">
            <v>714.76821741610797</v>
          </cell>
        </row>
        <row r="51">
          <cell r="E51">
            <v>7000.8863765753204</v>
          </cell>
        </row>
        <row r="57">
          <cell r="F57">
            <v>78.956549830398998</v>
          </cell>
        </row>
        <row r="58">
          <cell r="F58">
            <v>76.590800369584798</v>
          </cell>
        </row>
        <row r="59">
          <cell r="F59">
            <v>81.811252289118499</v>
          </cell>
        </row>
        <row r="60">
          <cell r="F60">
            <v>86.052710209758999</v>
          </cell>
        </row>
        <row r="81">
          <cell r="D81">
            <v>784709</v>
          </cell>
        </row>
        <row r="82">
          <cell r="D82">
            <v>1038223</v>
          </cell>
        </row>
        <row r="87">
          <cell r="D87">
            <v>96.802311954658904</v>
          </cell>
        </row>
        <row r="94">
          <cell r="A94">
            <v>16</v>
          </cell>
          <cell r="B94">
            <v>92</v>
          </cell>
          <cell r="C94">
            <v>152</v>
          </cell>
        </row>
        <row r="99">
          <cell r="C99">
            <v>248906</v>
          </cell>
          <cell r="E99">
            <v>11725.065992784441</v>
          </cell>
        </row>
        <row r="100">
          <cell r="C100">
            <v>163693</v>
          </cell>
          <cell r="E100">
            <v>11168.004936069359</v>
          </cell>
        </row>
        <row r="101">
          <cell r="C101">
            <v>8615</v>
          </cell>
          <cell r="E101">
            <v>9191.8110272779995</v>
          </cell>
        </row>
        <row r="102">
          <cell r="C102">
            <v>1468</v>
          </cell>
          <cell r="E102">
            <v>10394.316076294281</v>
          </cell>
        </row>
        <row r="103">
          <cell r="C103">
            <v>75095</v>
          </cell>
          <cell r="E103">
            <v>13255.69686397232</v>
          </cell>
        </row>
        <row r="104">
          <cell r="C104">
            <v>35</v>
          </cell>
        </row>
        <row r="111">
          <cell r="B111">
            <v>310435</v>
          </cell>
        </row>
        <row r="112">
          <cell r="B112">
            <v>314225</v>
          </cell>
        </row>
        <row r="117">
          <cell r="E117">
            <v>10915.807376930999</v>
          </cell>
        </row>
        <row r="118">
          <cell r="E118">
            <v>11971.8342087868</v>
          </cell>
        </row>
        <row r="119">
          <cell r="E119">
            <v>9872.9356094982395</v>
          </cell>
        </row>
        <row r="124">
          <cell r="E124">
            <v>10915.807376930999</v>
          </cell>
        </row>
        <row r="125">
          <cell r="C125">
            <v>506292</v>
          </cell>
          <cell r="E125">
            <v>10494.347396364161</v>
          </cell>
        </row>
        <row r="126">
          <cell r="C126">
            <v>27949</v>
          </cell>
          <cell r="E126">
            <v>6785.1644065977198</v>
          </cell>
        </row>
        <row r="127">
          <cell r="C127">
            <v>89921</v>
          </cell>
          <cell r="E127">
            <v>14572.674592142001</v>
          </cell>
        </row>
        <row r="132">
          <cell r="E132">
            <v>10915.807376930999</v>
          </cell>
        </row>
        <row r="133">
          <cell r="C133">
            <v>403548</v>
          </cell>
          <cell r="E133">
            <v>10769.270857494041</v>
          </cell>
        </row>
        <row r="134">
          <cell r="C134">
            <v>49331</v>
          </cell>
          <cell r="E134">
            <v>6860.4975370456796</v>
          </cell>
        </row>
        <row r="135">
          <cell r="C135">
            <v>3242</v>
          </cell>
          <cell r="E135">
            <v>8776.6588525601601</v>
          </cell>
        </row>
        <row r="136">
          <cell r="C136">
            <v>167970</v>
          </cell>
          <cell r="E136">
            <v>12500.563814966959</v>
          </cell>
        </row>
        <row r="142">
          <cell r="C142">
            <v>246157</v>
          </cell>
          <cell r="E142">
            <v>13914.135775135401</v>
          </cell>
        </row>
        <row r="143">
          <cell r="C143">
            <v>162454</v>
          </cell>
          <cell r="E143">
            <v>13595.86440469304</v>
          </cell>
        </row>
        <row r="144">
          <cell r="C144">
            <v>8259</v>
          </cell>
          <cell r="E144">
            <v>9607.3355127739596</v>
          </cell>
        </row>
        <row r="145">
          <cell r="C145">
            <v>1414</v>
          </cell>
          <cell r="E145">
            <v>10809.038189533239</v>
          </cell>
        </row>
        <row r="146">
          <cell r="C146">
            <v>74004</v>
          </cell>
          <cell r="E146">
            <v>15152.774012215559</v>
          </cell>
        </row>
        <row r="147">
          <cell r="C147">
            <v>26</v>
          </cell>
        </row>
        <row r="152">
          <cell r="C152">
            <v>233209</v>
          </cell>
          <cell r="D152">
            <v>141.73031063832701</v>
          </cell>
        </row>
        <row r="159">
          <cell r="C159">
            <v>548727</v>
          </cell>
          <cell r="E159">
            <v>10032.67123360068</v>
          </cell>
        </row>
        <row r="160">
          <cell r="C160">
            <v>385199</v>
          </cell>
          <cell r="E160">
            <v>10897.874168936039</v>
          </cell>
        </row>
        <row r="161">
          <cell r="C161">
            <v>163528</v>
          </cell>
          <cell r="E161">
            <v>7994.6391810576797</v>
          </cell>
        </row>
        <row r="183">
          <cell r="C183">
            <v>391611</v>
          </cell>
          <cell r="E183">
            <v>14085.55097788368</v>
          </cell>
        </row>
        <row r="184">
          <cell r="C184">
            <v>265202</v>
          </cell>
          <cell r="E184">
            <v>13867.61187321364</v>
          </cell>
        </row>
        <row r="298">
          <cell r="D298">
            <v>248906</v>
          </cell>
          <cell r="E298">
            <v>2931.2664981961102</v>
          </cell>
        </row>
        <row r="299">
          <cell r="D299">
            <v>173792</v>
          </cell>
          <cell r="E299">
            <v>2766.0657510127098</v>
          </cell>
        </row>
        <row r="301">
          <cell r="D301">
            <v>75101</v>
          </cell>
          <cell r="E301">
            <v>3314.0665770096298</v>
          </cell>
        </row>
        <row r="322">
          <cell r="B322">
            <v>69834</v>
          </cell>
          <cell r="C322">
            <v>100508</v>
          </cell>
          <cell r="D322">
            <v>170342</v>
          </cell>
        </row>
        <row r="333">
          <cell r="B333">
            <v>162315</v>
          </cell>
          <cell r="C333">
            <v>42724</v>
          </cell>
          <cell r="D333">
            <v>205039</v>
          </cell>
        </row>
        <row r="427">
          <cell r="C427">
            <v>68459</v>
          </cell>
        </row>
        <row r="435">
          <cell r="D435">
            <v>30.8443331</v>
          </cell>
        </row>
        <row r="436">
          <cell r="D436">
            <v>81.590759399999996</v>
          </cell>
        </row>
        <row r="444">
          <cell r="D444">
            <v>122.099064</v>
          </cell>
        </row>
        <row r="445">
          <cell r="D445">
            <v>111.9263637</v>
          </cell>
        </row>
      </sheetData>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2_2T"/>
    </sheetNames>
    <sheetDataSet>
      <sheetData sheetId="0">
        <row r="9">
          <cell r="B9">
            <v>526957</v>
          </cell>
        </row>
        <row r="10">
          <cell r="B10">
            <v>661540</v>
          </cell>
        </row>
        <row r="11">
          <cell r="B11">
            <v>1188497</v>
          </cell>
        </row>
        <row r="16">
          <cell r="A16">
            <v>502847</v>
          </cell>
          <cell r="B16">
            <v>444</v>
          </cell>
          <cell r="C16">
            <v>6215</v>
          </cell>
          <cell r="D16">
            <v>3031</v>
          </cell>
        </row>
        <row r="21">
          <cell r="A21">
            <v>842946</v>
          </cell>
          <cell r="B21">
            <v>91115</v>
          </cell>
          <cell r="C21">
            <v>254193</v>
          </cell>
          <cell r="D21">
            <v>243</v>
          </cell>
        </row>
        <row r="26">
          <cell r="A26">
            <v>561614</v>
          </cell>
          <cell r="B26">
            <v>110628</v>
          </cell>
          <cell r="C26">
            <v>170704</v>
          </cell>
          <cell r="D26">
            <v>345308</v>
          </cell>
          <cell r="E26">
            <v>243</v>
          </cell>
        </row>
        <row r="31">
          <cell r="E31">
            <v>5418.8247465704399</v>
          </cell>
        </row>
        <row r="32">
          <cell r="E32">
            <v>5912.0504406440004</v>
          </cell>
        </row>
        <row r="33">
          <cell r="E33">
            <v>5025.9411131602001</v>
          </cell>
        </row>
        <row r="38">
          <cell r="E38">
            <v>5418.8247465704399</v>
          </cell>
        </row>
        <row r="39">
          <cell r="E39">
            <v>5010.6117647616802</v>
          </cell>
        </row>
        <row r="40">
          <cell r="E40">
            <v>908.898379744056</v>
          </cell>
        </row>
        <row r="41">
          <cell r="E41">
            <v>8389.5722304167593</v>
          </cell>
        </row>
        <row r="47">
          <cell r="E47">
            <v>5418.8247465704399</v>
          </cell>
        </row>
        <row r="48">
          <cell r="E48">
            <v>6550.7758189358001</v>
          </cell>
        </row>
        <row r="49">
          <cell r="E49">
            <v>3893.3599811982522</v>
          </cell>
        </row>
        <row r="50">
          <cell r="E50">
            <v>669.395327584592</v>
          </cell>
        </row>
        <row r="51">
          <cell r="E51">
            <v>6415.4685092728796</v>
          </cell>
        </row>
        <row r="57">
          <cell r="F57">
            <v>79.008520011846898</v>
          </cell>
        </row>
        <row r="58">
          <cell r="F58">
            <v>76.687895550853497</v>
          </cell>
        </row>
        <row r="59">
          <cell r="F59">
            <v>81.511572472126105</v>
          </cell>
        </row>
        <row r="60">
          <cell r="F60">
            <v>85.808527543414598</v>
          </cell>
        </row>
        <row r="81">
          <cell r="D81">
            <v>793607</v>
          </cell>
        </row>
        <row r="82">
          <cell r="D82">
            <v>1097381</v>
          </cell>
        </row>
        <row r="87">
          <cell r="D87">
            <v>94.698863931487793</v>
          </cell>
        </row>
        <row r="94">
          <cell r="A94">
            <v>16</v>
          </cell>
          <cell r="B94">
            <v>94</v>
          </cell>
          <cell r="C94">
            <v>152</v>
          </cell>
        </row>
        <row r="99">
          <cell r="C99">
            <v>269527</v>
          </cell>
          <cell r="E99">
            <v>10504.17107005976</v>
          </cell>
        </row>
        <row r="100">
          <cell r="C100">
            <v>172121</v>
          </cell>
          <cell r="E100">
            <v>9969.1483084574393</v>
          </cell>
        </row>
        <row r="101">
          <cell r="C101">
            <v>10842</v>
          </cell>
          <cell r="E101">
            <v>8366.5541413023602</v>
          </cell>
        </row>
        <row r="102">
          <cell r="C102">
            <v>1811</v>
          </cell>
          <cell r="E102">
            <v>9372.5455549420403</v>
          </cell>
        </row>
        <row r="103">
          <cell r="C103">
            <v>84718</v>
          </cell>
          <cell r="E103">
            <v>11888.429377464039</v>
          </cell>
        </row>
        <row r="104">
          <cell r="C104">
            <v>35</v>
          </cell>
        </row>
        <row r="111">
          <cell r="B111">
            <v>310994</v>
          </cell>
        </row>
        <row r="112">
          <cell r="B112">
            <v>327393</v>
          </cell>
        </row>
        <row r="117">
          <cell r="E117">
            <v>10070.419108615561</v>
          </cell>
        </row>
        <row r="118">
          <cell r="E118">
            <v>11038.116553624881</v>
          </cell>
        </row>
        <row r="119">
          <cell r="E119">
            <v>9151.1862064330398</v>
          </cell>
        </row>
        <row r="124">
          <cell r="E124">
            <v>10070.419108615561</v>
          </cell>
        </row>
        <row r="125">
          <cell r="C125">
            <v>521382</v>
          </cell>
          <cell r="E125">
            <v>9696.1593840984006</v>
          </cell>
        </row>
        <row r="126">
          <cell r="C126">
            <v>27453</v>
          </cell>
          <cell r="E126">
            <v>6533.8392161148004</v>
          </cell>
        </row>
        <row r="127">
          <cell r="C127">
            <v>89453</v>
          </cell>
          <cell r="E127">
            <v>13337.185024538039</v>
          </cell>
        </row>
        <row r="132">
          <cell r="E132">
            <v>10070.419108615561</v>
          </cell>
        </row>
        <row r="133">
          <cell r="C133">
            <v>404388</v>
          </cell>
          <cell r="E133">
            <v>9937.8836068330402</v>
          </cell>
        </row>
        <row r="134">
          <cell r="C134">
            <v>53630</v>
          </cell>
          <cell r="E134">
            <v>6514.6549319410797</v>
          </cell>
        </row>
        <row r="135">
          <cell r="C135">
            <v>3721</v>
          </cell>
          <cell r="E135">
            <v>8185.5092717011603</v>
          </cell>
        </row>
        <row r="136">
          <cell r="C136">
            <v>176477</v>
          </cell>
          <cell r="E136">
            <v>11494.539413068</v>
          </cell>
        </row>
        <row r="142">
          <cell r="C142">
            <v>266127</v>
          </cell>
          <cell r="E142">
            <v>12528.40029008708</v>
          </cell>
        </row>
        <row r="143">
          <cell r="C143">
            <v>170621</v>
          </cell>
          <cell r="E143">
            <v>12255.06452312436</v>
          </cell>
        </row>
        <row r="144">
          <cell r="C144">
            <v>10388</v>
          </cell>
          <cell r="E144">
            <v>8759.3650365806807</v>
          </cell>
        </row>
        <row r="145">
          <cell r="C145">
            <v>1742</v>
          </cell>
          <cell r="E145">
            <v>9767.4282433984008</v>
          </cell>
        </row>
        <row r="146">
          <cell r="C146">
            <v>83349</v>
          </cell>
          <cell r="E146">
            <v>13615.20114218528</v>
          </cell>
        </row>
        <row r="147">
          <cell r="C147">
            <v>27</v>
          </cell>
        </row>
        <row r="152">
          <cell r="C152">
            <v>245229</v>
          </cell>
          <cell r="D152">
            <v>133.600978428997</v>
          </cell>
        </row>
        <row r="159">
          <cell r="C159">
            <v>561613</v>
          </cell>
          <cell r="E159">
            <v>8994.3968319821597</v>
          </cell>
        </row>
        <row r="160">
          <cell r="C160">
            <v>393763</v>
          </cell>
          <cell r="E160">
            <v>9758.4795727379205</v>
          </cell>
        </row>
        <row r="161">
          <cell r="C161">
            <v>167850</v>
          </cell>
          <cell r="E161">
            <v>7201.9183556747203</v>
          </cell>
        </row>
        <row r="183">
          <cell r="C183">
            <v>404818</v>
          </cell>
          <cell r="E183">
            <v>12660.311191696041</v>
          </cell>
        </row>
        <row r="184">
          <cell r="C184">
            <v>267604</v>
          </cell>
          <cell r="E184">
            <v>12444.81403865412</v>
          </cell>
        </row>
        <row r="298">
          <cell r="D298">
            <v>269527</v>
          </cell>
          <cell r="E298">
            <v>2626.0427675149399</v>
          </cell>
        </row>
        <row r="299">
          <cell r="D299">
            <v>184794</v>
          </cell>
          <cell r="E299">
            <v>2467.3813381386799</v>
          </cell>
        </row>
        <row r="300">
          <cell r="D300">
            <v>84730</v>
          </cell>
          <cell r="E300">
            <v>2972.1723356544298</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2_3T"/>
    </sheetNames>
    <sheetDataSet>
      <sheetData sheetId="0">
        <row r="9">
          <cell r="B9">
            <v>523121</v>
          </cell>
        </row>
        <row r="10">
          <cell r="B10">
            <v>655219</v>
          </cell>
        </row>
        <row r="11">
          <cell r="B11">
            <v>1178340</v>
          </cell>
        </row>
        <row r="16">
          <cell r="A16">
            <v>497455</v>
          </cell>
          <cell r="B16">
            <v>429</v>
          </cell>
          <cell r="C16">
            <v>5930</v>
          </cell>
          <cell r="D16">
            <v>3023</v>
          </cell>
        </row>
        <row r="21">
          <cell r="A21">
            <v>836397</v>
          </cell>
          <cell r="B21">
            <v>90705</v>
          </cell>
          <cell r="C21">
            <v>250990</v>
          </cell>
          <cell r="D21">
            <v>248</v>
          </cell>
        </row>
        <row r="26">
          <cell r="A26">
            <v>558387</v>
          </cell>
          <cell r="B26">
            <v>109559</v>
          </cell>
          <cell r="C26">
            <v>168451</v>
          </cell>
          <cell r="D26">
            <v>341695</v>
          </cell>
          <cell r="E26">
            <v>248</v>
          </cell>
        </row>
        <row r="31">
          <cell r="E31">
            <v>5626.9117325320003</v>
          </cell>
        </row>
        <row r="32">
          <cell r="E32">
            <v>6145.8420094815601</v>
          </cell>
        </row>
        <row r="33">
          <cell r="E33">
            <v>5212.6032242654801</v>
          </cell>
        </row>
        <row r="38">
          <cell r="E38">
            <v>5626.9117325320003</v>
          </cell>
        </row>
        <row r="39">
          <cell r="E39">
            <v>5204.8255183336796</v>
          </cell>
        </row>
        <row r="40">
          <cell r="E40">
            <v>939.33256093658804</v>
          </cell>
        </row>
        <row r="41">
          <cell r="E41">
            <v>8727.9068833652</v>
          </cell>
        </row>
        <row r="47">
          <cell r="E47">
            <v>5626.9117325320003</v>
          </cell>
        </row>
        <row r="48">
          <cell r="E48">
            <v>6800.6125142598403</v>
          </cell>
        </row>
        <row r="49">
          <cell r="E49">
            <v>4013.7459451072</v>
          </cell>
        </row>
        <row r="50">
          <cell r="E50">
            <v>691.54021050632002</v>
          </cell>
        </row>
        <row r="51">
          <cell r="E51">
            <v>6660.3026450566804</v>
          </cell>
        </row>
        <row r="57">
          <cell r="F57">
            <v>79.031848220249003</v>
          </cell>
        </row>
        <row r="58">
          <cell r="F58">
            <v>76.706214027433305</v>
          </cell>
        </row>
        <row r="59">
          <cell r="F59">
            <v>81.580434086971906</v>
          </cell>
        </row>
        <row r="60">
          <cell r="F60">
            <v>85.862515933715798</v>
          </cell>
        </row>
        <row r="81">
          <cell r="D81">
            <v>791769</v>
          </cell>
        </row>
        <row r="82">
          <cell r="D82">
            <v>1087635</v>
          </cell>
        </row>
        <row r="87">
          <cell r="D87">
            <v>94.570422981974701</v>
          </cell>
        </row>
        <row r="94">
          <cell r="A94">
            <v>16</v>
          </cell>
          <cell r="B94">
            <v>92</v>
          </cell>
          <cell r="C94">
            <v>152</v>
          </cell>
        </row>
        <row r="99">
          <cell r="C99">
            <v>265837</v>
          </cell>
          <cell r="E99">
            <v>10935.70029755076</v>
          </cell>
        </row>
        <row r="100">
          <cell r="C100">
            <v>170191</v>
          </cell>
          <cell r="E100">
            <v>10379.5822340782</v>
          </cell>
        </row>
        <row r="101">
          <cell r="C101">
            <v>10507</v>
          </cell>
          <cell r="E101">
            <v>8691.1784524602808</v>
          </cell>
        </row>
        <row r="102">
          <cell r="C102">
            <v>1766</v>
          </cell>
          <cell r="E102">
            <v>9750.9490373726003</v>
          </cell>
        </row>
        <row r="103">
          <cell r="C103">
            <v>83337</v>
          </cell>
          <cell r="E103">
            <v>12378.938574702721</v>
          </cell>
        </row>
        <row r="104">
          <cell r="C104">
            <v>36</v>
          </cell>
        </row>
        <row r="111">
          <cell r="B111">
            <v>309747</v>
          </cell>
        </row>
        <row r="112">
          <cell r="B112">
            <v>325113</v>
          </cell>
        </row>
        <row r="117">
          <cell r="E117">
            <v>10453.5886395216</v>
          </cell>
        </row>
        <row r="118">
          <cell r="E118">
            <v>11458.978943255601</v>
          </cell>
        </row>
        <row r="119">
          <cell r="E119">
            <v>9495.7902637852803</v>
          </cell>
        </row>
        <row r="124">
          <cell r="E124">
            <v>10453.5886395216</v>
          </cell>
        </row>
        <row r="125">
          <cell r="C125">
            <v>517877</v>
          </cell>
          <cell r="E125">
            <v>10061.39254687888</v>
          </cell>
        </row>
        <row r="126">
          <cell r="C126">
            <v>27494</v>
          </cell>
          <cell r="E126">
            <v>6744.3311267913195</v>
          </cell>
        </row>
        <row r="127">
          <cell r="C127">
            <v>89391</v>
          </cell>
          <cell r="E127">
            <v>13866.590641115999</v>
          </cell>
        </row>
        <row r="132">
          <cell r="E132">
            <v>10453.5886395216</v>
          </cell>
        </row>
        <row r="133">
          <cell r="C133">
            <v>402898</v>
          </cell>
          <cell r="E133">
            <v>10315.49675600276</v>
          </cell>
        </row>
        <row r="134">
          <cell r="C134">
            <v>53054</v>
          </cell>
          <cell r="E134">
            <v>6734.0008293436804</v>
          </cell>
        </row>
        <row r="135">
          <cell r="C135">
            <v>3647</v>
          </cell>
          <cell r="E135">
            <v>8477.2733753770408</v>
          </cell>
        </row>
        <row r="136">
          <cell r="C136">
            <v>175089</v>
          </cell>
          <cell r="E136">
            <v>11939.808965726001</v>
          </cell>
        </row>
        <row r="142">
          <cell r="C142">
            <v>262527</v>
          </cell>
          <cell r="E142">
            <v>13046.816411264361</v>
          </cell>
        </row>
        <row r="143">
          <cell r="C143">
            <v>168732</v>
          </cell>
          <cell r="E143">
            <v>12760.34961951496</v>
          </cell>
        </row>
        <row r="144">
          <cell r="C144">
            <v>10066</v>
          </cell>
          <cell r="E144">
            <v>9098.8452215378402</v>
          </cell>
        </row>
        <row r="145">
          <cell r="C145">
            <v>1699</v>
          </cell>
          <cell r="E145">
            <v>10165.74690994704</v>
          </cell>
        </row>
        <row r="146">
          <cell r="C146">
            <v>82003</v>
          </cell>
          <cell r="E146">
            <v>14180.43115495776</v>
          </cell>
        </row>
        <row r="147">
          <cell r="C147">
            <v>27</v>
          </cell>
        </row>
        <row r="152">
          <cell r="C152">
            <v>242000</v>
          </cell>
          <cell r="D152">
            <v>138.80066986444501</v>
          </cell>
        </row>
        <row r="159">
          <cell r="C159">
            <v>558387</v>
          </cell>
          <cell r="E159">
            <v>9364.0950022117195</v>
          </cell>
        </row>
        <row r="160">
          <cell r="C160">
            <v>391448</v>
          </cell>
          <cell r="E160">
            <v>10162.347356481559</v>
          </cell>
        </row>
        <row r="161">
          <cell r="C161">
            <v>166939</v>
          </cell>
          <cell r="E161">
            <v>7492.30777709224</v>
          </cell>
        </row>
        <row r="183">
          <cell r="C183">
            <v>401954</v>
          </cell>
          <cell r="E183">
            <v>13181.49731561324</v>
          </cell>
        </row>
        <row r="184">
          <cell r="C184">
            <v>266295</v>
          </cell>
          <cell r="E184">
            <v>12959.78601175388</v>
          </cell>
        </row>
        <row r="298">
          <cell r="D298">
            <v>265837</v>
          </cell>
          <cell r="E298">
            <v>2733.9250743876901</v>
          </cell>
        </row>
        <row r="299">
          <cell r="D299">
            <v>182483</v>
          </cell>
          <cell r="E299">
            <v>2569.1536088293201</v>
          </cell>
        </row>
        <row r="300">
          <cell r="D300">
            <v>83351</v>
          </cell>
          <cell r="E300">
            <v>3094.7628942664201</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2_4T"/>
    </sheetNames>
    <sheetDataSet>
      <sheetData sheetId="0">
        <row r="9">
          <cell r="B9">
            <v>522583</v>
          </cell>
        </row>
        <row r="10">
          <cell r="B10">
            <v>651025</v>
          </cell>
        </row>
        <row r="11">
          <cell r="B11">
            <v>1173608</v>
          </cell>
        </row>
        <row r="16">
          <cell r="A16">
            <v>494222</v>
          </cell>
          <cell r="B16">
            <v>412</v>
          </cell>
          <cell r="C16">
            <v>5656</v>
          </cell>
          <cell r="D16">
            <v>3039</v>
          </cell>
        </row>
        <row r="21">
          <cell r="A21">
            <v>833720</v>
          </cell>
          <cell r="B21">
            <v>90536</v>
          </cell>
          <cell r="C21">
            <v>249098</v>
          </cell>
          <cell r="D21">
            <v>254</v>
          </cell>
        </row>
        <row r="26">
          <cell r="A26">
            <v>558826</v>
          </cell>
          <cell r="B26">
            <v>108466</v>
          </cell>
          <cell r="C26">
            <v>166428</v>
          </cell>
          <cell r="D26">
            <v>339634</v>
          </cell>
          <cell r="E26">
            <v>254</v>
          </cell>
        </row>
        <row r="31">
          <cell r="E31">
            <v>5617.4134999309999</v>
          </cell>
        </row>
        <row r="32">
          <cell r="E32">
            <v>6149.3115670106799</v>
          </cell>
        </row>
        <row r="33">
          <cell r="E33">
            <v>5190.4562804808002</v>
          </cell>
        </row>
        <row r="38">
          <cell r="E38">
            <v>5617.4134999309999</v>
          </cell>
        </row>
        <row r="39">
          <cell r="E39">
            <v>5207.3204029036397</v>
          </cell>
        </row>
        <row r="40">
          <cell r="E40">
            <v>930.98236341320398</v>
          </cell>
        </row>
        <row r="41">
          <cell r="E41">
            <v>8695.8804757527596</v>
          </cell>
        </row>
        <row r="47">
          <cell r="E47">
            <v>5617.4134999309999</v>
          </cell>
        </row>
        <row r="48">
          <cell r="E48">
            <v>6791.7016300331197</v>
          </cell>
        </row>
        <row r="49">
          <cell r="E49">
            <v>3979.873546793036</v>
          </cell>
        </row>
        <row r="50">
          <cell r="E50">
            <v>687.65025115966</v>
          </cell>
        </row>
        <row r="51">
          <cell r="E51">
            <v>6625.1900693099196</v>
          </cell>
        </row>
        <row r="57">
          <cell r="F57">
            <v>79.036179092472295</v>
          </cell>
        </row>
        <row r="58">
          <cell r="F58">
            <v>76.693484536132004</v>
          </cell>
        </row>
        <row r="59">
          <cell r="F59">
            <v>81.637515618607395</v>
          </cell>
        </row>
        <row r="60">
          <cell r="F60">
            <v>85.931760068400493</v>
          </cell>
        </row>
        <row r="81">
          <cell r="D81">
            <v>792528</v>
          </cell>
        </row>
        <row r="82">
          <cell r="D82">
            <v>1083069</v>
          </cell>
        </row>
        <row r="87">
          <cell r="D87">
            <v>94.656453097632806</v>
          </cell>
        </row>
        <row r="94">
          <cell r="A94">
            <v>16</v>
          </cell>
          <cell r="B94">
            <v>93</v>
          </cell>
          <cell r="C94">
            <v>152</v>
          </cell>
        </row>
        <row r="99">
          <cell r="C99">
            <v>264913</v>
          </cell>
          <cell r="E99">
            <v>10910.485782124681</v>
          </cell>
        </row>
        <row r="100">
          <cell r="C100">
            <v>170478</v>
          </cell>
          <cell r="E100">
            <v>10369.9550440526</v>
          </cell>
        </row>
        <row r="101">
          <cell r="C101">
            <v>10226</v>
          </cell>
          <cell r="E101">
            <v>8660.96499119892</v>
          </cell>
        </row>
        <row r="102">
          <cell r="C102">
            <v>1716</v>
          </cell>
          <cell r="E102">
            <v>9742.9510489510394</v>
          </cell>
        </row>
        <row r="103">
          <cell r="C103">
            <v>82455</v>
          </cell>
          <cell r="E103">
            <v>12331.262288521</v>
          </cell>
        </row>
        <row r="104">
          <cell r="C104">
            <v>38</v>
          </cell>
        </row>
        <row r="111">
          <cell r="B111">
            <v>311221</v>
          </cell>
        </row>
        <row r="112">
          <cell r="B112">
            <v>324239</v>
          </cell>
        </row>
        <row r="117">
          <cell r="E117">
            <v>10415.784964988199</v>
          </cell>
        </row>
        <row r="118">
          <cell r="E118">
            <v>11419.547897177479</v>
          </cell>
        </row>
        <row r="119">
          <cell r="E119">
            <v>9452.2833981121603</v>
          </cell>
        </row>
        <row r="124">
          <cell r="E124">
            <v>10415.784964988199</v>
          </cell>
        </row>
        <row r="125">
          <cell r="C125">
            <v>517888</v>
          </cell>
          <cell r="E125">
            <v>10026.98799740484</v>
          </cell>
        </row>
        <row r="126">
          <cell r="C126">
            <v>27613</v>
          </cell>
          <cell r="E126">
            <v>6671.2250027161199</v>
          </cell>
        </row>
        <row r="127">
          <cell r="C127">
            <v>89856</v>
          </cell>
          <cell r="E127">
            <v>13807.342770655279</v>
          </cell>
        </row>
        <row r="132">
          <cell r="E132">
            <v>10415.784964988199</v>
          </cell>
        </row>
        <row r="133">
          <cell r="C133">
            <v>404654</v>
          </cell>
          <cell r="E133">
            <v>10285.603740479521</v>
          </cell>
        </row>
        <row r="134">
          <cell r="C134">
            <v>52511</v>
          </cell>
          <cell r="E134">
            <v>6691.2223343680398</v>
          </cell>
        </row>
        <row r="135">
          <cell r="C135">
            <v>3575</v>
          </cell>
          <cell r="E135">
            <v>8438.0979020979194</v>
          </cell>
        </row>
        <row r="136">
          <cell r="C136">
            <v>174541</v>
          </cell>
          <cell r="E136">
            <v>11879.05496129848</v>
          </cell>
        </row>
        <row r="142">
          <cell r="C142">
            <v>261616</v>
          </cell>
          <cell r="E142">
            <v>13020.525548896079</v>
          </cell>
        </row>
        <row r="143">
          <cell r="C143">
            <v>168990</v>
          </cell>
          <cell r="E143">
            <v>12743.4846558968</v>
          </cell>
        </row>
        <row r="144">
          <cell r="C144">
            <v>9794</v>
          </cell>
          <cell r="E144">
            <v>9068.4108637941608</v>
          </cell>
        </row>
        <row r="145">
          <cell r="C145">
            <v>1651</v>
          </cell>
          <cell r="E145">
            <v>10155.874015748041</v>
          </cell>
        </row>
        <row r="146">
          <cell r="C146">
            <v>81152</v>
          </cell>
          <cell r="E146">
            <v>14132.971165220841</v>
          </cell>
        </row>
        <row r="147">
          <cell r="C147">
            <v>29</v>
          </cell>
        </row>
        <row r="152">
          <cell r="C152">
            <v>240985</v>
          </cell>
          <cell r="D152">
            <v>138.96234663220699</v>
          </cell>
        </row>
        <row r="159">
          <cell r="C159">
            <v>558823</v>
          </cell>
          <cell r="E159">
            <v>9369.7720602051195</v>
          </cell>
        </row>
        <row r="160">
          <cell r="C160">
            <v>392010</v>
          </cell>
          <cell r="E160">
            <v>10168.821540266839</v>
          </cell>
        </row>
        <row r="161">
          <cell r="C161">
            <v>166813</v>
          </cell>
          <cell r="E161">
            <v>7492.0084166101997</v>
          </cell>
        </row>
        <row r="183">
          <cell r="C183">
            <v>402273</v>
          </cell>
          <cell r="E183">
            <v>13164.420947963201</v>
          </cell>
        </row>
        <row r="184">
          <cell r="C184">
            <v>267664</v>
          </cell>
          <cell r="E184">
            <v>12951.529036403839</v>
          </cell>
        </row>
        <row r="298">
          <cell r="D298">
            <v>264913</v>
          </cell>
          <cell r="E298">
            <v>2727.6214455311701</v>
          </cell>
        </row>
        <row r="299">
          <cell r="D299">
            <v>182436</v>
          </cell>
          <cell r="E299">
            <v>2567.1747078427502</v>
          </cell>
        </row>
        <row r="300">
          <cell r="D300">
            <v>82462</v>
          </cell>
          <cell r="E300">
            <v>3083.0842691179</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4T2009"/>
    </sheetNames>
    <sheetDataSet>
      <sheetData sheetId="0">
        <row r="4">
          <cell r="B4">
            <v>753820</v>
          </cell>
        </row>
        <row r="5">
          <cell r="B5">
            <v>993633</v>
          </cell>
        </row>
        <row r="6">
          <cell r="B6">
            <v>1747453</v>
          </cell>
        </row>
        <row r="16">
          <cell r="A16">
            <v>1268387</v>
          </cell>
          <cell r="B16">
            <v>103133</v>
          </cell>
          <cell r="C16">
            <v>375585</v>
          </cell>
          <cell r="D16">
            <v>348</v>
          </cell>
        </row>
        <row r="26">
          <cell r="A26">
            <v>758398</v>
          </cell>
          <cell r="B26">
            <v>208342</v>
          </cell>
          <cell r="C26">
            <v>301651</v>
          </cell>
          <cell r="D26">
            <v>478718</v>
          </cell>
          <cell r="E26">
            <v>344</v>
          </cell>
        </row>
        <row r="36">
          <cell r="A36">
            <v>823723</v>
          </cell>
          <cell r="B36">
            <v>997</v>
          </cell>
          <cell r="C36">
            <v>46178</v>
          </cell>
          <cell r="D36">
            <v>1115</v>
          </cell>
          <cell r="E36">
            <v>2150</v>
          </cell>
        </row>
        <row r="46">
          <cell r="E46">
            <v>4838</v>
          </cell>
        </row>
        <row r="47">
          <cell r="E47">
            <v>5124.3999999999996</v>
          </cell>
        </row>
        <row r="48">
          <cell r="E48">
            <v>4620.76</v>
          </cell>
        </row>
        <row r="59">
          <cell r="E59">
            <v>6006.04</v>
          </cell>
        </row>
        <row r="60">
          <cell r="E60">
            <v>4005.44</v>
          </cell>
        </row>
        <row r="61">
          <cell r="E61">
            <v>727.4</v>
          </cell>
        </row>
        <row r="62">
          <cell r="E62">
            <v>5939.16</v>
          </cell>
        </row>
        <row r="74">
          <cell r="E74">
            <v>4422.32</v>
          </cell>
        </row>
        <row r="75">
          <cell r="E75">
            <v>1480.44</v>
          </cell>
        </row>
        <row r="76">
          <cell r="E76">
            <v>7163.96</v>
          </cell>
        </row>
        <row r="87">
          <cell r="E87">
            <v>8405.2000000000007</v>
          </cell>
        </row>
        <row r="88">
          <cell r="C88">
            <v>318841</v>
          </cell>
          <cell r="E88">
            <v>8116.56</v>
          </cell>
        </row>
        <row r="89">
          <cell r="C89">
            <v>50727</v>
          </cell>
          <cell r="E89">
            <v>6386.2</v>
          </cell>
        </row>
        <row r="90">
          <cell r="C90">
            <v>6485</v>
          </cell>
          <cell r="E90">
            <v>7334.68</v>
          </cell>
        </row>
        <row r="91">
          <cell r="C91">
            <v>141078</v>
          </cell>
          <cell r="E91">
            <v>9831.76</v>
          </cell>
        </row>
        <row r="107">
          <cell r="F107">
            <v>1315567</v>
          </cell>
        </row>
        <row r="108">
          <cell r="F108">
            <v>1644318</v>
          </cell>
        </row>
        <row r="118">
          <cell r="D118">
            <v>99.39</v>
          </cell>
        </row>
        <row r="130">
          <cell r="F130">
            <v>76.682199999999995</v>
          </cell>
        </row>
        <row r="131">
          <cell r="F131">
            <v>75.078500000000005</v>
          </cell>
        </row>
        <row r="132">
          <cell r="F132">
            <v>78.016000000000005</v>
          </cell>
        </row>
        <row r="133">
          <cell r="F133">
            <v>81.729900000000001</v>
          </cell>
        </row>
        <row r="158">
          <cell r="B158">
            <v>108894</v>
          </cell>
        </row>
        <row r="168">
          <cell r="E168">
            <v>9131.0400000000009</v>
          </cell>
        </row>
        <row r="169">
          <cell r="E169">
            <v>9356.24</v>
          </cell>
        </row>
        <row r="170">
          <cell r="E170">
            <v>8397.68</v>
          </cell>
        </row>
        <row r="181">
          <cell r="C181">
            <v>399235</v>
          </cell>
          <cell r="E181">
            <v>8821.7199999999993</v>
          </cell>
        </row>
        <row r="182">
          <cell r="C182">
            <v>63379</v>
          </cell>
          <cell r="E182">
            <v>11078.84</v>
          </cell>
        </row>
        <row r="194">
          <cell r="C194">
            <v>399264</v>
          </cell>
          <cell r="E194">
            <v>8822.08</v>
          </cell>
        </row>
        <row r="195">
          <cell r="C195">
            <v>1267</v>
          </cell>
          <cell r="E195">
            <v>3382.48</v>
          </cell>
        </row>
        <row r="196">
          <cell r="C196">
            <v>62108</v>
          </cell>
          <cell r="E196">
            <v>11236.56</v>
          </cell>
        </row>
        <row r="207">
          <cell r="E207">
            <v>9741.68</v>
          </cell>
        </row>
        <row r="208">
          <cell r="C208">
            <v>264770</v>
          </cell>
          <cell r="E208">
            <v>9409.48</v>
          </cell>
        </row>
        <row r="209">
          <cell r="C209">
            <v>46374</v>
          </cell>
          <cell r="E209">
            <v>11638</v>
          </cell>
        </row>
        <row r="220">
          <cell r="E220">
            <v>7284.88</v>
          </cell>
        </row>
        <row r="221">
          <cell r="E221">
            <v>7809.92</v>
          </cell>
        </row>
        <row r="222">
          <cell r="E222">
            <v>5979.92</v>
          </cell>
        </row>
        <row r="256">
          <cell r="C256">
            <v>428635</v>
          </cell>
          <cell r="E256">
            <v>9376.2800000000007</v>
          </cell>
        </row>
        <row r="267">
          <cell r="B267">
            <v>217600</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18_1T"/>
    </sheetNames>
    <sheetDataSet>
      <sheetData sheetId="0" refreshError="1">
        <row r="61">
          <cell r="E61">
            <v>5185.04</v>
          </cell>
        </row>
        <row r="93">
          <cell r="F93">
            <v>0.90207999999999999</v>
          </cell>
        </row>
        <row r="136">
          <cell r="B136">
            <v>366170</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27-15H38S07-PROGRAM-TdB_STO"/>
    </sheetNames>
    <sheetDataSet>
      <sheetData sheetId="0">
        <row r="92">
          <cell r="C92">
            <v>50</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tte gestion"/>
    </sheetNames>
    <sheetDataSet>
      <sheetData sheetId="0" refreshError="1">
        <row r="9">
          <cell r="C9">
            <v>192018</v>
          </cell>
        </row>
        <row r="16">
          <cell r="C16">
            <v>31.494862900000001</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g MAJO_TRANCHE"/>
    </sheetNames>
    <sheetDataSet>
      <sheetData sheetId="0">
        <row r="5">
          <cell r="A5">
            <v>221300</v>
          </cell>
          <cell r="C5">
            <v>29.7709492</v>
          </cell>
        </row>
        <row r="10">
          <cell r="A10">
            <v>219070</v>
          </cell>
          <cell r="C10">
            <v>30.751938599999999</v>
          </cell>
        </row>
        <row r="15">
          <cell r="A15">
            <v>223810</v>
          </cell>
          <cell r="C15">
            <v>31.570916799999999</v>
          </cell>
        </row>
        <row r="20">
          <cell r="A20">
            <v>223782</v>
          </cell>
          <cell r="C20">
            <v>32.238205600000001</v>
          </cell>
        </row>
      </sheetData>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 a servir"/>
      <sheetName val="majo payee"/>
    </sheetNames>
    <sheetDataSet>
      <sheetData sheetId="0"/>
      <sheetData sheetId="1">
        <row r="21">
          <cell r="A21">
            <v>241938</v>
          </cell>
          <cell r="C21">
            <v>44.879414699999998</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1210-15H27S00-PROGRAM-MAJO_NS"/>
    </sheetNames>
    <sheetDataSet>
      <sheetData sheetId="0">
        <row r="21">
          <cell r="A21">
            <v>163806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4_2T"/>
    </sheetNames>
    <sheetDataSet>
      <sheetData sheetId="0">
        <row r="9">
          <cell r="B9">
            <v>503160</v>
          </cell>
        </row>
        <row r="10">
          <cell r="B10">
            <v>611474</v>
          </cell>
        </row>
        <row r="11">
          <cell r="B11">
            <v>1114634</v>
          </cell>
        </row>
        <row r="16">
          <cell r="A16">
            <v>461736</v>
          </cell>
          <cell r="B16">
            <v>343</v>
          </cell>
          <cell r="C16">
            <v>4110</v>
          </cell>
          <cell r="D16">
            <v>2992</v>
          </cell>
        </row>
        <row r="21">
          <cell r="A21">
            <v>797784</v>
          </cell>
          <cell r="B21">
            <v>87665</v>
          </cell>
          <cell r="C21">
            <v>228946</v>
          </cell>
          <cell r="D21">
            <v>239</v>
          </cell>
        </row>
        <row r="26">
          <cell r="A26">
            <v>544847</v>
          </cell>
          <cell r="B26">
            <v>100986</v>
          </cell>
          <cell r="C26">
            <v>151951</v>
          </cell>
          <cell r="D26">
            <v>316612</v>
          </cell>
          <cell r="E26">
            <v>238</v>
          </cell>
        </row>
        <row r="31">
          <cell r="E31">
            <v>5968.1825819058004</v>
          </cell>
        </row>
        <row r="32">
          <cell r="E32">
            <v>6609.3279433977204</v>
          </cell>
        </row>
        <row r="33">
          <cell r="E33">
            <v>5440.6070838661999</v>
          </cell>
        </row>
        <row r="38">
          <cell r="E38">
            <v>5968.1825819058004</v>
          </cell>
        </row>
        <row r="39">
          <cell r="E39">
            <v>5562.9594579183604</v>
          </cell>
        </row>
        <row r="40">
          <cell r="E40">
            <v>964.827948395936</v>
          </cell>
        </row>
        <row r="41">
          <cell r="E41">
            <v>9296.7829576868007</v>
          </cell>
        </row>
        <row r="47">
          <cell r="E47">
            <v>5968.1825819058004</v>
          </cell>
        </row>
        <row r="48">
          <cell r="E48">
            <v>7204.1052846028397</v>
          </cell>
        </row>
        <row r="49">
          <cell r="E49">
            <v>4017.0607807022802</v>
          </cell>
        </row>
        <row r="50">
          <cell r="E50">
            <v>708.24018269047201</v>
          </cell>
        </row>
        <row r="51">
          <cell r="E51">
            <v>6989.7095498591198</v>
          </cell>
        </row>
        <row r="57">
          <cell r="F57">
            <v>78.967200892849206</v>
          </cell>
        </row>
        <row r="58">
          <cell r="F58">
            <v>76.611849451289004</v>
          </cell>
        </row>
        <row r="59">
          <cell r="F59">
            <v>81.859196255280295</v>
          </cell>
        </row>
        <row r="60">
          <cell r="F60">
            <v>86.069450570566403</v>
          </cell>
        </row>
        <row r="81">
          <cell r="D81">
            <v>781186</v>
          </cell>
        </row>
        <row r="82">
          <cell r="D82">
            <v>1026968</v>
          </cell>
        </row>
        <row r="87">
          <cell r="D87">
            <v>96.641788267495798</v>
          </cell>
        </row>
        <row r="94">
          <cell r="A94">
            <v>16</v>
          </cell>
          <cell r="B94">
            <v>92</v>
          </cell>
          <cell r="C94">
            <v>152</v>
          </cell>
        </row>
        <row r="99">
          <cell r="C99">
            <v>244420</v>
          </cell>
          <cell r="E99">
            <v>11758.138204729559</v>
          </cell>
        </row>
        <row r="100">
          <cell r="C100">
            <v>161379</v>
          </cell>
          <cell r="E100">
            <v>11207.472818644321</v>
          </cell>
        </row>
        <row r="101">
          <cell r="C101">
            <v>8320</v>
          </cell>
          <cell r="E101">
            <v>9208.6466346153993</v>
          </cell>
        </row>
        <row r="102">
          <cell r="C102">
            <v>1421</v>
          </cell>
          <cell r="E102">
            <v>10339.836734693879</v>
          </cell>
        </row>
        <row r="103">
          <cell r="C103">
            <v>73271</v>
          </cell>
          <cell r="E103">
            <v>13287.52466869568</v>
          </cell>
        </row>
        <row r="104">
          <cell r="C104">
            <v>29</v>
          </cell>
        </row>
        <row r="111">
          <cell r="B111">
            <v>308274</v>
          </cell>
        </row>
        <row r="112">
          <cell r="B112">
            <v>311035</v>
          </cell>
        </row>
        <row r="117">
          <cell r="E117">
            <v>10915.61018060596</v>
          </cell>
        </row>
        <row r="118">
          <cell r="E118">
            <v>11973.96196637908</v>
          </cell>
        </row>
        <row r="119">
          <cell r="E119">
            <v>9866.5710545866405</v>
          </cell>
        </row>
        <row r="124">
          <cell r="E124">
            <v>10915.61018060596</v>
          </cell>
        </row>
        <row r="125">
          <cell r="C125">
            <v>501983</v>
          </cell>
          <cell r="E125">
            <v>10492.091564853799</v>
          </cell>
        </row>
        <row r="126">
          <cell r="C126">
            <v>27842</v>
          </cell>
          <cell r="E126">
            <v>6744.5733783492396</v>
          </cell>
        </row>
        <row r="127">
          <cell r="C127">
            <v>89313</v>
          </cell>
          <cell r="E127">
            <v>14596.251878225999</v>
          </cell>
        </row>
        <row r="132">
          <cell r="E132">
            <v>10915.61018060596</v>
          </cell>
        </row>
        <row r="133">
          <cell r="C133">
            <v>401346</v>
          </cell>
          <cell r="E133">
            <v>10772.345158541521</v>
          </cell>
        </row>
        <row r="134">
          <cell r="C134">
            <v>48742</v>
          </cell>
          <cell r="E134">
            <v>6843.9635632514</v>
          </cell>
        </row>
        <row r="135">
          <cell r="C135">
            <v>3174</v>
          </cell>
          <cell r="E135">
            <v>8688.6225582860807</v>
          </cell>
        </row>
        <row r="136">
          <cell r="C136">
            <v>165810</v>
          </cell>
          <cell r="E136">
            <v>12502.382896085879</v>
          </cell>
        </row>
        <row r="142">
          <cell r="C142">
            <v>241771</v>
          </cell>
          <cell r="E142">
            <v>13962.728002944919</v>
          </cell>
        </row>
        <row r="143">
          <cell r="C143">
            <v>160171</v>
          </cell>
          <cell r="E143">
            <v>13648.12299355064</v>
          </cell>
        </row>
        <row r="144">
          <cell r="C144">
            <v>7980</v>
          </cell>
          <cell r="E144">
            <v>9625.4360902255594</v>
          </cell>
        </row>
        <row r="145">
          <cell r="C145">
            <v>1368</v>
          </cell>
          <cell r="E145">
            <v>10764.03801169592</v>
          </cell>
        </row>
        <row r="146">
          <cell r="C146">
            <v>72231</v>
          </cell>
          <cell r="E146">
            <v>15199.949827636319</v>
          </cell>
        </row>
        <row r="147">
          <cell r="C147">
            <v>21</v>
          </cell>
        </row>
        <row r="152">
          <cell r="C152">
            <v>230912</v>
          </cell>
          <cell r="D152">
            <v>141.56828107072499</v>
          </cell>
        </row>
        <row r="159">
          <cell r="C159">
            <v>544847</v>
          </cell>
          <cell r="E159">
            <v>10060.173105477321</v>
          </cell>
        </row>
        <row r="160">
          <cell r="C160">
            <v>382425</v>
          </cell>
          <cell r="E160">
            <v>10929.10675818788</v>
          </cell>
        </row>
        <row r="161">
          <cell r="C161">
            <v>162422</v>
          </cell>
          <cell r="E161">
            <v>8014.2559751757599</v>
          </cell>
        </row>
        <row r="183">
          <cell r="C183">
            <v>387503</v>
          </cell>
          <cell r="E183">
            <v>14128.453457134519</v>
          </cell>
        </row>
        <row r="184">
          <cell r="C184">
            <v>263213</v>
          </cell>
          <cell r="E184">
            <v>13916.79517349068</v>
          </cell>
        </row>
        <row r="298">
          <cell r="D298">
            <v>244420</v>
          </cell>
          <cell r="E298">
            <v>2939.5345511823898</v>
          </cell>
        </row>
        <row r="299">
          <cell r="D299">
            <v>171135</v>
          </cell>
          <cell r="E299">
            <v>2775.90969117948</v>
          </cell>
        </row>
        <row r="300">
          <cell r="D300">
            <v>73279</v>
          </cell>
          <cell r="E300">
            <v>3321.9030008597301</v>
          </cell>
        </row>
        <row r="320">
          <cell r="B320">
            <v>68612</v>
          </cell>
          <cell r="C320">
            <v>98261</v>
          </cell>
          <cell r="D320">
            <v>166873</v>
          </cell>
        </row>
        <row r="331">
          <cell r="B331">
            <v>161586</v>
          </cell>
          <cell r="C331">
            <v>42360</v>
          </cell>
          <cell r="D331">
            <v>203946</v>
          </cell>
        </row>
        <row r="425">
          <cell r="C425">
            <v>67370</v>
          </cell>
        </row>
        <row r="433">
          <cell r="D433">
            <v>31.063183500000001</v>
          </cell>
        </row>
        <row r="434">
          <cell r="D434">
            <v>81.416474699999995</v>
          </cell>
        </row>
        <row r="442">
          <cell r="D442">
            <v>122.1733272</v>
          </cell>
        </row>
        <row r="443">
          <cell r="D443">
            <v>111.9362459</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220-10H45S33-PROGRAM-MAJO_NS"/>
    </sheetNames>
    <sheetDataSet>
      <sheetData sheetId="0">
        <row r="27">
          <cell r="A27">
            <v>162010</v>
          </cell>
          <cell r="C27">
            <v>62.780302200000001</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604-09H51S15-PROGRAM-MAJO_NS"/>
    </sheetNames>
    <sheetDataSet>
      <sheetData sheetId="0">
        <row r="9">
          <cell r="A9">
            <v>159781</v>
          </cell>
          <cell r="C9">
            <v>63.434384700000003</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_NSA_2T_2019"/>
    </sheetNames>
    <sheetDataSet>
      <sheetData sheetId="0">
        <row r="15">
          <cell r="A15">
            <v>158183</v>
          </cell>
          <cell r="C15">
            <v>64.066493399999999</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27-15H51S07-PROGRAM-MAJO_NS"/>
    </sheetNames>
    <sheetDataSet>
      <sheetData sheetId="0">
        <row r="21">
          <cell r="A21">
            <v>156043</v>
          </cell>
          <cell r="C21">
            <v>64.503572899999995</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19-10H24S53-PROGRAM-MAJO_NS"/>
    </sheetNames>
    <sheetDataSet>
      <sheetData sheetId="0">
        <row r="27">
          <cell r="A27">
            <v>154957</v>
          </cell>
          <cell r="C27">
            <v>64.914934099999996</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_NSA_1T_2020"/>
      <sheetName val="MAJO_NSA_2T_2020"/>
    </sheetNames>
    <sheetDataSet>
      <sheetData sheetId="0" refreshError="1">
        <row r="18">
          <cell r="A18">
            <v>152815</v>
          </cell>
          <cell r="C18">
            <v>65.7116781</v>
          </cell>
        </row>
      </sheetData>
      <sheetData sheetId="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_NSA_2T_2020"/>
      <sheetName val="MAJO_NSA_3T_2020"/>
    </sheetNames>
    <sheetDataSet>
      <sheetData sheetId="0" refreshError="1">
        <row r="24">
          <cell r="A24">
            <v>151036</v>
          </cell>
          <cell r="C24">
            <v>65.984106600000004</v>
          </cell>
        </row>
      </sheetData>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0125_12h13m47s_meyerjsMAJO_"/>
    </sheetNames>
    <sheetDataSet>
      <sheetData sheetId="0">
        <row r="30">
          <cell r="A30">
            <v>149448</v>
          </cell>
          <cell r="C30">
            <v>66.182888199999994</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FEB2021_11h47m10s_m93urouMAJO"/>
    </sheetNames>
    <sheetDataSet>
      <sheetData sheetId="0">
        <row r="36">
          <cell r="A36">
            <v>148157</v>
          </cell>
          <cell r="C36">
            <v>66.407589599999994</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JUN2021_10h31m22s_m93urouMAJO"/>
    </sheetNames>
    <sheetDataSet>
      <sheetData sheetId="0">
        <row r="18">
          <cell r="A18">
            <v>147147</v>
          </cell>
          <cell r="C18">
            <v>67.802847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4_3T"/>
    </sheetNames>
    <sheetDataSet>
      <sheetData sheetId="0">
        <row r="9">
          <cell r="B9">
            <v>499620</v>
          </cell>
        </row>
        <row r="10">
          <cell r="B10">
            <v>605432</v>
          </cell>
        </row>
        <row r="11">
          <cell r="B11">
            <v>1105052</v>
          </cell>
        </row>
        <row r="16">
          <cell r="A16">
            <v>456582</v>
          </cell>
          <cell r="B16">
            <v>334</v>
          </cell>
          <cell r="C16">
            <v>3927</v>
          </cell>
          <cell r="D16">
            <v>3009</v>
          </cell>
        </row>
        <row r="21">
          <cell r="A21">
            <v>791998</v>
          </cell>
          <cell r="B21">
            <v>87045</v>
          </cell>
          <cell r="C21">
            <v>225769</v>
          </cell>
          <cell r="D21">
            <v>240</v>
          </cell>
        </row>
        <row r="26">
          <cell r="A26">
            <v>541924</v>
          </cell>
          <cell r="B26">
            <v>100057</v>
          </cell>
          <cell r="C26">
            <v>150017</v>
          </cell>
          <cell r="D26">
            <v>312815</v>
          </cell>
          <cell r="E26">
            <v>239</v>
          </cell>
        </row>
        <row r="31">
          <cell r="E31">
            <v>5963.1030004895601</v>
          </cell>
        </row>
        <row r="32">
          <cell r="E32">
            <v>6612.9000840638801</v>
          </cell>
        </row>
        <row r="33">
          <cell r="E33">
            <v>5426.8725358545198</v>
          </cell>
        </row>
        <row r="38">
          <cell r="E38">
            <v>5963.1030004895601</v>
          </cell>
        </row>
        <row r="39">
          <cell r="E39">
            <v>5561.7863669300004</v>
          </cell>
        </row>
        <row r="40">
          <cell r="E40">
            <v>962.01973184922804</v>
          </cell>
        </row>
        <row r="41">
          <cell r="E41">
            <v>9300.6343779340805</v>
          </cell>
        </row>
        <row r="47">
          <cell r="E47">
            <v>5963.1030004895601</v>
          </cell>
        </row>
        <row r="48">
          <cell r="E48">
            <v>7196.8671400417597</v>
          </cell>
        </row>
        <row r="49">
          <cell r="E49">
            <v>3989.1273973834918</v>
          </cell>
        </row>
        <row r="50">
          <cell r="E50">
            <v>705.45550533936</v>
          </cell>
        </row>
        <row r="51">
          <cell r="E51">
            <v>6979.9409746975198</v>
          </cell>
        </row>
        <row r="57">
          <cell r="F57">
            <v>78.993866357541194</v>
          </cell>
        </row>
        <row r="58">
          <cell r="F58">
            <v>76.644850422009696</v>
          </cell>
        </row>
        <row r="59">
          <cell r="F59">
            <v>81.910010808821895</v>
          </cell>
        </row>
        <row r="60">
          <cell r="F60">
            <v>86.111233148505804</v>
          </cell>
        </row>
        <row r="81">
          <cell r="D81">
            <v>778509</v>
          </cell>
        </row>
        <row r="82">
          <cell r="D82">
            <v>1018007</v>
          </cell>
        </row>
        <row r="87">
          <cell r="D87">
            <v>96.533569628945202</v>
          </cell>
        </row>
        <row r="94">
          <cell r="A94">
            <v>16</v>
          </cell>
          <cell r="B94">
            <v>92</v>
          </cell>
          <cell r="C94">
            <v>152</v>
          </cell>
        </row>
        <row r="99">
          <cell r="C99">
            <v>240956</v>
          </cell>
          <cell r="E99">
            <v>11784.10503162404</v>
          </cell>
        </row>
        <row r="100">
          <cell r="C100">
            <v>159518</v>
          </cell>
          <cell r="E100">
            <v>11239.842726212721</v>
          </cell>
        </row>
        <row r="101">
          <cell r="C101">
            <v>8074</v>
          </cell>
          <cell r="E101">
            <v>9202.5940054496004</v>
          </cell>
        </row>
        <row r="102">
          <cell r="C102">
            <v>1389</v>
          </cell>
          <cell r="E102">
            <v>10336.426205903521</v>
          </cell>
        </row>
        <row r="103">
          <cell r="C103">
            <v>71943</v>
          </cell>
          <cell r="E103">
            <v>13307.0769359076</v>
          </cell>
        </row>
        <row r="104">
          <cell r="C104">
            <v>32</v>
          </cell>
        </row>
        <row r="111">
          <cell r="B111">
            <v>310743</v>
          </cell>
        </row>
        <row r="112">
          <cell r="B112">
            <v>320860</v>
          </cell>
        </row>
        <row r="117">
          <cell r="E117">
            <v>10843.83568907112</v>
          </cell>
        </row>
        <row r="118">
          <cell r="E118">
            <v>11942.026671301801</v>
          </cell>
        </row>
        <row r="119">
          <cell r="E119">
            <v>9780.2064682666005</v>
          </cell>
        </row>
        <row r="124">
          <cell r="E124">
            <v>10843.83568907112</v>
          </cell>
        </row>
        <row r="125">
          <cell r="C125">
            <v>514569</v>
          </cell>
          <cell r="E125">
            <v>10414.9565636484</v>
          </cell>
        </row>
        <row r="126">
          <cell r="C126">
            <v>25948</v>
          </cell>
          <cell r="E126">
            <v>6472.1598581778799</v>
          </cell>
        </row>
        <row r="127">
          <cell r="C127">
            <v>90920</v>
          </cell>
          <cell r="E127">
            <v>14518.760316762</v>
          </cell>
        </row>
        <row r="132">
          <cell r="E132">
            <v>10843.83568907112</v>
          </cell>
        </row>
        <row r="133">
          <cell r="C133">
            <v>405848</v>
          </cell>
          <cell r="E133">
            <v>10741.51162996984</v>
          </cell>
        </row>
        <row r="134">
          <cell r="C134">
            <v>51864</v>
          </cell>
          <cell r="E134">
            <v>6791.7834335955604</v>
          </cell>
        </row>
        <row r="135">
          <cell r="C135">
            <v>4186</v>
          </cell>
          <cell r="E135">
            <v>8816.4911610129202</v>
          </cell>
        </row>
        <row r="136">
          <cell r="C136">
            <v>169470</v>
          </cell>
          <cell r="E136">
            <v>12378.9443795362</v>
          </cell>
        </row>
        <row r="142">
          <cell r="C142">
            <v>238400</v>
          </cell>
          <cell r="E142">
            <v>13996.64234899328</v>
          </cell>
        </row>
        <row r="143">
          <cell r="C143">
            <v>158355</v>
          </cell>
          <cell r="E143">
            <v>13685.656000757799</v>
          </cell>
        </row>
        <row r="144">
          <cell r="C144">
            <v>7740</v>
          </cell>
          <cell r="E144">
            <v>9622.1958656330808</v>
          </cell>
        </row>
        <row r="145">
          <cell r="C145">
            <v>1341</v>
          </cell>
          <cell r="E145">
            <v>10762.08799403432</v>
          </cell>
        </row>
        <row r="146">
          <cell r="C146">
            <v>70939</v>
          </cell>
          <cell r="E146">
            <v>15228.05875470476</v>
          </cell>
        </row>
        <row r="147">
          <cell r="C147">
            <v>25</v>
          </cell>
        </row>
        <row r="152">
          <cell r="C152">
            <v>228598</v>
          </cell>
          <cell r="D152">
            <v>141.60126591900701</v>
          </cell>
        </row>
        <row r="159">
          <cell r="C159">
            <v>541924</v>
          </cell>
          <cell r="E159">
            <v>10108.87424804956</v>
          </cell>
        </row>
        <row r="160">
          <cell r="C160">
            <v>380345</v>
          </cell>
          <cell r="E160">
            <v>10977.261423181601</v>
          </cell>
        </row>
        <row r="161">
          <cell r="C161">
            <v>161579</v>
          </cell>
          <cell r="E161">
            <v>8064.7551476367598</v>
          </cell>
        </row>
        <row r="183">
          <cell r="C183">
            <v>384804</v>
          </cell>
          <cell r="E183">
            <v>14158.989366014919</v>
          </cell>
        </row>
        <row r="184">
          <cell r="C184">
            <v>261909</v>
          </cell>
          <cell r="E184">
            <v>13953.73602281708</v>
          </cell>
        </row>
        <row r="299">
          <cell r="D299">
            <v>240956</v>
          </cell>
          <cell r="E299">
            <v>2946.02625790601</v>
          </cell>
        </row>
        <row r="300">
          <cell r="D300">
            <v>169001</v>
          </cell>
          <cell r="E300">
            <v>2783.9942367204899</v>
          </cell>
        </row>
        <row r="301">
          <cell r="D301">
            <v>71948</v>
          </cell>
          <cell r="E301">
            <v>3326.9151748485001</v>
          </cell>
        </row>
        <row r="321">
          <cell r="B321">
            <v>68487</v>
          </cell>
          <cell r="C321">
            <v>96896</v>
          </cell>
          <cell r="D321">
            <v>165383</v>
          </cell>
        </row>
        <row r="332">
          <cell r="B332">
            <v>159558</v>
          </cell>
          <cell r="C332">
            <v>41820</v>
          </cell>
          <cell r="D332">
            <v>201378</v>
          </cell>
        </row>
        <row r="426">
          <cell r="C426">
            <v>67956</v>
          </cell>
        </row>
        <row r="434">
          <cell r="D434">
            <v>31.000244599999998</v>
          </cell>
        </row>
        <row r="435">
          <cell r="D435">
            <v>80.729088700000005</v>
          </cell>
        </row>
        <row r="443">
          <cell r="D443">
            <v>122.38033919999999</v>
          </cell>
        </row>
        <row r="444">
          <cell r="D444">
            <v>112.0704289</v>
          </cell>
        </row>
      </sheetData>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JO_NSA_2T_2021"/>
    </sheetNames>
    <sheetDataSet>
      <sheetData sheetId="0">
        <row r="24">
          <cell r="A24">
            <v>143618</v>
          </cell>
          <cell r="C24">
            <v>68.409885799999998</v>
          </cell>
        </row>
      </sheetData>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NOV2021_56059_m93urou.MAJO_NS"/>
    </sheetNames>
    <sheetDataSet>
      <sheetData sheetId="0">
        <row r="30">
          <cell r="A30">
            <v>145464</v>
          </cell>
          <cell r="C30">
            <v>68.923515800000004</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1_4T"/>
    </sheetNames>
    <sheetDataSet>
      <sheetData sheetId="0">
        <row r="32">
          <cell r="A32">
            <v>144072</v>
          </cell>
          <cell r="C32">
            <v>69.341755300000003</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2_1T"/>
    </sheetNames>
    <sheetDataSet>
      <sheetData sheetId="0">
        <row r="14">
          <cell r="A14">
            <v>187948</v>
          </cell>
          <cell r="C14">
            <v>105.34419990000001</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2_2T"/>
    </sheetNames>
    <sheetDataSet>
      <sheetData sheetId="0" refreshError="1">
        <row r="20">
          <cell r="A20">
            <v>187715</v>
          </cell>
          <cell r="C20">
            <v>105.5419897</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2_2T"/>
    </sheetNames>
    <sheetDataSet>
      <sheetData sheetId="0">
        <row r="26">
          <cell r="A26">
            <v>184562</v>
          </cell>
          <cell r="C26">
            <v>109.8049383</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2_4T"/>
    </sheetNames>
    <sheetDataSet>
      <sheetData sheetId="0">
        <row r="32">
          <cell r="A32">
            <v>182701</v>
          </cell>
          <cell r="C32">
            <v>110.0781258</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3_&amp;trim.T"/>
    </sheetNames>
    <sheetDataSet>
      <sheetData sheetId="0">
        <row r="14">
          <cell r="A14">
            <v>180457</v>
          </cell>
          <cell r="C14">
            <v>110.6603485</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3_3T"/>
    </sheetNames>
    <sheetDataSet>
      <sheetData sheetId="0">
        <row r="20">
          <cell r="A20">
            <v>186435</v>
          </cell>
          <cell r="C20">
            <v>108.27372939999999</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3_3T"/>
      <sheetName val="PMR_NSA_2023_4T"/>
    </sheetNames>
    <sheetDataSet>
      <sheetData sheetId="0">
        <row r="26">
          <cell r="A26">
            <v>183976</v>
          </cell>
          <cell r="C26">
            <v>108.2771564</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S_NSA_2024_4T"/>
    </sheetNames>
    <sheetDataSet>
      <sheetData sheetId="0">
        <row r="9">
          <cell r="B9">
            <v>498084</v>
          </cell>
        </row>
        <row r="10">
          <cell r="B10">
            <v>600703</v>
          </cell>
        </row>
        <row r="11">
          <cell r="B11">
            <v>1098787</v>
          </cell>
        </row>
        <row r="16">
          <cell r="A16">
            <v>452748</v>
          </cell>
          <cell r="B16">
            <v>319</v>
          </cell>
          <cell r="C16">
            <v>3712</v>
          </cell>
          <cell r="D16">
            <v>2974</v>
          </cell>
        </row>
        <row r="21">
          <cell r="A21">
            <v>788121</v>
          </cell>
          <cell r="B21">
            <v>86763</v>
          </cell>
          <cell r="C21">
            <v>223661</v>
          </cell>
          <cell r="D21">
            <v>242</v>
          </cell>
        </row>
        <row r="26">
          <cell r="A26">
            <v>541036</v>
          </cell>
          <cell r="B26">
            <v>98966</v>
          </cell>
          <cell r="C26">
            <v>148119</v>
          </cell>
          <cell r="D26">
            <v>310425</v>
          </cell>
          <cell r="E26">
            <v>241</v>
          </cell>
        </row>
        <row r="31">
          <cell r="E31">
            <v>5965.6342202810802</v>
          </cell>
        </row>
        <row r="32">
          <cell r="E32">
            <v>6627.22966407272</v>
          </cell>
        </row>
        <row r="33">
          <cell r="E33">
            <v>5417.0601245540802</v>
          </cell>
        </row>
        <row r="38">
          <cell r="E38">
            <v>5965.6342202810802</v>
          </cell>
        </row>
        <row r="39">
          <cell r="E39">
            <v>5566.7695239061604</v>
          </cell>
        </row>
        <row r="40">
          <cell r="E40">
            <v>962.25300509886404</v>
          </cell>
        </row>
        <row r="41">
          <cell r="E41">
            <v>9313.1276503484805</v>
          </cell>
        </row>
        <row r="47">
          <cell r="E47">
            <v>5965.6342202810802</v>
          </cell>
        </row>
        <row r="48">
          <cell r="E48">
            <v>7195.5909551305203</v>
          </cell>
        </row>
        <row r="49">
          <cell r="E49">
            <v>3945.7748721783241</v>
          </cell>
        </row>
        <row r="50">
          <cell r="E50">
            <v>702.17862664479196</v>
          </cell>
        </row>
        <row r="51">
          <cell r="E51">
            <v>6979.0582717242396</v>
          </cell>
        </row>
        <row r="57">
          <cell r="F57">
            <v>78.994558545013803</v>
          </cell>
        </row>
        <row r="58">
          <cell r="F58">
            <v>76.640478757817604</v>
          </cell>
        </row>
        <row r="59">
          <cell r="F59">
            <v>81.938755969822097</v>
          </cell>
        </row>
        <row r="60">
          <cell r="F60">
            <v>86.151298408114599</v>
          </cell>
        </row>
        <row r="81">
          <cell r="D81">
            <v>777490</v>
          </cell>
        </row>
        <row r="82">
          <cell r="D82">
            <v>1012023</v>
          </cell>
        </row>
        <row r="87">
          <cell r="D87">
            <v>96.583740961130999</v>
          </cell>
        </row>
        <row r="94">
          <cell r="A94">
            <v>16</v>
          </cell>
          <cell r="B94">
            <v>92</v>
          </cell>
          <cell r="C94">
            <v>152</v>
          </cell>
        </row>
        <row r="99">
          <cell r="C99">
            <v>239097</v>
          </cell>
          <cell r="E99">
            <v>11803.01382284176</v>
          </cell>
        </row>
        <row r="100">
          <cell r="C100">
            <v>158929</v>
          </cell>
          <cell r="E100">
            <v>11261.29811425228</v>
          </cell>
        </row>
        <row r="101">
          <cell r="C101">
            <v>7790</v>
          </cell>
          <cell r="E101">
            <v>9192.9232349165595</v>
          </cell>
        </row>
        <row r="102">
          <cell r="C102">
            <v>1360</v>
          </cell>
          <cell r="E102">
            <v>10340.1588235294</v>
          </cell>
        </row>
        <row r="103">
          <cell r="C103">
            <v>70987</v>
          </cell>
          <cell r="E103">
            <v>13329.9220984124</v>
          </cell>
        </row>
        <row r="104">
          <cell r="C104">
            <v>31</v>
          </cell>
        </row>
        <row r="111">
          <cell r="B111">
            <v>311360</v>
          </cell>
        </row>
        <row r="112">
          <cell r="B112">
            <v>320070</v>
          </cell>
        </row>
        <row r="117">
          <cell r="E117">
            <v>10798.52237888532</v>
          </cell>
        </row>
        <row r="118">
          <cell r="E118">
            <v>11910.493033356999</v>
          </cell>
        </row>
        <row r="119">
          <cell r="E119">
            <v>9716.7254985919608</v>
          </cell>
        </row>
        <row r="124">
          <cell r="E124">
            <v>10798.52237888532</v>
          </cell>
        </row>
        <row r="125">
          <cell r="C125">
            <v>513877</v>
          </cell>
          <cell r="E125">
            <v>10362.930856994961</v>
          </cell>
        </row>
        <row r="126">
          <cell r="C126">
            <v>26049</v>
          </cell>
          <cell r="E126">
            <v>6408.0505201735205</v>
          </cell>
        </row>
        <row r="127">
          <cell r="C127">
            <v>91294</v>
          </cell>
          <cell r="E127">
            <v>14503.123622581999</v>
          </cell>
        </row>
        <row r="132">
          <cell r="E132">
            <v>10798.52237888532</v>
          </cell>
        </row>
        <row r="133">
          <cell r="C133">
            <v>406414</v>
          </cell>
          <cell r="E133">
            <v>10705.499318429</v>
          </cell>
        </row>
        <row r="134">
          <cell r="C134">
            <v>51353</v>
          </cell>
          <cell r="E134">
            <v>6684.0563939789199</v>
          </cell>
        </row>
        <row r="135">
          <cell r="C135">
            <v>4205</v>
          </cell>
          <cell r="E135">
            <v>8615.9219976218792</v>
          </cell>
        </row>
        <row r="136">
          <cell r="C136">
            <v>169180</v>
          </cell>
          <cell r="E136">
            <v>12325.538125073879</v>
          </cell>
        </row>
        <row r="142">
          <cell r="C142">
            <v>236590</v>
          </cell>
          <cell r="E142">
            <v>14018.92972653112</v>
          </cell>
        </row>
        <row r="143">
          <cell r="C143">
            <v>157755</v>
          </cell>
          <cell r="E143">
            <v>13703.81038952808</v>
          </cell>
        </row>
        <row r="144">
          <cell r="C144">
            <v>7468</v>
          </cell>
          <cell r="E144">
            <v>9612.4574183181594</v>
          </cell>
        </row>
        <row r="145">
          <cell r="C145">
            <v>1315</v>
          </cell>
          <cell r="E145">
            <v>10783.05399239544</v>
          </cell>
        </row>
        <row r="146">
          <cell r="C146">
            <v>70029</v>
          </cell>
          <cell r="E146">
            <v>15259.355923974361</v>
          </cell>
        </row>
        <row r="147">
          <cell r="C147">
            <v>23</v>
          </cell>
        </row>
        <row r="152">
          <cell r="C152">
            <v>226297</v>
          </cell>
          <cell r="D152">
            <v>141.656852861076</v>
          </cell>
        </row>
        <row r="159">
          <cell r="C159">
            <v>541035</v>
          </cell>
          <cell r="E159">
            <v>10141.27161459056</v>
          </cell>
        </row>
        <row r="160">
          <cell r="C160">
            <v>379810</v>
          </cell>
          <cell r="E160">
            <v>11019.35828967116</v>
          </cell>
        </row>
        <row r="161">
          <cell r="C161">
            <v>161225</v>
          </cell>
          <cell r="E161">
            <v>8072.69602108856</v>
          </cell>
        </row>
        <row r="183">
          <cell r="C183">
            <v>384034</v>
          </cell>
          <cell r="E183">
            <v>14218.772962810601</v>
          </cell>
        </row>
        <row r="184">
          <cell r="C184">
            <v>262245</v>
          </cell>
          <cell r="E184">
            <v>14011.36325192092</v>
          </cell>
        </row>
        <row r="298">
          <cell r="D298">
            <v>239097</v>
          </cell>
          <cell r="E298">
            <v>2950.75345571044</v>
          </cell>
        </row>
        <row r="299">
          <cell r="D299">
            <v>168100</v>
          </cell>
          <cell r="E299">
            <v>2789.5971445568098</v>
          </cell>
        </row>
        <row r="300">
          <cell r="D300">
            <v>70992</v>
          </cell>
          <cell r="E300">
            <v>3332.5588657877001</v>
          </cell>
        </row>
        <row r="320">
          <cell r="B320">
            <v>67144</v>
          </cell>
          <cell r="C320">
            <v>94810</v>
          </cell>
          <cell r="D320">
            <v>161954</v>
          </cell>
        </row>
        <row r="331">
          <cell r="B331">
            <v>157637</v>
          </cell>
          <cell r="C331">
            <v>41344</v>
          </cell>
          <cell r="D331">
            <v>198981</v>
          </cell>
        </row>
        <row r="425">
          <cell r="C425">
            <v>66549</v>
          </cell>
        </row>
        <row r="433">
          <cell r="D433">
            <v>31.0446825</v>
          </cell>
        </row>
        <row r="434">
          <cell r="D434">
            <v>79.990070799999998</v>
          </cell>
        </row>
        <row r="442">
          <cell r="D442">
            <v>122.5169059</v>
          </cell>
        </row>
        <row r="443">
          <cell r="D443">
            <v>112.1511385</v>
          </cell>
        </row>
      </sheetData>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3_4T"/>
    </sheetNames>
    <sheetDataSet>
      <sheetData sheetId="0">
        <row r="32">
          <cell r="A32">
            <v>181500</v>
          </cell>
          <cell r="C32">
            <v>107.7207391</v>
          </cell>
        </row>
      </sheetData>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4_IF TRIM  = 1T"/>
    </sheetNames>
    <sheetDataSet>
      <sheetData sheetId="0">
        <row r="14">
          <cell r="A14">
            <v>179358</v>
          </cell>
          <cell r="C14">
            <v>113.421035</v>
          </cell>
        </row>
      </sheetData>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4_IF TRIM  = 2T"/>
    </sheetNames>
    <sheetDataSet>
      <sheetData sheetId="0">
        <row r="20">
          <cell r="A20">
            <v>177779</v>
          </cell>
          <cell r="C20">
            <v>113.9150133</v>
          </cell>
        </row>
      </sheetData>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4_3T"/>
    </sheetNames>
    <sheetDataSet>
      <sheetData sheetId="0">
        <row r="26">
          <cell r="A26">
            <v>177656</v>
          </cell>
          <cell r="C26">
            <v>113.2323798</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R_NSA_2024_IF TRIM  =     "/>
    </sheetNames>
    <sheetDataSet>
      <sheetData sheetId="0">
        <row r="32">
          <cell r="A32">
            <v>175417</v>
          </cell>
          <cell r="C32">
            <v>113.38056709999999</v>
          </cell>
        </row>
      </sheetData>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3331"/>
      <sheetName val="33332"/>
      <sheetName val="333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96">
          <cell r="D96">
            <v>1633</v>
          </cell>
          <cell r="E96">
            <v>1379</v>
          </cell>
        </row>
        <row r="101">
          <cell r="D101">
            <v>9251</v>
          </cell>
          <cell r="E101">
            <v>19173</v>
          </cell>
        </row>
      </sheetData>
      <sheetData sheetId="29"/>
      <sheetData sheetId="30"/>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3331"/>
      <sheetName val="33332"/>
      <sheetName val="333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96">
          <cell r="D96">
            <v>1667</v>
          </cell>
          <cell r="E96">
            <v>1411</v>
          </cell>
        </row>
        <row r="101">
          <cell r="D101">
            <v>12747</v>
          </cell>
          <cell r="E101">
            <v>20307</v>
          </cell>
        </row>
      </sheetData>
      <sheetData sheetId="29"/>
      <sheetData sheetId="30"/>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61"/>
      <sheetName val="30162"/>
      <sheetName val="30163"/>
      <sheetName val="30170"/>
      <sheetName val="3022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96">
          <cell r="D96">
            <v>1544</v>
          </cell>
          <cell r="E96">
            <v>1600</v>
          </cell>
        </row>
        <row r="101">
          <cell r="D101">
            <v>8944</v>
          </cell>
          <cell r="E101">
            <v>22008</v>
          </cell>
        </row>
      </sheetData>
      <sheetData sheetId="25"/>
      <sheetData sheetId="26"/>
      <sheetData sheetId="27"/>
      <sheetData sheetId="28"/>
      <sheetData sheetId="29"/>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61"/>
      <sheetName val="30162"/>
      <sheetName val="30163"/>
      <sheetName val="30170"/>
      <sheetName val="3022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96">
          <cell r="D96">
            <v>1690</v>
          </cell>
          <cell r="E96">
            <v>1440</v>
          </cell>
        </row>
        <row r="101">
          <cell r="D101">
            <v>8668</v>
          </cell>
          <cell r="E101">
            <v>19603</v>
          </cell>
        </row>
      </sheetData>
      <sheetData sheetId="25"/>
      <sheetData sheetId="26"/>
      <sheetData sheetId="27"/>
      <sheetData sheetId="28"/>
      <sheetData sheetId="29"/>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190"/>
      <sheetName val="30191"/>
      <sheetName val="RCO STOCK "/>
      <sheetName val="RCO FLUX "/>
      <sheetName val="3011"/>
      <sheetName val="3015"/>
      <sheetName val="30110"/>
      <sheetName val="30114"/>
      <sheetName val="30115"/>
      <sheetName val="30116"/>
      <sheetName val="30117"/>
      <sheetName val="30123"/>
      <sheetName val="30124"/>
      <sheetName val="30125"/>
      <sheetName val="30126"/>
      <sheetName val="30127"/>
      <sheetName val="30128"/>
      <sheetName val="30129"/>
      <sheetName val="30130"/>
      <sheetName val="30131"/>
      <sheetName val="30132"/>
      <sheetName val="30151"/>
      <sheetName val="30152"/>
      <sheetName val="30161"/>
      <sheetName val="30162"/>
      <sheetName val="30163"/>
      <sheetName val="30170"/>
      <sheetName val="30222"/>
      <sheetName val="33331"/>
      <sheetName val="33332"/>
      <sheetName val="33333"/>
      <sheetName val="ODRA-DEPT "/>
      <sheetName val="ODRA-CAN1 "/>
      <sheetName val="ODRA-CAN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96">
          <cell r="D96">
            <v>1617</v>
          </cell>
          <cell r="E96">
            <v>1309</v>
          </cell>
        </row>
        <row r="101">
          <cell r="D101">
            <v>9988</v>
          </cell>
          <cell r="E101">
            <v>18561</v>
          </cell>
        </row>
      </sheetData>
      <sheetData sheetId="29"/>
      <sheetData sheetId="30"/>
      <sheetData sheetId="31"/>
      <sheetData sheetId="32"/>
      <sheetData sheetId="3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diot.sebastien@ccmsa.msa.fr" TargetMode="External"/><Relationship Id="rId2" Type="http://schemas.openxmlformats.org/officeDocument/2006/relationships/hyperlink" Target="mailto:clerc.marie-laure@ccmsa.msa.fr" TargetMode="External"/><Relationship Id="rId1" Type="http://schemas.openxmlformats.org/officeDocument/2006/relationships/hyperlink" Target="mailto:joubert.nadia@ccmsa.msa.fr" TargetMode="External"/><Relationship Id="rId5" Type="http://schemas.openxmlformats.org/officeDocument/2006/relationships/printerSettings" Target="../printerSettings/printerSettings1.bin"/><Relationship Id="rId4" Type="http://schemas.openxmlformats.org/officeDocument/2006/relationships/hyperlink" Target="mailto:hengel.audrey@ccmsa.msa.fr"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D5C6-046F-4CFA-95D4-82129B6CDCFF}">
  <sheetPr>
    <tabColor indexed="47"/>
  </sheetPr>
  <dimension ref="A1:BA463"/>
  <sheetViews>
    <sheetView showGridLines="0" tabSelected="1" workbookViewId="0">
      <selection activeCell="A6" sqref="A6:J6"/>
    </sheetView>
  </sheetViews>
  <sheetFormatPr baseColWidth="10" defaultColWidth="11.453125" defaultRowHeight="12.5" x14ac:dyDescent="0.25"/>
  <cols>
    <col min="10" max="10" width="11.81640625" customWidth="1"/>
    <col min="11" max="53" width="11.453125" style="496"/>
  </cols>
  <sheetData>
    <row r="1" spans="1:10" ht="18.5" thickTop="1" x14ac:dyDescent="0.4">
      <c r="A1" s="493"/>
      <c r="B1" s="494"/>
      <c r="C1" s="494"/>
      <c r="D1" s="494"/>
      <c r="E1" s="494"/>
      <c r="F1" s="494"/>
      <c r="G1" s="494"/>
      <c r="H1" s="494"/>
      <c r="I1" s="494"/>
      <c r="J1" s="495" t="s">
        <v>301</v>
      </c>
    </row>
    <row r="2" spans="1:10" x14ac:dyDescent="0.25">
      <c r="A2" s="497"/>
      <c r="J2" s="498"/>
    </row>
    <row r="3" spans="1:10" x14ac:dyDescent="0.25">
      <c r="A3" s="497"/>
      <c r="J3" s="498"/>
    </row>
    <row r="4" spans="1:10" x14ac:dyDescent="0.25">
      <c r="A4" s="497"/>
      <c r="J4" s="498"/>
    </row>
    <row r="5" spans="1:10" ht="27.65" customHeight="1" x14ac:dyDescent="0.25">
      <c r="A5" s="499" t="s">
        <v>291</v>
      </c>
      <c r="B5" s="500"/>
      <c r="C5" s="500"/>
      <c r="D5" s="500"/>
      <c r="E5" s="500"/>
      <c r="F5" s="500"/>
      <c r="G5" s="500"/>
      <c r="H5" s="500"/>
      <c r="I5" s="500"/>
      <c r="J5" s="501"/>
    </row>
    <row r="6" spans="1:10" ht="31" customHeight="1" x14ac:dyDescent="0.25">
      <c r="A6" s="499" t="s">
        <v>302</v>
      </c>
      <c r="B6" s="500"/>
      <c r="C6" s="500"/>
      <c r="D6" s="500"/>
      <c r="E6" s="500"/>
      <c r="F6" s="500"/>
      <c r="G6" s="500"/>
      <c r="H6" s="500"/>
      <c r="I6" s="500"/>
      <c r="J6" s="501"/>
    </row>
    <row r="7" spans="1:10" ht="30" customHeight="1" x14ac:dyDescent="0.25">
      <c r="A7" s="499" t="s">
        <v>303</v>
      </c>
      <c r="B7" s="500"/>
      <c r="C7" s="500"/>
      <c r="D7" s="500"/>
      <c r="E7" s="500"/>
      <c r="F7" s="500"/>
      <c r="G7" s="500"/>
      <c r="H7" s="500"/>
      <c r="I7" s="500"/>
      <c r="J7" s="501"/>
    </row>
    <row r="8" spans="1:10" ht="30" customHeight="1" x14ac:dyDescent="0.25">
      <c r="A8" s="502"/>
      <c r="B8" s="503"/>
      <c r="C8" s="503"/>
      <c r="D8" s="503"/>
      <c r="E8" s="503"/>
      <c r="F8" s="503"/>
      <c r="G8" s="503"/>
      <c r="H8" s="503"/>
      <c r="I8" s="503"/>
      <c r="J8" s="504"/>
    </row>
    <row r="9" spans="1:10" x14ac:dyDescent="0.25">
      <c r="A9" s="497"/>
      <c r="J9" s="498"/>
    </row>
    <row r="10" spans="1:10" x14ac:dyDescent="0.25">
      <c r="A10" s="505" t="s">
        <v>292</v>
      </c>
      <c r="B10" s="506"/>
      <c r="C10" s="506"/>
      <c r="D10" s="506"/>
      <c r="E10" s="506"/>
      <c r="J10" s="498"/>
    </row>
    <row r="11" spans="1:10" ht="20" x14ac:dyDescent="0.4">
      <c r="A11" s="507" t="s">
        <v>304</v>
      </c>
      <c r="B11" s="508"/>
      <c r="C11" s="508"/>
      <c r="D11" s="508"/>
      <c r="E11" s="508"/>
      <c r="F11" s="508"/>
      <c r="G11" s="508"/>
      <c r="H11" s="508"/>
      <c r="I11" s="509"/>
      <c r="J11" s="498"/>
    </row>
    <row r="12" spans="1:10" ht="20" x14ac:dyDescent="0.4">
      <c r="A12" s="510" t="s">
        <v>293</v>
      </c>
      <c r="B12" s="508"/>
      <c r="C12" s="508"/>
      <c r="D12" s="508"/>
      <c r="E12" s="508"/>
      <c r="F12" s="508"/>
      <c r="G12" s="508"/>
      <c r="H12" s="508"/>
      <c r="I12" s="509"/>
      <c r="J12" s="498"/>
    </row>
    <row r="13" spans="1:10" ht="20" x14ac:dyDescent="0.4">
      <c r="A13" s="510" t="s">
        <v>294</v>
      </c>
      <c r="B13" s="508"/>
      <c r="C13" s="508"/>
      <c r="D13" s="508"/>
      <c r="E13" s="508"/>
      <c r="F13" s="508"/>
      <c r="G13" s="508"/>
      <c r="H13" s="508"/>
      <c r="I13" s="509"/>
      <c r="J13" s="498"/>
    </row>
    <row r="14" spans="1:10" ht="20" x14ac:dyDescent="0.4">
      <c r="A14" s="511" t="s">
        <v>295</v>
      </c>
      <c r="B14" s="508"/>
      <c r="C14" s="508"/>
      <c r="D14" s="508"/>
      <c r="E14" s="508"/>
      <c r="F14" s="508"/>
      <c r="G14" s="508"/>
      <c r="H14" s="508"/>
      <c r="I14" s="509"/>
      <c r="J14" s="498"/>
    </row>
    <row r="15" spans="1:10" ht="20" x14ac:dyDescent="0.4">
      <c r="A15" s="512"/>
      <c r="B15" s="508"/>
      <c r="C15" s="508"/>
      <c r="D15" s="508"/>
      <c r="E15" s="508"/>
      <c r="F15" s="508"/>
      <c r="G15" s="508"/>
      <c r="H15" s="508"/>
      <c r="I15" s="509"/>
      <c r="J15" s="498"/>
    </row>
    <row r="16" spans="1:10" ht="20" x14ac:dyDescent="0.4">
      <c r="A16" s="523" t="s">
        <v>305</v>
      </c>
      <c r="B16" s="513"/>
      <c r="C16" s="513"/>
      <c r="D16" s="513"/>
      <c r="E16" s="513"/>
      <c r="F16" s="513"/>
      <c r="G16" s="513"/>
      <c r="H16" s="508"/>
      <c r="I16" s="509"/>
      <c r="J16" s="498"/>
    </row>
    <row r="17" spans="1:10" ht="20" x14ac:dyDescent="0.4">
      <c r="A17" s="514" t="s">
        <v>296</v>
      </c>
      <c r="B17" s="515"/>
      <c r="C17" s="515"/>
      <c r="D17" s="515"/>
      <c r="E17" s="515"/>
      <c r="F17" s="515"/>
      <c r="G17" s="515"/>
      <c r="H17" s="515"/>
      <c r="I17" s="509"/>
      <c r="J17" s="498"/>
    </row>
    <row r="18" spans="1:10" ht="20" x14ac:dyDescent="0.25">
      <c r="A18" s="511"/>
      <c r="B18" s="516"/>
      <c r="C18" s="516"/>
      <c r="D18" s="516"/>
      <c r="E18" s="516"/>
      <c r="F18" s="516"/>
      <c r="G18" s="516"/>
      <c r="H18" s="516"/>
      <c r="I18" s="517"/>
      <c r="J18" s="498"/>
    </row>
    <row r="19" spans="1:10" ht="20" x14ac:dyDescent="0.25">
      <c r="A19" s="510" t="s">
        <v>297</v>
      </c>
      <c r="B19" s="516"/>
      <c r="C19" s="516"/>
      <c r="D19" s="516"/>
      <c r="E19" s="516"/>
      <c r="F19" s="516"/>
      <c r="G19" s="516"/>
      <c r="H19" s="516"/>
      <c r="I19" s="517"/>
      <c r="J19" s="498"/>
    </row>
    <row r="20" spans="1:10" ht="20" x14ac:dyDescent="0.25">
      <c r="A20" s="514" t="s">
        <v>298</v>
      </c>
      <c r="B20" s="515"/>
      <c r="C20" s="515"/>
      <c r="D20" s="515"/>
      <c r="E20" s="515"/>
      <c r="F20" s="515"/>
      <c r="G20" s="515"/>
      <c r="H20" s="515"/>
      <c r="I20" s="517"/>
      <c r="J20" s="498"/>
    </row>
    <row r="21" spans="1:10" ht="20" x14ac:dyDescent="0.4">
      <c r="A21" s="518"/>
      <c r="B21" s="508"/>
      <c r="C21" s="508"/>
      <c r="D21" s="508"/>
      <c r="E21" s="508"/>
      <c r="F21" s="508"/>
      <c r="G21" s="508"/>
      <c r="H21" s="508"/>
      <c r="I21" s="509"/>
      <c r="J21" s="498"/>
    </row>
    <row r="22" spans="1:10" ht="20" x14ac:dyDescent="0.4">
      <c r="A22" s="510" t="s">
        <v>299</v>
      </c>
      <c r="B22" s="513"/>
      <c r="C22" s="513"/>
      <c r="D22" s="513"/>
      <c r="E22" s="513"/>
      <c r="F22" s="513"/>
      <c r="G22" s="513"/>
      <c r="H22" s="508"/>
      <c r="I22" s="509"/>
      <c r="J22" s="498"/>
    </row>
    <row r="23" spans="1:10" ht="20.5" thickBot="1" x14ac:dyDescent="0.3">
      <c r="A23" s="519" t="s">
        <v>300</v>
      </c>
      <c r="B23" s="520"/>
      <c r="C23" s="520"/>
      <c r="D23" s="520"/>
      <c r="E23" s="520"/>
      <c r="F23" s="520"/>
      <c r="G23" s="520"/>
      <c r="H23" s="520"/>
      <c r="I23" s="521"/>
      <c r="J23" s="522"/>
    </row>
    <row r="24" spans="1:10" s="496" customFormat="1" ht="13" thickTop="1" x14ac:dyDescent="0.25"/>
    <row r="25" spans="1:10" s="496" customFormat="1" x14ac:dyDescent="0.25"/>
    <row r="26" spans="1:10" s="496" customFormat="1" x14ac:dyDescent="0.25"/>
    <row r="27" spans="1:10" s="496" customFormat="1" x14ac:dyDescent="0.25"/>
    <row r="28" spans="1:10" s="496" customFormat="1" x14ac:dyDescent="0.25"/>
    <row r="29" spans="1:10" s="496" customFormat="1" x14ac:dyDescent="0.25"/>
    <row r="30" spans="1:10" s="496" customFormat="1" x14ac:dyDescent="0.25"/>
    <row r="31" spans="1:10" s="496" customFormat="1" x14ac:dyDescent="0.25"/>
    <row r="32" spans="1:10" s="496" customFormat="1" x14ac:dyDescent="0.25"/>
    <row r="33" s="496" customFormat="1" x14ac:dyDescent="0.25"/>
    <row r="34" s="496" customFormat="1" x14ac:dyDescent="0.25"/>
    <row r="35" s="496" customFormat="1" x14ac:dyDescent="0.25"/>
    <row r="36" s="496" customFormat="1" x14ac:dyDescent="0.25"/>
    <row r="37" s="496" customFormat="1" x14ac:dyDescent="0.25"/>
    <row r="38" s="496" customFormat="1" x14ac:dyDescent="0.25"/>
    <row r="39" s="496" customFormat="1" x14ac:dyDescent="0.25"/>
    <row r="40" s="496" customFormat="1" x14ac:dyDescent="0.25"/>
    <row r="41" s="496" customFormat="1" x14ac:dyDescent="0.25"/>
    <row r="42" s="496" customFormat="1" x14ac:dyDescent="0.25"/>
    <row r="43" s="496" customFormat="1" x14ac:dyDescent="0.25"/>
    <row r="44" s="496" customFormat="1" x14ac:dyDescent="0.25"/>
    <row r="45" s="496" customFormat="1" x14ac:dyDescent="0.25"/>
    <row r="46" s="496" customFormat="1" x14ac:dyDescent="0.25"/>
    <row r="47" s="496" customFormat="1" x14ac:dyDescent="0.25"/>
    <row r="48" s="496" customFormat="1" x14ac:dyDescent="0.25"/>
    <row r="49" s="496" customFormat="1" x14ac:dyDescent="0.25"/>
    <row r="50" s="496" customFormat="1" x14ac:dyDescent="0.25"/>
    <row r="51" s="496" customFormat="1" x14ac:dyDescent="0.25"/>
    <row r="52" s="496" customFormat="1" x14ac:dyDescent="0.25"/>
    <row r="53" s="496" customFormat="1" x14ac:dyDescent="0.25"/>
    <row r="54" s="496" customFormat="1" x14ac:dyDescent="0.25"/>
    <row r="55" s="496" customFormat="1" x14ac:dyDescent="0.25"/>
    <row r="56" s="496" customFormat="1" x14ac:dyDescent="0.25"/>
    <row r="57" s="496" customFormat="1" x14ac:dyDescent="0.25"/>
    <row r="58" s="496" customFormat="1" x14ac:dyDescent="0.25"/>
    <row r="59" s="496" customFormat="1" x14ac:dyDescent="0.25"/>
    <row r="60" s="496" customFormat="1" x14ac:dyDescent="0.25"/>
    <row r="61" s="496" customFormat="1" x14ac:dyDescent="0.25"/>
    <row r="62" s="496" customFormat="1" x14ac:dyDescent="0.25"/>
    <row r="63" s="496" customFormat="1" x14ac:dyDescent="0.25"/>
    <row r="64" s="496" customFormat="1" x14ac:dyDescent="0.25"/>
    <row r="65" s="496" customFormat="1" x14ac:dyDescent="0.25"/>
    <row r="66" s="496" customFormat="1" x14ac:dyDescent="0.25"/>
    <row r="67" s="496" customFormat="1" x14ac:dyDescent="0.25"/>
    <row r="68" s="496" customFormat="1" x14ac:dyDescent="0.25"/>
    <row r="69" s="496" customFormat="1" x14ac:dyDescent="0.25"/>
    <row r="70" s="496" customFormat="1" x14ac:dyDescent="0.25"/>
    <row r="71" s="496" customFormat="1" x14ac:dyDescent="0.25"/>
    <row r="72" s="496" customFormat="1" x14ac:dyDescent="0.25"/>
    <row r="73" s="496" customFormat="1" x14ac:dyDescent="0.25"/>
    <row r="74" s="496" customFormat="1" x14ac:dyDescent="0.25"/>
    <row r="75" s="496" customFormat="1" x14ac:dyDescent="0.25"/>
    <row r="76" s="496" customFormat="1" x14ac:dyDescent="0.25"/>
    <row r="77" s="496" customFormat="1" x14ac:dyDescent="0.25"/>
    <row r="78" s="496" customFormat="1" x14ac:dyDescent="0.25"/>
    <row r="79" s="496" customFormat="1" x14ac:dyDescent="0.25"/>
    <row r="80" s="496" customFormat="1" x14ac:dyDescent="0.25"/>
    <row r="81" s="496" customFormat="1" x14ac:dyDescent="0.25"/>
    <row r="82" s="496" customFormat="1" x14ac:dyDescent="0.25"/>
    <row r="83" s="496" customFormat="1" x14ac:dyDescent="0.25"/>
    <row r="84" s="496" customFormat="1" x14ac:dyDescent="0.25"/>
    <row r="85" s="496" customFormat="1" x14ac:dyDescent="0.25"/>
    <row r="86" s="496" customFormat="1" x14ac:dyDescent="0.25"/>
    <row r="87" s="496" customFormat="1" x14ac:dyDescent="0.25"/>
    <row r="88" s="496" customFormat="1" x14ac:dyDescent="0.25"/>
    <row r="89" s="496" customFormat="1" x14ac:dyDescent="0.25"/>
    <row r="90" s="496" customFormat="1" x14ac:dyDescent="0.25"/>
    <row r="91" s="496" customFormat="1" x14ac:dyDescent="0.25"/>
    <row r="92" s="496" customFormat="1" x14ac:dyDescent="0.25"/>
    <row r="93" s="496" customFormat="1" x14ac:dyDescent="0.25"/>
    <row r="94" s="496" customFormat="1" x14ac:dyDescent="0.25"/>
    <row r="95" s="496" customFormat="1" x14ac:dyDescent="0.25"/>
    <row r="96" s="496" customFormat="1" x14ac:dyDescent="0.25"/>
    <row r="97" s="496" customFormat="1" x14ac:dyDescent="0.25"/>
    <row r="98" s="496" customFormat="1" x14ac:dyDescent="0.25"/>
    <row r="99" s="496" customFormat="1" x14ac:dyDescent="0.25"/>
    <row r="100" s="496" customFormat="1" x14ac:dyDescent="0.25"/>
    <row r="101" s="496" customFormat="1" x14ac:dyDescent="0.25"/>
    <row r="102" s="496" customFormat="1" x14ac:dyDescent="0.25"/>
    <row r="103" s="496" customFormat="1" x14ac:dyDescent="0.25"/>
    <row r="104" s="496" customFormat="1" x14ac:dyDescent="0.25"/>
    <row r="105" s="496" customFormat="1" x14ac:dyDescent="0.25"/>
    <row r="106" s="496" customFormat="1" x14ac:dyDescent="0.25"/>
    <row r="107" s="496" customFormat="1" x14ac:dyDescent="0.25"/>
    <row r="108" s="496" customFormat="1" x14ac:dyDescent="0.25"/>
    <row r="109" s="496" customFormat="1" x14ac:dyDescent="0.25"/>
    <row r="110" s="496" customFormat="1" x14ac:dyDescent="0.25"/>
    <row r="111" s="496" customFormat="1" x14ac:dyDescent="0.25"/>
    <row r="112" s="496" customFormat="1" x14ac:dyDescent="0.25"/>
    <row r="113" s="496" customFormat="1" x14ac:dyDescent="0.25"/>
    <row r="114" s="496" customFormat="1" x14ac:dyDescent="0.25"/>
    <row r="115" s="496" customFormat="1" x14ac:dyDescent="0.25"/>
    <row r="116" s="496" customFormat="1" x14ac:dyDescent="0.25"/>
    <row r="117" s="496" customFormat="1" x14ac:dyDescent="0.25"/>
    <row r="118" s="496" customFormat="1" x14ac:dyDescent="0.25"/>
    <row r="119" s="496" customFormat="1" x14ac:dyDescent="0.25"/>
    <row r="120" s="496" customFormat="1" x14ac:dyDescent="0.25"/>
    <row r="121" s="496" customFormat="1" x14ac:dyDescent="0.25"/>
    <row r="122" s="496" customFormat="1" x14ac:dyDescent="0.25"/>
    <row r="123" s="496" customFormat="1" x14ac:dyDescent="0.25"/>
    <row r="124" s="496" customFormat="1" x14ac:dyDescent="0.25"/>
    <row r="125" s="496" customFormat="1" x14ac:dyDescent="0.25"/>
    <row r="126" s="496" customFormat="1" x14ac:dyDescent="0.25"/>
    <row r="127" s="496" customFormat="1" x14ac:dyDescent="0.25"/>
    <row r="128" s="496" customFormat="1" x14ac:dyDescent="0.25"/>
    <row r="129" s="496" customFormat="1" x14ac:dyDescent="0.25"/>
    <row r="130" s="496" customFormat="1" x14ac:dyDescent="0.25"/>
    <row r="131" s="496" customFormat="1" x14ac:dyDescent="0.25"/>
    <row r="132" s="496" customFormat="1" x14ac:dyDescent="0.25"/>
    <row r="133" s="496" customFormat="1" x14ac:dyDescent="0.25"/>
    <row r="134" s="496" customFormat="1" x14ac:dyDescent="0.25"/>
    <row r="135" s="496" customFormat="1" x14ac:dyDescent="0.25"/>
    <row r="136" s="496" customFormat="1" x14ac:dyDescent="0.25"/>
    <row r="137" s="496" customFormat="1" x14ac:dyDescent="0.25"/>
    <row r="138" s="496" customFormat="1" x14ac:dyDescent="0.25"/>
    <row r="139" s="496" customFormat="1" x14ac:dyDescent="0.25"/>
    <row r="140" s="496" customFormat="1" x14ac:dyDescent="0.25"/>
    <row r="141" s="496" customFormat="1" x14ac:dyDescent="0.25"/>
    <row r="142" s="496" customFormat="1" x14ac:dyDescent="0.25"/>
    <row r="143" s="496" customFormat="1" x14ac:dyDescent="0.25"/>
    <row r="144" s="496" customFormat="1" x14ac:dyDescent="0.25"/>
    <row r="145" s="496" customFormat="1" x14ac:dyDescent="0.25"/>
    <row r="146" s="496" customFormat="1" x14ac:dyDescent="0.25"/>
    <row r="147" s="496" customFormat="1" x14ac:dyDescent="0.25"/>
    <row r="148" s="496" customFormat="1" x14ac:dyDescent="0.25"/>
    <row r="149" s="496" customFormat="1" x14ac:dyDescent="0.25"/>
    <row r="150" s="496" customFormat="1" x14ac:dyDescent="0.25"/>
    <row r="151" s="496" customFormat="1" x14ac:dyDescent="0.25"/>
    <row r="152" s="496" customFormat="1" x14ac:dyDescent="0.25"/>
    <row r="153" s="496" customFormat="1" x14ac:dyDescent="0.25"/>
    <row r="154" s="496" customFormat="1" x14ac:dyDescent="0.25"/>
    <row r="155" s="496" customFormat="1" x14ac:dyDescent="0.25"/>
    <row r="156" s="496" customFormat="1" x14ac:dyDescent="0.25"/>
    <row r="157" s="496" customFormat="1" x14ac:dyDescent="0.25"/>
    <row r="158" s="496" customFormat="1" x14ac:dyDescent="0.25"/>
    <row r="159" s="496" customFormat="1" x14ac:dyDescent="0.25"/>
    <row r="160" s="496" customFormat="1" x14ac:dyDescent="0.25"/>
    <row r="161" s="496" customFormat="1" x14ac:dyDescent="0.25"/>
    <row r="162" s="496" customFormat="1" x14ac:dyDescent="0.25"/>
    <row r="163" s="496" customFormat="1" x14ac:dyDescent="0.25"/>
    <row r="164" s="496" customFormat="1" x14ac:dyDescent="0.25"/>
    <row r="165" s="496" customFormat="1" x14ac:dyDescent="0.25"/>
    <row r="166" s="496" customFormat="1" x14ac:dyDescent="0.25"/>
    <row r="167" s="496" customFormat="1" x14ac:dyDescent="0.25"/>
    <row r="168" s="496" customFormat="1" x14ac:dyDescent="0.25"/>
    <row r="169" s="496" customFormat="1" x14ac:dyDescent="0.25"/>
    <row r="170" s="496" customFormat="1" x14ac:dyDescent="0.25"/>
    <row r="171" s="496" customFormat="1" x14ac:dyDescent="0.25"/>
    <row r="172" s="496" customFormat="1" x14ac:dyDescent="0.25"/>
    <row r="173" s="496" customFormat="1" x14ac:dyDescent="0.25"/>
    <row r="174" s="496" customFormat="1" x14ac:dyDescent="0.25"/>
    <row r="175" s="496" customFormat="1" x14ac:dyDescent="0.25"/>
    <row r="176" s="496" customFormat="1" x14ac:dyDescent="0.25"/>
    <row r="177" s="496" customFormat="1" x14ac:dyDescent="0.25"/>
    <row r="178" s="496" customFormat="1" x14ac:dyDescent="0.25"/>
    <row r="179" s="496" customFormat="1" x14ac:dyDescent="0.25"/>
    <row r="180" s="496" customFormat="1" x14ac:dyDescent="0.25"/>
    <row r="181" s="496" customFormat="1" x14ac:dyDescent="0.25"/>
    <row r="182" s="496" customFormat="1" x14ac:dyDescent="0.25"/>
    <row r="183" s="496" customFormat="1" x14ac:dyDescent="0.25"/>
    <row r="184" s="496" customFormat="1" x14ac:dyDescent="0.25"/>
    <row r="185" s="496" customFormat="1" x14ac:dyDescent="0.25"/>
    <row r="186" s="496" customFormat="1" x14ac:dyDescent="0.25"/>
    <row r="187" s="496" customFormat="1" x14ac:dyDescent="0.25"/>
    <row r="188" s="496" customFormat="1" x14ac:dyDescent="0.25"/>
    <row r="189" s="496" customFormat="1" x14ac:dyDescent="0.25"/>
    <row r="190" s="496" customFormat="1" x14ac:dyDescent="0.25"/>
    <row r="191" s="496" customFormat="1" x14ac:dyDescent="0.25"/>
    <row r="192" s="496" customFormat="1" x14ac:dyDescent="0.25"/>
    <row r="193" s="496" customFormat="1" x14ac:dyDescent="0.25"/>
    <row r="194" s="496" customFormat="1" x14ac:dyDescent="0.25"/>
    <row r="195" s="496" customFormat="1" x14ac:dyDescent="0.25"/>
    <row r="196" s="496" customFormat="1" x14ac:dyDescent="0.25"/>
    <row r="197" s="496" customFormat="1" x14ac:dyDescent="0.25"/>
    <row r="198" s="496" customFormat="1" x14ac:dyDescent="0.25"/>
    <row r="199" s="496" customFormat="1" x14ac:dyDescent="0.25"/>
    <row r="200" s="496" customFormat="1" x14ac:dyDescent="0.25"/>
    <row r="201" s="496" customFormat="1" x14ac:dyDescent="0.25"/>
    <row r="202" s="496" customFormat="1" x14ac:dyDescent="0.25"/>
    <row r="203" s="496" customFormat="1" x14ac:dyDescent="0.25"/>
    <row r="204" s="496" customFormat="1" x14ac:dyDescent="0.25"/>
    <row r="205" s="496" customFormat="1" x14ac:dyDescent="0.25"/>
    <row r="206" s="496" customFormat="1" x14ac:dyDescent="0.25"/>
    <row r="207" s="496" customFormat="1" x14ac:dyDescent="0.25"/>
    <row r="208" s="496" customFormat="1" x14ac:dyDescent="0.25"/>
    <row r="209" s="496" customFormat="1" x14ac:dyDescent="0.25"/>
    <row r="210" s="496" customFormat="1" x14ac:dyDescent="0.25"/>
    <row r="211" s="496" customFormat="1" x14ac:dyDescent="0.25"/>
    <row r="212" s="496" customFormat="1" x14ac:dyDescent="0.25"/>
    <row r="213" s="496" customFormat="1" x14ac:dyDescent="0.25"/>
    <row r="214" s="496" customFormat="1" x14ac:dyDescent="0.25"/>
    <row r="215" s="496" customFormat="1" x14ac:dyDescent="0.25"/>
    <row r="216" s="496" customFormat="1" x14ac:dyDescent="0.25"/>
    <row r="217" s="496" customFormat="1" x14ac:dyDescent="0.25"/>
    <row r="218" s="496" customFormat="1" x14ac:dyDescent="0.25"/>
    <row r="219" s="496" customFormat="1" x14ac:dyDescent="0.25"/>
    <row r="220" s="496" customFormat="1" x14ac:dyDescent="0.25"/>
    <row r="221" s="496" customFormat="1" x14ac:dyDescent="0.25"/>
    <row r="222" s="496" customFormat="1" x14ac:dyDescent="0.25"/>
    <row r="223" s="496" customFormat="1" x14ac:dyDescent="0.25"/>
    <row r="224" s="496" customFormat="1" x14ac:dyDescent="0.25"/>
    <row r="225" s="496" customFormat="1" x14ac:dyDescent="0.25"/>
    <row r="226" s="496" customFormat="1" x14ac:dyDescent="0.25"/>
    <row r="227" s="496" customFormat="1" x14ac:dyDescent="0.25"/>
    <row r="228" s="496" customFormat="1" x14ac:dyDescent="0.25"/>
    <row r="229" s="496" customFormat="1" x14ac:dyDescent="0.25"/>
    <row r="230" s="496" customFormat="1" x14ac:dyDescent="0.25"/>
    <row r="231" s="496" customFormat="1" x14ac:dyDescent="0.25"/>
    <row r="232" s="496" customFormat="1" x14ac:dyDescent="0.25"/>
    <row r="233" s="496" customFormat="1" x14ac:dyDescent="0.25"/>
    <row r="234" s="496" customFormat="1" x14ac:dyDescent="0.25"/>
    <row r="235" s="496" customFormat="1" x14ac:dyDescent="0.25"/>
    <row r="236" s="496" customFormat="1" x14ac:dyDescent="0.25"/>
    <row r="237" s="496" customFormat="1" x14ac:dyDescent="0.25"/>
    <row r="238" s="496" customFormat="1" x14ac:dyDescent="0.25"/>
    <row r="239" s="496" customFormat="1" x14ac:dyDescent="0.25"/>
    <row r="240" s="496" customFormat="1" x14ac:dyDescent="0.25"/>
    <row r="241" s="496" customFormat="1" x14ac:dyDescent="0.25"/>
    <row r="242" s="496" customFormat="1" x14ac:dyDescent="0.25"/>
    <row r="243" s="496" customFormat="1" x14ac:dyDescent="0.25"/>
    <row r="244" s="496" customFormat="1" x14ac:dyDescent="0.25"/>
    <row r="245" s="496" customFormat="1" x14ac:dyDescent="0.25"/>
    <row r="246" s="496" customFormat="1" x14ac:dyDescent="0.25"/>
    <row r="247" s="496" customFormat="1" x14ac:dyDescent="0.25"/>
    <row r="248" s="496" customFormat="1" x14ac:dyDescent="0.25"/>
    <row r="249" s="496" customFormat="1" x14ac:dyDescent="0.25"/>
    <row r="250" s="496" customFormat="1" x14ac:dyDescent="0.25"/>
    <row r="251" s="496" customFormat="1" x14ac:dyDescent="0.25"/>
    <row r="252" s="496" customFormat="1" x14ac:dyDescent="0.25"/>
    <row r="253" s="496" customFormat="1" x14ac:dyDescent="0.25"/>
    <row r="254" s="496" customFormat="1" x14ac:dyDescent="0.25"/>
    <row r="255" s="496" customFormat="1" x14ac:dyDescent="0.25"/>
    <row r="256" s="496" customFormat="1" x14ac:dyDescent="0.25"/>
    <row r="257" s="496" customFormat="1" x14ac:dyDescent="0.25"/>
    <row r="258" s="496" customFormat="1" x14ac:dyDescent="0.25"/>
    <row r="259" s="496" customFormat="1" x14ac:dyDescent="0.25"/>
    <row r="260" s="496" customFormat="1" x14ac:dyDescent="0.25"/>
    <row r="261" s="496" customFormat="1" x14ac:dyDescent="0.25"/>
    <row r="262" s="496" customFormat="1" x14ac:dyDescent="0.25"/>
    <row r="263" s="496" customFormat="1" x14ac:dyDescent="0.25"/>
    <row r="264" s="496" customFormat="1" x14ac:dyDescent="0.25"/>
    <row r="265" s="496" customFormat="1" x14ac:dyDescent="0.25"/>
    <row r="266" s="496" customFormat="1" x14ac:dyDescent="0.25"/>
    <row r="267" s="496" customFormat="1" x14ac:dyDescent="0.25"/>
    <row r="268" s="496" customFormat="1" x14ac:dyDescent="0.25"/>
    <row r="269" s="496" customFormat="1" x14ac:dyDescent="0.25"/>
    <row r="270" s="496" customFormat="1" x14ac:dyDescent="0.25"/>
    <row r="271" s="496" customFormat="1" x14ac:dyDescent="0.25"/>
    <row r="272" s="496" customFormat="1" x14ac:dyDescent="0.25"/>
    <row r="273" s="496" customFormat="1" x14ac:dyDescent="0.25"/>
    <row r="274" s="496" customFormat="1" x14ac:dyDescent="0.25"/>
    <row r="275" s="496" customFormat="1" x14ac:dyDescent="0.25"/>
    <row r="276" s="496" customFormat="1" x14ac:dyDescent="0.25"/>
    <row r="277" s="496" customFormat="1" x14ac:dyDescent="0.25"/>
    <row r="278" s="496" customFormat="1" x14ac:dyDescent="0.25"/>
    <row r="279" s="496" customFormat="1" x14ac:dyDescent="0.25"/>
    <row r="280" s="496" customFormat="1" x14ac:dyDescent="0.25"/>
    <row r="281" s="496" customFormat="1" x14ac:dyDescent="0.25"/>
    <row r="282" s="496" customFormat="1" x14ac:dyDescent="0.25"/>
    <row r="283" s="496" customFormat="1" x14ac:dyDescent="0.25"/>
    <row r="284" s="496" customFormat="1" x14ac:dyDescent="0.25"/>
    <row r="285" s="496" customFormat="1" x14ac:dyDescent="0.25"/>
    <row r="286" s="496" customFormat="1" x14ac:dyDescent="0.25"/>
    <row r="287" s="496" customFormat="1" x14ac:dyDescent="0.25"/>
    <row r="288" s="496" customFormat="1" x14ac:dyDescent="0.25"/>
    <row r="289" s="496" customFormat="1" x14ac:dyDescent="0.25"/>
    <row r="290" s="496" customFormat="1" x14ac:dyDescent="0.25"/>
    <row r="291" s="496" customFormat="1" x14ac:dyDescent="0.25"/>
    <row r="292" s="496" customFormat="1" x14ac:dyDescent="0.25"/>
    <row r="293" s="496" customFormat="1" x14ac:dyDescent="0.25"/>
    <row r="294" s="496" customFormat="1" x14ac:dyDescent="0.25"/>
    <row r="295" s="496" customFormat="1" x14ac:dyDescent="0.25"/>
    <row r="296" s="496" customFormat="1" x14ac:dyDescent="0.25"/>
    <row r="297" s="496" customFormat="1" x14ac:dyDescent="0.25"/>
    <row r="298" s="496" customFormat="1" x14ac:dyDescent="0.25"/>
    <row r="299" s="496" customFormat="1" x14ac:dyDescent="0.25"/>
    <row r="300" s="496" customFormat="1" x14ac:dyDescent="0.25"/>
    <row r="301" s="496" customFormat="1" x14ac:dyDescent="0.25"/>
    <row r="302" s="496" customFormat="1" x14ac:dyDescent="0.25"/>
    <row r="303" s="496" customFormat="1" x14ac:dyDescent="0.25"/>
    <row r="304" s="496" customFormat="1" x14ac:dyDescent="0.25"/>
    <row r="305" s="496" customFormat="1" x14ac:dyDescent="0.25"/>
    <row r="306" s="496" customFormat="1" x14ac:dyDescent="0.25"/>
    <row r="307" s="496" customFormat="1" x14ac:dyDescent="0.25"/>
    <row r="308" s="496" customFormat="1" x14ac:dyDescent="0.25"/>
    <row r="309" s="496" customFormat="1" x14ac:dyDescent="0.25"/>
    <row r="310" s="496" customFormat="1" x14ac:dyDescent="0.25"/>
    <row r="311" s="496" customFormat="1" x14ac:dyDescent="0.25"/>
    <row r="312" s="496" customFormat="1" x14ac:dyDescent="0.25"/>
    <row r="313" s="496" customFormat="1" x14ac:dyDescent="0.25"/>
    <row r="314" s="496" customFormat="1" x14ac:dyDescent="0.25"/>
    <row r="315" s="496" customFormat="1" x14ac:dyDescent="0.25"/>
    <row r="316" s="496" customFormat="1" x14ac:dyDescent="0.25"/>
    <row r="317" s="496" customFormat="1" x14ac:dyDescent="0.25"/>
    <row r="318" s="496" customFormat="1" x14ac:dyDescent="0.25"/>
    <row r="319" s="496" customFormat="1" x14ac:dyDescent="0.25"/>
    <row r="320" s="496" customFormat="1" x14ac:dyDescent="0.25"/>
    <row r="321" s="496" customFormat="1" x14ac:dyDescent="0.25"/>
    <row r="322" s="496" customFormat="1" x14ac:dyDescent="0.25"/>
    <row r="323" s="496" customFormat="1" x14ac:dyDescent="0.25"/>
    <row r="324" s="496" customFormat="1" x14ac:dyDescent="0.25"/>
    <row r="325" s="496" customFormat="1" x14ac:dyDescent="0.25"/>
    <row r="326" s="496" customFormat="1" x14ac:dyDescent="0.25"/>
    <row r="327" s="496" customFormat="1" x14ac:dyDescent="0.25"/>
    <row r="328" s="496" customFormat="1" x14ac:dyDescent="0.25"/>
    <row r="329" s="496" customFormat="1" x14ac:dyDescent="0.25"/>
    <row r="330" s="496" customFormat="1" x14ac:dyDescent="0.25"/>
    <row r="331" s="496" customFormat="1" x14ac:dyDescent="0.25"/>
    <row r="332" s="496" customFormat="1" x14ac:dyDescent="0.25"/>
    <row r="333" s="496" customFormat="1" x14ac:dyDescent="0.25"/>
    <row r="334" s="496" customFormat="1" x14ac:dyDescent="0.25"/>
    <row r="335" s="496" customFormat="1" x14ac:dyDescent="0.25"/>
    <row r="336" s="496" customFormat="1" x14ac:dyDescent="0.25"/>
    <row r="337" s="496" customFormat="1" x14ac:dyDescent="0.25"/>
    <row r="338" s="496" customFormat="1" x14ac:dyDescent="0.25"/>
    <row r="339" s="496" customFormat="1" x14ac:dyDescent="0.25"/>
    <row r="340" s="496" customFormat="1" x14ac:dyDescent="0.25"/>
    <row r="341" s="496" customFormat="1" x14ac:dyDescent="0.25"/>
    <row r="342" s="496" customFormat="1" x14ac:dyDescent="0.25"/>
    <row r="343" s="496" customFormat="1" x14ac:dyDescent="0.25"/>
    <row r="344" s="496" customFormat="1" x14ac:dyDescent="0.25"/>
    <row r="345" s="496" customFormat="1" x14ac:dyDescent="0.25"/>
    <row r="346" s="496" customFormat="1" x14ac:dyDescent="0.25"/>
    <row r="347" s="496" customFormat="1" x14ac:dyDescent="0.25"/>
    <row r="348" s="496" customFormat="1" x14ac:dyDescent="0.25"/>
    <row r="349" s="496" customFormat="1" x14ac:dyDescent="0.25"/>
    <row r="350" s="496" customFormat="1" x14ac:dyDescent="0.25"/>
    <row r="351" s="496" customFormat="1" x14ac:dyDescent="0.25"/>
    <row r="352" s="496" customFormat="1" x14ac:dyDescent="0.25"/>
    <row r="353" s="496" customFormat="1" x14ac:dyDescent="0.25"/>
    <row r="354" s="496" customFormat="1" x14ac:dyDescent="0.25"/>
    <row r="355" s="496" customFormat="1" x14ac:dyDescent="0.25"/>
    <row r="356" s="496" customFormat="1" x14ac:dyDescent="0.25"/>
    <row r="357" s="496" customFormat="1" x14ac:dyDescent="0.25"/>
    <row r="358" s="496" customFormat="1" x14ac:dyDescent="0.25"/>
    <row r="359" s="496" customFormat="1" x14ac:dyDescent="0.25"/>
    <row r="360" s="496" customFormat="1" x14ac:dyDescent="0.25"/>
    <row r="361" s="496" customFormat="1" x14ac:dyDescent="0.25"/>
    <row r="362" s="496" customFormat="1" x14ac:dyDescent="0.25"/>
    <row r="363" s="496" customFormat="1" x14ac:dyDescent="0.25"/>
    <row r="364" s="496" customFormat="1" x14ac:dyDescent="0.25"/>
    <row r="365" s="496" customFormat="1" x14ac:dyDescent="0.25"/>
    <row r="366" s="496" customFormat="1" x14ac:dyDescent="0.25"/>
    <row r="367" s="496" customFormat="1" x14ac:dyDescent="0.25"/>
    <row r="368" s="496" customFormat="1" x14ac:dyDescent="0.25"/>
    <row r="369" s="496" customFormat="1" x14ac:dyDescent="0.25"/>
    <row r="370" s="496" customFormat="1" x14ac:dyDescent="0.25"/>
    <row r="371" s="496" customFormat="1" x14ac:dyDescent="0.25"/>
    <row r="372" s="496" customFormat="1" x14ac:dyDescent="0.25"/>
    <row r="373" s="496" customFormat="1" x14ac:dyDescent="0.25"/>
    <row r="374" s="496" customFormat="1" x14ac:dyDescent="0.25"/>
    <row r="375" s="496" customFormat="1" x14ac:dyDescent="0.25"/>
    <row r="376" s="496" customFormat="1" x14ac:dyDescent="0.25"/>
    <row r="377" s="496" customFormat="1" x14ac:dyDescent="0.25"/>
    <row r="378" s="496" customFormat="1" x14ac:dyDescent="0.25"/>
    <row r="379" s="496" customFormat="1" x14ac:dyDescent="0.25"/>
    <row r="380" s="496" customFormat="1" x14ac:dyDescent="0.25"/>
    <row r="381" s="496" customFormat="1" x14ac:dyDescent="0.25"/>
    <row r="382" s="496" customFormat="1" x14ac:dyDescent="0.25"/>
    <row r="383" s="496" customFormat="1" x14ac:dyDescent="0.25"/>
    <row r="384" s="496" customFormat="1" x14ac:dyDescent="0.25"/>
    <row r="385" s="496" customFormat="1" x14ac:dyDescent="0.25"/>
    <row r="386" s="496" customFormat="1" x14ac:dyDescent="0.25"/>
    <row r="387" s="496" customFormat="1" x14ac:dyDescent="0.25"/>
    <row r="388" s="496" customFormat="1" x14ac:dyDescent="0.25"/>
    <row r="389" s="496" customFormat="1" x14ac:dyDescent="0.25"/>
    <row r="390" s="496" customFormat="1" x14ac:dyDescent="0.25"/>
    <row r="391" s="496" customFormat="1" x14ac:dyDescent="0.25"/>
    <row r="392" s="496" customFormat="1" x14ac:dyDescent="0.25"/>
    <row r="393" s="496" customFormat="1" x14ac:dyDescent="0.25"/>
    <row r="394" s="496" customFormat="1" x14ac:dyDescent="0.25"/>
    <row r="395" s="496" customFormat="1" x14ac:dyDescent="0.25"/>
    <row r="396" s="496" customFormat="1" x14ac:dyDescent="0.25"/>
    <row r="397" s="496" customFormat="1" x14ac:dyDescent="0.25"/>
    <row r="398" s="496" customFormat="1" x14ac:dyDescent="0.25"/>
    <row r="399" s="496" customFormat="1" x14ac:dyDescent="0.25"/>
    <row r="400" s="496" customFormat="1" x14ac:dyDescent="0.25"/>
    <row r="401" s="496" customFormat="1" x14ac:dyDescent="0.25"/>
    <row r="402" s="496" customFormat="1" x14ac:dyDescent="0.25"/>
    <row r="403" s="496" customFormat="1" x14ac:dyDescent="0.25"/>
    <row r="404" s="496" customFormat="1" x14ac:dyDescent="0.25"/>
    <row r="405" s="496" customFormat="1" x14ac:dyDescent="0.25"/>
    <row r="406" s="496" customFormat="1" x14ac:dyDescent="0.25"/>
    <row r="407" s="496" customFormat="1" x14ac:dyDescent="0.25"/>
    <row r="408" s="496" customFormat="1" x14ac:dyDescent="0.25"/>
    <row r="409" s="496" customFormat="1" x14ac:dyDescent="0.25"/>
    <row r="410" s="496" customFormat="1" x14ac:dyDescent="0.25"/>
    <row r="411" s="496" customFormat="1" x14ac:dyDescent="0.25"/>
    <row r="412" s="496" customFormat="1" x14ac:dyDescent="0.25"/>
    <row r="413" s="496" customFormat="1" x14ac:dyDescent="0.25"/>
    <row r="414" s="496" customFormat="1" x14ac:dyDescent="0.25"/>
    <row r="415" s="496" customFormat="1" x14ac:dyDescent="0.25"/>
    <row r="416" s="496" customFormat="1" x14ac:dyDescent="0.25"/>
    <row r="417" s="496" customFormat="1" x14ac:dyDescent="0.25"/>
    <row r="418" s="496" customFormat="1" x14ac:dyDescent="0.25"/>
    <row r="419" s="496" customFormat="1" x14ac:dyDescent="0.25"/>
    <row r="420" s="496" customFormat="1" x14ac:dyDescent="0.25"/>
    <row r="421" s="496" customFormat="1" x14ac:dyDescent="0.25"/>
    <row r="422" s="496" customFormat="1" x14ac:dyDescent="0.25"/>
    <row r="423" s="496" customFormat="1" x14ac:dyDescent="0.25"/>
    <row r="424" s="496" customFormat="1" x14ac:dyDescent="0.25"/>
    <row r="425" s="496" customFormat="1" x14ac:dyDescent="0.25"/>
    <row r="426" s="496" customFormat="1" x14ac:dyDescent="0.25"/>
    <row r="427" s="496" customFormat="1" x14ac:dyDescent="0.25"/>
    <row r="428" s="496" customFormat="1" x14ac:dyDescent="0.25"/>
    <row r="429" s="496" customFormat="1" x14ac:dyDescent="0.25"/>
    <row r="430" s="496" customFormat="1" x14ac:dyDescent="0.25"/>
    <row r="431" s="496" customFormat="1" x14ac:dyDescent="0.25"/>
    <row r="432" s="496" customFormat="1" x14ac:dyDescent="0.25"/>
    <row r="433" s="496" customFormat="1" x14ac:dyDescent="0.25"/>
    <row r="434" s="496" customFormat="1" x14ac:dyDescent="0.25"/>
    <row r="435" s="496" customFormat="1" x14ac:dyDescent="0.25"/>
    <row r="436" s="496" customFormat="1" x14ac:dyDescent="0.25"/>
    <row r="437" s="496" customFormat="1" x14ac:dyDescent="0.25"/>
    <row r="438" s="496" customFormat="1" x14ac:dyDescent="0.25"/>
    <row r="439" s="496" customFormat="1" x14ac:dyDescent="0.25"/>
    <row r="440" s="496" customFormat="1" x14ac:dyDescent="0.25"/>
    <row r="441" s="496" customFormat="1" x14ac:dyDescent="0.25"/>
    <row r="442" s="496" customFormat="1" x14ac:dyDescent="0.25"/>
    <row r="443" s="496" customFormat="1" x14ac:dyDescent="0.25"/>
    <row r="444" s="496" customFormat="1" x14ac:dyDescent="0.25"/>
    <row r="445" s="496" customFormat="1" x14ac:dyDescent="0.25"/>
    <row r="446" s="496" customFormat="1" x14ac:dyDescent="0.25"/>
    <row r="447" s="496" customFormat="1" x14ac:dyDescent="0.25"/>
    <row r="448" s="496" customFormat="1" x14ac:dyDescent="0.25"/>
    <row r="449" s="496" customFormat="1" x14ac:dyDescent="0.25"/>
    <row r="450" s="496" customFormat="1" x14ac:dyDescent="0.25"/>
    <row r="451" s="496" customFormat="1" x14ac:dyDescent="0.25"/>
    <row r="452" s="496" customFormat="1" x14ac:dyDescent="0.25"/>
    <row r="453" s="496" customFormat="1" x14ac:dyDescent="0.25"/>
    <row r="454" s="496" customFormat="1" x14ac:dyDescent="0.25"/>
    <row r="455" s="496" customFormat="1" x14ac:dyDescent="0.25"/>
    <row r="456" s="496" customFormat="1" x14ac:dyDescent="0.25"/>
    <row r="457" s="496" customFormat="1" x14ac:dyDescent="0.25"/>
    <row r="458" s="496" customFormat="1" x14ac:dyDescent="0.25"/>
    <row r="459" s="496" customFormat="1" x14ac:dyDescent="0.25"/>
    <row r="460" s="496" customFormat="1" x14ac:dyDescent="0.25"/>
    <row r="461" s="496" customFormat="1" x14ac:dyDescent="0.25"/>
    <row r="462" s="496" customFormat="1" x14ac:dyDescent="0.25"/>
    <row r="463" s="496" customFormat="1" x14ac:dyDescent="0.25"/>
  </sheetData>
  <mergeCells count="6">
    <mergeCell ref="A5:J5"/>
    <mergeCell ref="A6:J6"/>
    <mergeCell ref="A7:J7"/>
    <mergeCell ref="A10:E10"/>
    <mergeCell ref="A17:H17"/>
    <mergeCell ref="A20:H20"/>
  </mergeCells>
  <hyperlinks>
    <hyperlink ref="A14" r:id="rId1" display="mailto:joubert.nadia@ccmsa.msa.fr" xr:uid="{318D0ACC-6859-4556-B539-0977113B9F23}"/>
    <hyperlink ref="A23" r:id="rId2" xr:uid="{F1A62847-AB4E-41F1-91CA-7EB346BF8C6D}"/>
    <hyperlink ref="A17" r:id="rId3" xr:uid="{3FF4F0D2-18F6-4441-92B8-5784737E512E}"/>
    <hyperlink ref="A20" r:id="rId4" xr:uid="{761C5C8C-5025-4144-8999-83FD20A651EA}"/>
  </hyperlinks>
  <pageMargins left="0.7" right="0.7" top="0.75" bottom="0.75" header="0.3" footer="0.3"/>
  <pageSetup paperSize="9" orientation="portrait" horizontalDpi="1200" verticalDpi="1200"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72"/>
  <sheetViews>
    <sheetView topLeftCell="AV7" workbookViewId="0">
      <selection activeCell="BK1" sqref="BK1"/>
    </sheetView>
  </sheetViews>
  <sheetFormatPr baseColWidth="10" defaultColWidth="11.453125" defaultRowHeight="12.5" x14ac:dyDescent="0.25"/>
  <cols>
    <col min="1" max="1" width="33.7265625" style="4" customWidth="1"/>
    <col min="2" max="2" width="11.7265625" style="4" bestFit="1" customWidth="1"/>
    <col min="3" max="3" width="9.7265625" style="35" bestFit="1" customWidth="1"/>
    <col min="4" max="10" width="11.7265625" style="35" bestFit="1" customWidth="1"/>
    <col min="11" max="11" width="11.7265625" style="145" bestFit="1" customWidth="1"/>
    <col min="12" max="16384" width="11.453125" style="4"/>
  </cols>
  <sheetData>
    <row r="1" spans="1:62" ht="15.5" x14ac:dyDescent="0.35">
      <c r="A1" s="32" t="str">
        <f>'A)NSA Nb'!A1</f>
        <v>Les Retraites du Régime des Non Salariés Agricoles (métropole)</v>
      </c>
      <c r="L1" s="145"/>
      <c r="M1" s="145"/>
      <c r="N1" s="145"/>
      <c r="O1" s="145"/>
      <c r="P1" s="145"/>
      <c r="Q1" s="145"/>
      <c r="R1" s="145"/>
      <c r="S1" s="145"/>
      <c r="T1" s="145"/>
      <c r="U1" s="145"/>
      <c r="V1" s="145"/>
      <c r="W1" s="145"/>
      <c r="X1" s="145"/>
      <c r="Y1" s="145"/>
      <c r="Z1" s="145"/>
      <c r="AA1" s="145"/>
      <c r="AB1" s="145"/>
    </row>
    <row r="2" spans="1:62" ht="15.5" x14ac:dyDescent="0.35">
      <c r="A2" s="32" t="str">
        <f>'A)NSA Nb'!A2</f>
        <v>Elements démographiques et financiers</v>
      </c>
      <c r="L2" s="145"/>
      <c r="M2" s="145"/>
      <c r="N2" s="145"/>
      <c r="O2" s="145"/>
      <c r="P2" s="145"/>
      <c r="Q2" s="145"/>
      <c r="R2" s="145"/>
      <c r="S2" s="145"/>
      <c r="T2" s="145"/>
      <c r="U2" s="145"/>
      <c r="V2" s="145"/>
      <c r="W2" s="145"/>
      <c r="X2" s="145"/>
      <c r="Y2" s="145"/>
      <c r="Z2" s="145"/>
      <c r="AA2" s="145"/>
      <c r="AB2" s="145"/>
    </row>
    <row r="3" spans="1:62" ht="13" x14ac:dyDescent="0.3">
      <c r="A3" s="108" t="s">
        <v>83</v>
      </c>
      <c r="L3" s="145"/>
      <c r="M3" s="145"/>
      <c r="N3" s="145"/>
      <c r="O3" s="145"/>
      <c r="P3" s="145"/>
      <c r="Q3" s="145"/>
      <c r="R3" s="145"/>
      <c r="S3" s="145"/>
      <c r="T3" s="145"/>
      <c r="U3" s="145"/>
      <c r="V3" s="145"/>
      <c r="W3" s="145"/>
      <c r="X3" s="145"/>
      <c r="Y3" s="145"/>
      <c r="Z3" s="145"/>
      <c r="AA3" s="145"/>
      <c r="AB3" s="145"/>
    </row>
    <row r="4" spans="1:62" ht="13" x14ac:dyDescent="0.3">
      <c r="A4" s="1" t="s">
        <v>26</v>
      </c>
      <c r="L4" s="145"/>
      <c r="M4" s="145"/>
      <c r="N4" s="145"/>
      <c r="O4" s="145"/>
      <c r="P4" s="145"/>
      <c r="Q4" s="145"/>
      <c r="R4" s="145"/>
      <c r="S4" s="145"/>
      <c r="T4" s="145"/>
      <c r="U4" s="145"/>
      <c r="V4" s="145"/>
      <c r="W4" s="145"/>
      <c r="X4" s="145"/>
      <c r="Y4" s="145"/>
      <c r="Z4" s="145"/>
      <c r="AA4" s="145"/>
      <c r="AB4" s="145"/>
    </row>
    <row r="5" spans="1:62" ht="13.5" thickBot="1" x14ac:dyDescent="0.35">
      <c r="A5" s="11"/>
      <c r="B5" s="7"/>
      <c r="C5" s="52"/>
      <c r="D5" s="52"/>
      <c r="E5" s="52"/>
      <c r="F5" s="52"/>
      <c r="G5" s="52"/>
      <c r="H5" s="52"/>
      <c r="I5" s="52"/>
      <c r="J5" s="52"/>
      <c r="K5" s="156"/>
      <c r="L5" s="156"/>
      <c r="M5" s="156"/>
      <c r="N5" s="156"/>
      <c r="O5" s="156"/>
      <c r="P5" s="156"/>
      <c r="Q5" s="156"/>
      <c r="R5" s="156"/>
      <c r="S5" s="156"/>
      <c r="T5" s="156"/>
      <c r="U5" s="156"/>
      <c r="V5" s="156"/>
      <c r="W5" s="156"/>
      <c r="X5" s="156"/>
      <c r="Y5" s="156"/>
      <c r="Z5" s="156"/>
      <c r="AA5" s="156"/>
      <c r="AB5" s="156"/>
    </row>
    <row r="6" spans="1:62" ht="13" x14ac:dyDescent="0.3">
      <c r="A6" s="1"/>
      <c r="L6" s="145"/>
      <c r="M6" s="145"/>
      <c r="N6" s="145"/>
      <c r="O6" s="145"/>
      <c r="P6" s="145"/>
      <c r="Q6" s="145"/>
      <c r="R6" s="145"/>
      <c r="S6" s="145"/>
      <c r="T6" s="145"/>
      <c r="U6" s="145"/>
      <c r="V6" s="145"/>
      <c r="W6" s="145"/>
      <c r="X6" s="145"/>
      <c r="Y6" s="145"/>
      <c r="Z6" s="145"/>
      <c r="AA6" s="145"/>
      <c r="AB6" s="145"/>
    </row>
    <row r="7" spans="1:62" ht="13" x14ac:dyDescent="0.3">
      <c r="A7" s="25" t="s">
        <v>9</v>
      </c>
      <c r="L7" s="145"/>
      <c r="M7" s="145"/>
      <c r="N7" s="145"/>
      <c r="O7" s="145"/>
      <c r="P7" s="145"/>
      <c r="Q7" s="145"/>
      <c r="R7" s="145"/>
      <c r="S7" s="145"/>
      <c r="T7" s="145"/>
      <c r="U7" s="145"/>
      <c r="V7" s="145"/>
      <c r="W7" s="145"/>
      <c r="X7" s="145"/>
      <c r="Y7" s="145"/>
      <c r="Z7" s="145"/>
      <c r="AA7" s="145"/>
      <c r="AB7" s="145"/>
    </row>
    <row r="8" spans="1:62" x14ac:dyDescent="0.25">
      <c r="A8" s="5"/>
      <c r="B8" s="2" t="str">
        <f>'A)NSA Nb'!B8</f>
        <v>4eme T 2009</v>
      </c>
      <c r="C8" s="38" t="str">
        <f>'A)NSA Nb'!C8</f>
        <v>1er T 2010</v>
      </c>
      <c r="D8" s="38" t="str">
        <f>'A)NSA Nb'!D8</f>
        <v>2eme T 2010</v>
      </c>
      <c r="E8" s="38" t="str">
        <f>'A)NSA Nb'!E8</f>
        <v>3eme T 2010</v>
      </c>
      <c r="F8" s="38" t="str">
        <f>'A)NSA Nb'!F8</f>
        <v>4eme T 2010</v>
      </c>
      <c r="G8" s="38" t="str">
        <f>'A)NSA Nb'!G8</f>
        <v>1er T 2011</v>
      </c>
      <c r="H8" s="38" t="str">
        <f>'A)NSA Nb'!H8</f>
        <v>2eme T 2011</v>
      </c>
      <c r="I8" s="38" t="str">
        <f>'A)NSA Nb'!I8</f>
        <v>3eme T 2011</v>
      </c>
      <c r="J8" s="38" t="str">
        <f>'A)NSA Nb'!J8</f>
        <v>4eme T 2011</v>
      </c>
      <c r="K8" s="38" t="str">
        <f>'A)NSA Nb'!K8</f>
        <v>1er T 2012</v>
      </c>
      <c r="L8" s="38" t="str">
        <f>'A)NSA Nb'!L8</f>
        <v>2eme T 2012</v>
      </c>
      <c r="M8" s="38" t="str">
        <f>'A)NSA Nb'!M8</f>
        <v>3eme T 2012</v>
      </c>
      <c r="N8" s="38" t="str">
        <f>'A)NSA Nb'!N8</f>
        <v>4eme T 2012</v>
      </c>
      <c r="O8" s="38" t="str">
        <f>'A)NSA Nb'!O8</f>
        <v>1er T 2013</v>
      </c>
      <c r="P8" s="38" t="str">
        <f>'A)NSA Nb'!P8</f>
        <v>2eme T 2013</v>
      </c>
      <c r="Q8" s="38" t="str">
        <f>'A)NSA Nb'!Q8</f>
        <v>3ème T 2013</v>
      </c>
      <c r="R8" s="38" t="str">
        <f>'A)NSA Nb'!R8</f>
        <v>4ème T 2013</v>
      </c>
      <c r="S8" s="38" t="str">
        <f>'A)NSA Nb'!S8</f>
        <v>1er T 2014</v>
      </c>
      <c r="T8" s="38" t="str">
        <f>'A)NSA Nb'!T8</f>
        <v>2eme T 2014</v>
      </c>
      <c r="U8" s="38" t="str">
        <f>'A)NSA Nb'!U8</f>
        <v>3T 2014</v>
      </c>
      <c r="V8" s="38" t="str">
        <f>'A)NSA Nb'!V8</f>
        <v>4ème T 2014</v>
      </c>
      <c r="W8" s="38" t="str">
        <f>'A)NSA Nb'!W8</f>
        <v>1er T 2015</v>
      </c>
      <c r="X8" s="38" t="str">
        <f>'A)NSA Nb'!X8</f>
        <v>2e T 2015</v>
      </c>
      <c r="Y8" s="38" t="str">
        <f>'A)NSA Nb'!Y8</f>
        <v>3e T 2015</v>
      </c>
      <c r="Z8" s="38" t="str">
        <f>'A)NSA Nb'!Z8</f>
        <v>4e T 2015</v>
      </c>
      <c r="AA8" s="38" t="str">
        <f>'A)NSA Nb'!AA8</f>
        <v>1er T 2016</v>
      </c>
      <c r="AB8" s="38" t="str">
        <f>'A)NSA Nb'!AB8</f>
        <v>2e T 2016</v>
      </c>
      <c r="AC8" s="38" t="str">
        <f>'A)NSA Nb'!AC8</f>
        <v>3e T 2016</v>
      </c>
      <c r="AD8" s="38" t="str">
        <f>'A)NSA Nb'!AD8</f>
        <v>4e T 2016</v>
      </c>
      <c r="AE8" s="38" t="str">
        <f>'A)NSA Nb'!AE8</f>
        <v>2017 - T1</v>
      </c>
      <c r="AF8" s="38" t="str">
        <f>'A)NSA Nb'!AF8</f>
        <v>2017 - T2</v>
      </c>
      <c r="AG8" s="38" t="str">
        <f>'A)NSA Nb'!AG8</f>
        <v>2017- T3</v>
      </c>
      <c r="AH8" s="38" t="str">
        <f>'A)NSA Nb'!AH8</f>
        <v>2017 - T4</v>
      </c>
      <c r="AI8" s="38" t="str">
        <f>'A)NSA Nb'!AI8</f>
        <v>2018 - T1</v>
      </c>
      <c r="AJ8" s="38" t="str">
        <f>'A)NSA Nb'!AJ8</f>
        <v>2018 - T2</v>
      </c>
      <c r="AK8" s="38" t="str">
        <f>'A)NSA Nb'!AK8</f>
        <v>2018 - T3</v>
      </c>
      <c r="AL8" s="38" t="str">
        <f>'A)NSA Nb'!AL8</f>
        <v>2018 - T4</v>
      </c>
      <c r="AM8" s="38" t="str">
        <f>'A)NSA Nb'!AM8</f>
        <v>2019 - T1</v>
      </c>
      <c r="AN8" s="38" t="str">
        <f>'A)NSA Nb'!AN8</f>
        <v>2019 - T2</v>
      </c>
      <c r="AO8" s="38" t="str">
        <f>'A)NSA Nb'!AO8</f>
        <v>2019 - T3</v>
      </c>
      <c r="AP8" s="38" t="str">
        <f>'A)NSA Nb'!AP8</f>
        <v>2019 - T4</v>
      </c>
      <c r="AQ8" s="38" t="str">
        <f>'A)NSA Nb'!AQ8</f>
        <v>2020 - T1</v>
      </c>
      <c r="AR8" s="38" t="str">
        <f>'A)NSA Nb'!AR8</f>
        <v>2020 - T2</v>
      </c>
      <c r="AS8" s="38" t="str">
        <f>'A)NSA Nb'!AS8</f>
        <v>2020 - T3</v>
      </c>
      <c r="AT8" s="38" t="str">
        <f>'A)NSA Nb'!AT8</f>
        <v>2020- T4</v>
      </c>
      <c r="AU8" s="38" t="str">
        <f>'A)NSA Nb'!AU8</f>
        <v>2021- T1</v>
      </c>
      <c r="AV8" s="38" t="str">
        <f>'A)NSA Nb'!AV8</f>
        <v>2021- T2</v>
      </c>
      <c r="AW8" s="38" t="str">
        <f>'A)NSA Nb'!AW8</f>
        <v>2021- T3</v>
      </c>
      <c r="AX8" s="38" t="str">
        <f>'A)NSA Nb'!AX8</f>
        <v>2021- T4</v>
      </c>
      <c r="AY8" s="38" t="str">
        <f>'A)NSA Nb'!AY8</f>
        <v>2022- T1</v>
      </c>
      <c r="AZ8" s="38" t="str">
        <f>'A)NSA Nb'!AZ8</f>
        <v>2022- T2</v>
      </c>
      <c r="BA8" s="38" t="str">
        <f>'A)NSA Nb'!BA8</f>
        <v>2022- T3</v>
      </c>
      <c r="BB8" s="38" t="str">
        <f>'A)NSA Nb'!BB8</f>
        <v>2022- T4</v>
      </c>
      <c r="BC8" s="38" t="str">
        <f>'A)NSA Nb'!BC8</f>
        <v>2023- T1</v>
      </c>
      <c r="BD8" s="38" t="str">
        <f>'A)NSA Nb'!BD8</f>
        <v>2023- T2</v>
      </c>
      <c r="BE8" s="38" t="str">
        <f>'A)NSA Nb'!BE8</f>
        <v>2023- T3</v>
      </c>
      <c r="BF8" s="38" t="str">
        <f>'A)NSA Nb'!BF8</f>
        <v>2023- T4</v>
      </c>
      <c r="BG8" s="38" t="str">
        <f>'A)NSA Nb'!BG8</f>
        <v>2024- T1</v>
      </c>
      <c r="BH8" s="38" t="str">
        <f>'A)NSA Nb'!BH8</f>
        <v>2024- T2</v>
      </c>
      <c r="BI8" s="38" t="str">
        <f>'A)NSA Nb'!BI8</f>
        <v>2024- T3</v>
      </c>
      <c r="BJ8" s="38" t="str">
        <f>'A)NSA Nb'!BJ8</f>
        <v>2024- T4</v>
      </c>
    </row>
    <row r="9" spans="1:62" x14ac:dyDescent="0.25">
      <c r="A9" s="20" t="s">
        <v>27</v>
      </c>
      <c r="B9" s="39"/>
      <c r="C9" s="105">
        <f>'B)NSA RCO Nb'!C9/'B)NSA RCO Nb'!B9-1</f>
        <v>-2.5981214452330814E-4</v>
      </c>
      <c r="D9" s="105">
        <f>'B)NSA RCO Nb'!D9/'B)NSA RCO Nb'!C9-1</f>
        <v>-5.2117171831304043E-3</v>
      </c>
      <c r="E9" s="105">
        <f>'B)NSA RCO Nb'!E9/'B)NSA RCO Nb'!D9-1</f>
        <v>-5.7700225746454281E-3</v>
      </c>
      <c r="F9" s="105">
        <f>'B)NSA RCO Nb'!F9/'B)NSA RCO Nb'!E9-1</f>
        <v>-2.4619216126443577E-3</v>
      </c>
      <c r="G9" s="105">
        <f>'B)NSA RCO Nb'!G9/'B)NSA RCO Nb'!F9-1</f>
        <v>6.7282998015860684E-4</v>
      </c>
      <c r="H9" s="105">
        <f>'B)NSA RCO Nb'!H9/'B)NSA RCO Nb'!G9-1</f>
        <v>-9.2130034963634477E-3</v>
      </c>
      <c r="I9" s="105">
        <f>'B)NSA RCO Nb'!I9/'B)NSA RCO Nb'!H9-1</f>
        <v>-7.0461988067667125E-3</v>
      </c>
      <c r="J9" s="105">
        <f>'B)NSA RCO Nb'!J9/'B)NSA RCO Nb'!I9-1</f>
        <v>-4.9237158495373246E-3</v>
      </c>
      <c r="K9" s="105">
        <f>'B)NSA RCO Nb'!K9/'B)NSA RCO Nb'!J9-1</f>
        <v>5.991471651571878E-4</v>
      </c>
      <c r="L9" s="105">
        <f>'B)NSA RCO Nb'!L9/'B)NSA RCO Nb'!K9-1</f>
        <v>-1.1295193919814928E-2</v>
      </c>
      <c r="M9" s="105">
        <f>'B)NSA RCO Nb'!M9/'B)NSA RCO Nb'!L9-1</f>
        <v>-9.0548936308498806E-3</v>
      </c>
      <c r="N9" s="105">
        <f>'B)NSA RCO Nb'!N9/'B)NSA RCO Nb'!M9-1</f>
        <v>-5.3663103039119919E-3</v>
      </c>
      <c r="O9" s="105">
        <f>'B)NSA RCO Nb'!O9/'B)NSA RCO Nb'!N9-1</f>
        <v>3.2971051416863517E-5</v>
      </c>
      <c r="P9" s="105">
        <f>'B)NSA RCO Nb'!P9/'B)NSA RCO Nb'!O9-1</f>
        <v>-1.0370552426739232E-2</v>
      </c>
      <c r="Q9" s="105">
        <f>'B)NSA RCO Nb'!Q9/'B)NSA RCO Nb'!P9-1</f>
        <v>-5.0003482980340852E-3</v>
      </c>
      <c r="R9" s="105">
        <f>'B)NSA RCO Nb'!R9/'B)NSA RCO Nb'!Q9-1</f>
        <v>-1.8385150642566961E-3</v>
      </c>
      <c r="S9" s="105">
        <f>'B)NSA RCO Nb'!S9/'B)NSA RCO Nb'!R9-1</f>
        <v>-4.4522782856898369E-3</v>
      </c>
      <c r="T9" s="105">
        <f>'B)NSA RCO Nb'!T9/'B)NSA RCO Nb'!S9-1</f>
        <v>2.5987710667704E-2</v>
      </c>
      <c r="U9" s="105">
        <f>'B)NSA RCO Nb'!U9/'B)NSA RCO Nb'!T9-1</f>
        <v>-5.0724594412233648E-3</v>
      </c>
      <c r="V9" s="105">
        <f>'B)NSA RCO Nb'!V9/'B)NSA RCO Nb'!U9-1</f>
        <v>5.5304323819869161E-3</v>
      </c>
      <c r="W9" s="105">
        <f>'B)NSA RCO Nb'!W9/'B)NSA RCO Nb'!V9-1</f>
        <v>-1.0295741442597484E-3</v>
      </c>
      <c r="X9" s="105">
        <f>'B)NSA RCO Nb'!X9/'B)NSA RCO Nb'!W9-1</f>
        <v>-8.1016893456212768E-3</v>
      </c>
      <c r="Y9" s="105">
        <f>'B)NSA RCO Nb'!Y9/'B)NSA RCO Nb'!X9-1</f>
        <v>-5.8367692367927715E-3</v>
      </c>
      <c r="Z9" s="105">
        <f>'B)NSA RCO Nb'!Z9/'B)NSA RCO Nb'!Y9-1</f>
        <v>-6.8768081915815404E-4</v>
      </c>
      <c r="AA9" s="105">
        <f>'B)NSA RCO Nb'!AA9/'B)NSA RCO Nb'!Z9-1</f>
        <v>8.1850922187065578E-4</v>
      </c>
      <c r="AB9" s="105">
        <f>'B)NSA RCO Nb'!AB9/'B)NSA RCO Nb'!AA9-1</f>
        <v>-5.2432619086564269E-3</v>
      </c>
      <c r="AC9" s="105">
        <f>'B)NSA RCO Nb'!AC9/'B)NSA RCO Nb'!AB9-1</f>
        <v>-4.2386429034704243E-3</v>
      </c>
      <c r="AD9" s="105">
        <f>'B)NSA RCO Nb'!AD9/'B)NSA RCO Nb'!AC9-1</f>
        <v>-8.9292540097551942E-4</v>
      </c>
      <c r="AE9" s="105">
        <f>'B)NSA RCO Nb'!AE9/'B)NSA RCO Nb'!AD9-1</f>
        <v>-6.1520003183124228E-4</v>
      </c>
      <c r="AF9" s="105">
        <f>'B)NSA RCO Nb'!AF9/'B)NSA RCO Nb'!AE9-1</f>
        <v>-6.3732305939568912E-3</v>
      </c>
      <c r="AG9" s="105">
        <f>'B)NSA RCO Nb'!AG9/'B)NSA RCO Nb'!AF9-1</f>
        <v>-3.4274336474120481E-3</v>
      </c>
      <c r="AH9" s="105">
        <f>'B)NSA RCO Nb'!AH9/'B)NSA RCO Nb'!AG9-1</f>
        <v>9.5259008625880881E-4</v>
      </c>
      <c r="AI9" s="105">
        <f>'B)NSA RCO Nb'!AI9/'B)NSA RCO Nb'!AH9-1</f>
        <v>1.2915704941030004E-3</v>
      </c>
      <c r="AJ9" s="105">
        <f>'B)NSA RCO Nb'!AJ9/'B)NSA RCO Nb'!AI9-1</f>
        <v>-5.7058215426393222E-3</v>
      </c>
      <c r="AK9" s="105">
        <f>'B)NSA RCO Nb'!AK9/'B)NSA RCO Nb'!AJ9-1</f>
        <v>-3.4574154422947201E-3</v>
      </c>
      <c r="AL9" s="105">
        <f>'B)NSA RCO Nb'!AL9/'B)NSA RCO Nb'!AK9-1</f>
        <v>1.2270626487111969E-3</v>
      </c>
      <c r="AM9" s="105">
        <f>'B)NSA RCO Nb'!AM9/'B)NSA RCO Nb'!AL9-1</f>
        <v>5.5367885382251458E-4</v>
      </c>
      <c r="AN9" s="105">
        <f>'B)NSA RCO Nb'!AN9/'B)NSA RCO Nb'!AM9-1</f>
        <v>-5.9751790688420403E-3</v>
      </c>
      <c r="AO9" s="105">
        <f>'B)NSA RCO Nb'!AO9/'B)NSA RCO Nb'!AN9-1</f>
        <v>-3.6247974929787263E-3</v>
      </c>
      <c r="AP9" s="105">
        <f>'B)NSA RCO Nb'!AP9/'B)NSA RCO Nb'!AO9-1</f>
        <v>1.8833396634472255E-3</v>
      </c>
      <c r="AQ9" s="105">
        <f>'B)NSA RCO Nb'!AQ9/'B)NSA RCO Nb'!AP9-1</f>
        <v>1.7294154137281748E-3</v>
      </c>
      <c r="AR9" s="105">
        <f>'B)NSA RCO Nb'!AR9/'B)NSA RCO Nb'!AQ9-1</f>
        <v>-6.020610818333938E-3</v>
      </c>
      <c r="AS9" s="105">
        <f>'B)NSA RCO Nb'!AS9/'B)NSA RCO Nb'!AR9-1</f>
        <v>-5.5536326736099761E-3</v>
      </c>
      <c r="AT9" s="105">
        <f>'B)NSA RCO Nb'!AT9/'B)NSA RCO Nb'!AS9-1</f>
        <v>8.7012925374541084E-4</v>
      </c>
      <c r="AU9" s="105">
        <f>'B)NSA RCO Nb'!AU9/'B)NSA RCO Nb'!AT9-1</f>
        <v>-1.5617096611026948E-3</v>
      </c>
      <c r="AV9" s="105">
        <f>'B)NSA RCO Nb'!AV9/'B)NSA RCO Nb'!AU9-1</f>
        <v>-8.8561423062065714E-3</v>
      </c>
      <c r="AW9" s="105">
        <f>'B)NSA RCO Nb'!AW9/'B)NSA RCO Nb'!AV9-1</f>
        <v>-4.3158940545444668E-3</v>
      </c>
      <c r="AX9" s="105">
        <f>'B)NSA RCO Nb'!AX9/'B)NSA RCO Nb'!AW9-1</f>
        <v>2.0534012666919566E-3</v>
      </c>
      <c r="AY9" s="105">
        <f>'B)NSA RCO Nb'!AY9/'B)NSA RCO Nb'!AX9-1</f>
        <v>2.1484512580127735E-3</v>
      </c>
      <c r="AZ9" s="105">
        <f>'B)NSA RCO Nb'!AZ9/'B)NSA RCO Nb'!AY9-1</f>
        <v>-6.3740259242337505E-3</v>
      </c>
      <c r="BA9" s="105">
        <f>'B)NSA RCO Nb'!BA9/'B)NSA RCO Nb'!AZ9-1</f>
        <v>-4.0097236602635311E-3</v>
      </c>
      <c r="BB9" s="105">
        <f>'B)NSA RCO Nb'!BB9/'B)NSA RCO Nb'!BA9-1</f>
        <v>4.7587224412182216E-3</v>
      </c>
      <c r="BC9" s="105">
        <f>'B)NSA RCO Nb'!BC9/'B)NSA RCO Nb'!BB9-1</f>
        <v>-5.3338303006544852E-4</v>
      </c>
      <c r="BD9" s="105">
        <f>'B)NSA RCO Nb'!BD9/'B)NSA RCO Nb'!BC9-1</f>
        <v>-3.6070791339152253E-3</v>
      </c>
      <c r="BE9" s="105">
        <f>'B)NSA RCO Nb'!BE9/'B)NSA RCO Nb'!BD9-1</f>
        <v>-1.9229962604820905E-3</v>
      </c>
      <c r="BF9" s="105">
        <f>'B)NSA RCO Nb'!BF9/'B)NSA RCO Nb'!BE9-1</f>
        <v>1.344811645551669E-3</v>
      </c>
      <c r="BG9" s="105">
        <f>'B)NSA RCO Nb'!BG9/'B)NSA RCO Nb'!BF9-1</f>
        <v>2.2017543010075524E-3</v>
      </c>
      <c r="BH9" s="105">
        <f>'B)NSA RCO Nb'!BH9/'B)NSA RCO Nb'!BG9-1</f>
        <v>-6.9611996070030324E-3</v>
      </c>
      <c r="BI9" s="105">
        <f>'B)NSA RCO Nb'!BI9/'B)NSA RCO Nb'!BH9-1</f>
        <v>8.0091087798517258E-3</v>
      </c>
      <c r="BJ9" s="105">
        <f>'B)NSA RCO Nb'!BJ9/'B)NSA RCO Nb'!BI9-1</f>
        <v>1.9855636329699777E-3</v>
      </c>
    </row>
    <row r="10" spans="1:62" x14ac:dyDescent="0.25">
      <c r="A10" s="20" t="s">
        <v>28</v>
      </c>
      <c r="B10" s="39"/>
      <c r="C10" s="105">
        <f>'B)NSA RCO Nb'!C10/'B)NSA RCO Nb'!B10-1</f>
        <v>1.7833856778151302E-2</v>
      </c>
      <c r="D10" s="105">
        <f>'B)NSA RCO Nb'!D10/'B)NSA RCO Nb'!C10-1</f>
        <v>0.38569598325453813</v>
      </c>
      <c r="E10" s="105">
        <f>'B)NSA RCO Nb'!E10/'B)NSA RCO Nb'!D10-1</f>
        <v>1.4871243936582346E-2</v>
      </c>
      <c r="F10" s="105">
        <f>'B)NSA RCO Nb'!F10/'B)NSA RCO Nb'!E10-1</f>
        <v>1.2613155919393826E-2</v>
      </c>
      <c r="G10" s="105">
        <f>'B)NSA RCO Nb'!G10/'B)NSA RCO Nb'!F10-1</f>
        <v>2.0648145214939628E-2</v>
      </c>
      <c r="H10" s="105">
        <f>'B)NSA RCO Nb'!H10/'B)NSA RCO Nb'!G10-1</f>
        <v>1.0167976460948358E-2</v>
      </c>
      <c r="I10" s="105">
        <f>'B)NSA RCO Nb'!I10/'B)NSA RCO Nb'!H10-1</f>
        <v>9.3220755598162341E-3</v>
      </c>
      <c r="J10" s="105">
        <f>'B)NSA RCO Nb'!J10/'B)NSA RCO Nb'!I10-1</f>
        <v>1.0630201705946529E-2</v>
      </c>
      <c r="K10" s="105">
        <f>'B)NSA RCO Nb'!K10/'B)NSA RCO Nb'!J10-1</f>
        <v>1.8771649748486441E-2</v>
      </c>
      <c r="L10" s="105">
        <f>'B)NSA RCO Nb'!L10/'B)NSA RCO Nb'!K10-1</f>
        <v>6.3272052084133446E-3</v>
      </c>
      <c r="M10" s="105">
        <f>'B)NSA RCO Nb'!M10/'B)NSA RCO Nb'!L10-1</f>
        <v>6.3403082600290706E-3</v>
      </c>
      <c r="N10" s="105">
        <f>'B)NSA RCO Nb'!N10/'B)NSA RCO Nb'!M10-1</f>
        <v>9.7045428004203238E-3</v>
      </c>
      <c r="O10" s="105">
        <f>'B)NSA RCO Nb'!O10/'B)NSA RCO Nb'!N10-1</f>
        <v>1.4520997906570576E-2</v>
      </c>
      <c r="P10" s="105">
        <f>'B)NSA RCO Nb'!P10/'B)NSA RCO Nb'!O10-1</f>
        <v>5.8768874727104237E-3</v>
      </c>
      <c r="Q10" s="105">
        <f>'B)NSA RCO Nb'!Q10/'B)NSA RCO Nb'!P10-1</f>
        <v>8.2963097288966114E-3</v>
      </c>
      <c r="R10" s="105">
        <f>'B)NSA RCO Nb'!R10/'B)NSA RCO Nb'!Q10-1</f>
        <v>1.0183894609055333E-2</v>
      </c>
      <c r="S10" s="105">
        <f>'B)NSA RCO Nb'!S10/'B)NSA RCO Nb'!R10-1</f>
        <v>1.0214754645599289E-2</v>
      </c>
      <c r="T10" s="105">
        <f>'B)NSA RCO Nb'!T10/'B)NSA RCO Nb'!S10-1</f>
        <v>1.1817751244657884</v>
      </c>
      <c r="U10" s="105">
        <f>'B)NSA RCO Nb'!U10/'B)NSA RCO Nb'!T10-1</f>
        <v>-2.0496872459978555E-3</v>
      </c>
      <c r="V10" s="105">
        <f>'B)NSA RCO Nb'!V10/'B)NSA RCO Nb'!U10-1</f>
        <v>-1.1863026311129676E-3</v>
      </c>
      <c r="W10" s="105">
        <f>'B)NSA RCO Nb'!W10/'B)NSA RCO Nb'!V10-1</f>
        <v>-3.8138458304738387E-3</v>
      </c>
      <c r="X10" s="105">
        <f>'B)NSA RCO Nb'!X10/'B)NSA RCO Nb'!W10-1</f>
        <v>-8.7017090736226654E-3</v>
      </c>
      <c r="Y10" s="105">
        <f>'B)NSA RCO Nb'!Y10/'B)NSA RCO Nb'!X10-1</f>
        <v>-6.6085734508191107E-3</v>
      </c>
      <c r="Z10" s="105">
        <f>'B)NSA RCO Nb'!Z10/'B)NSA RCO Nb'!Y10-1</f>
        <v>-3.6450844281064043E-3</v>
      </c>
      <c r="AA10" s="105">
        <f>'B)NSA RCO Nb'!AA10/'B)NSA RCO Nb'!Z10-1</f>
        <v>-3.7879671156780814E-3</v>
      </c>
      <c r="AB10" s="105">
        <f>'B)NSA RCO Nb'!AB10/'B)NSA RCO Nb'!AA10-1</f>
        <v>-7.0819798333927597E-3</v>
      </c>
      <c r="AC10" s="105">
        <f>'B)NSA RCO Nb'!AC10/'B)NSA RCO Nb'!AB10-1</f>
        <v>-5.7887650809117508E-3</v>
      </c>
      <c r="AD10" s="105">
        <f>'B)NSA RCO Nb'!AD10/'B)NSA RCO Nb'!AC10-1</f>
        <v>-4.6052839573826887E-3</v>
      </c>
      <c r="AE10" s="105">
        <f>'B)NSA RCO Nb'!AE10/'B)NSA RCO Nb'!AD10-1</f>
        <v>-5.7355961632117314E-3</v>
      </c>
      <c r="AF10" s="105">
        <f>'B)NSA RCO Nb'!AF10/'B)NSA RCO Nb'!AE10-1</f>
        <v>-9.4902422207965298E-3</v>
      </c>
      <c r="AG10" s="105">
        <f>'B)NSA RCO Nb'!AG10/'B)NSA RCO Nb'!AF10-1</f>
        <v>-6.6355984132615564E-3</v>
      </c>
      <c r="AH10" s="105">
        <f>'B)NSA RCO Nb'!AH10/'B)NSA RCO Nb'!AG10-1</f>
        <v>-4.6426687228602326E-3</v>
      </c>
      <c r="AI10" s="105">
        <f>'B)NSA RCO Nb'!AI10/'B)NSA RCO Nb'!AH10-1</f>
        <v>-4.699659417394475E-3</v>
      </c>
      <c r="AJ10" s="105">
        <f>'B)NSA RCO Nb'!AJ10/'B)NSA RCO Nb'!AI10-1</f>
        <v>-8.6189474834093005E-3</v>
      </c>
      <c r="AK10" s="105">
        <f>'B)NSA RCO Nb'!AK10/'B)NSA RCO Nb'!AJ10-1</f>
        <v>-5.7545989961819144E-3</v>
      </c>
      <c r="AL10" s="105">
        <f>'B)NSA RCO Nb'!AL10/'B)NSA RCO Nb'!AK10-1</f>
        <v>-3.7930317933088098E-3</v>
      </c>
      <c r="AM10" s="105">
        <f>'B)NSA RCO Nb'!AM10/'B)NSA RCO Nb'!AL10-1</f>
        <v>-5.1062977672462484E-3</v>
      </c>
      <c r="AN10" s="105">
        <f>'B)NSA RCO Nb'!AN10/'B)NSA RCO Nb'!AM10-1</f>
        <v>-8.8756569383875439E-3</v>
      </c>
      <c r="AO10" s="105">
        <f>'B)NSA RCO Nb'!AO10/'B)NSA RCO Nb'!AN10-1</f>
        <v>-5.9061614181556976E-3</v>
      </c>
      <c r="AP10" s="105">
        <f>'B)NSA RCO Nb'!AP10/'B)NSA RCO Nb'!AO10-1</f>
        <v>-3.5891513997690083E-3</v>
      </c>
      <c r="AQ10" s="105">
        <f>'B)NSA RCO Nb'!AQ10/'B)NSA RCO Nb'!AP10-1</f>
        <v>-4.5844652121668217E-3</v>
      </c>
      <c r="AR10" s="105">
        <f>'B)NSA RCO Nb'!AR10/'B)NSA RCO Nb'!AQ10-1</f>
        <v>-8.8564432340892951E-3</v>
      </c>
      <c r="AS10" s="105">
        <f>'B)NSA RCO Nb'!AS10/'B)NSA RCO Nb'!AR10-1</f>
        <v>-7.861925652274282E-3</v>
      </c>
      <c r="AT10" s="105">
        <f>'B)NSA RCO Nb'!AT10/'B)NSA RCO Nb'!AS10-1</f>
        <v>-4.7853710189785792E-3</v>
      </c>
      <c r="AU10" s="105">
        <f>'B)NSA RCO Nb'!AU10/'B)NSA RCO Nb'!AT10-1</f>
        <v>-6.7872707980742852E-3</v>
      </c>
      <c r="AV10" s="105">
        <f>'B)NSA RCO Nb'!AV10/'B)NSA RCO Nb'!AU10-1</f>
        <v>-1.0650727363157753E-2</v>
      </c>
      <c r="AW10" s="105">
        <f>'B)NSA RCO Nb'!AW10/'B)NSA RCO Nb'!AV10-1</f>
        <v>-7.2284855876491028E-3</v>
      </c>
      <c r="AX10" s="105">
        <f>'B)NSA RCO Nb'!AX10/'B)NSA RCO Nb'!AW10-1</f>
        <v>-4.0840174986516153E-3</v>
      </c>
      <c r="AY10" s="105">
        <f>'B)NSA RCO Nb'!AY10/'B)NSA RCO Nb'!AX10-1</f>
        <v>-5.5208392879170232E-3</v>
      </c>
      <c r="AZ10" s="105">
        <f>'B)NSA RCO Nb'!AZ10/'B)NSA RCO Nb'!AY10-1</f>
        <v>-9.5267772325453581E-3</v>
      </c>
      <c r="BA10" s="105">
        <f>'B)NSA RCO Nb'!BA10/'B)NSA RCO Nb'!AZ10-1</f>
        <v>-6.9641073572128676E-3</v>
      </c>
      <c r="BB10" s="105">
        <f>'B)NSA RCO Nb'!BB10/'B)NSA RCO Nb'!BA10-1</f>
        <v>-2.6882960693666025E-3</v>
      </c>
      <c r="BC10" s="105">
        <f>'B)NSA RCO Nb'!BC10/'B)NSA RCO Nb'!BB10-1</f>
        <v>-8.4628931127964657E-3</v>
      </c>
      <c r="BD10" s="105">
        <f>'B)NSA RCO Nb'!BD10/'B)NSA RCO Nb'!BC10-1</f>
        <v>-7.738845083127277E-3</v>
      </c>
      <c r="BE10" s="105">
        <f>'B)NSA RCO Nb'!BE10/'B)NSA RCO Nb'!BD10-1</f>
        <v>-6.0625628904694695E-3</v>
      </c>
      <c r="BF10" s="105">
        <f>'B)NSA RCO Nb'!BF10/'B)NSA RCO Nb'!BE10-1</f>
        <v>-3.7656943353738814E-3</v>
      </c>
      <c r="BG10" s="105">
        <f>'B)NSA RCO Nb'!BG10/'B)NSA RCO Nb'!BF10-1</f>
        <v>-5.2361822090104537E-3</v>
      </c>
      <c r="BH10" s="105">
        <f>'B)NSA RCO Nb'!BH10/'B)NSA RCO Nb'!BG10-1</f>
        <v>-1.0151961174317714E-2</v>
      </c>
      <c r="BI10" s="105">
        <f>'B)NSA RCO Nb'!BI10/'B)NSA RCO Nb'!BH10-1</f>
        <v>3.1588084942208994E-2</v>
      </c>
      <c r="BJ10" s="105">
        <f>'B)NSA RCO Nb'!BJ10/'B)NSA RCO Nb'!BI10-1</f>
        <v>-2.462133017515411E-3</v>
      </c>
    </row>
    <row r="11" spans="1:62" x14ac:dyDescent="0.25">
      <c r="A11" s="20" t="s">
        <v>13</v>
      </c>
      <c r="B11" s="111"/>
      <c r="C11" s="105">
        <f>'B)NSA RCO Nb'!C11/'B)NSA RCO Nb'!B11-1</f>
        <v>3.9957148657872033E-3</v>
      </c>
      <c r="D11" s="105">
        <f>'B)NSA RCO Nb'!D11/'B)NSA RCO Nb'!C11-1</f>
        <v>8.7994733739776176E-2</v>
      </c>
      <c r="E11" s="105">
        <f>'B)NSA RCO Nb'!E11/'B)NSA RCO Nb'!D11-1</f>
        <v>4.9826989619372597E-4</v>
      </c>
      <c r="F11" s="105">
        <f>'B)NSA RCO Nb'!F11/'B)NSA RCO Nb'!E11-1</f>
        <v>2.1818095580650176E-3</v>
      </c>
      <c r="G11" s="105">
        <f>'B)NSA RCO Nb'!G11/'B)NSA RCO Nb'!F11-1</f>
        <v>6.8900782085008494E-3</v>
      </c>
      <c r="H11" s="105">
        <f>'B)NSA RCO Nb'!H11/'B)NSA RCO Nb'!G11-1</f>
        <v>-3.0983157070113565E-3</v>
      </c>
      <c r="I11" s="105">
        <f>'B)NSA RCO Nb'!I11/'B)NSA RCO Nb'!H11-1</f>
        <v>-1.8132954040918081E-3</v>
      </c>
      <c r="J11" s="105">
        <f>'B)NSA RCO Nb'!J11/'B)NSA RCO Nb'!I11-1</f>
        <v>1.0431120164544616E-4</v>
      </c>
      <c r="K11" s="105">
        <f>'B)NSA RCO Nb'!K11/'B)NSA RCO Nb'!J11-1</f>
        <v>6.53549753221494E-3</v>
      </c>
      <c r="L11" s="105">
        <f>'B)NSA RCO Nb'!L11/'B)NSA RCO Nb'!K11-1</f>
        <v>-5.4685621220444958E-3</v>
      </c>
      <c r="M11" s="105">
        <f>'B)NSA RCO Nb'!M11/'B)NSA RCO Nb'!L11-1</f>
        <v>-3.90428409662813E-3</v>
      </c>
      <c r="N11" s="105">
        <f>'B)NSA RCO Nb'!N11/'B)NSA RCO Nb'!M11-1</f>
        <v>-2.723580284436089E-4</v>
      </c>
      <c r="O11" s="105">
        <f>'B)NSA RCO Nb'!O11/'B)NSA RCO Nb'!N11-1</f>
        <v>4.9787976657691413E-3</v>
      </c>
      <c r="P11" s="105">
        <f>'B)NSA RCO Nb'!P11/'B)NSA RCO Nb'!O11-1</f>
        <v>-4.7714459701023726E-3</v>
      </c>
      <c r="Q11" s="105">
        <f>'B)NSA RCO Nb'!Q11/'B)NSA RCO Nb'!P11-1</f>
        <v>-3.6909764507808696E-4</v>
      </c>
      <c r="R11" s="105">
        <f>'B)NSA RCO Nb'!R11/'B)NSA RCO Nb'!Q11-1</f>
        <v>2.3852116875373586E-3</v>
      </c>
      <c r="S11" s="105">
        <f>'B)NSA RCO Nb'!S11/'B)NSA RCO Nb'!R11-1</f>
        <v>7.4065027518299686E-4</v>
      </c>
      <c r="T11" s="105">
        <f>'B)NSA RCO Nb'!T11/'B)NSA RCO Nb'!S11-1</f>
        <v>0.43907345513524576</v>
      </c>
      <c r="U11" s="105">
        <f>'B)NSA RCO Nb'!U11/'B)NSA RCO Nb'!T11-1</f>
        <v>-3.4345318860243834E-3</v>
      </c>
      <c r="V11" s="105">
        <f>'B)NSA RCO Nb'!V11/'B)NSA RCO Nb'!U11-1</f>
        <v>1.8858265176855404E-3</v>
      </c>
      <c r="W11" s="105">
        <f>'B)NSA RCO Nb'!W11/'B)NSA RCO Nb'!V11-1</f>
        <v>-2.5357310672948774E-3</v>
      </c>
      <c r="X11" s="105">
        <f>'B)NSA RCO Nb'!X11/'B)NSA RCO Nb'!W11-1</f>
        <v>-8.4258552208713589E-3</v>
      </c>
      <c r="Y11" s="105">
        <f>'B)NSA RCO Nb'!Y11/'B)NSA RCO Nb'!X11-1</f>
        <v>-6.2536271730142534E-3</v>
      </c>
      <c r="Z11" s="105">
        <f>'B)NSA RCO Nb'!Z11/'B)NSA RCO Nb'!Y11-1</f>
        <v>-2.2844288091700138E-3</v>
      </c>
      <c r="AA11" s="105">
        <f>'B)NSA RCO Nb'!AA11/'B)NSA RCO Nb'!Z11-1</f>
        <v>-1.6652068167308798E-3</v>
      </c>
      <c r="AB11" s="105">
        <f>'B)NSA RCO Nb'!AB11/'B)NSA RCO Nb'!AA11-1</f>
        <v>-6.2325522819340895E-3</v>
      </c>
      <c r="AC11" s="105">
        <f>'B)NSA RCO Nb'!AC11/'B)NSA RCO Nb'!AB11-1</f>
        <v>-5.0719464474549003E-3</v>
      </c>
      <c r="AD11" s="105">
        <f>'B)NSA RCO Nb'!AD11/'B)NSA RCO Nb'!AC11-1</f>
        <v>-2.8871506229311006E-3</v>
      </c>
      <c r="AE11" s="105">
        <f>'B)NSA RCO Nb'!AE11/'B)NSA RCO Nb'!AD11-1</f>
        <v>-3.3610630497389327E-3</v>
      </c>
      <c r="AF11" s="105">
        <f>'B)NSA RCO Nb'!AF11/'B)NSA RCO Nb'!AE11-1</f>
        <v>-8.0407763920754549E-3</v>
      </c>
      <c r="AG11" s="105">
        <f>'B)NSA RCO Nb'!AG11/'B)NSA RCO Nb'!AF11-1</f>
        <v>-5.141236854384279E-3</v>
      </c>
      <c r="AH11" s="105">
        <f>'B)NSA RCO Nb'!AH11/'B)NSA RCO Nb'!AG11-1</f>
        <v>-2.0319102265118349E-3</v>
      </c>
      <c r="AI11" s="105">
        <f>'B)NSA RCO Nb'!AI11/'B)NSA RCO Nb'!AH11-1</f>
        <v>-1.8957798292497108E-3</v>
      </c>
      <c r="AJ11" s="105">
        <f>'B)NSA RCO Nb'!AJ11/'B)NSA RCO Nb'!AI11-1</f>
        <v>-7.2512586475425023E-3</v>
      </c>
      <c r="AK11" s="105">
        <f>'B)NSA RCO Nb'!AK11/'B)NSA RCO Nb'!AJ11-1</f>
        <v>-4.674411138028689E-3</v>
      </c>
      <c r="AL11" s="105">
        <f>'B)NSA RCO Nb'!AL11/'B)NSA RCO Nb'!AK11-1</f>
        <v>-1.4295831335582321E-3</v>
      </c>
      <c r="AM11" s="105">
        <f>'B)NSA RCO Nb'!AM11/'B)NSA RCO Nb'!AL11-1</f>
        <v>-2.4345047735675474E-3</v>
      </c>
      <c r="AN11" s="105">
        <f>'B)NSA RCO Nb'!AN11/'B)NSA RCO Nb'!AM11-1</f>
        <v>-7.5023845130294253E-3</v>
      </c>
      <c r="AO11" s="105">
        <f>'B)NSA RCO Nb'!AO11/'B)NSA RCO Nb'!AN11-1</f>
        <v>-4.8243552077972263E-3</v>
      </c>
      <c r="AP11" s="105">
        <f>'B)NSA RCO Nb'!AP11/'B)NSA RCO Nb'!AO11-1</f>
        <v>-9.9100790719997001E-4</v>
      </c>
      <c r="AQ11" s="105">
        <f>'B)NSA RCO Nb'!AQ11/'B)NSA RCO Nb'!AP11-1</f>
        <v>-1.5782352704256652E-3</v>
      </c>
      <c r="AR11" s="105">
        <f>'B)NSA RCO Nb'!AR11/'B)NSA RCO Nb'!AQ11-1</f>
        <v>-7.5017443311106158E-3</v>
      </c>
      <c r="AS11" s="105">
        <f>'B)NSA RCO Nb'!AS11/'B)NSA RCO Nb'!AR11-1</f>
        <v>-6.7575908112420535E-3</v>
      </c>
      <c r="AT11" s="105">
        <f>'B)NSA RCO Nb'!AT11/'B)NSA RCO Nb'!AS11-1</f>
        <v>-2.076383636884449E-3</v>
      </c>
      <c r="AU11" s="105">
        <f>'B)NSA RCO Nb'!AU11/'B)NSA RCO Nb'!AT11-1</f>
        <v>-4.2768338671781425E-3</v>
      </c>
      <c r="AV11" s="105">
        <f>'B)NSA RCO Nb'!AV11/'B)NSA RCO Nb'!AU11-1</f>
        <v>-9.7862312485224034E-3</v>
      </c>
      <c r="AW11" s="105">
        <f>'B)NSA RCO Nb'!AW11/'B)NSA RCO Nb'!AV11-1</f>
        <v>-5.8241001603513975E-3</v>
      </c>
      <c r="AX11" s="105">
        <f>'B)NSA RCO Nb'!AX11/'B)NSA RCO Nb'!AW11-1</f>
        <v>-1.1202042707206816E-3</v>
      </c>
      <c r="AY11" s="105">
        <f>'B)NSA RCO Nb'!AY11/'B)NSA RCO Nb'!AX11-1</f>
        <v>-1.8055049286872515E-3</v>
      </c>
      <c r="AZ11" s="105">
        <f>'B)NSA RCO Nb'!AZ11/'B)NSA RCO Nb'!AY11-1</f>
        <v>-7.9933989193994304E-3</v>
      </c>
      <c r="BA11" s="105">
        <f>'B)NSA RCO Nb'!BA11/'B)NSA RCO Nb'!AZ11-1</f>
        <v>-5.5248618784530246E-3</v>
      </c>
      <c r="BB11" s="105">
        <f>'B)NSA RCO Nb'!BB11/'B)NSA RCO Nb'!BA11-1</f>
        <v>9.4509025611944075E-4</v>
      </c>
      <c r="BC11" s="105">
        <f>'B)NSA RCO Nb'!BC11/'B)NSA RCO Nb'!BB11-1</f>
        <v>-4.5793598338211838E-3</v>
      </c>
      <c r="BD11" s="105">
        <f>'B)NSA RCO Nb'!BD11/'B)NSA RCO Nb'!BC11-1</f>
        <v>-5.7070587305351195E-3</v>
      </c>
      <c r="BE11" s="105">
        <f>'B)NSA RCO Nb'!BE11/'B)NSA RCO Nb'!BD11-1</f>
        <v>-4.0226412694375213E-3</v>
      </c>
      <c r="BF11" s="105">
        <f>'B)NSA RCO Nb'!BF11/'B)NSA RCO Nb'!BE11-1</f>
        <v>-1.2419980523937779E-3</v>
      </c>
      <c r="BG11" s="105">
        <f>'B)NSA RCO Nb'!BG11/'B)NSA RCO Nb'!BF11-1</f>
        <v>-1.5536289703851347E-3</v>
      </c>
      <c r="BH11" s="105">
        <f>'B)NSA RCO Nb'!BH11/'B)NSA RCO Nb'!BG11-1</f>
        <v>-8.5662600454646798E-3</v>
      </c>
      <c r="BI11" s="105">
        <f>'B)NSA RCO Nb'!BI11/'B)NSA RCO Nb'!BH11-1</f>
        <v>1.9851156692378025E-2</v>
      </c>
      <c r="BJ11" s="105">
        <f>'B)NSA RCO Nb'!BJ11/'B)NSA RCO Nb'!BI11-1</f>
        <v>-2.7390623540424208E-4</v>
      </c>
    </row>
    <row r="12" spans="1:62" ht="13" x14ac:dyDescent="0.3">
      <c r="A12" s="14"/>
      <c r="B12" s="100"/>
      <c r="C12" s="100"/>
      <c r="D12" s="100"/>
      <c r="E12" s="100"/>
      <c r="F12" s="100"/>
      <c r="G12" s="100"/>
      <c r="H12" s="100"/>
      <c r="I12" s="100"/>
      <c r="J12" s="100"/>
      <c r="K12" s="165"/>
      <c r="L12" s="165"/>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M12" s="100"/>
      <c r="AN12" s="100"/>
      <c r="AO12" s="100"/>
    </row>
    <row r="13" spans="1:62" ht="13" x14ac:dyDescent="0.3">
      <c r="A13" s="25" t="s">
        <v>41</v>
      </c>
      <c r="L13" s="14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M13" s="35"/>
      <c r="AN13" s="35"/>
      <c r="AO13" s="35"/>
    </row>
    <row r="14" spans="1:62" x14ac:dyDescent="0.25">
      <c r="A14" s="17" t="s">
        <v>12</v>
      </c>
      <c r="L14" s="14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M14" s="35"/>
      <c r="AN14" s="35"/>
      <c r="AO14" s="35"/>
    </row>
    <row r="15" spans="1:62" x14ac:dyDescent="0.25">
      <c r="A15" s="5"/>
      <c r="B15" s="2" t="str">
        <f t="shared" ref="B15:H15" si="0">B8</f>
        <v>4eme T 2009</v>
      </c>
      <c r="C15" s="38" t="str">
        <f t="shared" si="0"/>
        <v>1er T 2010</v>
      </c>
      <c r="D15" s="38" t="str">
        <f t="shared" si="0"/>
        <v>2eme T 2010</v>
      </c>
      <c r="E15" s="38" t="str">
        <f t="shared" si="0"/>
        <v>3eme T 2010</v>
      </c>
      <c r="F15" s="38" t="str">
        <f t="shared" si="0"/>
        <v>4eme T 2010</v>
      </c>
      <c r="G15" s="38" t="str">
        <f t="shared" si="0"/>
        <v>1er T 2011</v>
      </c>
      <c r="H15" s="38" t="str">
        <f t="shared" si="0"/>
        <v>2eme T 2011</v>
      </c>
      <c r="I15" s="38" t="str">
        <f t="shared" ref="I15:N15" si="1">I8</f>
        <v>3eme T 2011</v>
      </c>
      <c r="J15" s="38" t="str">
        <f t="shared" si="1"/>
        <v>4eme T 2011</v>
      </c>
      <c r="K15" s="38" t="str">
        <f t="shared" si="1"/>
        <v>1er T 2012</v>
      </c>
      <c r="L15" s="38" t="str">
        <f t="shared" si="1"/>
        <v>2eme T 2012</v>
      </c>
      <c r="M15" s="38" t="str">
        <f t="shared" si="1"/>
        <v>3eme T 2012</v>
      </c>
      <c r="N15" s="38" t="str">
        <f t="shared" si="1"/>
        <v>4eme T 2012</v>
      </c>
      <c r="O15" s="38" t="str">
        <f t="shared" ref="O15:T15" si="2">O8</f>
        <v>1er T 2013</v>
      </c>
      <c r="P15" s="38" t="str">
        <f t="shared" si="2"/>
        <v>2eme T 2013</v>
      </c>
      <c r="Q15" s="38" t="str">
        <f t="shared" si="2"/>
        <v>3ème T 2013</v>
      </c>
      <c r="R15" s="38" t="str">
        <f t="shared" si="2"/>
        <v>4ème T 2013</v>
      </c>
      <c r="S15" s="38" t="str">
        <f t="shared" si="2"/>
        <v>1er T 2014</v>
      </c>
      <c r="T15" s="38" t="str">
        <f t="shared" si="2"/>
        <v>2eme T 2014</v>
      </c>
      <c r="U15" s="38" t="str">
        <f t="shared" ref="U15:V15" si="3">U8</f>
        <v>3T 2014</v>
      </c>
      <c r="V15" s="38" t="str">
        <f t="shared" si="3"/>
        <v>4ème T 2014</v>
      </c>
      <c r="W15" s="38" t="str">
        <f t="shared" ref="W15:X15" si="4">W8</f>
        <v>1er T 2015</v>
      </c>
      <c r="X15" s="38" t="str">
        <f t="shared" si="4"/>
        <v>2e T 2015</v>
      </c>
      <c r="Y15" s="38" t="str">
        <f t="shared" ref="Y15:Z15" si="5">Y8</f>
        <v>3e T 2015</v>
      </c>
      <c r="Z15" s="38" t="str">
        <f t="shared" si="5"/>
        <v>4e T 2015</v>
      </c>
      <c r="AA15" s="38" t="str">
        <f t="shared" ref="AA15:AB15" si="6">AA8</f>
        <v>1er T 2016</v>
      </c>
      <c r="AB15" s="38" t="str">
        <f t="shared" si="6"/>
        <v>2e T 2016</v>
      </c>
      <c r="AC15" s="38" t="str">
        <f t="shared" ref="AC15:AD15" si="7">AC8</f>
        <v>3e T 2016</v>
      </c>
      <c r="AD15" s="38" t="str">
        <f t="shared" si="7"/>
        <v>4e T 2016</v>
      </c>
      <c r="AE15" s="38" t="str">
        <f t="shared" ref="AE15:AF15" si="8">AE8</f>
        <v>2017 - T1</v>
      </c>
      <c r="AF15" s="38" t="str">
        <f t="shared" si="8"/>
        <v>2017 - T2</v>
      </c>
      <c r="AG15" s="38" t="str">
        <f t="shared" ref="AG15:AH15" si="9">AG8</f>
        <v>2017- T3</v>
      </c>
      <c r="AH15" s="38" t="str">
        <f t="shared" si="9"/>
        <v>2017 - T4</v>
      </c>
      <c r="AI15" s="38" t="str">
        <f t="shared" ref="AI15:AJ15" si="10">AI8</f>
        <v>2018 - T1</v>
      </c>
      <c r="AJ15" s="38" t="str">
        <f t="shared" si="10"/>
        <v>2018 - T2</v>
      </c>
      <c r="AK15" s="38" t="str">
        <f t="shared" ref="AK15:AM15" si="11">AK8</f>
        <v>2018 - T3</v>
      </c>
      <c r="AL15" s="38" t="str">
        <f t="shared" si="11"/>
        <v>2018 - T4</v>
      </c>
      <c r="AM15" s="38" t="str">
        <f t="shared" si="11"/>
        <v>2019 - T1</v>
      </c>
      <c r="AN15" s="38" t="str">
        <f t="shared" ref="AN15:AP15" si="12">AN8</f>
        <v>2019 - T2</v>
      </c>
      <c r="AO15" s="38" t="str">
        <f t="shared" si="12"/>
        <v>2019 - T3</v>
      </c>
      <c r="AP15" s="38" t="str">
        <f t="shared" si="12"/>
        <v>2019 - T4</v>
      </c>
      <c r="AQ15" s="38" t="str">
        <f t="shared" ref="AQ15" si="13">AQ8</f>
        <v>2020 - T1</v>
      </c>
      <c r="AR15" s="38" t="str">
        <f t="shared" ref="AR15" si="14">AR8</f>
        <v>2020 - T2</v>
      </c>
      <c r="AS15" s="38" t="str">
        <f t="shared" ref="AS15:AT15" si="15">AS8</f>
        <v>2020 - T3</v>
      </c>
      <c r="AT15" s="38" t="str">
        <f t="shared" si="15"/>
        <v>2020- T4</v>
      </c>
      <c r="AU15" s="38" t="str">
        <f t="shared" ref="AU15:AV15" si="16">AU8</f>
        <v>2021- T1</v>
      </c>
      <c r="AV15" s="38" t="str">
        <f t="shared" si="16"/>
        <v>2021- T2</v>
      </c>
      <c r="AW15" s="38" t="str">
        <f t="shared" ref="AW15:AX15" si="17">AW8</f>
        <v>2021- T3</v>
      </c>
      <c r="AX15" s="38" t="str">
        <f t="shared" si="17"/>
        <v>2021- T4</v>
      </c>
      <c r="AY15" s="38" t="str">
        <f t="shared" ref="AY15:AZ15" si="18">AY8</f>
        <v>2022- T1</v>
      </c>
      <c r="AZ15" s="38" t="str">
        <f t="shared" si="18"/>
        <v>2022- T2</v>
      </c>
      <c r="BA15" s="38" t="str">
        <f t="shared" ref="BA15:BB15" si="19">BA8</f>
        <v>2022- T3</v>
      </c>
      <c r="BB15" s="38" t="str">
        <f t="shared" si="19"/>
        <v>2022- T4</v>
      </c>
      <c r="BC15" s="38" t="str">
        <f t="shared" ref="BC15:BD15" si="20">BC8</f>
        <v>2023- T1</v>
      </c>
      <c r="BD15" s="38" t="str">
        <f t="shared" si="20"/>
        <v>2023- T2</v>
      </c>
      <c r="BE15" s="38" t="str">
        <f t="shared" ref="BE15:BF15" si="21">BE8</f>
        <v>2023- T3</v>
      </c>
      <c r="BF15" s="38" t="str">
        <f t="shared" si="21"/>
        <v>2023- T4</v>
      </c>
      <c r="BG15" s="38" t="str">
        <f t="shared" ref="BG15:BH15" si="22">BG8</f>
        <v>2024- T1</v>
      </c>
      <c r="BH15" s="38" t="str">
        <f t="shared" si="22"/>
        <v>2024- T2</v>
      </c>
      <c r="BI15" s="38" t="str">
        <f t="shared" ref="BI15:BJ15" si="23">BI8</f>
        <v>2024- T3</v>
      </c>
      <c r="BJ15" s="38" t="str">
        <f t="shared" si="23"/>
        <v>2024- T4</v>
      </c>
    </row>
    <row r="16" spans="1:62" x14ac:dyDescent="0.25">
      <c r="A16" s="20" t="s">
        <v>27</v>
      </c>
      <c r="B16" s="16"/>
      <c r="C16" s="105">
        <f>'B)NSA RCO Nb'!C16/'B)NSA RCO Nb'!B16-1</f>
        <v>2.5565825588056423E-3</v>
      </c>
      <c r="D16" s="105">
        <f>'B)NSA RCO Nb'!D16/'B)NSA RCO Nb'!C16-1</f>
        <v>7.7909118821000156E-3</v>
      </c>
      <c r="E16" s="105">
        <f>'B)NSA RCO Nb'!E16/'B)NSA RCO Nb'!D16-1</f>
        <v>-4.1890399482069629E-4</v>
      </c>
      <c r="F16" s="105">
        <f>'B)NSA RCO Nb'!F16/'B)NSA RCO Nb'!E16-1</f>
        <v>-1.5239256324295347E-4</v>
      </c>
      <c r="G16" s="105">
        <f>'B)NSA RCO Nb'!G16/'B)NSA RCO Nb'!F16-1</f>
        <v>2.1592236955747524E-4</v>
      </c>
      <c r="H16" s="105">
        <f>'B)NSA RCO Nb'!H16/'B)NSA RCO Nb'!G16-1</f>
        <v>1.9255270966404003E-2</v>
      </c>
      <c r="I16" s="105">
        <f>'B)NSA RCO Nb'!I16/'B)NSA RCO Nb'!H16-1</f>
        <v>-2.2840910978594309E-4</v>
      </c>
      <c r="J16" s="105">
        <f>'B)NSA RCO Nb'!J16/'B)NSA RCO Nb'!I16-1</f>
        <v>2.243074507457532E-4</v>
      </c>
      <c r="K16" s="105">
        <f>'B)NSA RCO Nb'!K16/'B)NSA RCO Nb'!J16-1</f>
        <v>-1.0174629871881891E-3</v>
      </c>
      <c r="L16" s="105">
        <f>'B)NSA RCO Nb'!L16/'B)NSA RCO Nb'!K16-1</f>
        <v>2.1018499272500435E-2</v>
      </c>
      <c r="M16" s="105">
        <f>'B)NSA RCO Nb'!M16/'B)NSA RCO Nb'!L16-1</f>
        <v>-9.7717482471892936E-5</v>
      </c>
      <c r="N16" s="105">
        <f>'B)NSA RCO Nb'!N16/'B)NSA RCO Nb'!M16-1</f>
        <v>2.0359798356350822E-5</v>
      </c>
      <c r="O16" s="105">
        <f>'B)NSA RCO Nb'!O16/'B)NSA RCO Nb'!N16-1</f>
        <v>8.5102224466293563E-4</v>
      </c>
      <c r="P16" s="105">
        <f>'B)NSA RCO Nb'!P16/'B)NSA RCO Nb'!O16-1</f>
        <v>1.1354944750931573E-2</v>
      </c>
      <c r="Q16" s="105">
        <f>'B)NSA RCO Nb'!Q16/'B)NSA RCO Nb'!P16-1</f>
        <v>-5.1893300936889375E-4</v>
      </c>
      <c r="R16" s="105">
        <f>'B)NSA RCO Nb'!R16/'B)NSA RCO Nb'!Q16-1</f>
        <v>-2.6724838805752826E-3</v>
      </c>
      <c r="S16" s="105">
        <f>'B)NSA RCO Nb'!S16/'B)NSA RCO Nb'!R16-1</f>
        <v>3.5473013874427473E-3</v>
      </c>
      <c r="T16" s="105">
        <f>'B)NSA RCO Nb'!T16/'B)NSA RCO Nb'!S16-1</f>
        <v>-8.2678859385618697E-3</v>
      </c>
      <c r="U16" s="105">
        <f>'B)NSA RCO Nb'!U16/'B)NSA RCO Nb'!T16-1</f>
        <v>9.2045560525022552E-4</v>
      </c>
      <c r="V16" s="105">
        <f>'B)NSA RCO Nb'!V16/'B)NSA RCO Nb'!U16-1</f>
        <v>-3.4029589538342453E-4</v>
      </c>
      <c r="W16" s="105">
        <f>'B)NSA RCO Nb'!W16/'B)NSA RCO Nb'!V16-1</f>
        <v>-1.3008591343816045E-3</v>
      </c>
      <c r="X16" s="105">
        <f>'B)NSA RCO Nb'!X16/'B)NSA RCO Nb'!W16-1</f>
        <v>-4.220111264856552E-4</v>
      </c>
      <c r="Y16" s="105">
        <f>'B)NSA RCO Nb'!Y16/'B)NSA RCO Nb'!X16-1</f>
        <v>-5.1555808147440985E-4</v>
      </c>
      <c r="Z16" s="105">
        <f>'B)NSA RCO Nb'!Z16/'B)NSA RCO Nb'!Y16-1</f>
        <v>6.4173381855980871E-4</v>
      </c>
      <c r="AA16" s="105">
        <f>'B)NSA RCO Nb'!AA16/'B)NSA RCO Nb'!Z16-1</f>
        <v>1.5294318209493341E-2</v>
      </c>
      <c r="AB16" s="105">
        <f>'B)NSA RCO Nb'!AB16/'B)NSA RCO Nb'!AA16-1</f>
        <v>-1.003462144290701E-3</v>
      </c>
      <c r="AC16" s="105">
        <f>'B)NSA RCO Nb'!AC16/'B)NSA RCO Nb'!AB16-1</f>
        <v>-1.1285281511745904E-3</v>
      </c>
      <c r="AD16" s="105">
        <f>'B)NSA RCO Nb'!AD16/'B)NSA RCO Nb'!AC16-1</f>
        <v>8.0728843233799363E-3</v>
      </c>
      <c r="AE16" s="105">
        <f>'B)NSA RCO Nb'!AE16/'B)NSA RCO Nb'!AD16-1</f>
        <v>-1.1763957776930178E-3</v>
      </c>
      <c r="AF16" s="105">
        <f>'B)NSA RCO Nb'!AF16/'B)NSA RCO Nb'!AE16-1</f>
        <v>-1.9337895909595781E-3</v>
      </c>
      <c r="AG16" s="105">
        <f>'B)NSA RCO Nb'!AG16/'B)NSA RCO Nb'!AF16-1</f>
        <v>-4.3853704043328445E-4</v>
      </c>
      <c r="AH16" s="105">
        <f>'B)NSA RCO Nb'!AH16/'B)NSA RCO Nb'!AG16-1</f>
        <v>2.230340932659014E-2</v>
      </c>
      <c r="AI16" s="105">
        <f>'B)NSA RCO Nb'!AI16/'B)NSA RCO Nb'!AH16-1</f>
        <v>-1.0444139265594066E-2</v>
      </c>
      <c r="AJ16" s="105">
        <f>'B)NSA RCO Nb'!AJ16/'B)NSA RCO Nb'!AI16-1</f>
        <v>-5.598508115866041E-4</v>
      </c>
      <c r="AK16" s="105">
        <f>'B)NSA RCO Nb'!AK16/'B)NSA RCO Nb'!AJ16-1</f>
        <v>-1.5976520432193775E-3</v>
      </c>
      <c r="AL16" s="105">
        <f>'B)NSA RCO Nb'!AL16/'B)NSA RCO Nb'!AK16-1</f>
        <v>-1.0786591437106363E-3</v>
      </c>
      <c r="AM16" s="105">
        <f>'B)NSA RCO Nb'!AM16/'B)NSA RCO Nb'!AL16-1</f>
        <v>1.6138027600773874E-3</v>
      </c>
      <c r="AN16" s="105">
        <f>'B)NSA RCO Nb'!AN16/'B)NSA RCO Nb'!AM16-1</f>
        <v>-8.8853084386730785E-4</v>
      </c>
      <c r="AO16" s="105">
        <f>'B)NSA RCO Nb'!AO16/'B)NSA RCO Nb'!AN16-1</f>
        <v>-1.6600659283327879E-4</v>
      </c>
      <c r="AP16" s="105">
        <f>'B)NSA RCO Nb'!AP16/'B)NSA RCO Nb'!AO16-1</f>
        <v>-3.5578747628084439E-4</v>
      </c>
      <c r="AQ16" s="105">
        <f>'B)NSA RCO Nb'!AQ16/'B)NSA RCO Nb'!AP16-1</f>
        <v>7.4741962273106033E-3</v>
      </c>
      <c r="AR16" s="105">
        <f>'B)NSA RCO Nb'!AR16/'B)NSA RCO Nb'!AQ16-1</f>
        <v>-1.7977704506201286E-3</v>
      </c>
      <c r="AS16" s="105">
        <f>'B)NSA RCO Nb'!AS16/'B)NSA RCO Nb'!AR16-1</f>
        <v>-1.1796997270960841E-3</v>
      </c>
      <c r="AT16" s="105">
        <f>'B)NSA RCO Nb'!AT16/'B)NSA RCO Nb'!AS16-1</f>
        <v>-7.0481779651343501E-4</v>
      </c>
      <c r="AU16" s="105">
        <f>'B)NSA RCO Nb'!AU16/'B)NSA RCO Nb'!AT16-1</f>
        <v>2.5506991360080278E-3</v>
      </c>
      <c r="AV16" s="105">
        <f>'B)NSA RCO Nb'!AV16/'B)NSA RCO Nb'!AU16-1</f>
        <v>-4.8009618480882033E-4</v>
      </c>
      <c r="AW16" s="105">
        <f>'B)NSA RCO Nb'!AW16/'B)NSA RCO Nb'!AV16-1</f>
        <v>1.3437064413992506E-3</v>
      </c>
      <c r="AX16" s="105">
        <f>'B)NSA RCO Nb'!AX16/'B)NSA RCO Nb'!AW16-1</f>
        <v>4.0220659304189388E-2</v>
      </c>
      <c r="AY16" s="105">
        <f>'B)NSA RCO Nb'!AY16/'B)NSA RCO Nb'!AX16-1</f>
        <v>4.3371286872545989E-2</v>
      </c>
      <c r="AZ16" s="105">
        <f>'B)NSA RCO Nb'!AZ16/'B)NSA RCO Nb'!AY16-1</f>
        <v>-1.7053698753561886E-3</v>
      </c>
      <c r="BA16" s="105">
        <f>'B)NSA RCO Nb'!BA16/'B)NSA RCO Nb'!AZ16-1</f>
        <v>3.8128097994445387E-2</v>
      </c>
      <c r="BB16" s="105">
        <f>'B)NSA RCO Nb'!BB16/'B)NSA RCO Nb'!BA16-1</f>
        <v>-3.4410610468335046E-3</v>
      </c>
      <c r="BC16" s="105">
        <f>'B)NSA RCO Nb'!BC16/'B)NSA RCO Nb'!BB16-1</f>
        <v>6.3820062847335102E-3</v>
      </c>
      <c r="BD16" s="105">
        <f>'B)NSA RCO Nb'!BD16/'B)NSA RCO Nb'!BC16-1</f>
        <v>2.0070731903787387E-3</v>
      </c>
      <c r="BE16" s="105">
        <f>'B)NSA RCO Nb'!BE16/'B)NSA RCO Nb'!BD16-1</f>
        <v>-4.7064667134721905E-4</v>
      </c>
      <c r="BF16" s="105">
        <f>'B)NSA RCO Nb'!BF16/'B)NSA RCO Nb'!BE16-1</f>
        <v>-4.7826373798420807E-4</v>
      </c>
      <c r="BG16" s="105">
        <f>'B)NSA RCO Nb'!BG16/'B)NSA RCO Nb'!BF16-1</f>
        <v>4.0615612649139488E-2</v>
      </c>
      <c r="BH16" s="105">
        <f>'B)NSA RCO Nb'!BH16/'B)NSA RCO Nb'!BG16-1</f>
        <v>1.7773029221523906E-4</v>
      </c>
      <c r="BI16" s="105">
        <f>'B)NSA RCO Nb'!BI16/'B)NSA RCO Nb'!BH16-1</f>
        <v>-2.667061676573601E-3</v>
      </c>
      <c r="BJ16" s="105">
        <f>'B)NSA RCO Nb'!BJ16/'B)NSA RCO Nb'!BI16-1</f>
        <v>-2.6405599998015061E-3</v>
      </c>
    </row>
    <row r="17" spans="1:62" x14ac:dyDescent="0.25">
      <c r="A17" s="20" t="s">
        <v>28</v>
      </c>
      <c r="B17" s="16"/>
      <c r="C17" s="105">
        <f>'B)NSA RCO Nb'!C17/'B)NSA RCO Nb'!B17-1</f>
        <v>-5.3872021796496083E-3</v>
      </c>
      <c r="D17" s="105">
        <f>'B)NSA RCO Nb'!D17/'B)NSA RCO Nb'!C17-1</f>
        <v>7.4325586295741042E-2</v>
      </c>
      <c r="E17" s="105">
        <f>'B)NSA RCO Nb'!E17/'B)NSA RCO Nb'!D17-1</f>
        <v>3.5661589347757428E-5</v>
      </c>
      <c r="F17" s="105">
        <f>'B)NSA RCO Nb'!F17/'B)NSA RCO Nb'!E17-1</f>
        <v>-1.314974213132758E-3</v>
      </c>
      <c r="G17" s="105">
        <f>'B)NSA RCO Nb'!G17/'B)NSA RCO Nb'!F17-1</f>
        <v>8.7929156772759143E-4</v>
      </c>
      <c r="H17" s="105">
        <f>'B)NSA RCO Nb'!H17/'B)NSA RCO Nb'!G17-1</f>
        <v>2.0910538215580754E-2</v>
      </c>
      <c r="I17" s="105">
        <f>'B)NSA RCO Nb'!I17/'B)NSA RCO Nb'!H17-1</f>
        <v>8.4742060891951354E-4</v>
      </c>
      <c r="J17" s="105">
        <f>'B)NSA RCO Nb'!J17/'B)NSA RCO Nb'!I17-1</f>
        <v>-4.6263158813564242E-4</v>
      </c>
      <c r="K17" s="105">
        <f>'B)NSA RCO Nb'!K17/'B)NSA RCO Nb'!J17-1</f>
        <v>-5.1262346191127683E-3</v>
      </c>
      <c r="L17" s="105">
        <f>'B)NSA RCO Nb'!L17/'B)NSA RCO Nb'!K17-1</f>
        <v>2.2041396745141384E-2</v>
      </c>
      <c r="M17" s="105">
        <f>'B)NSA RCO Nb'!M17/'B)NSA RCO Nb'!L17-1</f>
        <v>1.7177260742240463E-4</v>
      </c>
      <c r="N17" s="105">
        <f>'B)NSA RCO Nb'!N17/'B)NSA RCO Nb'!M17-1</f>
        <v>-9.4029350896929209E-4</v>
      </c>
      <c r="O17" s="105">
        <f>'B)NSA RCO Nb'!O17/'B)NSA RCO Nb'!N17-1</f>
        <v>-2.5141069333481925E-3</v>
      </c>
      <c r="P17" s="105">
        <f>'B)NSA RCO Nb'!P17/'B)NSA RCO Nb'!O17-1</f>
        <v>1.0934847610102549E-2</v>
      </c>
      <c r="Q17" s="105">
        <f>'B)NSA RCO Nb'!Q17/'B)NSA RCO Nb'!P17-1</f>
        <v>-1.3978861234231754E-3</v>
      </c>
      <c r="R17" s="105">
        <f>'B)NSA RCO Nb'!R17/'B)NSA RCO Nb'!Q17-1</f>
        <v>-3.9050496773532783E-3</v>
      </c>
      <c r="S17" s="105">
        <f>'B)NSA RCO Nb'!S17/'B)NSA RCO Nb'!R17-1</f>
        <v>2.6607025797247275E-3</v>
      </c>
      <c r="T17" s="105">
        <f>'B)NSA RCO Nb'!T17/'B)NSA RCO Nb'!S17-1</f>
        <v>-8.1643292396311407E-2</v>
      </c>
      <c r="U17" s="105">
        <f>'B)NSA RCO Nb'!U17/'B)NSA RCO Nb'!T17-1</f>
        <v>2.8244118522930961E-3</v>
      </c>
      <c r="V17" s="105">
        <f>'B)NSA RCO Nb'!V17/'B)NSA RCO Nb'!U17-1</f>
        <v>-1.5775871268897124E-4</v>
      </c>
      <c r="W17" s="105">
        <f>'B)NSA RCO Nb'!W17/'B)NSA RCO Nb'!V17-1</f>
        <v>-1.1740956447083839E-3</v>
      </c>
      <c r="X17" s="105">
        <f>'B)NSA RCO Nb'!X17/'B)NSA RCO Nb'!W17-1</f>
        <v>2.2766131430262959E-4</v>
      </c>
      <c r="Y17" s="105">
        <f>'B)NSA RCO Nb'!Y17/'B)NSA RCO Nb'!X17-1</f>
        <v>7.0605394809564181E-4</v>
      </c>
      <c r="Z17" s="105">
        <f>'B)NSA RCO Nb'!Z17/'B)NSA RCO Nb'!Y17-1</f>
        <v>9.2372106408955545E-4</v>
      </c>
      <c r="AA17" s="105">
        <f>'B)NSA RCO Nb'!AA17/'B)NSA RCO Nb'!Z17-1</f>
        <v>3.8398753431772015E-3</v>
      </c>
      <c r="AB17" s="105">
        <f>'B)NSA RCO Nb'!AB17/'B)NSA RCO Nb'!AA17-1</f>
        <v>-5.7747389817974781E-4</v>
      </c>
      <c r="AC17" s="105">
        <f>'B)NSA RCO Nb'!AC17/'B)NSA RCO Nb'!AB17-1</f>
        <v>-1.3405135553656855E-4</v>
      </c>
      <c r="AD17" s="105">
        <f>'B)NSA RCO Nb'!AD17/'B)NSA RCO Nb'!AC17-1</f>
        <v>2.251440089502843E-3</v>
      </c>
      <c r="AE17" s="105">
        <f>'B)NSA RCO Nb'!AE17/'B)NSA RCO Nb'!AD17-1</f>
        <v>-1.033243693292607E-3</v>
      </c>
      <c r="AF17" s="105">
        <f>'B)NSA RCO Nb'!AF17/'B)NSA RCO Nb'!AE17-1</f>
        <v>-1.4314144683680308E-3</v>
      </c>
      <c r="AG17" s="105">
        <f>'B)NSA RCO Nb'!AG17/'B)NSA RCO Nb'!AF17-1</f>
        <v>-5.0864935100980446E-5</v>
      </c>
      <c r="AH17" s="105">
        <f>'B)NSA RCO Nb'!AH17/'B)NSA RCO Nb'!AG17-1</f>
        <v>1.0104139691465397E-2</v>
      </c>
      <c r="AI17" s="105">
        <f>'B)NSA RCO Nb'!AI17/'B)NSA RCO Nb'!AH17-1</f>
        <v>-3.8089482816239251E-3</v>
      </c>
      <c r="AJ17" s="105">
        <f>'B)NSA RCO Nb'!AJ17/'B)NSA RCO Nb'!AI17-1</f>
        <v>-8.5017991645275348E-4</v>
      </c>
      <c r="AK17" s="105">
        <f>'B)NSA RCO Nb'!AK17/'B)NSA RCO Nb'!AJ17-1</f>
        <v>-7.6811274239252381E-4</v>
      </c>
      <c r="AL17" s="105">
        <f>'B)NSA RCO Nb'!AL17/'B)NSA RCO Nb'!AK17-1</f>
        <v>-5.5696458901977053E-4</v>
      </c>
      <c r="AM17" s="105">
        <f>'B)NSA RCO Nb'!AM17/'B)NSA RCO Nb'!AL17-1</f>
        <v>1.9113149847094224E-3</v>
      </c>
      <c r="AN17" s="105">
        <f>'B)NSA RCO Nb'!AN17/'B)NSA RCO Nb'!AM17-1</f>
        <v>-1.2916986526800844E-3</v>
      </c>
      <c r="AO17" s="105">
        <f>'B)NSA RCO Nb'!AO17/'B)NSA RCO Nb'!AN17-1</f>
        <v>9.251502793863331E-4</v>
      </c>
      <c r="AP17" s="105">
        <f>'B)NSA RCO Nb'!AP17/'B)NSA RCO Nb'!AO17-1</f>
        <v>-2.4739840800503954E-3</v>
      </c>
      <c r="AQ17" s="105">
        <f>'B)NSA RCO Nb'!AQ17/'B)NSA RCO Nb'!AP17-1</f>
        <v>8.5836118474127421E-3</v>
      </c>
      <c r="AR17" s="105">
        <f>'B)NSA RCO Nb'!AR17/'B)NSA RCO Nb'!AQ17-1</f>
        <v>-3.6108178273841496E-4</v>
      </c>
      <c r="AS17" s="105">
        <f>'B)NSA RCO Nb'!AS17/'B)NSA RCO Nb'!AR17-1</f>
        <v>-1.8380671946156557E-3</v>
      </c>
      <c r="AT17" s="105">
        <f>'B)NSA RCO Nb'!AT17/'B)NSA RCO Nb'!AS17-1</f>
        <v>-5.3999869646917942E-3</v>
      </c>
      <c r="AU17" s="105">
        <f>'B)NSA RCO Nb'!AU17/'B)NSA RCO Nb'!AT17-1</f>
        <v>1.5234991710386669E-3</v>
      </c>
      <c r="AV17" s="105">
        <f>'B)NSA RCO Nb'!AV17/'B)NSA RCO Nb'!AU17-1</f>
        <v>-1.1772107634562268E-3</v>
      </c>
      <c r="AW17" s="105">
        <f>'B)NSA RCO Nb'!AW17/'B)NSA RCO Nb'!AV17-1</f>
        <v>-3.1996249335142224E-5</v>
      </c>
      <c r="AX17" s="105">
        <f>'B)NSA RCO Nb'!AX17/'B)NSA RCO Nb'!AW17-1</f>
        <v>1.0543347898151589E-2</v>
      </c>
      <c r="AY17" s="105">
        <f>'B)NSA RCO Nb'!AY17/'B)NSA RCO Nb'!AX17-1</f>
        <v>4.5190639298110735E-2</v>
      </c>
      <c r="AZ17" s="105">
        <f>'B)NSA RCO Nb'!AZ17/'B)NSA RCO Nb'!AY17-1</f>
        <v>-2.7199790171382743E-3</v>
      </c>
      <c r="BA17" s="105">
        <f>'B)NSA RCO Nb'!BA17/'B)NSA RCO Nb'!AZ17-1</f>
        <v>3.7656763787627057E-2</v>
      </c>
      <c r="BB17" s="105">
        <f>'B)NSA RCO Nb'!BB17/'B)NSA RCO Nb'!BA17-1</f>
        <v>-4.5817003603212392E-3</v>
      </c>
      <c r="BC17" s="105">
        <f>'B)NSA RCO Nb'!BC17/'B)NSA RCO Nb'!BB17-1</f>
        <v>6.2287917626506761E-3</v>
      </c>
      <c r="BD17" s="105">
        <f>'B)NSA RCO Nb'!BD17/'B)NSA RCO Nb'!BC17-1</f>
        <v>-1.0825466045604193E-3</v>
      </c>
      <c r="BE17" s="105">
        <f>'B)NSA RCO Nb'!BE17/'B)NSA RCO Nb'!BD17-1</f>
        <v>-1.6655548511989027E-3</v>
      </c>
      <c r="BF17" s="105">
        <f>'B)NSA RCO Nb'!BF17/'B)NSA RCO Nb'!BE17-1</f>
        <v>-9.5856461767018786E-4</v>
      </c>
      <c r="BG17" s="105">
        <f>'B)NSA RCO Nb'!BG17/'B)NSA RCO Nb'!BF17-1</f>
        <v>4.1894325070038319E-2</v>
      </c>
      <c r="BH17" s="105">
        <f>'B)NSA RCO Nb'!BH17/'B)NSA RCO Nb'!BG17-1</f>
        <v>-6.4464665458530135E-4</v>
      </c>
      <c r="BI17" s="105">
        <f>'B)NSA RCO Nb'!BI17/'B)NSA RCO Nb'!BH17-1</f>
        <v>-8.7532523550714059E-3</v>
      </c>
      <c r="BJ17" s="105">
        <f>'B)NSA RCO Nb'!BJ17/'B)NSA RCO Nb'!BI17-1</f>
        <v>-6.4907596665381151E-3</v>
      </c>
    </row>
    <row r="18" spans="1:62" x14ac:dyDescent="0.25">
      <c r="A18" s="20" t="s">
        <v>13</v>
      </c>
      <c r="B18" s="16"/>
      <c r="C18" s="105">
        <f>'B)NSA RCO Nb'!C18/'B)NSA RCO Nb'!B18-1</f>
        <v>4.7311149660944629E-4</v>
      </c>
      <c r="D18" s="105">
        <f>'B)NSA RCO Nb'!D18/'B)NSA RCO Nb'!C18-1</f>
        <v>1.8880481995235954E-2</v>
      </c>
      <c r="E18" s="105">
        <f>'B)NSA RCO Nb'!E18/'B)NSA RCO Nb'!D18-1</f>
        <v>-4.9420703407021538E-4</v>
      </c>
      <c r="F18" s="105">
        <f>'B)NSA RCO Nb'!F18/'B)NSA RCO Nb'!E18-1</f>
        <v>-6.7933322154434261E-4</v>
      </c>
      <c r="G18" s="105">
        <f>'B)NSA RCO Nb'!G18/'B)NSA RCO Nb'!F18-1</f>
        <v>1.7640250749706432E-4</v>
      </c>
      <c r="H18" s="105">
        <f>'B)NSA RCO Nb'!H18/'B)NSA RCO Nb'!G18-1</f>
        <v>1.9560017895244197E-2</v>
      </c>
      <c r="I18" s="105">
        <f>'B)NSA RCO Nb'!I18/'B)NSA RCO Nb'!H18-1</f>
        <v>-7.1726628721902053E-5</v>
      </c>
      <c r="J18" s="105">
        <f>'B)NSA RCO Nb'!J18/'B)NSA RCO Nb'!I18-1</f>
        <v>-1.5612209591797654E-4</v>
      </c>
      <c r="K18" s="105">
        <f>'B)NSA RCO Nb'!K18/'B)NSA RCO Nb'!J18-1</f>
        <v>-2.5405453310094472E-3</v>
      </c>
      <c r="L18" s="105">
        <f>'B)NSA RCO Nb'!L18/'B)NSA RCO Nb'!K18-1</f>
        <v>2.115038818726056E-2</v>
      </c>
      <c r="M18" s="105">
        <f>'B)NSA RCO Nb'!M18/'B)NSA RCO Nb'!L18-1</f>
        <v>-1.8644812184587245E-4</v>
      </c>
      <c r="N18" s="105">
        <f>'B)NSA RCO Nb'!N18/'B)NSA RCO Nb'!M18-1</f>
        <v>-4.7656738870083259E-4</v>
      </c>
      <c r="O18" s="105">
        <f>'B)NSA RCO Nb'!O18/'B)NSA RCO Nb'!N18-1</f>
        <v>-4.519183727622611E-4</v>
      </c>
      <c r="P18" s="105">
        <f>'B)NSA RCO Nb'!P18/'B)NSA RCO Nb'!O18-1</f>
        <v>1.1021009187631048E-2</v>
      </c>
      <c r="Q18" s="105">
        <f>'B)NSA RCO Nb'!Q18/'B)NSA RCO Nb'!P18-1</f>
        <v>-9.8875040001311643E-4</v>
      </c>
      <c r="R18" s="105">
        <f>'B)NSA RCO Nb'!R18/'B)NSA RCO Nb'!Q18-1</f>
        <v>-3.2566601369194981E-3</v>
      </c>
      <c r="S18" s="105">
        <f>'B)NSA RCO Nb'!S18/'B)NSA RCO Nb'!R18-1</f>
        <v>3.0530514033322298E-3</v>
      </c>
      <c r="T18" s="105">
        <f>'B)NSA RCO Nb'!T18/'B)NSA RCO Nb'!S18-1</f>
        <v>-5.7494588188901963E-2</v>
      </c>
      <c r="U18" s="105">
        <f>'B)NSA RCO Nb'!U18/'B)NSA RCO Nb'!T18-1</f>
        <v>1.7912243083522128E-3</v>
      </c>
      <c r="V18" s="105">
        <f>'B)NSA RCO Nb'!V18/'B)NSA RCO Nb'!U18-1</f>
        <v>-2.1752087112858476E-5</v>
      </c>
      <c r="W18" s="105">
        <f>'B)NSA RCO Nb'!W18/'B)NSA RCO Nb'!V18-1</f>
        <v>-1.1441846705357861E-3</v>
      </c>
      <c r="X18" s="105">
        <f>'B)NSA RCO Nb'!X18/'B)NSA RCO Nb'!W18-1</f>
        <v>-6.53324331973959E-5</v>
      </c>
      <c r="Y18" s="105">
        <f>'B)NSA RCO Nb'!Y18/'B)NSA RCO Nb'!X18-1</f>
        <v>1.3067340360639612E-4</v>
      </c>
      <c r="Z18" s="105">
        <f>'B)NSA RCO Nb'!Z18/'B)NSA RCO Nb'!Y18-1</f>
        <v>8.7975262401451815E-4</v>
      </c>
      <c r="AA18" s="105">
        <f>'B)NSA RCO Nb'!AA18/'B)NSA RCO Nb'!Z18-1</f>
        <v>9.6774755017146052E-3</v>
      </c>
      <c r="AB18" s="105">
        <f>'B)NSA RCO Nb'!AB18/'B)NSA RCO Nb'!AA18-1</f>
        <v>-7.1971590615249603E-4</v>
      </c>
      <c r="AC18" s="105">
        <f>'B)NSA RCO Nb'!AC18/'B)NSA RCO Nb'!AB18-1</f>
        <v>-5.6928696807256873E-4</v>
      </c>
      <c r="AD18" s="105">
        <f>'B)NSA RCO Nb'!AD18/'B)NSA RCO Nb'!AC18-1</f>
        <v>5.2991106297226587E-3</v>
      </c>
      <c r="AE18" s="105">
        <f>'B)NSA RCO Nb'!AE18/'B)NSA RCO Nb'!AD18-1</f>
        <v>-9.1430043139528738E-4</v>
      </c>
      <c r="AF18" s="105">
        <f>'B)NSA RCO Nb'!AF18/'B)NSA RCO Nb'!AE18-1</f>
        <v>-1.563896336014281E-3</v>
      </c>
      <c r="AG18" s="105">
        <f>'B)NSA RCO Nb'!AG18/'B)NSA RCO Nb'!AF18-1</f>
        <v>-1.2479129731313154E-4</v>
      </c>
      <c r="AH18" s="105">
        <f>'B)NSA RCO Nb'!AH18/'B)NSA RCO Nb'!AG18-1</f>
        <v>1.6483114490938533E-2</v>
      </c>
      <c r="AI18" s="105">
        <f>'B)NSA RCO Nb'!AI18/'B)NSA RCO Nb'!AH18-1</f>
        <v>-6.9605273742638918E-3</v>
      </c>
      <c r="AJ18" s="105">
        <f>'B)NSA RCO Nb'!AJ18/'B)NSA RCO Nb'!AI18-1</f>
        <v>-5.7558251081879508E-4</v>
      </c>
      <c r="AK18" s="105">
        <f>'B)NSA RCO Nb'!AK18/'B)NSA RCO Nb'!AJ18-1</f>
        <v>-1.1006356384113403E-3</v>
      </c>
      <c r="AL18" s="105">
        <f>'B)NSA RCO Nb'!AL18/'B)NSA RCO Nb'!AK18-1</f>
        <v>-6.2779732823114998E-4</v>
      </c>
      <c r="AM18" s="105">
        <f>'B)NSA RCO Nb'!AM18/'B)NSA RCO Nb'!AL18-1</f>
        <v>1.9785902010638345E-3</v>
      </c>
      <c r="AN18" s="105">
        <f>'B)NSA RCO Nb'!AN18/'B)NSA RCO Nb'!AM18-1</f>
        <v>-9.7241414606674681E-4</v>
      </c>
      <c r="AO18" s="105">
        <f>'B)NSA RCO Nb'!AO18/'B)NSA RCO Nb'!AN18-1</f>
        <v>4.5252732240430582E-4</v>
      </c>
      <c r="AP18" s="105">
        <f>'B)NSA RCO Nb'!AP18/'B)NSA RCO Nb'!AO18-1</f>
        <v>-1.1649441424218532E-3</v>
      </c>
      <c r="AQ18" s="105">
        <f>'B)NSA RCO Nb'!AQ18/'B)NSA RCO Nb'!AP18-1</f>
        <v>8.2581075134680049E-3</v>
      </c>
      <c r="AR18" s="105">
        <f>'B)NSA RCO Nb'!AR18/'B)NSA RCO Nb'!AQ18-1</f>
        <v>-9.9150021609628602E-4</v>
      </c>
      <c r="AS18" s="105">
        <f>'B)NSA RCO Nb'!AS18/'B)NSA RCO Nb'!AR18-1</f>
        <v>-1.4038986817772603E-3</v>
      </c>
      <c r="AT18" s="105">
        <f>'B)NSA RCO Nb'!AT18/'B)NSA RCO Nb'!AS18-1</f>
        <v>-2.9071424617376218E-3</v>
      </c>
      <c r="AU18" s="105">
        <f>'B)NSA RCO Nb'!AU18/'B)NSA RCO Nb'!AT18-1</f>
        <v>2.2486681751485715E-3</v>
      </c>
      <c r="AV18" s="105">
        <f>'B)NSA RCO Nb'!AV18/'B)NSA RCO Nb'!AU18-1</f>
        <v>-7.294318825895596E-4</v>
      </c>
      <c r="AW18" s="105">
        <f>'B)NSA RCO Nb'!AW18/'B)NSA RCO Nb'!AV18-1</f>
        <v>8.0469854916742634E-4</v>
      </c>
      <c r="AX18" s="105">
        <f>'B)NSA RCO Nb'!AX18/'B)NSA RCO Nb'!AW18-1</f>
        <v>2.6348693524033129E-2</v>
      </c>
      <c r="AY18" s="105">
        <f>'B)NSA RCO Nb'!AY18/'B)NSA RCO Nb'!AX18-1</f>
        <v>4.4595270699179235E-2</v>
      </c>
      <c r="AZ18" s="105">
        <f>'B)NSA RCO Nb'!AZ18/'B)NSA RCO Nb'!AY18-1</f>
        <v>-2.0266446802027493E-3</v>
      </c>
      <c r="BA18" s="105">
        <f>'B)NSA RCO Nb'!BA18/'B)NSA RCO Nb'!AZ18-1</f>
        <v>3.8049015316376167E-2</v>
      </c>
      <c r="BB18" s="105">
        <f>'B)NSA RCO Nb'!BB18/'B)NSA RCO Nb'!BA18-1</f>
        <v>-3.6163346231625759E-3</v>
      </c>
      <c r="BC18" s="105">
        <f>'B)NSA RCO Nb'!BC18/'B)NSA RCO Nb'!BB18-1</f>
        <v>6.6870310223305918E-3</v>
      </c>
      <c r="BD18" s="105">
        <f>'B)NSA RCO Nb'!BD18/'B)NSA RCO Nb'!BC18-1</f>
        <v>7.8167336638212959E-4</v>
      </c>
      <c r="BE18" s="105">
        <f>'B)NSA RCO Nb'!BE18/'B)NSA RCO Nb'!BD18-1</f>
        <v>-8.1900944602908421E-4</v>
      </c>
      <c r="BF18" s="105">
        <f>'B)NSA RCO Nb'!BF18/'B)NSA RCO Nb'!BE18-1</f>
        <v>-4.4981938514476738E-4</v>
      </c>
      <c r="BG18" s="105">
        <f>'B)NSA RCO Nb'!BG18/'B)NSA RCO Nb'!BF18-1</f>
        <v>4.1552763766415257E-2</v>
      </c>
      <c r="BH18" s="105">
        <f>'B)NSA RCO Nb'!BH18/'B)NSA RCO Nb'!BG18-1</f>
        <v>-1.8065207476714029E-5</v>
      </c>
      <c r="BI18" s="105">
        <f>'B)NSA RCO Nb'!BI18/'B)NSA RCO Nb'!BH18-1</f>
        <v>-6.5753989330219476E-3</v>
      </c>
      <c r="BJ18" s="105">
        <f>'B)NSA RCO Nb'!BJ18/'B)NSA RCO Nb'!BI18-1</f>
        <v>-4.1787160452337879E-3</v>
      </c>
    </row>
    <row r="19" spans="1:62" ht="13" thickBot="1" x14ac:dyDescent="0.3">
      <c r="A19" s="6"/>
      <c r="B19" s="15"/>
      <c r="C19" s="53"/>
      <c r="D19" s="53"/>
      <c r="E19" s="53"/>
      <c r="F19" s="53"/>
      <c r="G19" s="53"/>
      <c r="H19" s="53"/>
      <c r="I19" s="53"/>
      <c r="J19" s="53"/>
      <c r="K19" s="154"/>
      <c r="L19" s="154"/>
      <c r="M19" s="53"/>
      <c r="N19" s="53"/>
      <c r="O19" s="53"/>
      <c r="P19" s="53"/>
      <c r="Q19" s="53"/>
      <c r="R19" s="53"/>
      <c r="S19" s="53"/>
      <c r="T19" s="53"/>
      <c r="U19" s="53"/>
      <c r="V19" s="53"/>
      <c r="W19" s="53"/>
      <c r="X19" s="53"/>
      <c r="Y19" s="53"/>
      <c r="Z19" s="53"/>
      <c r="AA19" s="53"/>
      <c r="AB19" s="53"/>
      <c r="AC19" s="53"/>
      <c r="AD19" s="53"/>
      <c r="AE19" s="53"/>
      <c r="AF19" s="53"/>
      <c r="AG19" s="53"/>
      <c r="AH19" s="53"/>
      <c r="AI19" s="53"/>
      <c r="AJ19" s="53"/>
      <c r="AM19" s="53"/>
      <c r="AN19" s="53"/>
      <c r="AO19" s="53"/>
    </row>
    <row r="20" spans="1:62" x14ac:dyDescent="0.25">
      <c r="A20" s="19"/>
      <c r="B20" s="10"/>
      <c r="C20" s="40"/>
      <c r="D20" s="40"/>
      <c r="E20" s="40"/>
      <c r="F20" s="40"/>
      <c r="G20" s="40"/>
      <c r="H20" s="40"/>
      <c r="I20" s="40"/>
      <c r="J20" s="40"/>
      <c r="K20" s="146"/>
      <c r="L20" s="146"/>
      <c r="M20" s="40"/>
      <c r="N20" s="40"/>
      <c r="O20" s="40"/>
      <c r="P20" s="40"/>
      <c r="Q20" s="40"/>
      <c r="R20" s="40"/>
      <c r="S20" s="40"/>
      <c r="T20" s="40"/>
      <c r="U20" s="40"/>
      <c r="V20" s="40"/>
      <c r="W20" s="40"/>
      <c r="X20" s="40"/>
      <c r="Y20" s="40"/>
      <c r="Z20" s="40"/>
      <c r="AA20" s="40"/>
      <c r="AB20" s="40"/>
      <c r="AC20" s="40"/>
      <c r="AD20" s="40"/>
      <c r="AE20" s="40"/>
      <c r="AF20" s="40"/>
      <c r="AG20" s="40"/>
      <c r="AH20" s="40"/>
      <c r="AI20" s="40"/>
      <c r="AJ20" s="40"/>
      <c r="AM20" s="40"/>
      <c r="AN20" s="40"/>
      <c r="AO20" s="40"/>
    </row>
    <row r="21" spans="1:62" ht="13" x14ac:dyDescent="0.3">
      <c r="A21" s="1" t="s">
        <v>20</v>
      </c>
      <c r="L21" s="14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M21" s="35"/>
      <c r="AN21" s="35"/>
      <c r="AO21" s="35"/>
    </row>
    <row r="22" spans="1:62" x14ac:dyDescent="0.25">
      <c r="A22" s="17" t="s">
        <v>21</v>
      </c>
      <c r="L22" s="14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M22" s="35"/>
      <c r="AN22" s="35"/>
      <c r="AO22" s="35"/>
      <c r="BB22" s="377" t="s">
        <v>241</v>
      </c>
      <c r="BC22" s="377"/>
      <c r="BD22" s="377"/>
    </row>
    <row r="23" spans="1:62" x14ac:dyDescent="0.25">
      <c r="A23" s="5"/>
      <c r="B23" s="2" t="str">
        <f t="shared" ref="B23:H23" si="24">B8</f>
        <v>4eme T 2009</v>
      </c>
      <c r="C23" s="38" t="str">
        <f t="shared" si="24"/>
        <v>1er T 2010</v>
      </c>
      <c r="D23" s="38" t="str">
        <f t="shared" si="24"/>
        <v>2eme T 2010</v>
      </c>
      <c r="E23" s="38" t="str">
        <f t="shared" si="24"/>
        <v>3eme T 2010</v>
      </c>
      <c r="F23" s="38" t="str">
        <f t="shared" si="24"/>
        <v>4eme T 2010</v>
      </c>
      <c r="G23" s="38" t="str">
        <f t="shared" si="24"/>
        <v>1er T 2011</v>
      </c>
      <c r="H23" s="38" t="str">
        <f t="shared" si="24"/>
        <v>2eme T 2011</v>
      </c>
      <c r="I23" s="38" t="str">
        <f t="shared" ref="I23:N23" si="25">I8</f>
        <v>3eme T 2011</v>
      </c>
      <c r="J23" s="38" t="str">
        <f t="shared" si="25"/>
        <v>4eme T 2011</v>
      </c>
      <c r="K23" s="38" t="str">
        <f t="shared" si="25"/>
        <v>1er T 2012</v>
      </c>
      <c r="L23" s="38" t="str">
        <f t="shared" si="25"/>
        <v>2eme T 2012</v>
      </c>
      <c r="M23" s="38" t="str">
        <f t="shared" si="25"/>
        <v>3eme T 2012</v>
      </c>
      <c r="N23" s="38" t="str">
        <f t="shared" si="25"/>
        <v>4eme T 2012</v>
      </c>
      <c r="O23" s="38" t="str">
        <f t="shared" ref="O23:T23" si="26">O8</f>
        <v>1er T 2013</v>
      </c>
      <c r="P23" s="38" t="str">
        <f t="shared" si="26"/>
        <v>2eme T 2013</v>
      </c>
      <c r="Q23" s="38" t="str">
        <f t="shared" si="26"/>
        <v>3ème T 2013</v>
      </c>
      <c r="R23" s="38" t="str">
        <f t="shared" si="26"/>
        <v>4ème T 2013</v>
      </c>
      <c r="S23" s="38" t="str">
        <f t="shared" si="26"/>
        <v>1er T 2014</v>
      </c>
      <c r="T23" s="38" t="str">
        <f t="shared" si="26"/>
        <v>2eme T 2014</v>
      </c>
      <c r="U23" s="38" t="str">
        <f t="shared" ref="U23:V23" si="27">U8</f>
        <v>3T 2014</v>
      </c>
      <c r="V23" s="38" t="str">
        <f t="shared" si="27"/>
        <v>4ème T 2014</v>
      </c>
      <c r="W23" s="38" t="str">
        <f t="shared" ref="W23:X23" si="28">W8</f>
        <v>1er T 2015</v>
      </c>
      <c r="X23" s="38" t="str">
        <f t="shared" si="28"/>
        <v>2e T 2015</v>
      </c>
      <c r="Y23" s="38" t="str">
        <f t="shared" ref="Y23:Z23" si="29">Y8</f>
        <v>3e T 2015</v>
      </c>
      <c r="Z23" s="38" t="str">
        <f t="shared" si="29"/>
        <v>4e T 2015</v>
      </c>
      <c r="AA23" s="38" t="str">
        <f t="shared" ref="AA23:AB23" si="30">AA8</f>
        <v>1er T 2016</v>
      </c>
      <c r="AB23" s="38" t="str">
        <f t="shared" si="30"/>
        <v>2e T 2016</v>
      </c>
      <c r="AC23" s="38" t="str">
        <f t="shared" ref="AC23:AD23" si="31">AC8</f>
        <v>3e T 2016</v>
      </c>
      <c r="AD23" s="38" t="str">
        <f t="shared" si="31"/>
        <v>4e T 2016</v>
      </c>
      <c r="AE23" s="38" t="str">
        <f t="shared" ref="AE23:AF23" si="32">AE8</f>
        <v>2017 - T1</v>
      </c>
      <c r="AF23" s="38" t="str">
        <f t="shared" si="32"/>
        <v>2017 - T2</v>
      </c>
      <c r="AG23" s="38" t="str">
        <f t="shared" ref="AG23:AH23" si="33">AG8</f>
        <v>2017- T3</v>
      </c>
      <c r="AH23" s="38" t="str">
        <f t="shared" si="33"/>
        <v>2017 - T4</v>
      </c>
      <c r="AI23" s="38" t="str">
        <f t="shared" ref="AI23:AJ23" si="34">AI8</f>
        <v>2018 - T1</v>
      </c>
      <c r="AJ23" s="38" t="str">
        <f t="shared" si="34"/>
        <v>2018 - T2</v>
      </c>
      <c r="AK23" s="38" t="str">
        <f t="shared" ref="AK23:AM23" si="35">AK8</f>
        <v>2018 - T3</v>
      </c>
      <c r="AL23" s="38" t="str">
        <f t="shared" si="35"/>
        <v>2018 - T4</v>
      </c>
      <c r="AM23" s="38" t="str">
        <f t="shared" si="35"/>
        <v>2019 - T1</v>
      </c>
      <c r="AN23" s="38" t="str">
        <f t="shared" ref="AN23:AP23" si="36">AN8</f>
        <v>2019 - T2</v>
      </c>
      <c r="AO23" s="38" t="str">
        <f t="shared" si="36"/>
        <v>2019 - T3</v>
      </c>
      <c r="AP23" s="38" t="str">
        <f t="shared" si="36"/>
        <v>2019 - T4</v>
      </c>
      <c r="AQ23" s="38" t="str">
        <f t="shared" ref="AQ23" si="37">AQ8</f>
        <v>2020 - T1</v>
      </c>
      <c r="AR23" s="38" t="str">
        <f t="shared" ref="AR23" si="38">AR8</f>
        <v>2020 - T2</v>
      </c>
      <c r="AS23" s="38" t="str">
        <f t="shared" ref="AS23:AT23" si="39">AS8</f>
        <v>2020 - T3</v>
      </c>
      <c r="AT23" s="38" t="str">
        <f t="shared" si="39"/>
        <v>2020- T4</v>
      </c>
      <c r="AU23" s="38" t="str">
        <f t="shared" ref="AU23:AV23" si="40">AU8</f>
        <v>2021- T1</v>
      </c>
      <c r="AV23" s="38" t="str">
        <f t="shared" si="40"/>
        <v>2021- T2</v>
      </c>
      <c r="AW23" s="38" t="str">
        <f t="shared" ref="AW23:AX23" si="41">AW8</f>
        <v>2021- T3</v>
      </c>
      <c r="AX23" s="38" t="str">
        <f t="shared" si="41"/>
        <v>2021- T4</v>
      </c>
      <c r="AY23" s="38" t="str">
        <f t="shared" ref="AY23:AZ23" si="42">AY8</f>
        <v>2022- T1</v>
      </c>
      <c r="AZ23" s="38" t="str">
        <f t="shared" si="42"/>
        <v>2022- T2</v>
      </c>
      <c r="BA23" s="38" t="str">
        <f t="shared" ref="BA23:BB23" si="43">BA8</f>
        <v>2022- T3</v>
      </c>
      <c r="BB23" s="38" t="str">
        <f t="shared" si="43"/>
        <v>2022- T4</v>
      </c>
      <c r="BC23" s="38" t="str">
        <f t="shared" ref="BC23:BD23" si="44">BC8</f>
        <v>2023- T1</v>
      </c>
      <c r="BD23" s="38" t="str">
        <f t="shared" si="44"/>
        <v>2023- T2</v>
      </c>
      <c r="BE23" s="38" t="str">
        <f t="shared" ref="BE23:BF23" si="45">BE8</f>
        <v>2023- T3</v>
      </c>
      <c r="BF23" s="38" t="str">
        <f t="shared" si="45"/>
        <v>2023- T4</v>
      </c>
      <c r="BG23" s="38" t="str">
        <f t="shared" ref="BG23:BH23" si="46">BG8</f>
        <v>2024- T1</v>
      </c>
      <c r="BH23" s="38" t="str">
        <f t="shared" si="46"/>
        <v>2024- T2</v>
      </c>
      <c r="BI23" s="38" t="str">
        <f t="shared" ref="BI23:BJ23" si="47">BI8</f>
        <v>2024- T3</v>
      </c>
      <c r="BJ23" s="38" t="str">
        <f t="shared" si="47"/>
        <v>2024- T4</v>
      </c>
    </row>
    <row r="24" spans="1:62" x14ac:dyDescent="0.25">
      <c r="A24" s="22" t="s">
        <v>16</v>
      </c>
      <c r="B24" s="3"/>
      <c r="C24" s="105">
        <f>'B)NSA RCO Nb'!C24/'B)NSA RCO Nb'!B24-1</f>
        <v>3.4162859661777123E-3</v>
      </c>
      <c r="D24" s="105">
        <f>'B)NSA RCO Nb'!D24/'B)NSA RCO Nb'!C24-1</f>
        <v>-3.5544195612887686E-3</v>
      </c>
      <c r="E24" s="105">
        <f>'B)NSA RCO Nb'!E24/'B)NSA RCO Nb'!D24-1</f>
        <v>-4.6216971773830329E-3</v>
      </c>
      <c r="F24" s="105">
        <f>'B)NSA RCO Nb'!F24/'B)NSA RCO Nb'!E24-1</f>
        <v>-4.1272501692424246E-4</v>
      </c>
      <c r="G24" s="105">
        <f>'B)NSA RCO Nb'!G24/'B)NSA RCO Nb'!F24-1</f>
        <v>6.2941376402014804E-4</v>
      </c>
      <c r="H24" s="105">
        <f>'B)NSA RCO Nb'!H24/'B)NSA RCO Nb'!G24-1</f>
        <v>-5.047239240649648E-3</v>
      </c>
      <c r="I24" s="105">
        <f>'B)NSA RCO Nb'!I24/'B)NSA RCO Nb'!H24-1</f>
        <v>-6.2512802227397968E-3</v>
      </c>
      <c r="J24" s="105">
        <f>'B)NSA RCO Nb'!J24/'B)NSA RCO Nb'!I24-1</f>
        <v>-3.5371926904803619E-3</v>
      </c>
      <c r="K24" s="105">
        <f>'B)NSA RCO Nb'!K24/'B)NSA RCO Nb'!J24-1</f>
        <v>6.8185822967126164E-4</v>
      </c>
      <c r="L24" s="105">
        <f>'B)NSA RCO Nb'!L24/'B)NSA RCO Nb'!K24-1</f>
        <v>-6.7986239421811145E-3</v>
      </c>
      <c r="M24" s="105">
        <f>'B)NSA RCO Nb'!M24/'B)NSA RCO Nb'!L24-1</f>
        <v>-8.073385066036276E-3</v>
      </c>
      <c r="N24" s="105">
        <f>'B)NSA RCO Nb'!N24/'B)NSA RCO Nb'!M24-1</f>
        <v>-3.5851392868059273E-3</v>
      </c>
      <c r="O24" s="105">
        <f>'B)NSA RCO Nb'!O24/'B)NSA RCO Nb'!N24-1</f>
        <v>9.8270133678579619E-4</v>
      </c>
      <c r="P24" s="105">
        <f>'B)NSA RCO Nb'!P24/'B)NSA RCO Nb'!O24-1</f>
        <v>-5.0177647572149375E-3</v>
      </c>
      <c r="Q24" s="105">
        <f>'B)NSA RCO Nb'!Q24/'B)NSA RCO Nb'!P24-1</f>
        <v>-3.3620464630644831E-3</v>
      </c>
      <c r="R24" s="105">
        <f>'B)NSA RCO Nb'!R24/'B)NSA RCO Nb'!Q24-1</f>
        <v>-1.6866939750452836E-3</v>
      </c>
      <c r="S24" s="105">
        <f>'B)NSA RCO Nb'!S24/'B)NSA RCO Nb'!R24-1</f>
        <v>-1.4376862695714143E-3</v>
      </c>
      <c r="T24" s="105">
        <f>'B)NSA RCO Nb'!T24/'B)NSA RCO Nb'!S24-1</f>
        <v>0.38186642845883023</v>
      </c>
      <c r="U24" s="105">
        <f>'B)NSA RCO Nb'!U24/'B)NSA RCO Nb'!T24-1</f>
        <v>-5.8615956164467242E-3</v>
      </c>
      <c r="V24" s="105">
        <f>'B)NSA RCO Nb'!V24/'B)NSA RCO Nb'!U24-1</f>
        <v>-3.1479317552874919E-3</v>
      </c>
      <c r="W24" s="105">
        <f>'B)NSA RCO Nb'!W24/'B)NSA RCO Nb'!V24-1</f>
        <v>-2.5094151029186884E-3</v>
      </c>
      <c r="X24" s="105">
        <f>'B)NSA RCO Nb'!X24/'B)NSA RCO Nb'!W24-1</f>
        <v>-9.3320434136199282E-3</v>
      </c>
      <c r="Y24" s="105">
        <f>'B)NSA RCO Nb'!Y24/'B)NSA RCO Nb'!X24-1</f>
        <v>-8.101701299029096E-3</v>
      </c>
      <c r="Z24" s="105">
        <f>'B)NSA RCO Nb'!Z24/'B)NSA RCO Nb'!Y24-1</f>
        <v>-3.3783254779763405E-3</v>
      </c>
      <c r="AA24" s="105">
        <f>'B)NSA RCO Nb'!AA24/'B)NSA RCO Nb'!Z24-1</f>
        <v>-1.0526770598886515E-3</v>
      </c>
      <c r="AB24" s="105">
        <f>'B)NSA RCO Nb'!AB24/'B)NSA RCO Nb'!AA24-1</f>
        <v>-6.1398783427243364E-3</v>
      </c>
      <c r="AC24" s="105">
        <f>'B)NSA RCO Nb'!AC24/'B)NSA RCO Nb'!AB24-1</f>
        <v>-5.8711937632413003E-3</v>
      </c>
      <c r="AD24" s="105">
        <f>'B)NSA RCO Nb'!AD24/'B)NSA RCO Nb'!AC24-1</f>
        <v>-3.8742336598673877E-3</v>
      </c>
      <c r="AE24" s="105">
        <f>'B)NSA RCO Nb'!AE24/'B)NSA RCO Nb'!AD24-1</f>
        <v>-2.7626627034542661E-3</v>
      </c>
      <c r="AF24" s="105">
        <f>'B)NSA RCO Nb'!AF24/'B)NSA RCO Nb'!AE24-1</f>
        <v>-7.1251009072134108E-3</v>
      </c>
      <c r="AG24" s="105">
        <f>'B)NSA RCO Nb'!AG24/'B)NSA RCO Nb'!AF24-1</f>
        <v>-5.1768940249846684E-3</v>
      </c>
      <c r="AH24" s="105">
        <f>'B)NSA RCO Nb'!AH24/'B)NSA RCO Nb'!AG24-1</f>
        <v>-1.391204182535688E-3</v>
      </c>
      <c r="AI24" s="105">
        <f>'B)NSA RCO Nb'!AI24/'B)NSA RCO Nb'!AH24-1</f>
        <v>8.7325247963176977E-5</v>
      </c>
      <c r="AJ24" s="105">
        <f>'B)NSA RCO Nb'!AJ24/'B)NSA RCO Nb'!AI24-1</f>
        <v>-5.427907118416897E-3</v>
      </c>
      <c r="AK24" s="105">
        <f>'B)NSA RCO Nb'!AK24/'B)NSA RCO Nb'!AJ24-1</f>
        <v>-5.5902421893821996E-3</v>
      </c>
      <c r="AL24" s="105">
        <f>'B)NSA RCO Nb'!AL24/'B)NSA RCO Nb'!AK24-1</f>
        <v>-2.1250646758814717E-3</v>
      </c>
      <c r="AM24" s="105">
        <f>'B)NSA RCO Nb'!AM24/'B)NSA RCO Nb'!AL24-1</f>
        <v>-1.4114964949208941E-3</v>
      </c>
      <c r="AN24" s="105">
        <f>'B)NSA RCO Nb'!AN24/'B)NSA RCO Nb'!AM24-1</f>
        <v>-6.7625066193029992E-3</v>
      </c>
      <c r="AO24" s="105">
        <f>'B)NSA RCO Nb'!AO24/'B)NSA RCO Nb'!AN24-1</f>
        <v>-5.2339946187149877E-3</v>
      </c>
      <c r="AP24" s="105">
        <f>'B)NSA RCO Nb'!AP24/'B)NSA RCO Nb'!AO24-1</f>
        <v>-4.0040207041236453E-4</v>
      </c>
      <c r="AQ24" s="105">
        <f>'B)NSA RCO Nb'!AQ24/'B)NSA RCO Nb'!AP24-1</f>
        <v>-4.172525588042042E-6</v>
      </c>
      <c r="AR24" s="105">
        <f>'B)NSA RCO Nb'!AR24/'B)NSA RCO Nb'!AQ24-1</f>
        <v>-6.265073311580438E-3</v>
      </c>
      <c r="AS24" s="105">
        <f>'B)NSA RCO Nb'!AS24/'B)NSA RCO Nb'!AR24-1</f>
        <v>-6.3654552287217836E-3</v>
      </c>
      <c r="AT24" s="105">
        <f>'B)NSA RCO Nb'!AT24/'B)NSA RCO Nb'!AS24-1</f>
        <v>-1.9776500193328106E-3</v>
      </c>
      <c r="AU24" s="105">
        <f>'B)NSA RCO Nb'!AU24/'B)NSA RCO Nb'!AT24-1</f>
        <v>-2.7712325316023856E-3</v>
      </c>
      <c r="AV24" s="105">
        <f>'B)NSA RCO Nb'!AV24/'B)NSA RCO Nb'!AU24-1</f>
        <v>-8.1712111819702837E-3</v>
      </c>
      <c r="AW24" s="105">
        <f>'B)NSA RCO Nb'!AW24/'B)NSA RCO Nb'!AV24-1</f>
        <v>-5.6764306124851283E-3</v>
      </c>
      <c r="AX24" s="105">
        <f>'B)NSA RCO Nb'!AX24/'B)NSA RCO Nb'!AW24-1</f>
        <v>-2.2387593828776531E-4</v>
      </c>
      <c r="AY24" s="105">
        <f>'B)NSA RCO Nb'!AY24/'B)NSA RCO Nb'!AX24-1</f>
        <v>0.13277954693727279</v>
      </c>
      <c r="AZ24" s="105">
        <f>'B)NSA RCO Nb'!AZ24/'B)NSA RCO Nb'!AY24-1</f>
        <v>-8.9810627876077964E-3</v>
      </c>
      <c r="BA24" s="105">
        <f>'B)NSA RCO Nb'!BA24/'B)NSA RCO Nb'!AZ24-1</f>
        <v>-6.7225182303953801E-3</v>
      </c>
      <c r="BB24" s="396">
        <f>'B)NSA RCO Nb'!BB24/'B)NSA RCO Nb'!BA24-1</f>
        <v>2.1240564844537957E-5</v>
      </c>
      <c r="BC24" s="455">
        <f>'B)NSA RCO Nb'!BC24/'B)NSA RCO Nb'!BB24-1</f>
        <v>-4.4874567474048055E-3</v>
      </c>
      <c r="BD24" s="455">
        <f>'B)NSA RCO Nb'!BD24/'B)NSA RCO Nb'!BC24-1</f>
        <v>-7.0136782242359308E-3</v>
      </c>
      <c r="BE24" s="455">
        <f>'B)NSA RCO Nb'!BE24/'B)NSA RCO Nb'!BD24-1</f>
        <v>-5.2329533468242762E-3</v>
      </c>
      <c r="BF24" s="455">
        <f>'B)NSA RCO Nb'!BF24/'B)NSA RCO Nb'!BE24-1</f>
        <v>-3.26350121448582E-3</v>
      </c>
      <c r="BG24" s="455">
        <f>'B)NSA RCO Nb'!BG24/'B)NSA RCO Nb'!BF24-1</f>
        <v>-2.59058681223856E-3</v>
      </c>
      <c r="BH24" s="455">
        <f>'B)NSA RCO Nb'!BH24/'B)NSA RCO Nb'!BG24-1</f>
        <v>-8.5108988488856729E-3</v>
      </c>
      <c r="BI24" s="455">
        <f>'B)NSA RCO Nb'!BI24/'B)NSA RCO Nb'!BH24-1</f>
        <v>2.5072562218242389E-2</v>
      </c>
      <c r="BJ24" s="455">
        <f>'B)NSA RCO Nb'!BJ24/'B)NSA RCO Nb'!BI24-1</f>
        <v>-1.3448147867438642E-3</v>
      </c>
    </row>
    <row r="25" spans="1:62" x14ac:dyDescent="0.25">
      <c r="A25" s="22" t="s">
        <v>17</v>
      </c>
      <c r="B25" s="3"/>
      <c r="C25" s="105">
        <f>'B)NSA RCO Nb'!C25/'B)NSA RCO Nb'!B25-1</f>
        <v>3.946329913180735E-2</v>
      </c>
      <c r="D25" s="105">
        <f>'B)NSA RCO Nb'!D25/'B)NSA RCO Nb'!C25-1</f>
        <v>1.0060744115413818</v>
      </c>
      <c r="E25" s="105">
        <f>'B)NSA RCO Nb'!E25/'B)NSA RCO Nb'!D25-1</f>
        <v>5.1476154428463206E-2</v>
      </c>
      <c r="F25" s="105">
        <f>'B)NSA RCO Nb'!F25/'B)NSA RCO Nb'!E25-1</f>
        <v>2.8797696184305277E-2</v>
      </c>
      <c r="G25" s="105">
        <f>'B)NSA RCO Nb'!G25/'B)NSA RCO Nb'!F25-1</f>
        <v>2.0293911826452016E-2</v>
      </c>
      <c r="H25" s="105">
        <f>'B)NSA RCO Nb'!H25/'B)NSA RCO Nb'!G25-1</f>
        <v>3.1550068587105518E-2</v>
      </c>
      <c r="I25" s="105">
        <f>'B)NSA RCO Nb'!I25/'B)NSA RCO Nb'!H25-1</f>
        <v>2.5598404255319229E-2</v>
      </c>
      <c r="J25" s="105">
        <f>'B)NSA RCO Nb'!J25/'B)NSA RCO Nb'!I25-1</f>
        <v>3.5656401944894611E-2</v>
      </c>
      <c r="K25" s="105">
        <f>'B)NSA RCO Nb'!K25/'B)NSA RCO Nb'!J25-1</f>
        <v>2.6291079812206464E-2</v>
      </c>
      <c r="L25" s="105">
        <f>'B)NSA RCO Nb'!L25/'B)NSA RCO Nb'!K25-1</f>
        <v>2.5922537358950892E-2</v>
      </c>
      <c r="M25" s="105">
        <f>'B)NSA RCO Nb'!M25/'B)NSA RCO Nb'!L25-1</f>
        <v>4.2806183115338792E-2</v>
      </c>
      <c r="N25" s="105">
        <f>'B)NSA RCO Nb'!N25/'B)NSA RCO Nb'!M25-1</f>
        <v>3.4207525655644222E-2</v>
      </c>
      <c r="O25" s="105">
        <f>'B)NSA RCO Nb'!O25/'B)NSA RCO Nb'!N25-1</f>
        <v>3.2800441014332993E-2</v>
      </c>
      <c r="P25" s="105">
        <f>'B)NSA RCO Nb'!P25/'B)NSA RCO Nb'!O25-1</f>
        <v>1.9215372297838318E-2</v>
      </c>
      <c r="Q25" s="105">
        <f>'B)NSA RCO Nb'!Q25/'B)NSA RCO Nb'!P25-1</f>
        <v>3.0374443571615561E-2</v>
      </c>
      <c r="R25" s="105">
        <f>'B)NSA RCO Nb'!R25/'B)NSA RCO Nb'!Q25-1</f>
        <v>2.7191867852604856E-2</v>
      </c>
      <c r="S25" s="105">
        <f>'B)NSA RCO Nb'!S25/'B)NSA RCO Nb'!R25-1</f>
        <v>2.201880257298372E-2</v>
      </c>
      <c r="T25" s="105">
        <f>'B)NSA RCO Nb'!T25/'B)NSA RCO Nb'!S25-1</f>
        <v>2.1060275962236696E-2</v>
      </c>
      <c r="U25" s="105">
        <f>'B)NSA RCO Nb'!U25/'B)NSA RCO Nb'!T25-1</f>
        <v>1.0668563300142209E-2</v>
      </c>
      <c r="V25" s="105">
        <f>'B)NSA RCO Nb'!V25/'B)NSA RCO Nb'!U25-1</f>
        <v>8.3040112596762805E-2</v>
      </c>
      <c r="W25" s="105">
        <f>'B)NSA RCO Nb'!W25/'B)NSA RCO Nb'!V25-1</f>
        <v>1.5377951050465688E-2</v>
      </c>
      <c r="X25" s="105">
        <f>'B)NSA RCO Nb'!X25/'B)NSA RCO Nb'!W25-1</f>
        <v>2.2397610921501609E-2</v>
      </c>
      <c r="Y25" s="105">
        <f>'B)NSA RCO Nb'!Y25/'B)NSA RCO Nb'!X25-1</f>
        <v>3.3590653035677098E-2</v>
      </c>
      <c r="Z25" s="105">
        <f>'B)NSA RCO Nb'!Z25/'B)NSA RCO Nb'!Y25-1</f>
        <v>1.8368994751715828E-2</v>
      </c>
      <c r="AA25" s="105">
        <f>'B)NSA RCO Nb'!AA25/'B)NSA RCO Nb'!Z25-1</f>
        <v>1.6848364717542141E-2</v>
      </c>
      <c r="AB25" s="105">
        <f>'B)NSA RCO Nb'!AB25/'B)NSA RCO Nb'!AA25-1</f>
        <v>1.8908382066276763E-2</v>
      </c>
      <c r="AC25" s="105">
        <f>'B)NSA RCO Nb'!AC25/'B)NSA RCO Nb'!AB25-1</f>
        <v>1.9322747273770702E-2</v>
      </c>
      <c r="AD25" s="105">
        <f>'B)NSA RCO Nb'!AD25/'B)NSA RCO Nb'!AC25-1</f>
        <v>3.3783783783783772E-2</v>
      </c>
      <c r="AE25" s="105">
        <f>'B)NSA RCO Nb'!AE25/'B)NSA RCO Nb'!AD25-1</f>
        <v>2.015250544662317E-2</v>
      </c>
      <c r="AF25" s="105">
        <f>'B)NSA RCO Nb'!AF25/'B)NSA RCO Nb'!AE25-1</f>
        <v>1.9220501868659978E-2</v>
      </c>
      <c r="AG25" s="105">
        <f>'B)NSA RCO Nb'!AG25/'B)NSA RCO Nb'!AF25-1</f>
        <v>1.6064257028112428E-2</v>
      </c>
      <c r="AH25" s="105">
        <f>'B)NSA RCO Nb'!AH25/'B)NSA RCO Nb'!AG25-1</f>
        <v>1.3748066678123338E-2</v>
      </c>
      <c r="AI25" s="105">
        <f>'B)NSA RCO Nb'!AI25/'B)NSA RCO Nb'!AH25-1</f>
        <v>1.5934904221054369E-2</v>
      </c>
      <c r="AJ25" s="105">
        <f>'B)NSA RCO Nb'!AJ25/'B)NSA RCO Nb'!AI25-1</f>
        <v>1.23477390288671E-2</v>
      </c>
      <c r="AK25" s="105">
        <f>'B)NSA RCO Nb'!AK25/'B)NSA RCO Nb'!AJ25-1</f>
        <v>2.6042525135981487E-2</v>
      </c>
      <c r="AL25" s="105">
        <f>'B)NSA RCO Nb'!AL25/'B)NSA RCO Nb'!AK25-1</f>
        <v>2.7469879518072338E-2</v>
      </c>
      <c r="AM25" s="105">
        <f>'B)NSA RCO Nb'!AM25/'B)NSA RCO Nb'!AL25-1</f>
        <v>1.4071294559099501E-2</v>
      </c>
      <c r="AN25" s="105">
        <f>'B)NSA RCO Nb'!AN25/'B)NSA RCO Nb'!AM25-1</f>
        <v>1.6959605303731085E-2</v>
      </c>
      <c r="AO25" s="105">
        <f>'B)NSA RCO Nb'!AO25/'B)NSA RCO Nb'!AN25-1</f>
        <v>2.5469981807155762E-2</v>
      </c>
      <c r="AP25" s="105">
        <f>'B)NSA RCO Nb'!AP25/'B)NSA RCO Nb'!AO25-1</f>
        <v>2.188054405677109E-2</v>
      </c>
      <c r="AQ25" s="105">
        <f>'B)NSA RCO Nb'!AQ25/'B)NSA RCO Nb'!AP25-1</f>
        <v>1.895254629629628E-2</v>
      </c>
      <c r="AR25" s="105">
        <f>'B)NSA RCO Nb'!AR25/'B)NSA RCO Nb'!AQ25-1</f>
        <v>1.6754224052250466E-2</v>
      </c>
      <c r="AS25" s="105">
        <f>'B)NSA RCO Nb'!AS25/'B)NSA RCO Nb'!AR25-1</f>
        <v>1.2428431783270577E-2</v>
      </c>
      <c r="AT25" s="105">
        <f>'B)NSA RCO Nb'!AT25/'B)NSA RCO Nb'!AS25-1</f>
        <v>2.4000000000000021E-2</v>
      </c>
      <c r="AU25" s="105">
        <f>'B)NSA RCO Nb'!AU25/'B)NSA RCO Nb'!AT25-1</f>
        <v>1.6567887931034475E-2</v>
      </c>
      <c r="AV25" s="105">
        <f>'B)NSA RCO Nb'!AV25/'B)NSA RCO Nb'!AU25-1</f>
        <v>1.2852789187756786E-2</v>
      </c>
      <c r="AW25" s="105">
        <f>'B)NSA RCO Nb'!AW25/'B)NSA RCO Nb'!AV25-1</f>
        <v>1.1381475667189944E-2</v>
      </c>
      <c r="AX25" s="105">
        <f>'B)NSA RCO Nb'!AX25/'B)NSA RCO Nb'!AW25-1</f>
        <v>1.5263225973354055E-2</v>
      </c>
      <c r="AY25" s="105">
        <f>'B)NSA RCO Nb'!AY25/'B)NSA RCO Nb'!AX25-1</f>
        <v>2.5031214167409863</v>
      </c>
      <c r="AZ25" s="105">
        <f>'B)NSA RCO Nb'!AZ25/'B)NSA RCO Nb'!AY25-1</f>
        <v>-1.5638638347396094E-3</v>
      </c>
      <c r="BA25" s="105">
        <f>'B)NSA RCO Nb'!BA25/'B)NSA RCO Nb'!AZ25-1</f>
        <v>1.4934615524715422E-3</v>
      </c>
      <c r="BB25" s="396">
        <f>'B)NSA RCO Nb'!BB25/'B)NSA RCO Nb'!BA25-1</f>
        <v>4.3282170655416508E-3</v>
      </c>
      <c r="BC25" s="455">
        <f>'B)NSA RCO Nb'!BC25/'B)NSA RCO Nb'!BB25-1</f>
        <v>-9.0537065874773948E-4</v>
      </c>
      <c r="BD25" s="455">
        <f>'B)NSA RCO Nb'!BD25/'B)NSA RCO Nb'!BC25-1</f>
        <v>1.4499057561256912E-4</v>
      </c>
      <c r="BE25" s="455">
        <f>'B)NSA RCO Nb'!BE25/'B)NSA RCO Nb'!BD25-1</f>
        <v>2.2470281240938306E-3</v>
      </c>
      <c r="BF25" s="455">
        <f>'B)NSA RCO Nb'!BF25/'B)NSA RCO Nb'!BE25-1</f>
        <v>9.5827005134880849E-3</v>
      </c>
      <c r="BG25" s="455">
        <f>'B)NSA RCO Nb'!BG25/'B)NSA RCO Nb'!BF25-1</f>
        <v>1.0745370536193732E-3</v>
      </c>
      <c r="BH25" s="455">
        <f>'B)NSA RCO Nb'!BH25/'B)NSA RCO Nb'!BG25-1</f>
        <v>-3.8284017317256058E-3</v>
      </c>
      <c r="BI25" s="455">
        <f>'B)NSA RCO Nb'!BI25/'B)NSA RCO Nb'!BH25-1</f>
        <v>-6.8026722218231472E-2</v>
      </c>
      <c r="BJ25" s="455">
        <f>'B)NSA RCO Nb'!BJ25/'B)NSA RCO Nb'!BI25-1</f>
        <v>3.8924001849853784E-3</v>
      </c>
    </row>
    <row r="26" spans="1:62" x14ac:dyDescent="0.25">
      <c r="A26" s="22" t="s">
        <v>18</v>
      </c>
      <c r="B26" s="3"/>
      <c r="C26" s="105">
        <f>'B)NSA RCO Nb'!C26/'B)NSA RCO Nb'!B26-1</f>
        <v>6.4081921813614606E-3</v>
      </c>
      <c r="D26" s="105">
        <f>'B)NSA RCO Nb'!D26/'B)NSA RCO Nb'!C26-1</f>
        <v>0.65136146929894734</v>
      </c>
      <c r="E26" s="105">
        <f>'B)NSA RCO Nb'!E26/'B)NSA RCO Nb'!D26-1</f>
        <v>1.6721565588064369E-2</v>
      </c>
      <c r="F26" s="105">
        <f>'B)NSA RCO Nb'!F26/'B)NSA RCO Nb'!E26-1</f>
        <v>1.3368780134545455E-2</v>
      </c>
      <c r="G26" s="105">
        <f>'B)NSA RCO Nb'!G26/'B)NSA RCO Nb'!F26-1</f>
        <v>1.9887352020235172E-2</v>
      </c>
      <c r="H26" s="105">
        <f>'B)NSA RCO Nb'!H26/'B)NSA RCO Nb'!G26-1</f>
        <v>1.2584820770024985E-2</v>
      </c>
      <c r="I26" s="105">
        <f>'B)NSA RCO Nb'!I26/'B)NSA RCO Nb'!H26-1</f>
        <v>1.3420863342104461E-2</v>
      </c>
      <c r="J26" s="105">
        <f>'B)NSA RCO Nb'!J26/'B)NSA RCO Nb'!I26-1</f>
        <v>1.1976316900712547E-2</v>
      </c>
      <c r="K26" s="105">
        <f>'B)NSA RCO Nb'!K26/'B)NSA RCO Nb'!J26-1</f>
        <v>1.4719982953940169E-2</v>
      </c>
      <c r="L26" s="105">
        <f>'B)NSA RCO Nb'!L26/'B)NSA RCO Nb'!K26-1</f>
        <v>7.6381962307732199E-3</v>
      </c>
      <c r="M26" s="105">
        <f>'B)NSA RCO Nb'!M26/'B)NSA RCO Nb'!L26-1</f>
        <v>9.7597402033569036E-3</v>
      </c>
      <c r="N26" s="105">
        <f>'B)NSA RCO Nb'!N26/'B)NSA RCO Nb'!M26-1</f>
        <v>9.8287915659853731E-3</v>
      </c>
      <c r="O26" s="105">
        <f>'B)NSA RCO Nb'!O26/'B)NSA RCO Nb'!N26-1</f>
        <v>7.127407735408875E-3</v>
      </c>
      <c r="P26" s="105">
        <f>'B)NSA RCO Nb'!P26/'B)NSA RCO Nb'!O26-1</f>
        <v>4.5150544089420652E-3</v>
      </c>
      <c r="Q26" s="105">
        <f>'B)NSA RCO Nb'!Q26/'B)NSA RCO Nb'!P26-1</f>
        <v>8.3413997727368461E-3</v>
      </c>
      <c r="R26" s="105">
        <f>'B)NSA RCO Nb'!R26/'B)NSA RCO Nb'!Q26-1</f>
        <v>9.7749507496076582E-3</v>
      </c>
      <c r="S26" s="105">
        <f>'B)NSA RCO Nb'!S26/'B)NSA RCO Nb'!R26-1</f>
        <v>8.5477857597526796E-3</v>
      </c>
      <c r="T26" s="105">
        <f>'B)NSA RCO Nb'!T26/'B)NSA RCO Nb'!S26-1</f>
        <v>0.63833903000795078</v>
      </c>
      <c r="U26" s="105">
        <f>'B)NSA RCO Nb'!U26/'B)NSA RCO Nb'!T26-1</f>
        <v>1.9761955983370605E-3</v>
      </c>
      <c r="V26" s="105">
        <f>'B)NSA RCO Nb'!V26/'B)NSA RCO Nb'!U26-1</f>
        <v>1.2677631644646858E-2</v>
      </c>
      <c r="W26" s="105">
        <f>'B)NSA RCO Nb'!W26/'B)NSA RCO Nb'!V26-1</f>
        <v>-3.15561625734051E-3</v>
      </c>
      <c r="X26" s="105">
        <f>'B)NSA RCO Nb'!X26/'B)NSA RCO Nb'!W26-1</f>
        <v>-6.6032556276061083E-3</v>
      </c>
      <c r="Y26" s="105">
        <f>'B)NSA RCO Nb'!Y26/'B)NSA RCO Nb'!X26-1</f>
        <v>-2.3053406227905304E-3</v>
      </c>
      <c r="Z26" s="105">
        <f>'B)NSA RCO Nb'!Z26/'B)NSA RCO Nb'!Y26-1</f>
        <v>-1.3973799126643094E-4</v>
      </c>
      <c r="AA26" s="105">
        <f>'B)NSA RCO Nb'!AA26/'B)NSA RCO Nb'!Z26-1</f>
        <v>-3.9581326398697714E-3</v>
      </c>
      <c r="AB26" s="105">
        <f>'B)NSA RCO Nb'!AB26/'B)NSA RCO Nb'!AA26-1</f>
        <v>-7.1409242611022439E-3</v>
      </c>
      <c r="AC26" s="105">
        <f>'B)NSA RCO Nb'!AC26/'B)NSA RCO Nb'!AB26-1</f>
        <v>-3.8661680016555122E-3</v>
      </c>
      <c r="AD26" s="105">
        <f>'B)NSA RCO Nb'!AD26/'B)NSA RCO Nb'!AC26-1</f>
        <v>-1.7227139838774663E-3</v>
      </c>
      <c r="AE26" s="105">
        <f>'B)NSA RCO Nb'!AE26/'B)NSA RCO Nb'!AD26-1</f>
        <v>-5.8216553397318904E-3</v>
      </c>
      <c r="AF26" s="105">
        <f>'B)NSA RCO Nb'!AF26/'B)NSA RCO Nb'!AE26-1</f>
        <v>-1.1190753333741754E-2</v>
      </c>
      <c r="AG26" s="105">
        <f>'B)NSA RCO Nb'!AG26/'B)NSA RCO Nb'!AF26-1</f>
        <v>-5.7516366865616453E-3</v>
      </c>
      <c r="AH26" s="105">
        <f>'B)NSA RCO Nb'!AH26/'B)NSA RCO Nb'!AG26-1</f>
        <v>-4.362050163576936E-3</v>
      </c>
      <c r="AI26" s="105">
        <f>'B)NSA RCO Nb'!AI26/'B)NSA RCO Nb'!AH26-1</f>
        <v>-8.3242059145673952E-3</v>
      </c>
      <c r="AJ26" s="105">
        <f>'B)NSA RCO Nb'!AJ26/'B)NSA RCO Nb'!AI26-1</f>
        <v>-1.2159845161833216E-2</v>
      </c>
      <c r="AK26" s="105">
        <f>'B)NSA RCO Nb'!AK26/'B)NSA RCO Nb'!AJ26-1</f>
        <v>-3.7535538967745641E-3</v>
      </c>
      <c r="AL26" s="105">
        <f>'B)NSA RCO Nb'!AL26/'B)NSA RCO Nb'!AK26-1</f>
        <v>-6.1993298310680789E-4</v>
      </c>
      <c r="AM26" s="105">
        <f>'B)NSA RCO Nb'!AM26/'B)NSA RCO Nb'!AL26-1</f>
        <v>-5.6256383655702846E-3</v>
      </c>
      <c r="AN26" s="105">
        <f>'B)NSA RCO Nb'!AN26/'B)NSA RCO Nb'!AM26-1</f>
        <v>-1.0465235091342229E-2</v>
      </c>
      <c r="AO26" s="105">
        <f>'B)NSA RCO Nb'!AO26/'B)NSA RCO Nb'!AN26-1</f>
        <v>-6.4781552474687532E-3</v>
      </c>
      <c r="AP26" s="105">
        <f>'B)NSA RCO Nb'!AP26/'B)NSA RCO Nb'!AO26-1</f>
        <v>-3.6376366848821506E-3</v>
      </c>
      <c r="AQ26" s="105">
        <f>'B)NSA RCO Nb'!AQ26/'B)NSA RCO Nb'!AP26-1</f>
        <v>-5.6548043876889498E-3</v>
      </c>
      <c r="AR26" s="105">
        <f>'B)NSA RCO Nb'!AR26/'B)NSA RCO Nb'!AQ26-1</f>
        <v>-1.1799068000618362E-2</v>
      </c>
      <c r="AS26" s="105">
        <f>'B)NSA RCO Nb'!AS26/'B)NSA RCO Nb'!AR26-1</f>
        <v>-8.9507707608155185E-3</v>
      </c>
      <c r="AT26" s="105">
        <f>'B)NSA RCO Nb'!AT26/'B)NSA RCO Nb'!AS26-1</f>
        <v>-3.7039751489764683E-3</v>
      </c>
      <c r="AU26" s="105">
        <f>'B)NSA RCO Nb'!AU26/'B)NSA RCO Nb'!AT26-1</f>
        <v>-1.2120869171570847E-2</v>
      </c>
      <c r="AV26" s="105">
        <f>'B)NSA RCO Nb'!AV26/'B)NSA RCO Nb'!AU26-1</f>
        <v>-1.2882493785013049E-2</v>
      </c>
      <c r="AW26" s="105">
        <f>'B)NSA RCO Nb'!AW26/'B)NSA RCO Nb'!AV26-1</f>
        <v>-6.8415646815103148E-3</v>
      </c>
      <c r="AX26" s="105">
        <f>'B)NSA RCO Nb'!AX26/'B)NSA RCO Nb'!AW26-1</f>
        <v>-4.6801051709026709E-3</v>
      </c>
      <c r="AY26" s="105">
        <f>'B)NSA RCO Nb'!AY26/'B)NSA RCO Nb'!AX26-1</f>
        <v>-0.47280582803538618</v>
      </c>
      <c r="AZ26" s="105">
        <f>'B)NSA RCO Nb'!AZ26/'B)NSA RCO Nb'!AY26-1</f>
        <v>-3.9417862750119603E-3</v>
      </c>
      <c r="BA26" s="105">
        <f>'B)NSA RCO Nb'!BA26/'B)NSA RCO Nb'!AZ26-1</f>
        <v>-6.9310140520717489E-4</v>
      </c>
      <c r="BB26" s="396">
        <f>'B)NSA RCO Nb'!BB26/'B)NSA RCO Nb'!BA26-1</f>
        <v>5.2018659596604344E-3</v>
      </c>
      <c r="BC26" s="455">
        <f>'B)NSA RCO Nb'!BC26/'B)NSA RCO Nb'!BB26-1</f>
        <v>-6.4881588319087857E-3</v>
      </c>
      <c r="BD26" s="455">
        <f>'B)NSA RCO Nb'!BD26/'B)NSA RCO Nb'!BC26-1</f>
        <v>2.0162871192863641E-4</v>
      </c>
      <c r="BE26" s="455">
        <f>'B)NSA RCO Nb'!BE26/'B)NSA RCO Nb'!BD26-1</f>
        <v>1.1423323739234714E-3</v>
      </c>
      <c r="BF26" s="455">
        <f>'B)NSA RCO Nb'!BF26/'B)NSA RCO Nb'!BE26-1</f>
        <v>6.5665096819662594E-3</v>
      </c>
      <c r="BG26" s="455">
        <f>'B)NSA RCO Nb'!BG26/'B)NSA RCO Nb'!BF26-1</f>
        <v>-6.5570126694824982E-4</v>
      </c>
      <c r="BH26" s="455">
        <f>'B)NSA RCO Nb'!BH26/'B)NSA RCO Nb'!BG26-1</f>
        <v>-6.7614906417855503E-3</v>
      </c>
      <c r="BI26" s="455">
        <f>'B)NSA RCO Nb'!BI26/'B)NSA RCO Nb'!BH26-1</f>
        <v>1.7992901369341618E-2</v>
      </c>
      <c r="BJ26" s="455">
        <f>'B)NSA RCO Nb'!BJ26/'B)NSA RCO Nb'!BI26-1</f>
        <v>4.1135063792345772E-3</v>
      </c>
    </row>
    <row r="27" spans="1:62" x14ac:dyDescent="0.25">
      <c r="A27" s="8" t="s">
        <v>4</v>
      </c>
      <c r="B27" s="3"/>
      <c r="C27" s="105">
        <f>'B)NSA RCO Nb'!C27/'B)NSA RCO Nb'!B27-1</f>
        <v>0.10644257703081239</v>
      </c>
      <c r="D27" s="105">
        <f>'B)NSA RCO Nb'!D27/'B)NSA RCO Nb'!C27-1</f>
        <v>0.73164556962025307</v>
      </c>
      <c r="E27" s="105">
        <f>'B)NSA RCO Nb'!E27/'B)NSA RCO Nb'!D27-1</f>
        <v>0.3435672514619883</v>
      </c>
      <c r="F27" s="105">
        <f>'B)NSA RCO Nb'!F27/'B)NSA RCO Nb'!E27-1</f>
        <v>-0.23394994559303595</v>
      </c>
      <c r="G27" s="105">
        <f>'B)NSA RCO Nb'!G27/'B)NSA RCO Nb'!F27-1</f>
        <v>1.5213068181818183</v>
      </c>
      <c r="H27" s="105">
        <f>'B)NSA RCO Nb'!H27/'B)NSA RCO Nb'!G27-1</f>
        <v>-0.58197183098591543</v>
      </c>
      <c r="I27" s="105">
        <f>'B)NSA RCO Nb'!I27/'B)NSA RCO Nb'!H27-1</f>
        <v>-2.6954177897574594E-3</v>
      </c>
      <c r="J27" s="105">
        <f>'B)NSA RCO Nb'!J27/'B)NSA RCO Nb'!I27-1</f>
        <v>0</v>
      </c>
      <c r="K27" s="166">
        <f>'B)NSA RCO Nb'!K27/'B)NSA RCO Nb'!J27-1</f>
        <v>1.7729729729729731</v>
      </c>
      <c r="L27" s="105">
        <f>'B)NSA RCO Nb'!L27/'B)NSA RCO Nb'!K27-1</f>
        <v>-0.53167641325536064</v>
      </c>
      <c r="M27" s="105">
        <f>'B)NSA RCO Nb'!M27/'B)NSA RCO Nb'!L27-1</f>
        <v>-0.11654526534859522</v>
      </c>
      <c r="N27" s="105">
        <f>'B)NSA RCO Nb'!N27/'B)NSA RCO Nb'!M27-1</f>
        <v>-2.0023557126030656E-2</v>
      </c>
      <c r="O27" s="105">
        <f>'B)NSA RCO Nb'!O27/'B)NSA RCO Nb'!N27-1</f>
        <v>1.4278846153846154</v>
      </c>
      <c r="P27" s="105">
        <f>'B)NSA RCO Nb'!P27/'B)NSA RCO Nb'!O27-1</f>
        <v>-0.54603960396039608</v>
      </c>
      <c r="Q27" s="105">
        <f>'B)NSA RCO Nb'!Q27/'B)NSA RCO Nb'!P27-1</f>
        <v>-6.5430752453653485E-3</v>
      </c>
      <c r="R27" s="105">
        <f>'B)NSA RCO Nb'!R27/'B)NSA RCO Nb'!Q27-1</f>
        <v>0.63007683863885844</v>
      </c>
      <c r="S27" s="105">
        <f>'B)NSA RCO Nb'!S27/'B)NSA RCO Nb'!R27-1</f>
        <v>-0.13400673400673402</v>
      </c>
      <c r="T27" s="105">
        <f>'B)NSA RCO Nb'!T27/'B)NSA RCO Nb'!S27-1</f>
        <v>-0.19051321928460341</v>
      </c>
      <c r="U27" s="105">
        <f>'B)NSA RCO Nb'!U27/'B)NSA RCO Nb'!T27-1</f>
        <v>0.12680115273775217</v>
      </c>
      <c r="V27" s="105">
        <f>'B)NSA RCO Nb'!V27/'B)NSA RCO Nb'!U27-1</f>
        <v>0.10826939471440755</v>
      </c>
      <c r="W27" s="105">
        <f>'B)NSA RCO Nb'!W27/'B)NSA RCO Nb'!V27-1</f>
        <v>2.0000000000000018E-2</v>
      </c>
      <c r="X27" s="105">
        <f>'B)NSA RCO Nb'!X27/'B)NSA RCO Nb'!W27-1</f>
        <v>-3.9969834087481115E-2</v>
      </c>
      <c r="Y27" s="105">
        <f>'B)NSA RCO Nb'!Y27/'B)NSA RCO Nb'!X27-1</f>
        <v>-3.1421838177533412E-2</v>
      </c>
      <c r="Z27" s="105">
        <f>'B)NSA RCO Nb'!Z27/'B)NSA RCO Nb'!Y27-1</f>
        <v>1.9464720194647178E-2</v>
      </c>
      <c r="AA27" s="105">
        <f>'B)NSA RCO Nb'!AA27/'B)NSA RCO Nb'!Z27-1</f>
        <v>4.1368337311058045E-2</v>
      </c>
      <c r="AB27" s="105">
        <f>'B)NSA RCO Nb'!AB27/'B)NSA RCO Nb'!AA27-1</f>
        <v>-2.2918258212375475E-3</v>
      </c>
      <c r="AC27" s="105">
        <f>'B)NSA RCO Nb'!AC27/'B)NSA RCO Nb'!AB27-1</f>
        <v>2.3736600306278666E-2</v>
      </c>
      <c r="AD27" s="105">
        <f>'B)NSA RCO Nb'!AD27/'B)NSA RCO Nb'!AC27-1</f>
        <v>5.011219147344792E-2</v>
      </c>
      <c r="AE27" s="105">
        <f>'B)NSA RCO Nb'!AE27/'B)NSA RCO Nb'!AD27-1</f>
        <v>3.6324786324786418E-2</v>
      </c>
      <c r="AF27" s="105">
        <f>'B)NSA RCO Nb'!AF27/'B)NSA RCO Nb'!AE27-1</f>
        <v>-3.4364261168384758E-3</v>
      </c>
      <c r="AG27" s="105">
        <f>'B)NSA RCO Nb'!AG27/'B)NSA RCO Nb'!AF27-1</f>
        <v>4.8275862068964948E-3</v>
      </c>
      <c r="AH27" s="105">
        <f>'B)NSA RCO Nb'!AH27/'B)NSA RCO Nb'!AG27-1</f>
        <v>2.6080988332189525E-2</v>
      </c>
      <c r="AI27" s="105">
        <f>'B)NSA RCO Nb'!AI27/'B)NSA RCO Nb'!AH27-1</f>
        <v>9.8996655518394538E-2</v>
      </c>
      <c r="AJ27" s="105">
        <f>'B)NSA RCO Nb'!AJ27/'B)NSA RCO Nb'!AI27-1</f>
        <v>-5.7212416311625103E-2</v>
      </c>
      <c r="AK27" s="105">
        <f>'B)NSA RCO Nb'!AK27/'B)NSA RCO Nb'!AJ27-1</f>
        <v>5.293737895416406E-2</v>
      </c>
      <c r="AL27" s="105">
        <f>'B)NSA RCO Nb'!AL27/'B)NSA RCO Nb'!AK27-1</f>
        <v>3.065603923972926E-3</v>
      </c>
      <c r="AM27" s="105">
        <f>'B)NSA RCO Nb'!AM27/'B)NSA RCO Nb'!AL27-1</f>
        <v>-6.1124694376527566E-3</v>
      </c>
      <c r="AN27" s="105">
        <f>'B)NSA RCO Nb'!AN27/'B)NSA RCO Nb'!AM27-1</f>
        <v>1.2915129151291449E-2</v>
      </c>
      <c r="AO27" s="105">
        <f>'B)NSA RCO Nb'!AO27/'B)NSA RCO Nb'!AN27-1</f>
        <v>0.17850637522768675</v>
      </c>
      <c r="AP27" s="105">
        <f>'B)NSA RCO Nb'!AP27/'B)NSA RCO Nb'!AO27-1</f>
        <v>2.2668727460072091E-2</v>
      </c>
      <c r="AQ27" s="105">
        <f>'B)NSA RCO Nb'!AQ27/'B)NSA RCO Nb'!AP27-1</f>
        <v>-7.909319899244327E-2</v>
      </c>
      <c r="AR27" s="105">
        <f>'B)NSA RCO Nb'!AR27/'B)NSA RCO Nb'!AQ27-1</f>
        <v>5.4704595185994798E-4</v>
      </c>
      <c r="AS27" s="105">
        <f>'B)NSA RCO Nb'!AS27/'B)NSA RCO Nb'!AR27-1</f>
        <v>3.0617823947512335E-2</v>
      </c>
      <c r="AT27" s="105">
        <f>'B)NSA RCO Nb'!AT27/'B)NSA RCO Nb'!AS27-1</f>
        <v>2.5994694960212117E-2</v>
      </c>
      <c r="AU27" s="105">
        <f>'B)NSA RCO Nb'!AU27/'B)NSA RCO Nb'!AT27-1</f>
        <v>0.26473629782833497</v>
      </c>
      <c r="AV27" s="105">
        <f>'B)NSA RCO Nb'!AV27/'B)NSA RCO Nb'!AU27-1</f>
        <v>-0.16966475878986098</v>
      </c>
      <c r="AW27" s="105">
        <f>'B)NSA RCO Nb'!AW27/'B)NSA RCO Nb'!AV27-1</f>
        <v>-1.8217626784835073E-2</v>
      </c>
      <c r="AX27" s="105">
        <f>'B)NSA RCO Nb'!AX27/'B)NSA RCO Nb'!AW27-1</f>
        <v>3.2096288866599876E-2</v>
      </c>
      <c r="AY27" s="105">
        <f>'B)NSA RCO Nb'!AY27/'B)NSA RCO Nb'!AX27-1</f>
        <v>-0.94120505344995142</v>
      </c>
      <c r="AZ27" s="105">
        <f>'B)NSA RCO Nb'!AZ27/'B)NSA RCO Nb'!AY27-1</f>
        <v>-0.18181818181818177</v>
      </c>
      <c r="BA27" s="105">
        <f>'B)NSA RCO Nb'!BA27/'B)NSA RCO Nb'!AZ27-1</f>
        <v>-1.0101010101010055E-2</v>
      </c>
      <c r="BB27" s="396">
        <f>'B)NSA RCO Nb'!BB27/'B)NSA RCO Nb'!BA27-1</f>
        <v>5.1020408163265252E-2</v>
      </c>
      <c r="BC27" s="455">
        <f>'B)NSA RCO Nb'!BC27/'B)NSA RCO Nb'!BB27-1</f>
        <v>0.21359223300970864</v>
      </c>
      <c r="BD27" s="455">
        <f>'B)NSA RCO Nb'!BD27/'B)NSA RCO Nb'!BC27-1</f>
        <v>-0.128</v>
      </c>
      <c r="BE27" s="455">
        <f>'B)NSA RCO Nb'!BE27/'B)NSA RCO Nb'!BD27-1</f>
        <v>-0.13761467889908252</v>
      </c>
      <c r="BF27" s="455">
        <f>'B)NSA RCO Nb'!BF27/'B)NSA RCO Nb'!BE27-1</f>
        <v>0.34042553191489366</v>
      </c>
      <c r="BG27" s="455">
        <f>'B)NSA RCO Nb'!BG27/'B)NSA RCO Nb'!BF27-1</f>
        <v>2.9523809523809526</v>
      </c>
      <c r="BH27" s="455">
        <f>'B)NSA RCO Nb'!BH27/'B)NSA RCO Nb'!BG27-1</f>
        <v>-0.65662650602409633</v>
      </c>
      <c r="BI27" s="455">
        <f>'B)NSA RCO Nb'!BI27/'B)NSA RCO Nb'!BH27-1</f>
        <v>-2.9239766081871399E-2</v>
      </c>
      <c r="BJ27" s="455">
        <f>'B)NSA RCO Nb'!BJ27/'B)NSA RCO Nb'!BI27-1</f>
        <v>0.26506024096385539</v>
      </c>
    </row>
    <row r="28" spans="1:62" x14ac:dyDescent="0.25">
      <c r="A28" s="23"/>
      <c r="B28" s="10"/>
      <c r="C28" s="10"/>
      <c r="D28" s="10"/>
      <c r="E28" s="10"/>
      <c r="F28" s="10"/>
      <c r="G28" s="10"/>
      <c r="H28" s="10"/>
      <c r="I28" s="10"/>
      <c r="J28" s="10"/>
      <c r="K28" s="155"/>
      <c r="L28" s="155"/>
      <c r="M28" s="10"/>
      <c r="N28" s="10"/>
      <c r="O28" s="10"/>
      <c r="P28" s="10"/>
      <c r="Q28" s="10"/>
      <c r="R28" s="10"/>
      <c r="S28" s="10"/>
      <c r="T28" s="10"/>
      <c r="U28" s="10"/>
      <c r="V28" s="10"/>
      <c r="W28" s="10"/>
      <c r="X28" s="10"/>
      <c r="Y28" s="10"/>
      <c r="Z28" s="10"/>
      <c r="AA28" s="10"/>
      <c r="AB28" s="10"/>
      <c r="AC28" s="10"/>
      <c r="AD28" s="10"/>
      <c r="AE28" s="10"/>
      <c r="AF28" s="10"/>
      <c r="AG28" s="10"/>
      <c r="AH28" s="10"/>
      <c r="AI28" s="10"/>
      <c r="AJ28" s="10"/>
      <c r="AM28" s="10"/>
      <c r="AN28" s="10"/>
      <c r="AO28" s="10"/>
    </row>
    <row r="29" spans="1:62" ht="13" x14ac:dyDescent="0.3">
      <c r="A29" s="25" t="s">
        <v>42</v>
      </c>
      <c r="L29" s="14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M29" s="35"/>
      <c r="AN29" s="35"/>
      <c r="AO29" s="35"/>
    </row>
    <row r="30" spans="1:62" x14ac:dyDescent="0.25">
      <c r="A30" s="17" t="s">
        <v>12</v>
      </c>
      <c r="L30" s="14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M30" s="35"/>
      <c r="AN30" s="35"/>
      <c r="AO30" s="35"/>
    </row>
    <row r="31" spans="1:62" x14ac:dyDescent="0.25">
      <c r="A31" s="17" t="s">
        <v>21</v>
      </c>
      <c r="L31" s="14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M31" s="35"/>
      <c r="AN31" s="35"/>
      <c r="AO31" s="35"/>
      <c r="BB31" s="377" t="s">
        <v>241</v>
      </c>
      <c r="BC31" s="377"/>
      <c r="BD31" s="377"/>
    </row>
    <row r="32" spans="1:62" x14ac:dyDescent="0.25">
      <c r="B32" s="2" t="str">
        <f t="shared" ref="B32:H32" si="48">B8</f>
        <v>4eme T 2009</v>
      </c>
      <c r="C32" s="38" t="str">
        <f t="shared" si="48"/>
        <v>1er T 2010</v>
      </c>
      <c r="D32" s="38" t="str">
        <f t="shared" si="48"/>
        <v>2eme T 2010</v>
      </c>
      <c r="E32" s="38" t="str">
        <f t="shared" si="48"/>
        <v>3eme T 2010</v>
      </c>
      <c r="F32" s="38" t="str">
        <f t="shared" si="48"/>
        <v>4eme T 2010</v>
      </c>
      <c r="G32" s="38" t="str">
        <f t="shared" si="48"/>
        <v>1er T 2011</v>
      </c>
      <c r="H32" s="38" t="str">
        <f t="shared" si="48"/>
        <v>2eme T 2011</v>
      </c>
      <c r="I32" s="38" t="str">
        <f t="shared" ref="I32:N32" si="49">I8</f>
        <v>3eme T 2011</v>
      </c>
      <c r="J32" s="38" t="str">
        <f t="shared" si="49"/>
        <v>4eme T 2011</v>
      </c>
      <c r="K32" s="38" t="str">
        <f t="shared" si="49"/>
        <v>1er T 2012</v>
      </c>
      <c r="L32" s="38" t="str">
        <f t="shared" si="49"/>
        <v>2eme T 2012</v>
      </c>
      <c r="M32" s="38" t="str">
        <f t="shared" si="49"/>
        <v>3eme T 2012</v>
      </c>
      <c r="N32" s="38" t="str">
        <f t="shared" si="49"/>
        <v>4eme T 2012</v>
      </c>
      <c r="O32" s="38" t="str">
        <f t="shared" ref="O32:T32" si="50">O8</f>
        <v>1er T 2013</v>
      </c>
      <c r="P32" s="38" t="str">
        <f t="shared" si="50"/>
        <v>2eme T 2013</v>
      </c>
      <c r="Q32" s="38" t="str">
        <f t="shared" si="50"/>
        <v>3ème T 2013</v>
      </c>
      <c r="R32" s="38" t="str">
        <f t="shared" si="50"/>
        <v>4ème T 2013</v>
      </c>
      <c r="S32" s="38" t="str">
        <f t="shared" si="50"/>
        <v>1er T 2014</v>
      </c>
      <c r="T32" s="38" t="str">
        <f t="shared" si="50"/>
        <v>2eme T 2014</v>
      </c>
      <c r="U32" s="38" t="str">
        <f t="shared" ref="U32:V32" si="51">U8</f>
        <v>3T 2014</v>
      </c>
      <c r="V32" s="38" t="str">
        <f t="shared" si="51"/>
        <v>4ème T 2014</v>
      </c>
      <c r="W32" s="38" t="str">
        <f t="shared" ref="W32:X32" si="52">W8</f>
        <v>1er T 2015</v>
      </c>
      <c r="X32" s="38" t="str">
        <f t="shared" si="52"/>
        <v>2e T 2015</v>
      </c>
      <c r="Y32" s="38" t="str">
        <f t="shared" ref="Y32:Z32" si="53">Y8</f>
        <v>3e T 2015</v>
      </c>
      <c r="Z32" s="38" t="str">
        <f t="shared" si="53"/>
        <v>4e T 2015</v>
      </c>
      <c r="AA32" s="38" t="str">
        <f t="shared" ref="AA32:AB32" si="54">AA8</f>
        <v>1er T 2016</v>
      </c>
      <c r="AB32" s="38" t="str">
        <f t="shared" si="54"/>
        <v>2e T 2016</v>
      </c>
      <c r="AC32" s="38" t="str">
        <f t="shared" ref="AC32:AD32" si="55">AC8</f>
        <v>3e T 2016</v>
      </c>
      <c r="AD32" s="38" t="str">
        <f t="shared" si="55"/>
        <v>4e T 2016</v>
      </c>
      <c r="AE32" s="38" t="str">
        <f t="shared" ref="AE32:AF32" si="56">AE8</f>
        <v>2017 - T1</v>
      </c>
      <c r="AF32" s="38" t="str">
        <f t="shared" si="56"/>
        <v>2017 - T2</v>
      </c>
      <c r="AG32" s="38" t="str">
        <f t="shared" ref="AG32:AH32" si="57">AG8</f>
        <v>2017- T3</v>
      </c>
      <c r="AH32" s="38" t="str">
        <f t="shared" si="57"/>
        <v>2017 - T4</v>
      </c>
      <c r="AI32" s="38" t="str">
        <f t="shared" ref="AI32:AJ32" si="58">AI8</f>
        <v>2018 - T1</v>
      </c>
      <c r="AJ32" s="38" t="str">
        <f t="shared" si="58"/>
        <v>2018 - T2</v>
      </c>
      <c r="AK32" s="38" t="str">
        <f t="shared" ref="AK32:AM32" si="59">AK8</f>
        <v>2018 - T3</v>
      </c>
      <c r="AL32" s="38" t="str">
        <f t="shared" si="59"/>
        <v>2018 - T4</v>
      </c>
      <c r="AM32" s="38" t="str">
        <f t="shared" si="59"/>
        <v>2019 - T1</v>
      </c>
      <c r="AN32" s="38" t="str">
        <f t="shared" ref="AN32:AP32" si="60">AN8</f>
        <v>2019 - T2</v>
      </c>
      <c r="AO32" s="38" t="str">
        <f t="shared" si="60"/>
        <v>2019 - T3</v>
      </c>
      <c r="AP32" s="38" t="str">
        <f t="shared" si="60"/>
        <v>2019 - T4</v>
      </c>
      <c r="AQ32" s="38" t="str">
        <f t="shared" ref="AQ32" si="61">AQ8</f>
        <v>2020 - T1</v>
      </c>
      <c r="AR32" s="38" t="str">
        <f t="shared" ref="AR32" si="62">AR8</f>
        <v>2020 - T2</v>
      </c>
      <c r="AS32" s="38" t="str">
        <f t="shared" ref="AS32:AT32" si="63">AS8</f>
        <v>2020 - T3</v>
      </c>
      <c r="AT32" s="38" t="str">
        <f t="shared" si="63"/>
        <v>2020- T4</v>
      </c>
      <c r="AU32" s="38" t="str">
        <f t="shared" ref="AU32:AV32" si="64">AU8</f>
        <v>2021- T1</v>
      </c>
      <c r="AV32" s="38" t="str">
        <f t="shared" si="64"/>
        <v>2021- T2</v>
      </c>
      <c r="AW32" s="38" t="str">
        <f t="shared" ref="AW32:AX32" si="65">AW8</f>
        <v>2021- T3</v>
      </c>
      <c r="AX32" s="38" t="str">
        <f t="shared" si="65"/>
        <v>2021- T4</v>
      </c>
      <c r="AY32" s="38" t="str">
        <f t="shared" ref="AY32:AZ32" si="66">AY8</f>
        <v>2022- T1</v>
      </c>
      <c r="AZ32" s="38" t="str">
        <f t="shared" si="66"/>
        <v>2022- T2</v>
      </c>
      <c r="BA32" s="38" t="str">
        <f t="shared" ref="BA32:BB32" si="67">BA8</f>
        <v>2022- T3</v>
      </c>
      <c r="BB32" s="38" t="str">
        <f t="shared" si="67"/>
        <v>2022- T4</v>
      </c>
      <c r="BC32" s="38" t="str">
        <f t="shared" ref="BC32:BD32" si="68">BC8</f>
        <v>2023- T1</v>
      </c>
      <c r="BD32" s="38" t="str">
        <f t="shared" si="68"/>
        <v>2023- T2</v>
      </c>
      <c r="BE32" s="38" t="str">
        <f t="shared" ref="BE32:BF32" si="69">BE8</f>
        <v>2023- T3</v>
      </c>
      <c r="BF32" s="38" t="str">
        <f t="shared" si="69"/>
        <v>2023- T4</v>
      </c>
      <c r="BG32" s="38" t="str">
        <f t="shared" ref="BG32:BH32" si="70">BG8</f>
        <v>2024- T1</v>
      </c>
      <c r="BH32" s="38" t="str">
        <f t="shared" si="70"/>
        <v>2024- T2</v>
      </c>
      <c r="BI32" s="38" t="str">
        <f t="shared" ref="BI32:BJ32" si="71">BI8</f>
        <v>2024- T3</v>
      </c>
      <c r="BJ32" s="38" t="str">
        <f t="shared" si="71"/>
        <v>2024- T4</v>
      </c>
    </row>
    <row r="33" spans="1:62" x14ac:dyDescent="0.25">
      <c r="A33" s="22" t="s">
        <v>16</v>
      </c>
      <c r="B33" s="21"/>
      <c r="C33" s="105">
        <f>'B)NSA RCO Nb'!C33/'B)NSA RCO Nb'!B33-1</f>
        <v>2.0403351590547736E-4</v>
      </c>
      <c r="D33" s="105">
        <f>'B)NSA RCO Nb'!D33/'B)NSA RCO Nb'!C33-1</f>
        <v>6.7815972112041933E-3</v>
      </c>
      <c r="E33" s="105">
        <f>'B)NSA RCO Nb'!E33/'B)NSA RCO Nb'!D33-1</f>
        <v>-1.4363352289356035E-3</v>
      </c>
      <c r="F33" s="105">
        <f>'B)NSA RCO Nb'!F33/'B)NSA RCO Nb'!E33-1</f>
        <v>-1.5601468161279275E-3</v>
      </c>
      <c r="G33" s="105">
        <f>'B)NSA RCO Nb'!G33/'B)NSA RCO Nb'!F33-1</f>
        <v>-5.6451758585185363E-4</v>
      </c>
      <c r="H33" s="105">
        <f>'B)NSA RCO Nb'!H33/'B)NSA RCO Nb'!G33-1</f>
        <v>1.8377518605712462E-2</v>
      </c>
      <c r="I33" s="105">
        <f>'B)NSA RCO Nb'!I33/'B)NSA RCO Nb'!H33-1</f>
        <v>-1.1225983937523942E-3</v>
      </c>
      <c r="J33" s="105">
        <f>'B)NSA RCO Nb'!J33/'B)NSA RCO Nb'!I33-1</f>
        <v>-9.9948027025942299E-4</v>
      </c>
      <c r="K33" s="105">
        <f>'B)NSA RCO Nb'!K33/'B)NSA RCO Nb'!J33-1</f>
        <v>-3.6595343542678016E-3</v>
      </c>
      <c r="L33" s="105">
        <f>'B)NSA RCO Nb'!L33/'B)NSA RCO Nb'!K33-1</f>
        <v>2.0355336972093463E-2</v>
      </c>
      <c r="M33" s="105">
        <f>'B)NSA RCO Nb'!M33/'B)NSA RCO Nb'!L33-1</f>
        <v>-7.3481170450084843E-4</v>
      </c>
      <c r="N33" s="105">
        <f>'B)NSA RCO Nb'!N33/'B)NSA RCO Nb'!M33-1</f>
        <v>-1.3262599469494596E-3</v>
      </c>
      <c r="O33" s="105">
        <f>'B)NSA RCO Nb'!O33/'B)NSA RCO Nb'!N33-1</f>
        <v>-1.0869612857700162E-3</v>
      </c>
      <c r="P33" s="105">
        <f>'B)NSA RCO Nb'!P33/'B)NSA RCO Nb'!O33-1</f>
        <v>1.0039006454273691E-2</v>
      </c>
      <c r="Q33" s="105">
        <f>'B)NSA RCO Nb'!Q33/'B)NSA RCO Nb'!P33-1</f>
        <v>-1.7028744694805864E-3</v>
      </c>
      <c r="R33" s="105">
        <f>'B)NSA RCO Nb'!R33/'B)NSA RCO Nb'!Q33-1</f>
        <v>-4.6908927926477828E-3</v>
      </c>
      <c r="S33" s="105">
        <f>'B)NSA RCO Nb'!S33/'B)NSA RCO Nb'!R33-1</f>
        <v>3.1041101040969465E-3</v>
      </c>
      <c r="T33" s="105">
        <f>'B)NSA RCO Nb'!T33/'B)NSA RCO Nb'!S33-1</f>
        <v>-7.0053478266554503E-2</v>
      </c>
      <c r="U33" s="105">
        <f>'B)NSA RCO Nb'!U33/'B)NSA RCO Nb'!T33-1</f>
        <v>1.3122990542073776E-3</v>
      </c>
      <c r="V33" s="105">
        <f>'B)NSA RCO Nb'!V33/'B)NSA RCO Nb'!U33-1</f>
        <v>-8.4719582861370046E-4</v>
      </c>
      <c r="W33" s="105">
        <f>'B)NSA RCO Nb'!W33/'B)NSA RCO Nb'!V33-1</f>
        <v>-1.7473590518352067E-3</v>
      </c>
      <c r="X33" s="105">
        <f>'B)NSA RCO Nb'!X33/'B)NSA RCO Nb'!W33-1</f>
        <v>-6.8984288476348077E-4</v>
      </c>
      <c r="Y33" s="105">
        <f>'B)NSA RCO Nb'!Y33/'B)NSA RCO Nb'!X33-1</f>
        <v>-6.1987837234955823E-4</v>
      </c>
      <c r="Z33" s="105">
        <f>'B)NSA RCO Nb'!Z33/'B)NSA RCO Nb'!Y33-1</f>
        <v>2.6784078040331671E-4</v>
      </c>
      <c r="AA33" s="105">
        <f>'B)NSA RCO Nb'!AA33/'B)NSA RCO Nb'!Z33-1</f>
        <v>1.1161741908207068E-2</v>
      </c>
      <c r="AB33" s="105">
        <f>'B)NSA RCO Nb'!AB33/'B)NSA RCO Nb'!AA33-1</f>
        <v>-1.091774063164852E-3</v>
      </c>
      <c r="AC33" s="105">
        <f>'B)NSA RCO Nb'!AC33/'B)NSA RCO Nb'!AB33-1</f>
        <v>-1.1999386077921059E-3</v>
      </c>
      <c r="AD33" s="105">
        <f>'B)NSA RCO Nb'!AD33/'B)NSA RCO Nb'!AC33-1</f>
        <v>6.1885049335748121E-3</v>
      </c>
      <c r="AE33" s="105">
        <f>'B)NSA RCO Nb'!AE33/'B)NSA RCO Nb'!AD33-1</f>
        <v>-1.2958043705630917E-3</v>
      </c>
      <c r="AF33" s="105">
        <f>'B)NSA RCO Nb'!AF33/'B)NSA RCO Nb'!AE33-1</f>
        <v>-1.8164799214094307E-3</v>
      </c>
      <c r="AG33" s="105">
        <f>'B)NSA RCO Nb'!AG33/'B)NSA RCO Nb'!AF33-1</f>
        <v>-4.6423100134629358E-4</v>
      </c>
      <c r="AH33" s="105">
        <f>'B)NSA RCO Nb'!AH33/'B)NSA RCO Nb'!AG33-1</f>
        <v>1.8810087780409601E-2</v>
      </c>
      <c r="AI33" s="105">
        <f>'B)NSA RCO Nb'!AI33/'B)NSA RCO Nb'!AH33-1</f>
        <v>-8.4062727935813042E-3</v>
      </c>
      <c r="AJ33" s="105">
        <f>'B)NSA RCO Nb'!AJ33/'B)NSA RCO Nb'!AI33-1</f>
        <v>-5.6547564317110943E-4</v>
      </c>
      <c r="AK33" s="105">
        <f>'B)NSA RCO Nb'!AK33/'B)NSA RCO Nb'!AJ33-1</f>
        <v>-1.6973867603833348E-3</v>
      </c>
      <c r="AL33" s="105">
        <f>'B)NSA RCO Nb'!AL33/'B)NSA RCO Nb'!AK33-1</f>
        <v>-8.8008699498665077E-4</v>
      </c>
      <c r="AM33" s="105">
        <f>'B)NSA RCO Nb'!AM33/'B)NSA RCO Nb'!AL33-1</f>
        <v>1.8401258111082619E-3</v>
      </c>
      <c r="AN33" s="105">
        <f>'B)NSA RCO Nb'!AN33/'B)NSA RCO Nb'!AM33-1</f>
        <v>-1.0909994844223725E-3</v>
      </c>
      <c r="AO33" s="105">
        <f>'B)NSA RCO Nb'!AO33/'B)NSA RCO Nb'!AN33-1</f>
        <v>-5.3918293048205168E-4</v>
      </c>
      <c r="AP33" s="105">
        <f>'B)NSA RCO Nb'!AP33/'B)NSA RCO Nb'!AO33-1</f>
        <v>-3.0892944420368718E-4</v>
      </c>
      <c r="AQ33" s="105">
        <f>'B)NSA RCO Nb'!AQ33/'B)NSA RCO Nb'!AP33-1</f>
        <v>8.5327773959809061E-3</v>
      </c>
      <c r="AR33" s="105">
        <f>'B)NSA RCO Nb'!AR33/'B)NSA RCO Nb'!AQ33-1</f>
        <v>-2.0945664750458004E-3</v>
      </c>
      <c r="AS33" s="105">
        <f>'B)NSA RCO Nb'!AS33/'B)NSA RCO Nb'!AR33-1</f>
        <v>-1.3427863044963573E-3</v>
      </c>
      <c r="AT33" s="105">
        <f>'B)NSA RCO Nb'!AT33/'B)NSA RCO Nb'!AS33-1</f>
        <v>1.4492311184444162E-6</v>
      </c>
      <c r="AU33" s="105">
        <f>'B)NSA RCO Nb'!AU33/'B)NSA RCO Nb'!AT33-1</f>
        <v>2.7028882656949804E-3</v>
      </c>
      <c r="AV33" s="105">
        <f>'B)NSA RCO Nb'!AV33/'B)NSA RCO Nb'!AU33-1</f>
        <v>-2.9429401656699827E-4</v>
      </c>
      <c r="AW33" s="105">
        <f>'B)NSA RCO Nb'!AW33/'B)NSA RCO Nb'!AV33-1</f>
        <v>1.3138920044863944E-3</v>
      </c>
      <c r="AX33" s="105">
        <f>'B)NSA RCO Nb'!AX33/'B)NSA RCO Nb'!AW33-1</f>
        <v>3.2949592488359603E-2</v>
      </c>
      <c r="AY33" s="105">
        <f>'B)NSA RCO Nb'!AY33/'B)NSA RCO Nb'!AX33-1</f>
        <v>7.5527106761489327E-2</v>
      </c>
      <c r="AZ33" s="105">
        <f>'B)NSA RCO Nb'!AZ33/'B)NSA RCO Nb'!AY33-1</f>
        <v>-2.422151721488075E-3</v>
      </c>
      <c r="BA33" s="105">
        <f>'B)NSA RCO Nb'!BA33/'B)NSA RCO Nb'!AZ33-1</f>
        <v>3.7667817566969575E-2</v>
      </c>
      <c r="BB33" s="396">
        <f>'B)NSA RCO Nb'!BB33/'B)NSA RCO Nb'!BA33-1</f>
        <v>-3.4194619992947706E-3</v>
      </c>
      <c r="BC33" s="455">
        <f>'B)NSA RCO Nb'!BC33/'B)NSA RCO Nb'!BB33-1</f>
        <v>6.1572274630126156E-3</v>
      </c>
      <c r="BD33" s="455">
        <f>'B)NSA RCO Nb'!BD33/'B)NSA RCO Nb'!BC33-1</f>
        <v>7.0766606628724915E-4</v>
      </c>
      <c r="BE33" s="455">
        <f>'B)NSA RCO Nb'!BE33/'B)NSA RCO Nb'!BD33-1</f>
        <v>-1.0495184626189147E-3</v>
      </c>
      <c r="BF33" s="455">
        <f>'B)NSA RCO Nb'!BF33/'B)NSA RCO Nb'!BE33-1</f>
        <v>-6.88305069475037E-4</v>
      </c>
      <c r="BG33" s="455">
        <f>'B)NSA RCO Nb'!BG33/'B)NSA RCO Nb'!BF33-1</f>
        <v>4.1278576106058118E-2</v>
      </c>
      <c r="BH33" s="455">
        <f>'B)NSA RCO Nb'!BH33/'B)NSA RCO Nb'!BG33-1</f>
        <v>-2.149568167661986E-4</v>
      </c>
      <c r="BI33" s="455">
        <f>'B)NSA RCO Nb'!BI33/'B)NSA RCO Nb'!BH33-1</f>
        <v>-7.3517277969422645E-3</v>
      </c>
      <c r="BJ33" s="455">
        <f>'B)NSA RCO Nb'!BJ33/'B)NSA RCO Nb'!BI33-1</f>
        <v>-4.995287914596469E-3</v>
      </c>
    </row>
    <row r="34" spans="1:62" x14ac:dyDescent="0.25">
      <c r="A34" s="22" t="s">
        <v>17</v>
      </c>
      <c r="B34" s="21"/>
      <c r="C34" s="105">
        <f>'B)NSA RCO Nb'!C34/'B)NSA RCO Nb'!B34-1</f>
        <v>5.7472623637095932E-3</v>
      </c>
      <c r="D34" s="105">
        <f>'B)NSA RCO Nb'!D34/'B)NSA RCO Nb'!C34-1</f>
        <v>0.12204872542564194</v>
      </c>
      <c r="E34" s="105">
        <f>'B)NSA RCO Nb'!E34/'B)NSA RCO Nb'!D34-1</f>
        <v>-4.526973215408403E-3</v>
      </c>
      <c r="F34" s="105">
        <f>'B)NSA RCO Nb'!F34/'B)NSA RCO Nb'!E34-1</f>
        <v>-9.4003958061392723E-3</v>
      </c>
      <c r="G34" s="105">
        <f>'B)NSA RCO Nb'!G34/'B)NSA RCO Nb'!F34-1</f>
        <v>-2.5716502130643804E-3</v>
      </c>
      <c r="H34" s="105">
        <f>'B)NSA RCO Nb'!H34/'B)NSA RCO Nb'!G34-1</f>
        <v>2.0157466892532616E-2</v>
      </c>
      <c r="I34" s="105">
        <f>'B)NSA RCO Nb'!I34/'B)NSA RCO Nb'!H34-1</f>
        <v>-4.1565277328126093E-3</v>
      </c>
      <c r="J34" s="105">
        <f>'B)NSA RCO Nb'!J34/'B)NSA RCO Nb'!I34-1</f>
        <v>-1.4262492790099168E-3</v>
      </c>
      <c r="K34" s="105">
        <f>'B)NSA RCO Nb'!K34/'B)NSA RCO Nb'!J34-1</f>
        <v>-6.9733981663324673E-3</v>
      </c>
      <c r="L34" s="105">
        <f>'B)NSA RCO Nb'!L34/'B)NSA RCO Nb'!K34-1</f>
        <v>2.1088255512664578E-2</v>
      </c>
      <c r="M34" s="105">
        <f>'B)NSA RCO Nb'!M34/'B)NSA RCO Nb'!L34-1</f>
        <v>-7.5298553066318608E-3</v>
      </c>
      <c r="N34" s="105">
        <f>'B)NSA RCO Nb'!N34/'B)NSA RCO Nb'!M34-1</f>
        <v>-7.0964914111593114E-4</v>
      </c>
      <c r="O34" s="105">
        <f>'B)NSA RCO Nb'!O34/'B)NSA RCO Nb'!N34-1</f>
        <v>-7.2686258537500992E-3</v>
      </c>
      <c r="P34" s="105">
        <f>'B)NSA RCO Nb'!P34/'B)NSA RCO Nb'!O34-1</f>
        <v>6.5644133055609011E-3</v>
      </c>
      <c r="Q34" s="105">
        <f>'B)NSA RCO Nb'!Q34/'B)NSA RCO Nb'!P34-1</f>
        <v>-6.0408436278507338E-3</v>
      </c>
      <c r="R34" s="105">
        <f>'B)NSA RCO Nb'!R34/'B)NSA RCO Nb'!Q34-1</f>
        <v>-1.0073183041722666E-2</v>
      </c>
      <c r="S34" s="105">
        <f>'B)NSA RCO Nb'!S34/'B)NSA RCO Nb'!R34-1</f>
        <v>-4.9922460858664586E-4</v>
      </c>
      <c r="T34" s="105">
        <f>'B)NSA RCO Nb'!T34/'B)NSA RCO Nb'!S34-1</f>
        <v>-6.1318398707743693E-3</v>
      </c>
      <c r="U34" s="105">
        <f>'B)NSA RCO Nb'!U34/'B)NSA RCO Nb'!T34-1</f>
        <v>-5.6671157588583654E-4</v>
      </c>
      <c r="V34" s="105">
        <f>'B)NSA RCO Nb'!V34/'B)NSA RCO Nb'!U34-1</f>
        <v>-1.3362719190319838E-2</v>
      </c>
      <c r="W34" s="105">
        <f>'B)NSA RCO Nb'!W34/'B)NSA RCO Nb'!V34-1</f>
        <v>-4.7820429407938736E-3</v>
      </c>
      <c r="X34" s="105">
        <f>'B)NSA RCO Nb'!X34/'B)NSA RCO Nb'!W34-1</f>
        <v>-6.0362392268383802E-3</v>
      </c>
      <c r="Y34" s="105">
        <f>'B)NSA RCO Nb'!Y34/'B)NSA RCO Nb'!X34-1</f>
        <v>-2.2471910112359383E-3</v>
      </c>
      <c r="Z34" s="105">
        <f>'B)NSA RCO Nb'!Z34/'B)NSA RCO Nb'!Y34-1</f>
        <v>-1.4392441221710017E-3</v>
      </c>
      <c r="AA34" s="105">
        <f>'B)NSA RCO Nb'!AA34/'B)NSA RCO Nb'!Z34-1</f>
        <v>1.6943744567547991E-3</v>
      </c>
      <c r="AB34" s="105">
        <f>'B)NSA RCO Nb'!AB34/'B)NSA RCO Nb'!AA34-1</f>
        <v>-9.0396845446656382E-3</v>
      </c>
      <c r="AC34" s="105">
        <f>'B)NSA RCO Nb'!AC34/'B)NSA RCO Nb'!AB34-1</f>
        <v>-5.4976723564620356E-3</v>
      </c>
      <c r="AD34" s="105">
        <f>'B)NSA RCO Nb'!AD34/'B)NSA RCO Nb'!AC34-1</f>
        <v>-1.0365119700415093E-3</v>
      </c>
      <c r="AE34" s="105">
        <f>'B)NSA RCO Nb'!AE34/'B)NSA RCO Nb'!AD34-1</f>
        <v>-2.5102921980117987E-3</v>
      </c>
      <c r="AF34" s="105">
        <f>'B)NSA RCO Nb'!AF34/'B)NSA RCO Nb'!AE34-1</f>
        <v>-3.5791781312215498E-3</v>
      </c>
      <c r="AG34" s="105">
        <f>'B)NSA RCO Nb'!AG34/'B)NSA RCO Nb'!AF34-1</f>
        <v>1.5715151651212178E-3</v>
      </c>
      <c r="AH34" s="105">
        <f>'B)NSA RCO Nb'!AH34/'B)NSA RCO Nb'!AG34-1</f>
        <v>1.1207495573040127E-4</v>
      </c>
      <c r="AI34" s="105">
        <f>'B)NSA RCO Nb'!AI34/'B)NSA RCO Nb'!AH34-1</f>
        <v>-1.2214801201309022E-3</v>
      </c>
      <c r="AJ34" s="105">
        <f>'B)NSA RCO Nb'!AJ34/'B)NSA RCO Nb'!AI34-1</f>
        <v>-5.2733739495325338E-4</v>
      </c>
      <c r="AK34" s="105">
        <f>'B)NSA RCO Nb'!AK34/'B)NSA RCO Nb'!AJ34-1</f>
        <v>-1.0619667714413916E-2</v>
      </c>
      <c r="AL34" s="105">
        <f>'B)NSA RCO Nb'!AL34/'B)NSA RCO Nb'!AK34-1</f>
        <v>-5.1739396827559236E-3</v>
      </c>
      <c r="AM34" s="105">
        <f>'B)NSA RCO Nb'!AM34/'B)NSA RCO Nb'!AL34-1</f>
        <v>4.7902552521739139E-4</v>
      </c>
      <c r="AN34" s="105">
        <f>'B)NSA RCO Nb'!AN34/'B)NSA RCO Nb'!AM34-1</f>
        <v>-2.0633834929321138E-3</v>
      </c>
      <c r="AO34" s="105">
        <f>'B)NSA RCO Nb'!AO34/'B)NSA RCO Nb'!AN34-1</f>
        <v>-2.2846959640845377E-3</v>
      </c>
      <c r="AP34" s="105">
        <f>'B)NSA RCO Nb'!AP34/'B)NSA RCO Nb'!AO34-1</f>
        <v>-2.2784781140154919E-3</v>
      </c>
      <c r="AQ34" s="105">
        <f>'B)NSA RCO Nb'!AQ34/'B)NSA RCO Nb'!AP34-1</f>
        <v>-1.8935047050723242E-3</v>
      </c>
      <c r="AR34" s="105">
        <f>'B)NSA RCO Nb'!AR34/'B)NSA RCO Nb'!AQ34-1</f>
        <v>1.084219603334291E-2</v>
      </c>
      <c r="AS34" s="105">
        <f>'B)NSA RCO Nb'!AS34/'B)NSA RCO Nb'!AR34-1</f>
        <v>-6.6880502286220667E-3</v>
      </c>
      <c r="AT34" s="105">
        <f>'B)NSA RCO Nb'!AT34/'B)NSA RCO Nb'!AS34-1</f>
        <v>-3.7022668672528347E-3</v>
      </c>
      <c r="AU34" s="105">
        <f>'B)NSA RCO Nb'!AU34/'B)NSA RCO Nb'!AT34-1</f>
        <v>-1.1377960909365603E-3</v>
      </c>
      <c r="AV34" s="105">
        <f>'B)NSA RCO Nb'!AV34/'B)NSA RCO Nb'!AU34-1</f>
        <v>-1.3081141522778283E-3</v>
      </c>
      <c r="AW34" s="105">
        <f>'B)NSA RCO Nb'!AW34/'B)NSA RCO Nb'!AV34-1</f>
        <v>1.8780100006912104E-3</v>
      </c>
      <c r="AX34" s="105">
        <f>'B)NSA RCO Nb'!AX34/'B)NSA RCO Nb'!AW34-1</f>
        <v>-1.0950404163139194E-3</v>
      </c>
      <c r="AY34" s="105">
        <f>'B)NSA RCO Nb'!AY34/'B)NSA RCO Nb'!AX34-1</f>
        <v>0.89502025519533701</v>
      </c>
      <c r="AZ34" s="105">
        <f>'B)NSA RCO Nb'!AZ34/'B)NSA RCO Nb'!AY34-1</f>
        <v>-7.6477062801548756E-3</v>
      </c>
      <c r="BA34" s="105">
        <f>'B)NSA RCO Nb'!BA34/'B)NSA RCO Nb'!AZ34-1</f>
        <v>3.2215655101730967E-2</v>
      </c>
      <c r="BB34" s="396">
        <f>'B)NSA RCO Nb'!BB34/'B)NSA RCO Nb'!BA34-1</f>
        <v>-1.0839640388472516E-2</v>
      </c>
      <c r="BC34" s="455">
        <f>'B)NSA RCO Nb'!BC34/'B)NSA RCO Nb'!BB34-1</f>
        <v>1.6421602576588423E-3</v>
      </c>
      <c r="BD34" s="455">
        <f>'B)NSA RCO Nb'!BD34/'B)NSA RCO Nb'!BC34-1</f>
        <v>-7.3410972229002169E-3</v>
      </c>
      <c r="BE34" s="455">
        <f>'B)NSA RCO Nb'!BE34/'B)NSA RCO Nb'!BD34-1</f>
        <v>-7.4555932420627968E-3</v>
      </c>
      <c r="BF34" s="455">
        <f>'B)NSA RCO Nb'!BF34/'B)NSA RCO Nb'!BE34-1</f>
        <v>-6.3210923191671098E-3</v>
      </c>
      <c r="BG34" s="455">
        <f>'B)NSA RCO Nb'!BG34/'B)NSA RCO Nb'!BF34-1</f>
        <v>3.7160887888981753E-2</v>
      </c>
      <c r="BH34" s="455">
        <f>'B)NSA RCO Nb'!BH34/'B)NSA RCO Nb'!BG34-1</f>
        <v>-5.9823205181307459E-3</v>
      </c>
      <c r="BI34" s="455">
        <f>'B)NSA RCO Nb'!BI34/'B)NSA RCO Nb'!BH34-1</f>
        <v>-4.0390029863984322E-2</v>
      </c>
      <c r="BJ34" s="455">
        <f>'B)NSA RCO Nb'!BJ34/'B)NSA RCO Nb'!BI34-1</f>
        <v>-9.9054008876734434E-3</v>
      </c>
    </row>
    <row r="35" spans="1:62" x14ac:dyDescent="0.25">
      <c r="A35" s="22" t="s">
        <v>18</v>
      </c>
      <c r="B35" s="21"/>
      <c r="C35" s="105">
        <f>'B)NSA RCO Nb'!C35/'B)NSA RCO Nb'!B35-1</f>
        <v>1.4452821860071463E-3</v>
      </c>
      <c r="D35" s="105">
        <f>'B)NSA RCO Nb'!D35/'B)NSA RCO Nb'!C35-1</f>
        <v>-1.457415043366983E-2</v>
      </c>
      <c r="E35" s="105">
        <f>'B)NSA RCO Nb'!E35/'B)NSA RCO Nb'!D35-1</f>
        <v>-2.5972152081377153E-4</v>
      </c>
      <c r="F35" s="105">
        <f>'B)NSA RCO Nb'!F35/'B)NSA RCO Nb'!E35-1</f>
        <v>2.0566628660501074E-4</v>
      </c>
      <c r="G35" s="105">
        <f>'B)NSA RCO Nb'!G35/'B)NSA RCO Nb'!F35-1</f>
        <v>3.3188434552022805E-4</v>
      </c>
      <c r="H35" s="105">
        <f>'B)NSA RCO Nb'!H35/'B)NSA RCO Nb'!G35-1</f>
        <v>1.9809085565296591E-2</v>
      </c>
      <c r="I35" s="105">
        <f>'B)NSA RCO Nb'!I35/'B)NSA RCO Nb'!H35-1</f>
        <v>2.5106969836286019E-4</v>
      </c>
      <c r="J35" s="105">
        <f>'B)NSA RCO Nb'!J35/'B)NSA RCO Nb'!I35-1</f>
        <v>2.1211831959866423E-4</v>
      </c>
      <c r="K35" s="105">
        <f>'B)NSA RCO Nb'!K35/'B)NSA RCO Nb'!J35-1</f>
        <v>-1.1664033422758013E-3</v>
      </c>
      <c r="L35" s="105">
        <f>'B)NSA RCO Nb'!L35/'B)NSA RCO Nb'!K35-1</f>
        <v>2.1210866588107891E-2</v>
      </c>
      <c r="M35" s="105">
        <f>'B)NSA RCO Nb'!M35/'B)NSA RCO Nb'!L35-1</f>
        <v>-8.2817887277575331E-4</v>
      </c>
      <c r="N35" s="105">
        <f>'B)NSA RCO Nb'!N35/'B)NSA RCO Nb'!M35-1</f>
        <v>1.4219028528228428E-4</v>
      </c>
      <c r="O35" s="105">
        <f>'B)NSA RCO Nb'!O35/'B)NSA RCO Nb'!N35-1</f>
        <v>1.0472039308291325E-3</v>
      </c>
      <c r="P35" s="105">
        <f>'B)NSA RCO Nb'!P35/'B)NSA RCO Nb'!O35-1</f>
        <v>1.206835037012155E-2</v>
      </c>
      <c r="Q35" s="105">
        <f>'B)NSA RCO Nb'!Q35/'B)NSA RCO Nb'!P35-1</f>
        <v>-5.1339446150056034E-4</v>
      </c>
      <c r="R35" s="105">
        <f>'B)NSA RCO Nb'!R35/'B)NSA RCO Nb'!Q35-1</f>
        <v>-9.9649685127534138E-4</v>
      </c>
      <c r="S35" s="105">
        <f>'B)NSA RCO Nb'!S35/'B)NSA RCO Nb'!R35-1</f>
        <v>1.6727681570756214E-3</v>
      </c>
      <c r="T35" s="105">
        <f>'B)NSA RCO Nb'!T35/'B)NSA RCO Nb'!S35-1</f>
        <v>-6.0125932516597036E-2</v>
      </c>
      <c r="U35" s="105">
        <f>'B)NSA RCO Nb'!U35/'B)NSA RCO Nb'!T35-1</f>
        <v>1.6639359184416058E-3</v>
      </c>
      <c r="V35" s="105">
        <f>'B)NSA RCO Nb'!V35/'B)NSA RCO Nb'!U35-1</f>
        <v>6.1794138280557576E-5</v>
      </c>
      <c r="W35" s="105">
        <f>'B)NSA RCO Nb'!W35/'B)NSA RCO Nb'!V35-1</f>
        <v>4.1254125412559794E-4</v>
      </c>
      <c r="X35" s="105">
        <f>'B)NSA RCO Nb'!X35/'B)NSA RCO Nb'!W35-1</f>
        <v>1.1208501748489752E-3</v>
      </c>
      <c r="Y35" s="105">
        <f>'B)NSA RCO Nb'!Y35/'B)NSA RCO Nb'!X35-1</f>
        <v>1.1758472269602915E-3</v>
      </c>
      <c r="Z35" s="105">
        <f>'B)NSA RCO Nb'!Z35/'B)NSA RCO Nb'!Y35-1</f>
        <v>1.8124478921230924E-3</v>
      </c>
      <c r="AA35" s="105">
        <f>'B)NSA RCO Nb'!AA35/'B)NSA RCO Nb'!Z35-1</f>
        <v>7.5550891920252994E-3</v>
      </c>
      <c r="AB35" s="105">
        <f>'B)NSA RCO Nb'!AB35/'B)NSA RCO Nb'!AA35-1</f>
        <v>5.8536655438157226E-4</v>
      </c>
      <c r="AC35" s="105">
        <f>'B)NSA RCO Nb'!AC35/'B)NSA RCO Nb'!AB35-1</f>
        <v>7.214100875381213E-4</v>
      </c>
      <c r="AD35" s="105">
        <f>'B)NSA RCO Nb'!AD35/'B)NSA RCO Nb'!AC35-1</f>
        <v>3.8088816520935875E-3</v>
      </c>
      <c r="AE35" s="105">
        <f>'B)NSA RCO Nb'!AE35/'B)NSA RCO Nb'!AD35-1</f>
        <v>6.6813394120424086E-4</v>
      </c>
      <c r="AF35" s="105">
        <f>'B)NSA RCO Nb'!AF35/'B)NSA RCO Nb'!AE35-1</f>
        <v>3.2134708698894343E-5</v>
      </c>
      <c r="AG35" s="105">
        <f>'B)NSA RCO Nb'!AG35/'B)NSA RCO Nb'!AF35-1</f>
        <v>9.2830619822903415E-4</v>
      </c>
      <c r="AH35" s="105">
        <f>'B)NSA RCO Nb'!AH35/'B)NSA RCO Nb'!AG35-1</f>
        <v>1.2827281158593218E-2</v>
      </c>
      <c r="AI35" s="105">
        <f>'B)NSA RCO Nb'!AI35/'B)NSA RCO Nb'!AH35-1</f>
        <v>-2.4477347007777484E-3</v>
      </c>
      <c r="AJ35" s="105">
        <f>'B)NSA RCO Nb'!AJ35/'B)NSA RCO Nb'!AI35-1</f>
        <v>8.5439607966364406E-4</v>
      </c>
      <c r="AK35" s="105">
        <f>'B)NSA RCO Nb'!AK35/'B)NSA RCO Nb'!AJ35-1</f>
        <v>4.1977825830818993E-4</v>
      </c>
      <c r="AL35" s="105">
        <f>'B)NSA RCO Nb'!AL35/'B)NSA RCO Nb'!AK35-1</f>
        <v>1.3751666067229884E-4</v>
      </c>
      <c r="AM35" s="105">
        <f>'B)NSA RCO Nb'!AM35/'B)NSA RCO Nb'!AL35-1</f>
        <v>3.2964204751781967E-3</v>
      </c>
      <c r="AN35" s="105">
        <f>'B)NSA RCO Nb'!AN35/'B)NSA RCO Nb'!AM35-1</f>
        <v>3.5842797706053808E-4</v>
      </c>
      <c r="AO35" s="105">
        <f>'B)NSA RCO Nb'!AO35/'B)NSA RCO Nb'!AN35-1</f>
        <v>3.2844125643709532E-3</v>
      </c>
      <c r="AP35" s="105">
        <f>'B)NSA RCO Nb'!AP35/'B)NSA RCO Nb'!AO35-1</f>
        <v>-1.8626603130810215E-3</v>
      </c>
      <c r="AQ35" s="105">
        <f>'B)NSA RCO Nb'!AQ35/'B)NSA RCO Nb'!AP35-1</f>
        <v>9.2359715308982793E-3</v>
      </c>
      <c r="AR35" s="105">
        <f>'B)NSA RCO Nb'!AR35/'B)NSA RCO Nb'!AQ35-1</f>
        <v>2.5546202131283557E-3</v>
      </c>
      <c r="AS35" s="105">
        <f>'B)NSA RCO Nb'!AS35/'B)NSA RCO Nb'!AR35-1</f>
        <v>-5.8242531608698744E-4</v>
      </c>
      <c r="AT35" s="105">
        <f>'B)NSA RCO Nb'!AT35/'B)NSA RCO Nb'!AS35-1</f>
        <v>9.9008306725156814E-5</v>
      </c>
      <c r="AU35" s="105">
        <f>'B)NSA RCO Nb'!AU35/'B)NSA RCO Nb'!AT35-1</f>
        <v>4.1101023398482095E-3</v>
      </c>
      <c r="AV35" s="105">
        <f>'B)NSA RCO Nb'!AV35/'B)NSA RCO Nb'!AU35-1</f>
        <v>-3.8178248148057481E-4</v>
      </c>
      <c r="AW35" s="105">
        <f>'B)NSA RCO Nb'!AW35/'B)NSA RCO Nb'!AV35-1</f>
        <v>3.6629530312670688E-4</v>
      </c>
      <c r="AX35" s="105">
        <f>'B)NSA RCO Nb'!AX35/'B)NSA RCO Nb'!AW35-1</f>
        <v>1.4589636737939227E-2</v>
      </c>
      <c r="AY35" s="105">
        <f>'B)NSA RCO Nb'!AY35/'B)NSA RCO Nb'!AX35-1</f>
        <v>0.13536418825110208</v>
      </c>
      <c r="AZ35" s="105">
        <f>'B)NSA RCO Nb'!AZ35/'B)NSA RCO Nb'!AY35-1</f>
        <v>-1.2662278106978508E-4</v>
      </c>
      <c r="BA35" s="105">
        <f>'B)NSA RCO Nb'!BA35/'B)NSA RCO Nb'!AZ35-1</f>
        <v>3.9693954579167023E-2</v>
      </c>
      <c r="BB35" s="396">
        <f>'B)NSA RCO Nb'!BB35/'B)NSA RCO Nb'!BA35-1</f>
        <v>-4.2727063915078967E-3</v>
      </c>
      <c r="BC35" s="455">
        <f>'B)NSA RCO Nb'!BC35/'B)NSA RCO Nb'!BB35-1</f>
        <v>1.0462710629890681E-2</v>
      </c>
      <c r="BD35" s="455">
        <f>'B)NSA RCO Nb'!BD35/'B)NSA RCO Nb'!BC35-1</f>
        <v>1.100378743411623E-3</v>
      </c>
      <c r="BE35" s="455">
        <f>'B)NSA RCO Nb'!BE35/'B)NSA RCO Nb'!BD35-1</f>
        <v>1.6046083569265512E-4</v>
      </c>
      <c r="BF35" s="455">
        <f>'B)NSA RCO Nb'!BF35/'B)NSA RCO Nb'!BE35-1</f>
        <v>4.7386393174919661E-5</v>
      </c>
      <c r="BG35" s="455">
        <f>'B)NSA RCO Nb'!BG35/'B)NSA RCO Nb'!BF35-1</f>
        <v>4.3136118304663018E-2</v>
      </c>
      <c r="BH35" s="455">
        <f>'B)NSA RCO Nb'!BH35/'B)NSA RCO Nb'!BG35-1</f>
        <v>1.6179106954541389E-3</v>
      </c>
      <c r="BI35" s="455">
        <f>'B)NSA RCO Nb'!BI35/'B)NSA RCO Nb'!BH35-1</f>
        <v>-5.309004127257988E-3</v>
      </c>
      <c r="BJ35" s="455">
        <f>'B)NSA RCO Nb'!BJ35/'B)NSA RCO Nb'!BI35-1</f>
        <v>-1.0769992643206994E-3</v>
      </c>
    </row>
    <row r="36" spans="1:62" ht="13" thickBot="1" x14ac:dyDescent="0.3">
      <c r="A36" s="6"/>
      <c r="B36" s="15"/>
      <c r="C36" s="53"/>
      <c r="D36" s="53"/>
      <c r="E36" s="53"/>
      <c r="F36" s="53"/>
      <c r="G36" s="53"/>
      <c r="H36" s="53"/>
      <c r="I36" s="53"/>
      <c r="J36" s="53"/>
      <c r="K36" s="154"/>
      <c r="L36" s="154"/>
      <c r="M36" s="53"/>
      <c r="N36" s="53"/>
      <c r="O36" s="53"/>
      <c r="P36" s="53"/>
      <c r="Q36" s="53"/>
      <c r="R36" s="53"/>
      <c r="S36" s="53"/>
      <c r="T36" s="53"/>
      <c r="U36" s="53"/>
      <c r="V36" s="53"/>
      <c r="W36" s="53"/>
      <c r="X36" s="53"/>
      <c r="Y36" s="53"/>
      <c r="Z36" s="53"/>
      <c r="AA36" s="53"/>
      <c r="AB36" s="53"/>
      <c r="AC36" s="53"/>
      <c r="AD36" s="53"/>
      <c r="AE36" s="53"/>
      <c r="AF36" s="53"/>
      <c r="AG36" s="53"/>
      <c r="AH36" s="53"/>
      <c r="AI36" s="53"/>
      <c r="AJ36" s="53"/>
      <c r="AM36" s="53"/>
      <c r="AN36" s="53"/>
      <c r="AO36" s="53"/>
    </row>
    <row r="37" spans="1:62" x14ac:dyDescent="0.25">
      <c r="A37" s="19"/>
      <c r="B37" s="10"/>
      <c r="C37" s="40"/>
      <c r="D37" s="40"/>
      <c r="E37" s="40"/>
      <c r="F37" s="40"/>
      <c r="G37" s="40"/>
      <c r="H37" s="40"/>
      <c r="I37" s="40"/>
      <c r="J37" s="40"/>
      <c r="K37" s="146"/>
      <c r="L37" s="146"/>
      <c r="M37" s="40"/>
      <c r="N37" s="40"/>
      <c r="O37" s="40"/>
      <c r="P37" s="40"/>
      <c r="Q37" s="40"/>
      <c r="R37" s="40"/>
      <c r="S37" s="40"/>
      <c r="T37" s="40"/>
      <c r="U37" s="40"/>
      <c r="V37" s="40"/>
      <c r="W37" s="40"/>
      <c r="X37" s="40"/>
      <c r="Y37" s="40"/>
      <c r="Z37" s="40"/>
      <c r="AA37" s="40"/>
      <c r="AB37" s="40"/>
      <c r="AC37" s="40"/>
      <c r="AD37" s="40"/>
      <c r="AE37" s="40"/>
      <c r="AF37" s="40"/>
      <c r="AG37" s="40"/>
      <c r="AH37" s="40"/>
      <c r="AI37" s="40"/>
      <c r="AJ37" s="40"/>
      <c r="AM37" s="40"/>
      <c r="AN37" s="40"/>
      <c r="AO37" s="40"/>
    </row>
    <row r="38" spans="1:62" ht="13" x14ac:dyDescent="0.3">
      <c r="A38" s="25" t="s">
        <v>19</v>
      </c>
      <c r="L38" s="14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M38" s="35"/>
      <c r="AN38" s="35"/>
      <c r="AO38" s="35"/>
    </row>
    <row r="39" spans="1:62" ht="13" x14ac:dyDescent="0.3">
      <c r="A39" s="14"/>
      <c r="B39" s="2" t="str">
        <f t="shared" ref="B39:H39" si="72">B8</f>
        <v>4eme T 2009</v>
      </c>
      <c r="C39" s="38" t="str">
        <f t="shared" si="72"/>
        <v>1er T 2010</v>
      </c>
      <c r="D39" s="38" t="str">
        <f t="shared" si="72"/>
        <v>2eme T 2010</v>
      </c>
      <c r="E39" s="38" t="str">
        <f t="shared" si="72"/>
        <v>3eme T 2010</v>
      </c>
      <c r="F39" s="38" t="str">
        <f t="shared" si="72"/>
        <v>4eme T 2010</v>
      </c>
      <c r="G39" s="38" t="str">
        <f t="shared" si="72"/>
        <v>1er T 2011</v>
      </c>
      <c r="H39" s="38" t="str">
        <f t="shared" si="72"/>
        <v>2eme T 2011</v>
      </c>
      <c r="I39" s="38" t="str">
        <f t="shared" ref="I39:N39" si="73">I8</f>
        <v>3eme T 2011</v>
      </c>
      <c r="J39" s="38" t="str">
        <f t="shared" si="73"/>
        <v>4eme T 2011</v>
      </c>
      <c r="K39" s="38" t="str">
        <f t="shared" si="73"/>
        <v>1er T 2012</v>
      </c>
      <c r="L39" s="38" t="str">
        <f t="shared" si="73"/>
        <v>2eme T 2012</v>
      </c>
      <c r="M39" s="38" t="str">
        <f t="shared" si="73"/>
        <v>3eme T 2012</v>
      </c>
      <c r="N39" s="38" t="str">
        <f t="shared" si="73"/>
        <v>4eme T 2012</v>
      </c>
      <c r="O39" s="38" t="str">
        <f t="shared" ref="O39:T39" si="74">O8</f>
        <v>1er T 2013</v>
      </c>
      <c r="P39" s="38" t="str">
        <f t="shared" si="74"/>
        <v>2eme T 2013</v>
      </c>
      <c r="Q39" s="38" t="str">
        <f t="shared" si="74"/>
        <v>3ème T 2013</v>
      </c>
      <c r="R39" s="38" t="str">
        <f t="shared" si="74"/>
        <v>4ème T 2013</v>
      </c>
      <c r="S39" s="38" t="str">
        <f t="shared" si="74"/>
        <v>1er T 2014</v>
      </c>
      <c r="T39" s="38" t="str">
        <f t="shared" si="74"/>
        <v>2eme T 2014</v>
      </c>
      <c r="U39" s="38" t="str">
        <f t="shared" ref="U39:V39" si="75">U8</f>
        <v>3T 2014</v>
      </c>
      <c r="V39" s="38" t="str">
        <f t="shared" si="75"/>
        <v>4ème T 2014</v>
      </c>
      <c r="W39" s="38" t="str">
        <f t="shared" ref="W39:X39" si="76">W8</f>
        <v>1er T 2015</v>
      </c>
      <c r="X39" s="38" t="str">
        <f t="shared" si="76"/>
        <v>2e T 2015</v>
      </c>
      <c r="Y39" s="38" t="str">
        <f t="shared" ref="Y39:Z39" si="77">Y8</f>
        <v>3e T 2015</v>
      </c>
      <c r="Z39" s="38" t="str">
        <f t="shared" si="77"/>
        <v>4e T 2015</v>
      </c>
      <c r="AA39" s="38" t="str">
        <f t="shared" ref="AA39:AB39" si="78">AA8</f>
        <v>1er T 2016</v>
      </c>
      <c r="AB39" s="38" t="str">
        <f t="shared" si="78"/>
        <v>2e T 2016</v>
      </c>
      <c r="AC39" s="38" t="str">
        <f t="shared" ref="AC39:AD39" si="79">AC8</f>
        <v>3e T 2016</v>
      </c>
      <c r="AD39" s="38" t="str">
        <f t="shared" si="79"/>
        <v>4e T 2016</v>
      </c>
      <c r="AE39" s="38" t="str">
        <f t="shared" ref="AE39:AF39" si="80">AE8</f>
        <v>2017 - T1</v>
      </c>
      <c r="AF39" s="38" t="str">
        <f t="shared" si="80"/>
        <v>2017 - T2</v>
      </c>
      <c r="AG39" s="38" t="str">
        <f t="shared" ref="AG39:AH39" si="81">AG8</f>
        <v>2017- T3</v>
      </c>
      <c r="AH39" s="38" t="str">
        <f t="shared" si="81"/>
        <v>2017 - T4</v>
      </c>
      <c r="AI39" s="38" t="str">
        <f t="shared" ref="AI39:AJ39" si="82">AI8</f>
        <v>2018 - T1</v>
      </c>
      <c r="AJ39" s="38" t="str">
        <f t="shared" si="82"/>
        <v>2018 - T2</v>
      </c>
      <c r="AK39" s="38" t="str">
        <f t="shared" ref="AK39:AM39" si="83">AK8</f>
        <v>2018 - T3</v>
      </c>
      <c r="AL39" s="38" t="str">
        <f t="shared" si="83"/>
        <v>2018 - T4</v>
      </c>
      <c r="AM39" s="38" t="str">
        <f t="shared" si="83"/>
        <v>2019 - T1</v>
      </c>
      <c r="AN39" s="38" t="str">
        <f t="shared" ref="AN39:AP39" si="84">AN8</f>
        <v>2019 - T2</v>
      </c>
      <c r="AO39" s="38" t="str">
        <f t="shared" si="84"/>
        <v>2019 - T3</v>
      </c>
      <c r="AP39" s="38" t="str">
        <f t="shared" si="84"/>
        <v>2019 - T4</v>
      </c>
      <c r="AQ39" s="38" t="str">
        <f t="shared" ref="AQ39" si="85">AQ8</f>
        <v>2020 - T1</v>
      </c>
      <c r="AR39" s="38" t="str">
        <f t="shared" ref="AR39" si="86">AR8</f>
        <v>2020 - T2</v>
      </c>
      <c r="AS39" s="38" t="str">
        <f t="shared" ref="AS39:AT39" si="87">AS8</f>
        <v>2020 - T3</v>
      </c>
      <c r="AT39" s="38" t="str">
        <f t="shared" si="87"/>
        <v>2020- T4</v>
      </c>
      <c r="AU39" s="38" t="str">
        <f t="shared" ref="AU39:AV39" si="88">AU8</f>
        <v>2021- T1</v>
      </c>
      <c r="AV39" s="38" t="str">
        <f t="shared" si="88"/>
        <v>2021- T2</v>
      </c>
      <c r="AW39" s="38" t="str">
        <f t="shared" ref="AW39:AX39" si="89">AW8</f>
        <v>2021- T3</v>
      </c>
      <c r="AX39" s="38" t="str">
        <f t="shared" si="89"/>
        <v>2021- T4</v>
      </c>
      <c r="AY39" s="38" t="str">
        <f t="shared" ref="AY39:AZ39" si="90">AY8</f>
        <v>2022- T1</v>
      </c>
      <c r="AZ39" s="38" t="str">
        <f t="shared" si="90"/>
        <v>2022- T2</v>
      </c>
      <c r="BA39" s="38" t="str">
        <f t="shared" ref="BA39:BB39" si="91">BA8</f>
        <v>2022- T3</v>
      </c>
      <c r="BB39" s="38" t="str">
        <f t="shared" si="91"/>
        <v>2022- T4</v>
      </c>
      <c r="BC39" s="38" t="str">
        <f t="shared" ref="BC39:BD39" si="92">BC8</f>
        <v>2023- T1</v>
      </c>
      <c r="BD39" s="38" t="str">
        <f t="shared" si="92"/>
        <v>2023- T2</v>
      </c>
      <c r="BE39" s="38" t="str">
        <f t="shared" ref="BE39:BF39" si="93">BE8</f>
        <v>2023- T3</v>
      </c>
      <c r="BF39" s="38" t="str">
        <f t="shared" si="93"/>
        <v>2023- T4</v>
      </c>
      <c r="BG39" s="38" t="str">
        <f t="shared" ref="BG39:BH39" si="94">BG8</f>
        <v>2024- T1</v>
      </c>
      <c r="BH39" s="38" t="str">
        <f t="shared" si="94"/>
        <v>2024- T2</v>
      </c>
      <c r="BI39" s="38" t="str">
        <f t="shared" ref="BI39:BJ39" si="95">BI8</f>
        <v>2024- T3</v>
      </c>
      <c r="BJ39" s="38" t="str">
        <f t="shared" si="95"/>
        <v>2024- T4</v>
      </c>
    </row>
    <row r="40" spans="1:62" x14ac:dyDescent="0.25">
      <c r="A40" s="8" t="s">
        <v>135</v>
      </c>
      <c r="B40" s="9"/>
      <c r="C40" s="105">
        <f>'B)NSA RCO Nb'!C41/'B)NSA RCO Nb'!B41-1</f>
        <v>3.3814670557441584E-3</v>
      </c>
      <c r="D40" s="105">
        <f>'B)NSA RCO Nb'!D41/'B)NSA RCO Nb'!C41-1</f>
        <v>-3.5498084052073553E-3</v>
      </c>
      <c r="E40" s="105">
        <f>'B)NSA RCO Nb'!E41/'B)NSA RCO Nb'!D41-1</f>
        <v>-4.6221718946896084E-3</v>
      </c>
      <c r="F40" s="105">
        <f>'B)NSA RCO Nb'!F41/'B)NSA RCO Nb'!E41-1</f>
        <v>-4.3038573636233757E-4</v>
      </c>
      <c r="G40" s="105">
        <f>'B)NSA RCO Nb'!G41/'B)NSA RCO Nb'!F41-1</f>
        <v>8.3344454320433137E-4</v>
      </c>
      <c r="H40" s="105">
        <f>'B)NSA RCO Nb'!H41/'B)NSA RCO Nb'!G41-1</f>
        <v>-5.2380257523686469E-3</v>
      </c>
      <c r="I40" s="105">
        <f>'B)NSA RCO Nb'!I41/'B)NSA RCO Nb'!H41-1</f>
        <v>-6.2393145100102521E-3</v>
      </c>
      <c r="J40" s="105">
        <f>'B)NSA RCO Nb'!J41/'B)NSA RCO Nb'!I41-1</f>
        <v>-3.542624749000467E-3</v>
      </c>
      <c r="K40" s="105">
        <f>'B)NSA RCO Nb'!K41/'B)NSA RCO Nb'!J41-1</f>
        <v>-9.7308811172380771E-4</v>
      </c>
      <c r="L40" s="105">
        <f>'B)NSA RCO Nb'!L41/'B)NSA RCO Nb'!K41-1</f>
        <v>-7.3321130188467309E-3</v>
      </c>
      <c r="M40" s="105">
        <f>'B)NSA RCO Nb'!M41/'B)NSA RCO Nb'!L41-1</f>
        <v>-8.3237184770067474E-3</v>
      </c>
      <c r="N40" s="105">
        <f>'B)NSA RCO Nb'!N41/'B)NSA RCO Nb'!M41-1</f>
        <v>-3.9526718191639221E-3</v>
      </c>
      <c r="O40" s="105">
        <f>'B)NSA RCO Nb'!O41/'B)NSA RCO Nb'!N41-1</f>
        <v>3.5981164642517882E-4</v>
      </c>
      <c r="P40" s="105">
        <f>'B)NSA RCO Nb'!P41/'B)NSA RCO Nb'!O41-1</f>
        <v>-5.7184261556746385E-3</v>
      </c>
      <c r="Q40" s="105">
        <f>'B)NSA RCO Nb'!Q41/'B)NSA RCO Nb'!P41-1</f>
        <v>-3.9215891873187747E-3</v>
      </c>
      <c r="R40" s="105">
        <f>'B)NSA RCO Nb'!R41/'B)NSA RCO Nb'!Q41-1</f>
        <v>-2.1185214036454347E-3</v>
      </c>
      <c r="S40" s="105">
        <f>'B)NSA RCO Nb'!S41/'B)NSA RCO Nb'!R41-1</f>
        <v>-1.9410460022627474E-3</v>
      </c>
      <c r="T40" s="105">
        <f>'B)NSA RCO Nb'!T41/'B)NSA RCO Nb'!S41-1</f>
        <v>0.15956516339402982</v>
      </c>
      <c r="U40" s="105">
        <f>'B)NSA RCO Nb'!U41/'B)NSA RCO Nb'!T41-1</f>
        <v>-5.275427446351344E-3</v>
      </c>
      <c r="V40" s="105">
        <f>'B)NSA RCO Nb'!V41/'B)NSA RCO Nb'!U41-1</f>
        <v>-1.6173667619675536E-3</v>
      </c>
      <c r="W40" s="105">
        <f>'B)NSA RCO Nb'!W41/'B)NSA RCO Nb'!V41-1</f>
        <v>-7.7786905182586352E-4</v>
      </c>
      <c r="X40" s="105">
        <f>'B)NSA RCO Nb'!X41/'B)NSA RCO Nb'!W41-1</f>
        <v>-7.6837050798338469E-3</v>
      </c>
      <c r="Y40" s="105">
        <f>'B)NSA RCO Nb'!Y41/'B)NSA RCO Nb'!X41-1</f>
        <v>-6.7157115715273941E-3</v>
      </c>
      <c r="Z40" s="105">
        <f>'B)NSA RCO Nb'!Z41/'B)NSA RCO Nb'!Y41-1</f>
        <v>-1.5446660096594123E-3</v>
      </c>
      <c r="AA40" s="105">
        <f>'B)NSA RCO Nb'!AA41/'B)NSA RCO Nb'!Z41-1</f>
        <v>9.8703553327927906E-4</v>
      </c>
      <c r="AB40" s="105">
        <f>'B)NSA RCO Nb'!AB41/'B)NSA RCO Nb'!AA41-1</f>
        <v>-4.6226039036876276E-3</v>
      </c>
      <c r="AC40" s="105">
        <f>'B)NSA RCO Nb'!AC41/'B)NSA RCO Nb'!AB41-1</f>
        <v>-4.5902069340227891E-3</v>
      </c>
      <c r="AD40" s="105">
        <f>'B)NSA RCO Nb'!AD41/'B)NSA RCO Nb'!AC41-1</f>
        <v>-2.145700599478606E-3</v>
      </c>
      <c r="AE40" s="105">
        <f>'B)NSA RCO Nb'!AE41/'B)NSA RCO Nb'!AD41-1</f>
        <v>-6.3660627552319937E-4</v>
      </c>
      <c r="AF40" s="105">
        <f>'B)NSA RCO Nb'!AF41/'B)NSA RCO Nb'!AE41-1</f>
        <v>-5.7024352725231209E-3</v>
      </c>
      <c r="AG40" s="105">
        <f>'B)NSA RCO Nb'!AG41/'B)NSA RCO Nb'!AF41-1</f>
        <v>-3.9080574320716766E-3</v>
      </c>
      <c r="AH40" s="105">
        <f>'B)NSA RCO Nb'!AH41/'B)NSA RCO Nb'!AG41-1</f>
        <v>5.1930727268389987E-4</v>
      </c>
      <c r="AI40" s="105">
        <f>'B)NSA RCO Nb'!AI41/'B)NSA RCO Nb'!AH41-1</f>
        <v>1.9023447172434871E-3</v>
      </c>
      <c r="AJ40" s="105">
        <f>'B)NSA RCO Nb'!AJ41/'B)NSA RCO Nb'!AI41-1</f>
        <v>-4.3677980641957381E-3</v>
      </c>
      <c r="AK40" s="105">
        <f>'B)NSA RCO Nb'!AK41/'B)NSA RCO Nb'!AJ41-1</f>
        <v>-4.1816936336578348E-3</v>
      </c>
      <c r="AL40" s="105">
        <f>'B)NSA RCO Nb'!AL41/'B)NSA RCO Nb'!AK41-1</f>
        <v>-1.1744487880405163E-4</v>
      </c>
      <c r="AM40" s="105">
        <f>'B)NSA RCO Nb'!AM41/'B)NSA RCO Nb'!AL41-1</f>
        <v>6.3763280021467139E-4</v>
      </c>
      <c r="AN40" s="105">
        <f>'B)NSA RCO Nb'!AN41/'B)NSA RCO Nb'!AM41-1</f>
        <v>-5.6032809977145659E-3</v>
      </c>
      <c r="AO40" s="105">
        <f>'B)NSA RCO Nb'!AO41/'B)NSA RCO Nb'!AN41-1</f>
        <v>-4.2544477770148914E-3</v>
      </c>
      <c r="AP40" s="105">
        <f>'B)NSA RCO Nb'!AP41/'B)NSA RCO Nb'!AO41-1</f>
        <v>1.4709831635331128E-3</v>
      </c>
      <c r="AQ40" s="105">
        <f>'B)NSA RCO Nb'!AQ41/'B)NSA RCO Nb'!AP41-1</f>
        <v>1.7176526862783259E-3</v>
      </c>
      <c r="AR40" s="105">
        <f>'B)NSA RCO Nb'!AR41/'B)NSA RCO Nb'!AQ41-1</f>
        <v>-5.2984700275896524E-3</v>
      </c>
      <c r="AS40" s="105">
        <f>'B)NSA RCO Nb'!AS41/'B)NSA RCO Nb'!AR41-1</f>
        <v>-5.2782027440835266E-3</v>
      </c>
      <c r="AT40" s="105">
        <f>'B)NSA RCO Nb'!AT41/'B)NSA RCO Nb'!AS41-1</f>
        <v>-8.7746237880104161E-5</v>
      </c>
      <c r="AU40" s="105">
        <f>'B)NSA RCO Nb'!AU41/'B)NSA RCO Nb'!AT41-1</f>
        <v>-9.9941984896567693E-4</v>
      </c>
      <c r="AV40" s="105">
        <f>'B)NSA RCO Nb'!AV41/'B)NSA RCO Nb'!AU41-1</f>
        <v>-7.4006656450998909E-3</v>
      </c>
      <c r="AW40" s="105">
        <f>'B)NSA RCO Nb'!AW41/'B)NSA RCO Nb'!AV41-1</f>
        <v>-4.5108715692179224E-3</v>
      </c>
      <c r="AX40" s="105">
        <f>'B)NSA RCO Nb'!AX41/'B)NSA RCO Nb'!AW41-1</f>
        <v>1.4322402212563201E-3</v>
      </c>
      <c r="AY40" s="105">
        <f>'B)NSA RCO Nb'!AY41/'B)NSA RCO Nb'!AX41-1</f>
        <v>2.6557183015238905E-3</v>
      </c>
      <c r="AZ40" s="105">
        <f>'B)NSA RCO Nb'!AZ41/'B)NSA RCO Nb'!AY41-1</f>
        <v>-5.481817041589454E-3</v>
      </c>
      <c r="BA40" s="105">
        <f>'B)NSA RCO Nb'!BA41/'B)NSA RCO Nb'!AZ41-1</f>
        <v>-3.6845801556920632E-3</v>
      </c>
      <c r="BB40" s="105">
        <f>'B)NSA RCO Nb'!BB41/'B)NSA RCO Nb'!BA41-1</f>
        <v>4.3584232237439124E-3</v>
      </c>
      <c r="BC40" s="105">
        <f>'B)NSA RCO Nb'!BC41/'B)NSA RCO Nb'!BB41-1</f>
        <v>8.1056902934362185E-4</v>
      </c>
      <c r="BD40" s="105">
        <f>'B)NSA RCO Nb'!BD41/'B)NSA RCO Nb'!BC41-1</f>
        <v>-3.526082640709971E-3</v>
      </c>
      <c r="BE40" s="105">
        <f>'B)NSA RCO Nb'!BE41/'B)NSA RCO Nb'!BD41-1</f>
        <v>-2.1137196013421011E-3</v>
      </c>
      <c r="BF40" s="105">
        <f>'B)NSA RCO Nb'!BF41/'B)NSA RCO Nb'!BE41-1</f>
        <v>2.8805490922545474E-4</v>
      </c>
      <c r="BG40" s="105">
        <f>'B)NSA RCO Nb'!BG41/'B)NSA RCO Nb'!BF41-1</f>
        <v>1.8147198355580318E-3</v>
      </c>
      <c r="BH40" s="105">
        <f>'B)NSA RCO Nb'!BH41/'B)NSA RCO Nb'!BG41-1</f>
        <v>-5.4565999583692237E-3</v>
      </c>
      <c r="BI40" s="105">
        <f>'B)NSA RCO Nb'!BI41/'B)NSA RCO Nb'!BH41-1</f>
        <v>1.1217253940490224E-2</v>
      </c>
      <c r="BJ40" s="105">
        <f>'B)NSA RCO Nb'!BJ41/'B)NSA RCO Nb'!BI41-1</f>
        <v>1.3946107902464977E-3</v>
      </c>
    </row>
    <row r="41" spans="1:62" ht="13" x14ac:dyDescent="0.25">
      <c r="A41" s="157" t="s">
        <v>137</v>
      </c>
      <c r="B41" s="9"/>
      <c r="C41" s="105"/>
      <c r="D41" s="105"/>
      <c r="E41" s="105"/>
      <c r="F41" s="105"/>
      <c r="G41" s="105"/>
      <c r="H41" s="105"/>
      <c r="I41" s="105"/>
      <c r="J41" s="105"/>
      <c r="K41" s="105"/>
      <c r="L41" s="105">
        <f>'B)NSA RCO Nb'!L42/'B)NSA RCO Nb'!K42-1</f>
        <v>0.278740157480315</v>
      </c>
      <c r="M41" s="105">
        <f>'B)NSA RCO Nb'!M42/'B)NSA RCO Nb'!L42-1</f>
        <v>0.10221674876847286</v>
      </c>
      <c r="N41" s="105">
        <f>'B)NSA RCO Nb'!N42/'B)NSA RCO Nb'!M42-1</f>
        <v>0.14413407821229041</v>
      </c>
      <c r="O41" s="105">
        <f>'B)NSA RCO Nb'!O42/'B)NSA RCO Nb'!N42-1</f>
        <v>0.2626953125</v>
      </c>
      <c r="P41" s="105">
        <f>'B)NSA RCO Nb'!P42/'B)NSA RCO Nb'!O42-1</f>
        <v>0.16937354988399078</v>
      </c>
      <c r="Q41" s="105">
        <f>'B)NSA RCO Nb'!Q42/'B)NSA RCO Nb'!P42-1</f>
        <v>0.13161375661375652</v>
      </c>
      <c r="R41" s="105">
        <f>'B)NSA RCO Nb'!R42/'B)NSA RCO Nb'!Q42-1</f>
        <v>9.1759205143191025E-2</v>
      </c>
      <c r="S41" s="105">
        <f>'B)NSA RCO Nb'!S42/'B)NSA RCO Nb'!R42-1</f>
        <v>9.8501070663811641E-2</v>
      </c>
      <c r="T41" s="105">
        <f>'B)NSA RCO Nb'!T42/'B)NSA RCO Nb'!S42-1</f>
        <v>38.180311890838205</v>
      </c>
      <c r="U41" s="105">
        <f>'B)NSA RCO Nb'!U42/'B)NSA RCO Nb'!T42-1</f>
        <v>-8.9927610139555192E-3</v>
      </c>
      <c r="V41" s="105">
        <f>'B)NSA RCO Nb'!V42/'B)NSA RCO Nb'!U42-1</f>
        <v>-1.0768748038908038E-2</v>
      </c>
      <c r="W41" s="105">
        <f>'B)NSA RCO Nb'!W42/'B)NSA RCO Nb'!V42-1</f>
        <v>-1.0898663993808455E-2</v>
      </c>
      <c r="X41" s="105">
        <f>'B)NSA RCO Nb'!X42/'B)NSA RCO Nb'!W42-1</f>
        <v>-1.743246363426465E-2</v>
      </c>
      <c r="Y41" s="105">
        <f>'B)NSA RCO Nb'!Y42/'B)NSA RCO Nb'!X42-1</f>
        <v>-1.5417955847987552E-2</v>
      </c>
      <c r="Z41" s="105">
        <f>'B)NSA RCO Nb'!Z42/'B)NSA RCO Nb'!Y42-1</f>
        <v>-1.2954467103344025E-2</v>
      </c>
      <c r="AA41" s="105">
        <f>'B)NSA RCO Nb'!AA42/'B)NSA RCO Nb'!Z42-1</f>
        <v>-1.1310971104633194E-2</v>
      </c>
      <c r="AB41" s="105">
        <f>'B)NSA RCO Nb'!AB42/'B)NSA RCO Nb'!AA42-1</f>
        <v>-1.3641489694153464E-2</v>
      </c>
      <c r="AC41" s="105">
        <f>'B)NSA RCO Nb'!AC42/'B)NSA RCO Nb'!AB42-1</f>
        <v>-1.2535298574281928E-2</v>
      </c>
      <c r="AD41" s="105">
        <f>'B)NSA RCO Nb'!AD42/'B)NSA RCO Nb'!AC42-1</f>
        <v>-1.3252423798563173E-2</v>
      </c>
      <c r="AE41" s="105">
        <f>'B)NSA RCO Nb'!AE42/'B)NSA RCO Nb'!AD42-1</f>
        <v>-1.4094861101293543E-2</v>
      </c>
      <c r="AF41" s="105">
        <f>'B)NSA RCO Nb'!AF42/'B)NSA RCO Nb'!AE42-1</f>
        <v>-1.484126301299149E-2</v>
      </c>
      <c r="AG41" s="105">
        <f>'B)NSA RCO Nb'!AG42/'B)NSA RCO Nb'!AF42-1</f>
        <v>-1.2328428161797911E-2</v>
      </c>
      <c r="AH41" s="105">
        <f>'B)NSA RCO Nb'!AH42/'B)NSA RCO Nb'!AG42-1</f>
        <v>-1.1760198066493754E-2</v>
      </c>
      <c r="AI41" s="105">
        <f>'B)NSA RCO Nb'!AI42/'B)NSA RCO Nb'!AH42-1</f>
        <v>-1.008082555399803E-2</v>
      </c>
      <c r="AJ41" s="105">
        <f>'B)NSA RCO Nb'!AJ42/'B)NSA RCO Nb'!AI42-1</f>
        <v>-1.0770992136422519E-2</v>
      </c>
      <c r="AK41" s="105">
        <f>'B)NSA RCO Nb'!AK42/'B)NSA RCO Nb'!AJ42-1</f>
        <v>-1.3629372439733833E-2</v>
      </c>
      <c r="AL41" s="105">
        <f>'B)NSA RCO Nb'!AL42/'B)NSA RCO Nb'!AK42-1</f>
        <v>-1.3987525473970197E-2</v>
      </c>
      <c r="AM41" s="105">
        <f>'B)NSA RCO Nb'!AM42/'B)NSA RCO Nb'!AL42-1</f>
        <v>-1.3183853693671144E-2</v>
      </c>
      <c r="AN41" s="105">
        <f>'B)NSA RCO Nb'!AN42/'B)NSA RCO Nb'!AM42-1</f>
        <v>-1.3264788017263274E-2</v>
      </c>
      <c r="AO41" s="105">
        <f>'B)NSA RCO Nb'!AO42/'B)NSA RCO Nb'!AN42-1</f>
        <v>-1.1014986814176342E-2</v>
      </c>
      <c r="AP41" s="105">
        <f>'B)NSA RCO Nb'!AP42/'B)NSA RCO Nb'!AO42-1</f>
        <v>-1.2064452140545967E-2</v>
      </c>
      <c r="AQ41" s="105">
        <f>'B)NSA RCO Nb'!AQ42/'B)NSA RCO Nb'!AP42-1</f>
        <v>-1.0352035022465067E-2</v>
      </c>
      <c r="AR41" s="105">
        <f>'B)NSA RCO Nb'!AR42/'B)NSA RCO Nb'!AQ42-1</f>
        <v>-1.180735714760861E-2</v>
      </c>
      <c r="AS41" s="105">
        <f>'B)NSA RCO Nb'!AS42/'B)NSA RCO Nb'!AR42-1</f>
        <v>-1.2604759180101621E-2</v>
      </c>
      <c r="AT41" s="105">
        <f>'B)NSA RCO Nb'!AT42/'B)NSA RCO Nb'!AS42-1</f>
        <v>-1.4060982053073823E-2</v>
      </c>
      <c r="AU41" s="105">
        <f>'B)NSA RCO Nb'!AU42/'B)NSA RCO Nb'!AT42-1</f>
        <v>-1.3863919236620115E-2</v>
      </c>
      <c r="AV41" s="105">
        <f>'B)NSA RCO Nb'!AV42/'B)NSA RCO Nb'!AU42-1</f>
        <v>-1.2551274410125157E-2</v>
      </c>
      <c r="AW41" s="105">
        <f>'B)NSA RCO Nb'!AW42/'B)NSA RCO Nb'!AV42-1</f>
        <v>-1.3367654890821923E-2</v>
      </c>
      <c r="AX41" s="105">
        <f>'B)NSA RCO Nb'!AX42/'B)NSA RCO Nb'!AW42-1</f>
        <v>6.2969033952894184</v>
      </c>
      <c r="AY41" s="105">
        <f>'B)NSA RCO Nb'!AY42/'B)NSA RCO Nb'!AX42-1</f>
        <v>-0.86609212408147163</v>
      </c>
      <c r="AZ41" s="105">
        <f>'B)NSA RCO Nb'!AZ42/'B)NSA RCO Nb'!AY42-1</f>
        <v>-1.2429794678206374E-2</v>
      </c>
      <c r="BA41" s="105">
        <f>'B)NSA RCO Nb'!BA42/'B)NSA RCO Nb'!AZ42-1</f>
        <v>-1.0740257318664903E-2</v>
      </c>
      <c r="BB41" s="105">
        <f>'B)NSA RCO Nb'!BB42/'B)NSA RCO Nb'!BA42-1</f>
        <v>-1.0234855053341874E-2</v>
      </c>
      <c r="BC41" s="105">
        <f>'B)NSA RCO Nb'!BC42/'B)NSA RCO Nb'!BB42-1</f>
        <v>-1.2664013254365725E-2</v>
      </c>
      <c r="BD41" s="105">
        <f>'B)NSA RCO Nb'!BD42/'B)NSA RCO Nb'!BC42-1</f>
        <v>-1.3308644832773942E-2</v>
      </c>
      <c r="BE41" s="105">
        <f>'B)NSA RCO Nb'!BE42/'B)NSA RCO Nb'!BD42-1</f>
        <v>-1.0614590663851731E-2</v>
      </c>
      <c r="BF41" s="105">
        <f>'B)NSA RCO Nb'!BF42/'B)NSA RCO Nb'!BE42-1</f>
        <v>-1.4126805366210249E-2</v>
      </c>
      <c r="BG41" s="105">
        <f>'B)NSA RCO Nb'!BG42/'B)NSA RCO Nb'!BF42-1</f>
        <v>-1.1363180889013558E-2</v>
      </c>
      <c r="BH41" s="105">
        <f>'B)NSA RCO Nb'!BH42/'B)NSA RCO Nb'!BG42-1</f>
        <v>-1.1939753907279416E-2</v>
      </c>
      <c r="BI41" s="105">
        <f>'B)NSA RCO Nb'!BI42/'B)NSA RCO Nb'!BH42-1</f>
        <v>6.4051536662426578E-2</v>
      </c>
      <c r="BJ41" s="105">
        <f>'B)NSA RCO Nb'!BJ42/'B)NSA RCO Nb'!BI42-1</f>
        <v>-9.8526916550979449E-3</v>
      </c>
    </row>
    <row r="42" spans="1:62" ht="13" x14ac:dyDescent="0.25">
      <c r="A42" s="157" t="s">
        <v>138</v>
      </c>
      <c r="B42" s="9"/>
      <c r="C42" s="105"/>
      <c r="D42" s="105"/>
      <c r="E42" s="105"/>
      <c r="F42" s="105"/>
      <c r="G42" s="105"/>
      <c r="H42" s="105"/>
      <c r="I42" s="105"/>
      <c r="J42" s="105"/>
      <c r="K42" s="105"/>
      <c r="L42" s="105">
        <f>'B)NSA RCO Nb'!L43/'B)NSA RCO Nb'!K43-1</f>
        <v>0.29032258064516125</v>
      </c>
      <c r="M42" s="105">
        <f>'B)NSA RCO Nb'!M43/'B)NSA RCO Nb'!L43-1</f>
        <v>0.10000000000000009</v>
      </c>
      <c r="N42" s="105">
        <f>'B)NSA RCO Nb'!N43/'B)NSA RCO Nb'!M43-1</f>
        <v>0.18181818181818188</v>
      </c>
      <c r="O42" s="105">
        <f>'B)NSA RCO Nb'!O43/'B)NSA RCO Nb'!N43-1</f>
        <v>3.8461538461538547E-2</v>
      </c>
      <c r="P42" s="105">
        <f>'B)NSA RCO Nb'!P43/'B)NSA RCO Nb'!O43-1</f>
        <v>0.2592592592592593</v>
      </c>
      <c r="Q42" s="105">
        <f>'B)NSA RCO Nb'!Q43/'B)NSA RCO Nb'!P43-1</f>
        <v>0.11764705882352944</v>
      </c>
      <c r="R42" s="105">
        <f>'B)NSA RCO Nb'!R43/'B)NSA RCO Nb'!Q43-1</f>
        <v>6.578947368421062E-2</v>
      </c>
      <c r="S42" s="105">
        <f>'B)NSA RCO Nb'!S43/'B)NSA RCO Nb'!R43-1</f>
        <v>4.9382716049382713E-2</v>
      </c>
      <c r="T42" s="105">
        <f>'B)NSA RCO Nb'!T43/'B)NSA RCO Nb'!S43-1</f>
        <v>77.729411764705887</v>
      </c>
      <c r="U42" s="105">
        <f>'B)NSA RCO Nb'!U43/'B)NSA RCO Nb'!T43-1</f>
        <v>-7.3221757322176062E-3</v>
      </c>
      <c r="V42" s="105">
        <f>'B)NSA RCO Nb'!V43/'B)NSA RCO Nb'!U43-1</f>
        <v>-1.1440614180340258E-2</v>
      </c>
      <c r="W42" s="105">
        <f>'B)NSA RCO Nb'!W43/'B)NSA RCO Nb'!V43-1</f>
        <v>-1.6293589157910793E-2</v>
      </c>
      <c r="X42" s="105">
        <f>'B)NSA RCO Nb'!X43/'B)NSA RCO Nb'!W43-1</f>
        <v>-2.2910216718266208E-2</v>
      </c>
      <c r="Y42" s="105">
        <f>'B)NSA RCO Nb'!Y43/'B)NSA RCO Nb'!X43-1</f>
        <v>-1.4416983523447446E-2</v>
      </c>
      <c r="Z42" s="105">
        <f>'B)NSA RCO Nb'!Z43/'B)NSA RCO Nb'!Y43-1</f>
        <v>-1.3824144028291241E-2</v>
      </c>
      <c r="AA42" s="105">
        <f>'B)NSA RCO Nb'!AA43/'B)NSA RCO Nb'!Z43-1</f>
        <v>-1.9233903830480847E-2</v>
      </c>
      <c r="AB42" s="105">
        <f>'B)NSA RCO Nb'!AB43/'B)NSA RCO Nb'!AA43-1</f>
        <v>-2.1937842778793404E-2</v>
      </c>
      <c r="AC42" s="105">
        <f>'B)NSA RCO Nb'!AC43/'B)NSA RCO Nb'!AB43-1</f>
        <v>-1.6992353440951624E-2</v>
      </c>
      <c r="AD42" s="105">
        <f>'B)NSA RCO Nb'!AD43/'B)NSA RCO Nb'!AC43-1</f>
        <v>-1.3483146067415741E-2</v>
      </c>
      <c r="AE42" s="105">
        <f>'B)NSA RCO Nb'!AE43/'B)NSA RCO Nb'!AD43-1</f>
        <v>-2.1377256001401834E-2</v>
      </c>
      <c r="AF42" s="105">
        <f>'B)NSA RCO Nb'!AF43/'B)NSA RCO Nb'!AE43-1</f>
        <v>-1.9516562220232792E-2</v>
      </c>
      <c r="AG42" s="105">
        <f>'B)NSA RCO Nb'!AG43/'B)NSA RCO Nb'!AF43-1</f>
        <v>-1.3148283418553675E-2</v>
      </c>
      <c r="AH42" s="105">
        <f>'B)NSA RCO Nb'!AH43/'B)NSA RCO Nb'!AG43-1</f>
        <v>-1.905995558845297E-2</v>
      </c>
      <c r="AI42" s="105">
        <f>'B)NSA RCO Nb'!AI43/'B)NSA RCO Nb'!AH43-1</f>
        <v>-1.5657423127711789E-2</v>
      </c>
      <c r="AJ42" s="105">
        <f>'B)NSA RCO Nb'!AJ43/'B)NSA RCO Nb'!AI43-1</f>
        <v>-2.3572249904177833E-2</v>
      </c>
      <c r="AK42" s="105">
        <f>'B)NSA RCO Nb'!AK43/'B)NSA RCO Nb'!AJ43-1</f>
        <v>-1.7271835132482871E-2</v>
      </c>
      <c r="AL42" s="105">
        <f>'B)NSA RCO Nb'!AL43/'B)NSA RCO Nb'!AK43-1</f>
        <v>-1.6576792490513248E-2</v>
      </c>
      <c r="AM42" s="105">
        <f>'B)NSA RCO Nb'!AM43/'B)NSA RCO Nb'!AL43-1</f>
        <v>-2.1730300568643335E-2</v>
      </c>
      <c r="AN42" s="105">
        <f>'B)NSA RCO Nb'!AN43/'B)NSA RCO Nb'!AM43-1</f>
        <v>-2.3043388000830389E-2</v>
      </c>
      <c r="AO42" s="105">
        <f>'B)NSA RCO Nb'!AO43/'B)NSA RCO Nb'!AN43-1</f>
        <v>-1.359966000849977E-2</v>
      </c>
      <c r="AP42" s="105">
        <f>'B)NSA RCO Nb'!AP43/'B)NSA RCO Nb'!AO43-1</f>
        <v>-1.2279190004308438E-2</v>
      </c>
      <c r="AQ42" s="105">
        <f>'B)NSA RCO Nb'!AQ43/'B)NSA RCO Nb'!AP43-1</f>
        <v>-1.7884405670665182E-2</v>
      </c>
      <c r="AR42" s="105">
        <f>'B)NSA RCO Nb'!AR43/'B)NSA RCO Nb'!AQ43-1</f>
        <v>-2.2207417277370634E-2</v>
      </c>
      <c r="AS42" s="105">
        <f>'B)NSA RCO Nb'!AS43/'B)NSA RCO Nb'!AR43-1</f>
        <v>-2.316602316602312E-2</v>
      </c>
      <c r="AT42" s="105">
        <f>'B)NSA RCO Nb'!AT43/'B)NSA RCO Nb'!AS43-1</f>
        <v>-1.674029295512669E-2</v>
      </c>
      <c r="AU42" s="105">
        <f>'B)NSA RCO Nb'!AU43/'B)NSA RCO Nb'!AT43-1</f>
        <v>-2.0572239300070905E-2</v>
      </c>
      <c r="AV42" s="105">
        <f>'B)NSA RCO Nb'!AV43/'B)NSA RCO Nb'!AU43-1</f>
        <v>-2.7040077257363571E-2</v>
      </c>
      <c r="AW42" s="105">
        <f>'B)NSA RCO Nb'!AW43/'B)NSA RCO Nb'!AV43-1</f>
        <v>-1.6873449131513674E-2</v>
      </c>
      <c r="AX42" s="105">
        <f>'B)NSA RCO Nb'!AX43/'B)NSA RCO Nb'!AW43-1</f>
        <v>12.868248359414437</v>
      </c>
      <c r="AY42" s="105">
        <f>'B)NSA RCO Nb'!AY43/'B)NSA RCO Nb'!AX43-1</f>
        <v>-0.93051359516616317</v>
      </c>
      <c r="AZ42" s="105">
        <f>'B)NSA RCO Nb'!AZ43/'B)NSA RCO Nb'!AY43-1</f>
        <v>-2.540597171293868E-2</v>
      </c>
      <c r="BA42" s="105">
        <f>'B)NSA RCO Nb'!BA43/'B)NSA RCO Nb'!AZ43-1</f>
        <v>-1.9887127116366532E-2</v>
      </c>
      <c r="BB42" s="105">
        <f>'B)NSA RCO Nb'!BB43/'B)NSA RCO Nb'!BA43-1</f>
        <v>-1.9742253907321095E-2</v>
      </c>
      <c r="BC42" s="105">
        <f>'B)NSA RCO Nb'!BC43/'B)NSA RCO Nb'!BB43-1</f>
        <v>-2.6853146853146881E-2</v>
      </c>
      <c r="BD42" s="105">
        <f>'B)NSA RCO Nb'!BD43/'B)NSA RCO Nb'!BC43-1</f>
        <v>-1.7246335153779824E-2</v>
      </c>
      <c r="BE42" s="105">
        <f>'B)NSA RCO Nb'!BE43/'B)NSA RCO Nb'!BD43-1</f>
        <v>-2.1351272301842639E-2</v>
      </c>
      <c r="BF42" s="105">
        <f>'B)NSA RCO Nb'!BF43/'B)NSA RCO Nb'!BE43-1</f>
        <v>-1.0161386730424438E-2</v>
      </c>
      <c r="BG42" s="105">
        <f>'B)NSA RCO Nb'!BG43/'B)NSA RCO Nb'!BF43-1</f>
        <v>-2.1135265700483075E-2</v>
      </c>
      <c r="BH42" s="105">
        <f>'B)NSA RCO Nb'!BH43/'B)NSA RCO Nb'!BG43-1</f>
        <v>-2.0974706971005563E-2</v>
      </c>
      <c r="BI42" s="105">
        <f>'B)NSA RCO Nb'!BI43/'B)NSA RCO Nb'!BH43-1</f>
        <v>0.31884057971014501</v>
      </c>
      <c r="BJ42" s="105">
        <f>'B)NSA RCO Nb'!BJ43/'B)NSA RCO Nb'!BI43-1</f>
        <v>4.53893932154803E-3</v>
      </c>
    </row>
    <row r="43" spans="1:62" x14ac:dyDescent="0.25">
      <c r="A43" s="8" t="s">
        <v>136</v>
      </c>
      <c r="B43" s="9"/>
      <c r="C43" s="105">
        <f>'B)NSA RCO Nb'!C44/'B)NSA RCO Nb'!B44-1</f>
        <v>7.0528092901434025E-3</v>
      </c>
      <c r="D43" s="105">
        <f>'B)NSA RCO Nb'!D44/'B)NSA RCO Nb'!C44-1</f>
        <v>0.65830539278663869</v>
      </c>
      <c r="E43" s="105">
        <f>'B)NSA RCO Nb'!E44/'B)NSA RCO Nb'!D44-1</f>
        <v>1.7592093950473897E-2</v>
      </c>
      <c r="F43" s="105">
        <f>'B)NSA RCO Nb'!F44/'B)NSA RCO Nb'!E44-1</f>
        <v>1.3713383779768717E-2</v>
      </c>
      <c r="G43" s="105">
        <f>'B)NSA RCO Nb'!G44/'B)NSA RCO Nb'!F44-1</f>
        <v>2.0159000567859131E-2</v>
      </c>
      <c r="H43" s="105">
        <f>'B)NSA RCO Nb'!H44/'B)NSA RCO Nb'!G44-1</f>
        <v>1.2892452169541047E-2</v>
      </c>
      <c r="I43" s="105">
        <f>'B)NSA RCO Nb'!I44/'B)NSA RCO Nb'!H44-1</f>
        <v>1.372995683351208E-2</v>
      </c>
      <c r="J43" s="105">
        <f>'B)NSA RCO Nb'!J44/'B)NSA RCO Nb'!I44-1</f>
        <v>1.26433967543369E-2</v>
      </c>
      <c r="K43" s="105">
        <f>'B)NSA RCO Nb'!K44/'B)NSA RCO Nb'!J44-1</f>
        <v>1.5101801163935225E-2</v>
      </c>
      <c r="L43" s="105">
        <f>'B)NSA RCO Nb'!L44/'B)NSA RCO Nb'!K44-1</f>
        <v>8.1403162559647857E-3</v>
      </c>
      <c r="M43" s="105">
        <f>'B)NSA RCO Nb'!M44/'B)NSA RCO Nb'!L44-1</f>
        <v>1.0707053661829224E-2</v>
      </c>
      <c r="N43" s="105">
        <f>'B)NSA RCO Nb'!N44/'B)NSA RCO Nb'!M44-1</f>
        <v>1.0518495020410912E-2</v>
      </c>
      <c r="O43" s="105">
        <f>'B)NSA RCO Nb'!O44/'B)NSA RCO Nb'!N44-1</f>
        <v>8.0215449941758443E-3</v>
      </c>
      <c r="P43" s="105">
        <f>'B)NSA RCO Nb'!P44/'B)NSA RCO Nb'!O44-1</f>
        <v>4.8680544173085316E-3</v>
      </c>
      <c r="Q43" s="105">
        <f>'B)NSA RCO Nb'!Q44/'B)NSA RCO Nb'!P44-1</f>
        <v>9.0364884923417321E-3</v>
      </c>
      <c r="R43" s="105">
        <f>'B)NSA RCO Nb'!R44/'B)NSA RCO Nb'!Q44-1</f>
        <v>1.0361940479461929E-2</v>
      </c>
      <c r="S43" s="105">
        <f>'B)NSA RCO Nb'!S44/'B)NSA RCO Nb'!R44-1</f>
        <v>8.9517135451666618E-3</v>
      </c>
      <c r="T43" s="105">
        <f>'B)NSA RCO Nb'!T44/'B)NSA RCO Nb'!S44-1</f>
        <v>0.61798403146135117</v>
      </c>
      <c r="U43" s="105">
        <f>'B)NSA RCO Nb'!U44/'B)NSA RCO Nb'!T44-1</f>
        <v>2.1659765270869435E-3</v>
      </c>
      <c r="V43" s="105">
        <f>'B)NSA RCO Nb'!V44/'B)NSA RCO Nb'!U44-1</f>
        <v>1.4155994660329574E-2</v>
      </c>
      <c r="W43" s="105">
        <f>'B)NSA RCO Nb'!W44/'B)NSA RCO Nb'!V44-1</f>
        <v>-2.738642828902349E-3</v>
      </c>
      <c r="X43" s="105">
        <f>'B)NSA RCO Nb'!X44/'B)NSA RCO Nb'!W44-1</f>
        <v>-5.9274587350242047E-3</v>
      </c>
      <c r="Y43" s="105">
        <f>'B)NSA RCO Nb'!Y44/'B)NSA RCO Nb'!X44-1</f>
        <v>-1.4444963231002861E-3</v>
      </c>
      <c r="Z43" s="105">
        <f>'B)NSA RCO Nb'!Z44/'B)NSA RCO Nb'!Y44-1</f>
        <v>3.019808972728466E-4</v>
      </c>
      <c r="AA43" s="105">
        <f>'B)NSA RCO Nb'!AA44/'B)NSA RCO Nb'!Z44-1</f>
        <v>-3.4425167865298478E-3</v>
      </c>
      <c r="AB43" s="105">
        <f>'B)NSA RCO Nb'!AB44/'B)NSA RCO Nb'!AA44-1</f>
        <v>-6.5032785123078085E-3</v>
      </c>
      <c r="AC43" s="105">
        <f>'B)NSA RCO Nb'!AC44/'B)NSA RCO Nb'!AB44-1</f>
        <v>-3.2852189736150006E-3</v>
      </c>
      <c r="AD43" s="105">
        <f>'B)NSA RCO Nb'!AD44/'B)NSA RCO Nb'!AC44-1</f>
        <v>-7.8947238573623402E-4</v>
      </c>
      <c r="AE43" s="105">
        <f>'B)NSA RCO Nb'!AE44/'B)NSA RCO Nb'!AD44-1</f>
        <v>-5.1010582350239364E-3</v>
      </c>
      <c r="AF43" s="105">
        <f>'B)NSA RCO Nb'!AF44/'B)NSA RCO Nb'!AE44-1</f>
        <v>-1.0343766441327396E-2</v>
      </c>
      <c r="AG43" s="105">
        <f>'B)NSA RCO Nb'!AG44/'B)NSA RCO Nb'!AF44-1</f>
        <v>-5.1256331812026268E-3</v>
      </c>
      <c r="AH43" s="105">
        <f>'B)NSA RCO Nb'!AH44/'B)NSA RCO Nb'!AG44-1</f>
        <v>-3.8262219712856815E-3</v>
      </c>
      <c r="AI43" s="105">
        <f>'B)NSA RCO Nb'!AI44/'B)NSA RCO Nb'!AH44-1</f>
        <v>-7.5907473849875506E-3</v>
      </c>
      <c r="AJ43" s="105">
        <f>'B)NSA RCO Nb'!AJ44/'B)NSA RCO Nb'!AI44-1</f>
        <v>-1.1432417686082719E-2</v>
      </c>
      <c r="AK43" s="105">
        <f>'B)NSA RCO Nb'!AK44/'B)NSA RCO Nb'!AJ44-1</f>
        <v>-2.8008892694476595E-3</v>
      </c>
      <c r="AL43" s="105">
        <f>'B)NSA RCO Nb'!AL44/'B)NSA RCO Nb'!AK44-1</f>
        <v>2.5863317539465136E-4</v>
      </c>
      <c r="AM43" s="105">
        <f>'B)NSA RCO Nb'!AM44/'B)NSA RCO Nb'!AL44-1</f>
        <v>-4.9696443161955095E-3</v>
      </c>
      <c r="AN43" s="105">
        <f>'B)NSA RCO Nb'!AN44/'B)NSA RCO Nb'!AM44-1</f>
        <v>-9.562763430745358E-3</v>
      </c>
      <c r="AO43" s="105">
        <f>'B)NSA RCO Nb'!AO44/'B)NSA RCO Nb'!AN44-1</f>
        <v>-5.3837637020983653E-3</v>
      </c>
      <c r="AP43" s="105">
        <f>'B)NSA RCO Nb'!AP44/'B)NSA RCO Nb'!AO44-1</f>
        <v>-2.7381071713084015E-3</v>
      </c>
      <c r="AQ43" s="105">
        <f>'B)NSA RCO Nb'!AQ44/'B)NSA RCO Nb'!AP44-1</f>
        <v>-4.7453287343673933E-3</v>
      </c>
      <c r="AR43" s="105">
        <f>'B)NSA RCO Nb'!AR44/'B)NSA RCO Nb'!AQ44-1</f>
        <v>-1.0721252744098519E-2</v>
      </c>
      <c r="AS43" s="105">
        <f>'B)NSA RCO Nb'!AS44/'B)NSA RCO Nb'!AR44-1</f>
        <v>-8.1347991016258447E-3</v>
      </c>
      <c r="AT43" s="105">
        <f>'B)NSA RCO Nb'!AT44/'B)NSA RCO Nb'!AS44-1</f>
        <v>7.2806067172264122E-3</v>
      </c>
      <c r="AU43" s="105">
        <f>'B)NSA RCO Nb'!AU44/'B)NSA RCO Nb'!AT44-1</f>
        <v>-1.029879963860092E-2</v>
      </c>
      <c r="AV43" s="105">
        <f>'B)NSA RCO Nb'!AV44/'B)NSA RCO Nb'!AU44-1</f>
        <v>-1.1818789429926757E-2</v>
      </c>
      <c r="AW43" s="105">
        <f>'B)NSA RCO Nb'!AW44/'B)NSA RCO Nb'!AV44-1</f>
        <v>-6.0213138011812051E-3</v>
      </c>
      <c r="AX43" s="105">
        <f>'B)NSA RCO Nb'!AX44/'B)NSA RCO Nb'!AW44-1</f>
        <v>-0.97836345631476163</v>
      </c>
      <c r="AY43" s="105">
        <f>'B)NSA RCO Nb'!AY44/'B)NSA RCO Nb'!AX44-1</f>
        <v>44.665302991562257</v>
      </c>
      <c r="AZ43" s="105">
        <f>'B)NSA RCO Nb'!AZ44/'B)NSA RCO Nb'!AY44-1</f>
        <v>-1.1870300173015269E-2</v>
      </c>
      <c r="BA43" s="105">
        <f>'B)NSA RCO Nb'!BA44/'B)NSA RCO Nb'!AZ44-1</f>
        <v>-7.8650475699383326E-3</v>
      </c>
      <c r="BB43" s="105">
        <f>'B)NSA RCO Nb'!BB44/'B)NSA RCO Nb'!BA44-1</f>
        <v>-3.129836825842891E-3</v>
      </c>
      <c r="BC43" s="105">
        <f>'B)NSA RCO Nb'!BC44/'B)NSA RCO Nb'!BB44-1</f>
        <v>-1.43060942701142E-2</v>
      </c>
      <c r="BD43" s="105">
        <f>'B)NSA RCO Nb'!BD44/'B)NSA RCO Nb'!BC44-1</f>
        <v>-8.1955778754272401E-3</v>
      </c>
      <c r="BE43" s="105">
        <f>'B)NSA RCO Nb'!BE44/'B)NSA RCO Nb'!BD44-1</f>
        <v>-6.1359400822813548E-3</v>
      </c>
      <c r="BF43" s="105">
        <f>'B)NSA RCO Nb'!BF44/'B)NSA RCO Nb'!BE44-1</f>
        <v>-1.0437120769870578E-3</v>
      </c>
      <c r="BG43" s="105">
        <f>'B)NSA RCO Nb'!BG44/'B)NSA RCO Nb'!BF44-1</f>
        <v>-8.5000885425889905E-3</v>
      </c>
      <c r="BH43" s="105">
        <f>'B)NSA RCO Nb'!BH44/'B)NSA RCO Nb'!BG44-1</f>
        <v>-1.2859439185568866E-2</v>
      </c>
      <c r="BI43" s="105">
        <f>'B)NSA RCO Nb'!BI44/'B)NSA RCO Nb'!BH44-1</f>
        <v>2.2073457571919697E-2</v>
      </c>
      <c r="BJ43" s="105">
        <f>'B)NSA RCO Nb'!BJ44/'B)NSA RCO Nb'!BI44-1</f>
        <v>-1.7112173246002227E-3</v>
      </c>
    </row>
    <row r="44" spans="1:62" x14ac:dyDescent="0.25">
      <c r="A44" s="8" t="s">
        <v>4</v>
      </c>
      <c r="B44" s="9"/>
      <c r="C44" s="105">
        <f>'B)NSA RCO Nb'!C45/'B)NSA RCO Nb'!B45-1</f>
        <v>0.1387434554973821</v>
      </c>
      <c r="D44" s="105">
        <f>'B)NSA RCO Nb'!D45/'B)NSA RCO Nb'!C45-1</f>
        <v>0.71034482758620698</v>
      </c>
      <c r="E44" s="105">
        <f>'B)NSA RCO Nb'!E45/'B)NSA RCO Nb'!D45-1</f>
        <v>0.31586021505376349</v>
      </c>
      <c r="F44" s="105">
        <f>'B)NSA RCO Nb'!F45/'B)NSA RCO Nb'!E45-1</f>
        <v>-0.20633299284984674</v>
      </c>
      <c r="G44" s="105">
        <f>'B)NSA RCO Nb'!G45/'B)NSA RCO Nb'!F45-1</f>
        <v>1.2380952380952381</v>
      </c>
      <c r="H44" s="105">
        <f>'B)NSA RCO Nb'!H45/'B)NSA RCO Nb'!G45-1</f>
        <v>-0.538240368027602</v>
      </c>
      <c r="I44" s="105">
        <f>'B)NSA RCO Nb'!I45/'B)NSA RCO Nb'!H45-1</f>
        <v>-6.2266500622665255E-3</v>
      </c>
      <c r="J44" s="105">
        <f>'B)NSA RCO Nb'!J45/'B)NSA RCO Nb'!I45-1</f>
        <v>-1.2531328320801727E-3</v>
      </c>
      <c r="K44" s="162">
        <f>'B)NSA RCO Nb'!K45/'B)NSA RCO Nb'!J45-1</f>
        <v>1.6148055207026348</v>
      </c>
      <c r="L44" s="105">
        <f>'B)NSA RCO Nb'!L45/'B)NSA RCO Nb'!K45-1</f>
        <v>-0.51439539347408836</v>
      </c>
      <c r="M44" s="105">
        <f>'B)NSA RCO Nb'!M45/'B)NSA RCO Nb'!L45-1</f>
        <v>-0.10869565217391308</v>
      </c>
      <c r="N44" s="105">
        <f>'B)NSA RCO Nb'!N45/'B)NSA RCO Nb'!M45-1</f>
        <v>-1.4412416851441234E-2</v>
      </c>
      <c r="O44" s="105">
        <f>'B)NSA RCO Nb'!O45/'B)NSA RCO Nb'!N45-1</f>
        <v>1.2845894263217099</v>
      </c>
      <c r="P44" s="105">
        <f>'B)NSA RCO Nb'!P45/'B)NSA RCO Nb'!O45-1</f>
        <v>-0.52289512555391426</v>
      </c>
      <c r="Q44" s="105">
        <f>'B)NSA RCO Nb'!Q45/'B)NSA RCO Nb'!P45-1</f>
        <v>-6.1919504643962453E-3</v>
      </c>
      <c r="R44" s="105">
        <f>'B)NSA RCO Nb'!R45/'B)NSA RCO Nb'!Q45-1</f>
        <v>0.59086188992731059</v>
      </c>
      <c r="S44" s="105">
        <f>'B)NSA RCO Nb'!S45/'B)NSA RCO Nb'!R45-1</f>
        <v>-0.12728459530026115</v>
      </c>
      <c r="T44" s="105">
        <f>'B)NSA RCO Nb'!T45/'B)NSA RCO Nb'!S45-1</f>
        <v>-0.16080777860882578</v>
      </c>
      <c r="U44" s="105">
        <f>'B)NSA RCO Nb'!U45/'B)NSA RCO Nb'!T45-1</f>
        <v>0.11942959001782527</v>
      </c>
      <c r="V44" s="105">
        <f>'B)NSA RCO Nb'!V45/'B)NSA RCO Nb'!U45-1</f>
        <v>9.4745222929936368E-2</v>
      </c>
      <c r="W44" s="105">
        <f>'B)NSA RCO Nb'!W45/'B)NSA RCO Nb'!V45-1</f>
        <v>1.6000000000000014E-2</v>
      </c>
      <c r="X44" s="105">
        <f>'B)NSA RCO Nb'!X45/'B)NSA RCO Nb'!W45-1</f>
        <v>-4.0085898353614868E-2</v>
      </c>
      <c r="Y44" s="105">
        <f>'B)NSA RCO Nb'!Y45/'B)NSA RCO Nb'!X45-1</f>
        <v>-3.2811334824757621E-2</v>
      </c>
      <c r="Z44" s="105">
        <f>'B)NSA RCO Nb'!Z45/'B)NSA RCO Nb'!Y45-1</f>
        <v>1.9275250578257408E-2</v>
      </c>
      <c r="AA44" s="105">
        <f>'B)NSA RCO Nb'!AA45/'B)NSA RCO Nb'!Z45-1</f>
        <v>3.9334341906202663E-2</v>
      </c>
      <c r="AB44" s="105">
        <f>'B)NSA RCO Nb'!AB45/'B)NSA RCO Nb'!AA45-1</f>
        <v>-2.9112081513827937E-3</v>
      </c>
      <c r="AC44" s="105">
        <f>'B)NSA RCO Nb'!AC45/'B)NSA RCO Nb'!AB45-1</f>
        <v>2.6277372262773824E-2</v>
      </c>
      <c r="AD44" s="105">
        <f>'B)NSA RCO Nb'!AD45/'B)NSA RCO Nb'!AC45-1</f>
        <v>4.2674253200569057E-2</v>
      </c>
      <c r="AE44" s="105">
        <f>'B)NSA RCO Nb'!AE45/'B)NSA RCO Nb'!AD45-1</f>
        <v>3.6834924965893689E-2</v>
      </c>
      <c r="AF44" s="105">
        <f>'B)NSA RCO Nb'!AF45/'B)NSA RCO Nb'!AE45-1</f>
        <v>-6.5789473684207955E-4</v>
      </c>
      <c r="AG44" s="105">
        <f>'B)NSA RCO Nb'!AG45/'B)NSA RCO Nb'!AF45-1</f>
        <v>4.6082949308756671E-3</v>
      </c>
      <c r="AH44" s="105">
        <f>'B)NSA RCO Nb'!AH45/'B)NSA RCO Nb'!AG45-1</f>
        <v>2.2280471821756187E-2</v>
      </c>
      <c r="AI44" s="105">
        <f>'B)NSA RCO Nb'!AI45/'B)NSA RCO Nb'!AH45-1</f>
        <v>9.5512820512820618E-2</v>
      </c>
      <c r="AJ44" s="105">
        <f>'B)NSA RCO Nb'!AJ45/'B)NSA RCO Nb'!AI45-1</f>
        <v>-5.0906963136337025E-2</v>
      </c>
      <c r="AK44" s="105">
        <f>'B)NSA RCO Nb'!AK45/'B)NSA RCO Nb'!AJ45-1</f>
        <v>4.6239210850801404E-2</v>
      </c>
      <c r="AL44" s="105">
        <f>'B)NSA RCO Nb'!AL45/'B)NSA RCO Nb'!AK45-1</f>
        <v>7.6605774896876255E-3</v>
      </c>
      <c r="AM44" s="105">
        <f>'B)NSA RCO Nb'!AM45/'B)NSA RCO Nb'!AL45-1</f>
        <v>-8.1871345029239651E-3</v>
      </c>
      <c r="AN44" s="105">
        <f>'B)NSA RCO Nb'!AN45/'B)NSA RCO Nb'!AM45-1</f>
        <v>1.7099056603773644E-2</v>
      </c>
      <c r="AO44" s="105">
        <f>'B)NSA RCO Nb'!AO45/'B)NSA RCO Nb'!AN45-1</f>
        <v>0.16695652173913045</v>
      </c>
      <c r="AP44" s="105">
        <f>'B)NSA RCO Nb'!AP45/'B)NSA RCO Nb'!AO45-1</f>
        <v>2.2354694485841931E-2</v>
      </c>
      <c r="AQ44" s="105">
        <f>'B)NSA RCO Nb'!AQ45/'B)NSA RCO Nb'!AP45-1</f>
        <v>-7.8231292517006779E-2</v>
      </c>
      <c r="AR44" s="105">
        <f>'B)NSA RCO Nb'!AR45/'B)NSA RCO Nb'!AQ45-1</f>
        <v>1.581444385872377E-3</v>
      </c>
      <c r="AS44" s="105">
        <f>'B)NSA RCO Nb'!AS45/'B)NSA RCO Nb'!AR45-1</f>
        <v>2.7894736842105194E-2</v>
      </c>
      <c r="AT44" s="105">
        <f>'B)NSA RCO Nb'!AT45/'B)NSA RCO Nb'!AS45-1</f>
        <v>-0.91193036354326673</v>
      </c>
      <c r="AU44" s="105">
        <f>'B)NSA RCO Nb'!AU45/'B)NSA RCO Nb'!AT45-1</f>
        <v>2.3139534883720931</v>
      </c>
      <c r="AV44" s="105">
        <f>'B)NSA RCO Nb'!AV45/'B)NSA RCO Nb'!AU45-1</f>
        <v>-0.66666666666666674</v>
      </c>
      <c r="AW44" s="105">
        <f>'B)NSA RCO Nb'!AW45/'B)NSA RCO Nb'!AV45-1</f>
        <v>-0.15789473684210531</v>
      </c>
      <c r="AX44" s="105">
        <f>'B)NSA RCO Nb'!AX45/'B)NSA RCO Nb'!AW45-1</f>
        <v>-1408.7625</v>
      </c>
      <c r="AY44" s="105">
        <f>'B)NSA RCO Nb'!AY45/'B)NSA RCO Nb'!AX45-1</f>
        <v>-1.0008612958506851</v>
      </c>
      <c r="AZ44" s="105">
        <f>'B)NSA RCO Nb'!AZ45/'B)NSA RCO Nb'!AY45-1</f>
        <v>-0.11855670103092786</v>
      </c>
      <c r="BA44" s="105">
        <f>'B)NSA RCO Nb'!BA45/'B)NSA RCO Nb'!AZ45-1</f>
        <v>5.8479532163742132E-3</v>
      </c>
      <c r="BB44" s="105">
        <f>'B)NSA RCO Nb'!BB45/'B)NSA RCO Nb'!BA45-1</f>
        <v>4.0697674418604723E-2</v>
      </c>
      <c r="BC44" s="105">
        <f>'B)NSA RCO Nb'!BC45/'B)NSA RCO Nb'!BB45-1</f>
        <v>0.1117318435754191</v>
      </c>
      <c r="BD44" s="105">
        <f>'B)NSA RCO Nb'!BD45/'B)NSA RCO Nb'!BC45-1</f>
        <v>-0.11055276381909551</v>
      </c>
      <c r="BE44" s="105">
        <f>'B)NSA RCO Nb'!BE45/'B)NSA RCO Nb'!BD45-1</f>
        <v>-7.9096045197740161E-2</v>
      </c>
      <c r="BF44" s="105">
        <f>'B)NSA RCO Nb'!BF45/'B)NSA RCO Nb'!BE45-1</f>
        <v>0.19631901840490795</v>
      </c>
      <c r="BG44" s="105">
        <f>'B)NSA RCO Nb'!BG45/'B)NSA RCO Nb'!BF45-1</f>
        <v>1.9179487179487178</v>
      </c>
      <c r="BH44" s="105">
        <f>'B)NSA RCO Nb'!BH45/'B)NSA RCO Nb'!BG45-1</f>
        <v>-0.58347978910369069</v>
      </c>
      <c r="BI44" s="105">
        <f>'B)NSA RCO Nb'!BI45/'B)NSA RCO Nb'!BH45-1</f>
        <v>-8.4388185654008518E-3</v>
      </c>
      <c r="BJ44" s="105">
        <f>'B)NSA RCO Nb'!BJ45/'B)NSA RCO Nb'!BI45-1</f>
        <v>0.18297872340425525</v>
      </c>
    </row>
    <row r="45" spans="1:62" x14ac:dyDescent="0.25">
      <c r="A45" s="12"/>
      <c r="B45" s="13"/>
      <c r="C45" s="47"/>
      <c r="D45" s="47"/>
      <c r="E45" s="47"/>
      <c r="F45" s="47"/>
      <c r="G45" s="47"/>
      <c r="H45" s="47"/>
      <c r="I45" s="47"/>
      <c r="J45" s="47"/>
      <c r="K45" s="150"/>
      <c r="L45" s="150"/>
      <c r="M45" s="47"/>
      <c r="N45" s="47"/>
      <c r="O45" s="47"/>
      <c r="P45" s="47"/>
      <c r="Q45" s="47"/>
      <c r="R45" s="47"/>
      <c r="S45" s="47"/>
      <c r="T45" s="47"/>
      <c r="U45" s="47"/>
      <c r="V45" s="47"/>
      <c r="W45" s="47"/>
      <c r="X45" s="47"/>
      <c r="Y45" s="47"/>
      <c r="Z45" s="47"/>
      <c r="AA45" s="47"/>
      <c r="AB45" s="47"/>
      <c r="AC45" s="47"/>
      <c r="AD45" s="47"/>
      <c r="AE45" s="47"/>
      <c r="AF45" s="47"/>
      <c r="AG45" s="47"/>
      <c r="AH45" s="47"/>
      <c r="AI45" s="47"/>
      <c r="AJ45" s="47"/>
      <c r="AM45" s="47"/>
      <c r="AN45" s="47"/>
      <c r="AO45" s="47"/>
    </row>
    <row r="46" spans="1:62" ht="13" x14ac:dyDescent="0.3">
      <c r="A46" s="25" t="s">
        <v>43</v>
      </c>
      <c r="C46" s="54"/>
      <c r="D46" s="54"/>
      <c r="E46" s="54"/>
      <c r="F46" s="54"/>
      <c r="G46" s="54"/>
      <c r="H46" s="54"/>
      <c r="I46" s="54"/>
      <c r="J46" s="54"/>
      <c r="K46" s="153"/>
      <c r="L46" s="153"/>
      <c r="M46" s="54"/>
      <c r="N46" s="54"/>
      <c r="O46" s="54"/>
      <c r="P46" s="54"/>
      <c r="Q46" s="54"/>
      <c r="R46" s="54"/>
      <c r="S46" s="54"/>
      <c r="T46" s="54"/>
      <c r="U46" s="54"/>
      <c r="V46" s="54"/>
      <c r="W46" s="54"/>
      <c r="X46" s="54"/>
      <c r="Y46" s="54"/>
      <c r="Z46" s="54"/>
      <c r="AA46" s="54"/>
      <c r="AB46" s="54"/>
      <c r="AC46" s="54"/>
      <c r="AD46" s="54"/>
      <c r="AE46" s="54"/>
      <c r="AF46" s="54"/>
      <c r="AG46" s="54"/>
      <c r="AH46" s="54"/>
      <c r="AI46" s="54"/>
      <c r="AJ46" s="54"/>
      <c r="AM46" s="54"/>
      <c r="AN46" s="54"/>
      <c r="AO46" s="54"/>
    </row>
    <row r="47" spans="1:62" x14ac:dyDescent="0.25">
      <c r="A47" s="17" t="s">
        <v>7</v>
      </c>
      <c r="L47" s="14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M47" s="35"/>
      <c r="AN47" s="35"/>
      <c r="AO47" s="35"/>
    </row>
    <row r="48" spans="1:62" x14ac:dyDescent="0.25">
      <c r="B48" s="2" t="str">
        <f t="shared" ref="B48:H48" si="96">B8</f>
        <v>4eme T 2009</v>
      </c>
      <c r="C48" s="38" t="str">
        <f t="shared" si="96"/>
        <v>1er T 2010</v>
      </c>
      <c r="D48" s="38" t="str">
        <f t="shared" si="96"/>
        <v>2eme T 2010</v>
      </c>
      <c r="E48" s="38" t="str">
        <f t="shared" si="96"/>
        <v>3eme T 2010</v>
      </c>
      <c r="F48" s="38" t="str">
        <f t="shared" si="96"/>
        <v>4eme T 2010</v>
      </c>
      <c r="G48" s="38" t="str">
        <f t="shared" si="96"/>
        <v>1er T 2011</v>
      </c>
      <c r="H48" s="38" t="str">
        <f t="shared" si="96"/>
        <v>2eme T 2011</v>
      </c>
      <c r="I48" s="38" t="str">
        <f t="shared" ref="I48:N48" si="97">I8</f>
        <v>3eme T 2011</v>
      </c>
      <c r="J48" s="38" t="str">
        <f t="shared" si="97"/>
        <v>4eme T 2011</v>
      </c>
      <c r="K48" s="38" t="str">
        <f t="shared" si="97"/>
        <v>1er T 2012</v>
      </c>
      <c r="L48" s="38" t="str">
        <f t="shared" si="97"/>
        <v>2eme T 2012</v>
      </c>
      <c r="M48" s="38" t="str">
        <f t="shared" si="97"/>
        <v>3eme T 2012</v>
      </c>
      <c r="N48" s="38" t="str">
        <f t="shared" si="97"/>
        <v>4eme T 2012</v>
      </c>
      <c r="O48" s="38" t="str">
        <f t="shared" ref="O48:T48" si="98">O8</f>
        <v>1er T 2013</v>
      </c>
      <c r="P48" s="38" t="str">
        <f t="shared" si="98"/>
        <v>2eme T 2013</v>
      </c>
      <c r="Q48" s="38" t="str">
        <f t="shared" si="98"/>
        <v>3ème T 2013</v>
      </c>
      <c r="R48" s="38" t="str">
        <f t="shared" si="98"/>
        <v>4ème T 2013</v>
      </c>
      <c r="S48" s="38" t="str">
        <f t="shared" si="98"/>
        <v>1er T 2014</v>
      </c>
      <c r="T48" s="38" t="str">
        <f t="shared" si="98"/>
        <v>2eme T 2014</v>
      </c>
      <c r="U48" s="38" t="str">
        <f t="shared" ref="U48:V48" si="99">U8</f>
        <v>3T 2014</v>
      </c>
      <c r="V48" s="38" t="str">
        <f t="shared" si="99"/>
        <v>4ème T 2014</v>
      </c>
      <c r="W48" s="38" t="str">
        <f t="shared" ref="W48:X48" si="100">W8</f>
        <v>1er T 2015</v>
      </c>
      <c r="X48" s="38" t="str">
        <f t="shared" si="100"/>
        <v>2e T 2015</v>
      </c>
      <c r="Y48" s="38" t="str">
        <f t="shared" ref="Y48:Z48" si="101">Y8</f>
        <v>3e T 2015</v>
      </c>
      <c r="Z48" s="38" t="str">
        <f t="shared" si="101"/>
        <v>4e T 2015</v>
      </c>
      <c r="AA48" s="38" t="str">
        <f t="shared" ref="AA48:AB48" si="102">AA8</f>
        <v>1er T 2016</v>
      </c>
      <c r="AB48" s="38" t="str">
        <f t="shared" si="102"/>
        <v>2e T 2016</v>
      </c>
      <c r="AC48" s="38" t="str">
        <f t="shared" ref="AC48:AD48" si="103">AC8</f>
        <v>3e T 2016</v>
      </c>
      <c r="AD48" s="38" t="str">
        <f t="shared" si="103"/>
        <v>4e T 2016</v>
      </c>
      <c r="AE48" s="38" t="str">
        <f t="shared" ref="AE48:AF48" si="104">AE8</f>
        <v>2017 - T1</v>
      </c>
      <c r="AF48" s="38" t="str">
        <f t="shared" si="104"/>
        <v>2017 - T2</v>
      </c>
      <c r="AG48" s="38" t="str">
        <f t="shared" ref="AG48:AH48" si="105">AG8</f>
        <v>2017- T3</v>
      </c>
      <c r="AH48" s="38" t="str">
        <f t="shared" si="105"/>
        <v>2017 - T4</v>
      </c>
      <c r="AI48" s="38" t="str">
        <f t="shared" ref="AI48:AJ48" si="106">AI8</f>
        <v>2018 - T1</v>
      </c>
      <c r="AJ48" s="38" t="str">
        <f t="shared" si="106"/>
        <v>2018 - T2</v>
      </c>
      <c r="AK48" s="38" t="str">
        <f t="shared" ref="AK48:AM48" si="107">AK8</f>
        <v>2018 - T3</v>
      </c>
      <c r="AL48" s="38" t="str">
        <f t="shared" si="107"/>
        <v>2018 - T4</v>
      </c>
      <c r="AM48" s="38" t="str">
        <f t="shared" si="107"/>
        <v>2019 - T1</v>
      </c>
      <c r="AN48" s="38" t="str">
        <f t="shared" ref="AN48:AP48" si="108">AN8</f>
        <v>2019 - T2</v>
      </c>
      <c r="AO48" s="38" t="str">
        <f t="shared" si="108"/>
        <v>2019 - T3</v>
      </c>
      <c r="AP48" s="38" t="str">
        <f t="shared" si="108"/>
        <v>2019 - T4</v>
      </c>
      <c r="AQ48" s="38" t="str">
        <f t="shared" ref="AQ48" si="109">AQ8</f>
        <v>2020 - T1</v>
      </c>
      <c r="AR48" s="38" t="str">
        <f t="shared" ref="AR48" si="110">AR8</f>
        <v>2020 - T2</v>
      </c>
      <c r="AS48" s="38" t="str">
        <f t="shared" ref="AS48:AT48" si="111">AS8</f>
        <v>2020 - T3</v>
      </c>
      <c r="AT48" s="38" t="str">
        <f t="shared" si="111"/>
        <v>2020- T4</v>
      </c>
      <c r="AU48" s="38" t="str">
        <f t="shared" ref="AU48:AV48" si="112">AU8</f>
        <v>2021- T1</v>
      </c>
      <c r="AV48" s="38" t="str">
        <f t="shared" si="112"/>
        <v>2021- T2</v>
      </c>
      <c r="AW48" s="38" t="str">
        <f t="shared" ref="AW48:AX48" si="113">AW8</f>
        <v>2021- T3</v>
      </c>
      <c r="AX48" s="38" t="str">
        <f t="shared" si="113"/>
        <v>2021- T4</v>
      </c>
      <c r="AY48" s="38" t="str">
        <f t="shared" ref="AY48:AZ48" si="114">AY8</f>
        <v>2022- T1</v>
      </c>
      <c r="AZ48" s="38" t="str">
        <f t="shared" si="114"/>
        <v>2022- T2</v>
      </c>
      <c r="BA48" s="38" t="str">
        <f t="shared" ref="BA48:BB48" si="115">BA8</f>
        <v>2022- T3</v>
      </c>
      <c r="BB48" s="38" t="str">
        <f t="shared" si="115"/>
        <v>2022- T4</v>
      </c>
      <c r="BC48" s="38" t="str">
        <f t="shared" ref="BC48:BD48" si="116">BC8</f>
        <v>2023- T1</v>
      </c>
      <c r="BD48" s="38" t="str">
        <f t="shared" si="116"/>
        <v>2023- T2</v>
      </c>
      <c r="BE48" s="38" t="str">
        <f t="shared" ref="BE48:BF48" si="117">BE8</f>
        <v>2023- T3</v>
      </c>
      <c r="BF48" s="38" t="str">
        <f t="shared" si="117"/>
        <v>2023- T4</v>
      </c>
      <c r="BG48" s="38" t="str">
        <f t="shared" ref="BG48:BH48" si="118">BG8</f>
        <v>2024- T1</v>
      </c>
      <c r="BH48" s="38" t="str">
        <f t="shared" si="118"/>
        <v>2024- T2</v>
      </c>
      <c r="BI48" s="38" t="str">
        <f t="shared" ref="BI48:BJ48" si="119">BI8</f>
        <v>2024- T3</v>
      </c>
      <c r="BJ48" s="38" t="str">
        <f t="shared" si="119"/>
        <v>2024- T4</v>
      </c>
    </row>
    <row r="49" spans="1:62" x14ac:dyDescent="0.25">
      <c r="A49" s="8" t="s">
        <v>135</v>
      </c>
      <c r="B49" s="16"/>
      <c r="C49" s="105">
        <f>'B)NSA RCO Nb'!C52/'B)NSA RCO Nb'!B52-1</f>
        <v>2.3124742113789232E-4</v>
      </c>
      <c r="D49" s="105">
        <f>'B)NSA RCO Nb'!D52/'B)NSA RCO Nb'!C52-1</f>
        <v>6.7816894385159809E-3</v>
      </c>
      <c r="E49" s="105">
        <f>'B)NSA RCO Nb'!E52/'B)NSA RCO Nb'!D52-1</f>
        <v>-1.4453599891935953E-3</v>
      </c>
      <c r="F49" s="105">
        <f>'B)NSA RCO Nb'!F52/'B)NSA RCO Nb'!E52-1</f>
        <v>-1.5692003841835112E-3</v>
      </c>
      <c r="G49" s="105">
        <f>'B)NSA RCO Nb'!G52/'B)NSA RCO Nb'!F52-1</f>
        <v>-7.4067048744241859E-4</v>
      </c>
      <c r="H49" s="105">
        <f>'B)NSA RCO Nb'!H52/'B)NSA RCO Nb'!G52-1</f>
        <v>1.8575683481200533E-2</v>
      </c>
      <c r="I49" s="105">
        <f>'B)NSA RCO Nb'!I52/'B)NSA RCO Nb'!H52-1</f>
        <v>-1.1314877510905097E-3</v>
      </c>
      <c r="J49" s="105">
        <f>'B)NSA RCO Nb'!J52/'B)NSA RCO Nb'!I52-1</f>
        <v>-9.950602366820549E-4</v>
      </c>
      <c r="K49" s="105">
        <f>'B)NSA RCO Nb'!K52/'B)NSA RCO Nb'!J52-1</f>
        <v>-2.7969478140229542E-3</v>
      </c>
      <c r="L49" s="105">
        <f>'B)NSA RCO Nb'!L52/'B)NSA RCO Nb'!K52-1</f>
        <v>2.0699280742356052E-2</v>
      </c>
      <c r="M49" s="105">
        <f>'B)NSA RCO Nb'!M52/'B)NSA RCO Nb'!L52-1</f>
        <v>-6.4219902927475925E-4</v>
      </c>
      <c r="N49" s="105">
        <f>'B)NSA RCO Nb'!N52/'B)NSA RCO Nb'!M52-1</f>
        <v>-1.1497066717959248E-3</v>
      </c>
      <c r="O49" s="105">
        <f>'B)NSA RCO Nb'!O52/'B)NSA RCO Nb'!N52-1</f>
        <v>-7.1775255918171688E-4</v>
      </c>
      <c r="P49" s="105">
        <f>'B)NSA RCO Nb'!P52/'B)NSA RCO Nb'!O52-1</f>
        <v>1.0498101407192317E-2</v>
      </c>
      <c r="Q49" s="105">
        <f>'B)NSA RCO Nb'!Q52/'B)NSA RCO Nb'!P52-1</f>
        <v>-1.4216119692792573E-3</v>
      </c>
      <c r="R49" s="105">
        <f>'B)NSA RCO Nb'!R52/'B)NSA RCO Nb'!Q52-1</f>
        <v>-4.4792444313269675E-3</v>
      </c>
      <c r="S49" s="105">
        <f>'B)NSA RCO Nb'!S52/'B)NSA RCO Nb'!R52-1</f>
        <v>3.3614691058754254E-3</v>
      </c>
      <c r="T49" s="105">
        <f>'B)NSA RCO Nb'!T52/'B)NSA RCO Nb'!S52-1</f>
        <v>-2.7566428400721321E-2</v>
      </c>
      <c r="U49" s="105">
        <f>'B)NSA RCO Nb'!U52/'B)NSA RCO Nb'!T52-1</f>
        <v>1.7561027923376216E-3</v>
      </c>
      <c r="V49" s="105">
        <f>'B)NSA RCO Nb'!V52/'B)NSA RCO Nb'!U52-1</f>
        <v>-1.0794704349998963E-3</v>
      </c>
      <c r="W49" s="105">
        <f>'B)NSA RCO Nb'!W52/'B)NSA RCO Nb'!V52-1</f>
        <v>-1.6790061712408377E-3</v>
      </c>
      <c r="X49" s="105">
        <f>'B)NSA RCO Nb'!X52/'B)NSA RCO Nb'!W52-1</f>
        <v>-8.7669860354433471E-4</v>
      </c>
      <c r="Y49" s="105">
        <f>'B)NSA RCO Nb'!Y52/'B)NSA RCO Nb'!X52-1</f>
        <v>-7.8793033979485116E-4</v>
      </c>
      <c r="Z49" s="105">
        <f>'B)NSA RCO Nb'!Z52/'B)NSA RCO Nb'!Y52-1</f>
        <v>4.4804071793969058E-5</v>
      </c>
      <c r="AA49" s="105">
        <f>'B)NSA RCO Nb'!AA52/'B)NSA RCO Nb'!Z52-1</f>
        <v>1.2638662389562905E-2</v>
      </c>
      <c r="AB49" s="105">
        <f>'B)NSA RCO Nb'!AB52/'B)NSA RCO Nb'!AA52-1</f>
        <v>-1.2653467536777319E-3</v>
      </c>
      <c r="AC49" s="105">
        <f>'B)NSA RCO Nb'!AC52/'B)NSA RCO Nb'!AB52-1</f>
        <v>-1.3466879892264361E-3</v>
      </c>
      <c r="AD49" s="105">
        <f>'B)NSA RCO Nb'!AD52/'B)NSA RCO Nb'!AC52-1</f>
        <v>6.751391753720748E-3</v>
      </c>
      <c r="AE49" s="105">
        <f>'B)NSA RCO Nb'!AE52/'B)NSA RCO Nb'!AD52-1</f>
        <v>-1.5773913120108451E-3</v>
      </c>
      <c r="AF49" s="105">
        <f>'B)NSA RCO Nb'!AF52/'B)NSA RCO Nb'!AE52-1</f>
        <v>-1.9991262097360796E-3</v>
      </c>
      <c r="AG49" s="105">
        <f>'B)NSA RCO Nb'!AG52/'B)NSA RCO Nb'!AF52-1</f>
        <v>-6.0138140847065813E-4</v>
      </c>
      <c r="AH49" s="105">
        <f>'B)NSA RCO Nb'!AH52/'B)NSA RCO Nb'!AG52-1</f>
        <v>1.9972567585504919E-2</v>
      </c>
      <c r="AI49" s="105">
        <f>'B)NSA RCO Nb'!AI52/'B)NSA RCO Nb'!AH52-1</f>
        <v>-9.4350262879353552E-3</v>
      </c>
      <c r="AJ49" s="105">
        <f>'B)NSA RCO Nb'!AJ52/'B)NSA RCO Nb'!AI52-1</f>
        <v>-7.4447446671532802E-4</v>
      </c>
      <c r="AK49" s="105">
        <f>'B)NSA RCO Nb'!AK52/'B)NSA RCO Nb'!AJ52-1</f>
        <v>-1.8494252319449789E-3</v>
      </c>
      <c r="AL49" s="105">
        <f>'B)NSA RCO Nb'!AL52/'B)NSA RCO Nb'!AK52-1</f>
        <v>-1.1327862590394533E-3</v>
      </c>
      <c r="AM49" s="105">
        <f>'B)NSA RCO Nb'!AM52/'B)NSA RCO Nb'!AL52-1</f>
        <v>1.3406652336933611E-3</v>
      </c>
      <c r="AN49" s="105">
        <f>'B)NSA RCO Nb'!AN52/'B)NSA RCO Nb'!AM52-1</f>
        <v>-1.119383329528989E-3</v>
      </c>
      <c r="AO49" s="105">
        <f>'B)NSA RCO Nb'!AO52/'B)NSA RCO Nb'!AN52-1</f>
        <v>-5.5812154744694364E-4</v>
      </c>
      <c r="AP49" s="105">
        <f>'B)NSA RCO Nb'!AP52/'B)NSA RCO Nb'!AO52-1</f>
        <v>-4.6169675756946305E-4</v>
      </c>
      <c r="AQ49" s="105">
        <f>'B)NSA RCO Nb'!AQ52/'B)NSA RCO Nb'!AP52-1</f>
        <v>7.8040797652616511E-3</v>
      </c>
      <c r="AR49" s="105">
        <f>'B)NSA RCO Nb'!AR52/'B)NSA RCO Nb'!AQ52-1</f>
        <v>-2.0341261769339924E-3</v>
      </c>
      <c r="AS49" s="105">
        <f>'B)NSA RCO Nb'!AS52/'B)NSA RCO Nb'!AR52-1</f>
        <v>-1.408419901585467E-3</v>
      </c>
      <c r="AT49" s="105">
        <f>'B)NSA RCO Nb'!AT52/'B)NSA RCO Nb'!AS52-1</f>
        <v>-1.8340996144605715E-4</v>
      </c>
      <c r="AU49" s="105">
        <f>'B)NSA RCO Nb'!AU52/'B)NSA RCO Nb'!AT52-1</f>
        <v>2.5439755647838069E-3</v>
      </c>
      <c r="AV49" s="105">
        <f>'B)NSA RCO Nb'!AV52/'B)NSA RCO Nb'!AU52-1</f>
        <v>-2.7013281734233896E-4</v>
      </c>
      <c r="AW49" s="105">
        <f>'B)NSA RCO Nb'!AW52/'B)NSA RCO Nb'!AV52-1</f>
        <v>1.3724975959437113E-3</v>
      </c>
      <c r="AX49" s="105">
        <f>'B)NSA RCO Nb'!AX52/'B)NSA RCO Nb'!AW52-1</f>
        <v>3.5853169303163623E-2</v>
      </c>
      <c r="AY49" s="105">
        <f>'B)NSA RCO Nb'!AY52/'B)NSA RCO Nb'!AX52-1</f>
        <v>4.8696185679003356E-2</v>
      </c>
      <c r="AZ49" s="105">
        <f>'B)NSA RCO Nb'!AZ52/'B)NSA RCO Nb'!AY52-1</f>
        <v>-1.6741606402532749E-3</v>
      </c>
      <c r="BA49" s="105">
        <f>'B)NSA RCO Nb'!BA52/'B)NSA RCO Nb'!AZ52-1</f>
        <v>3.7997340692346393E-2</v>
      </c>
      <c r="BB49" s="105">
        <f>'B)NSA RCO Nb'!BB52/'B)NSA RCO Nb'!BA52-1</f>
        <v>-2.8978745503307479E-3</v>
      </c>
      <c r="BC49" s="105">
        <f>'B)NSA RCO Nb'!BC52/'B)NSA RCO Nb'!BB52-1</f>
        <v>5.807912790159131E-3</v>
      </c>
      <c r="BD49" s="105">
        <f>'B)NSA RCO Nb'!BD52/'B)NSA RCO Nb'!BC52-1</f>
        <v>1.3034110132024157E-3</v>
      </c>
      <c r="BE49" s="105">
        <f>'B)NSA RCO Nb'!BE52/'B)NSA RCO Nb'!BD52-1</f>
        <v>-6.3280151185385325E-4</v>
      </c>
      <c r="BF49" s="105">
        <f>'B)NSA RCO Nb'!BF52/'B)NSA RCO Nb'!BE52-1</f>
        <v>-5.3369441250006311E-4</v>
      </c>
      <c r="BG49" s="105">
        <f>'B)NSA RCO Nb'!BG52/'B)NSA RCO Nb'!BF52-1</f>
        <v>4.0836513417878972E-2</v>
      </c>
      <c r="BH49" s="105">
        <f>'B)NSA RCO Nb'!BH52/'B)NSA RCO Nb'!BG52-1</f>
        <v>2.854697488958724E-4</v>
      </c>
      <c r="BI49" s="105">
        <f>'B)NSA RCO Nb'!BI52/'B)NSA RCO Nb'!BH52-1</f>
        <v>-2.8622856135678276E-3</v>
      </c>
      <c r="BJ49" s="105">
        <f>'B)NSA RCO Nb'!BJ52/'B)NSA RCO Nb'!BI52-1</f>
        <v>-3.3526297584003384E-3</v>
      </c>
    </row>
    <row r="50" spans="1:62" ht="13" x14ac:dyDescent="0.25">
      <c r="A50" s="157" t="s">
        <v>137</v>
      </c>
      <c r="B50" s="16"/>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row>
    <row r="51" spans="1:62" ht="13" x14ac:dyDescent="0.25">
      <c r="A51" s="157" t="s">
        <v>138</v>
      </c>
      <c r="B51" s="16"/>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row>
    <row r="52" spans="1:62" x14ac:dyDescent="0.25">
      <c r="A52" s="8" t="s">
        <v>136</v>
      </c>
      <c r="B52" s="16"/>
      <c r="C52" s="105">
        <f>'B)NSA RCO Nb'!C55/'B)NSA RCO Nb'!B55-1</f>
        <v>1.036209567066626E-3</v>
      </c>
      <c r="D52" s="105">
        <f>'B)NSA RCO Nb'!D55/'B)NSA RCO Nb'!C55-1</f>
        <v>-1.6515303435788997E-2</v>
      </c>
      <c r="E52" s="105">
        <f>'B)NSA RCO Nb'!E55/'B)NSA RCO Nb'!D55-1</f>
        <v>-8.4714994554035972E-4</v>
      </c>
      <c r="F52" s="105">
        <f>'B)NSA RCO Nb'!F55/'B)NSA RCO Nb'!E55-1</f>
        <v>-1.4314658210001774E-4</v>
      </c>
      <c r="G52" s="105">
        <f>'B)NSA RCO Nb'!G55/'B)NSA RCO Nb'!F55-1</f>
        <v>1.1747042131493579E-4</v>
      </c>
      <c r="H52" s="105">
        <f>'B)NSA RCO Nb'!H55/'B)NSA RCO Nb'!G55-1</f>
        <v>1.9677654978509151E-2</v>
      </c>
      <c r="I52" s="105">
        <f>'B)NSA RCO Nb'!I55/'B)NSA RCO Nb'!H55-1</f>
        <v>-1.0799058322241706E-5</v>
      </c>
      <c r="J52" s="105">
        <f>'B)NSA RCO Nb'!J55/'B)NSA RCO Nb'!I55-1</f>
        <v>-2.9517744844287375E-4</v>
      </c>
      <c r="K52" s="105">
        <f>'B)NSA RCO Nb'!K55/'B)NSA RCO Nb'!J55-1</f>
        <v>-1.3646985960528157E-3</v>
      </c>
      <c r="L52" s="105">
        <f>'B)NSA RCO Nb'!L55/'B)NSA RCO Nb'!K55-1</f>
        <v>2.0887869675269899E-2</v>
      </c>
      <c r="M52" s="105">
        <f>'B)NSA RCO Nb'!M55/'B)NSA RCO Nb'!L55-1</f>
        <v>-1.5046038759443103E-3</v>
      </c>
      <c r="N52" s="105">
        <f>'B)NSA RCO Nb'!N55/'B)NSA RCO Nb'!M55-1</f>
        <v>-4.4215701880057079E-4</v>
      </c>
      <c r="O52" s="105">
        <f>'B)NSA RCO Nb'!O55/'B)NSA RCO Nb'!N55-1</f>
        <v>4.6712435416518261E-4</v>
      </c>
      <c r="P52" s="105">
        <f>'B)NSA RCO Nb'!P55/'B)NSA RCO Nb'!O55-1</f>
        <v>1.1807068677665011E-2</v>
      </c>
      <c r="Q52" s="105">
        <f>'B)NSA RCO Nb'!Q55/'B)NSA RCO Nb'!P55-1</f>
        <v>-1.0242964516692377E-3</v>
      </c>
      <c r="R52" s="105">
        <f>'B)NSA RCO Nb'!R55/'B)NSA RCO Nb'!Q55-1</f>
        <v>-1.4837781751628754E-3</v>
      </c>
      <c r="S52" s="105">
        <f>'B)NSA RCO Nb'!S55/'B)NSA RCO Nb'!R55-1</f>
        <v>1.3773380576380667E-3</v>
      </c>
      <c r="T52" s="105">
        <f>'B)NSA RCO Nb'!T55/'B)NSA RCO Nb'!S55-1</f>
        <v>-5.1871373273695842E-2</v>
      </c>
      <c r="U52" s="105">
        <f>'B)NSA RCO Nb'!U55/'B)NSA RCO Nb'!T55-1</f>
        <v>1.5208283346559437E-3</v>
      </c>
      <c r="V52" s="105">
        <f>'B)NSA RCO Nb'!V55/'B)NSA RCO Nb'!U55-1</f>
        <v>-9.8040299723201052E-4</v>
      </c>
      <c r="W52" s="105">
        <f>'B)NSA RCO Nb'!W55/'B)NSA RCO Nb'!V55-1</f>
        <v>7.9320865814747066E-5</v>
      </c>
      <c r="X52" s="105">
        <f>'B)NSA RCO Nb'!X55/'B)NSA RCO Nb'!W55-1</f>
        <v>6.4373922105698256E-4</v>
      </c>
      <c r="Y52" s="105">
        <f>'B)NSA RCO Nb'!Y55/'B)NSA RCO Nb'!X55-1</f>
        <v>5.8618159832191097E-4</v>
      </c>
      <c r="Z52" s="105">
        <f>'B)NSA RCO Nb'!Z55/'B)NSA RCO Nb'!Y55-1</f>
        <v>1.495913870732446E-3</v>
      </c>
      <c r="AA52" s="105">
        <f>'B)NSA RCO Nb'!AA55/'B)NSA RCO Nb'!Z55-1</f>
        <v>7.1593601459831735E-3</v>
      </c>
      <c r="AB52" s="105">
        <f>'B)NSA RCO Nb'!AB55/'B)NSA RCO Nb'!AA55-1</f>
        <v>7.3057225725037256E-5</v>
      </c>
      <c r="AC52" s="105">
        <f>'B)NSA RCO Nb'!AC55/'B)NSA RCO Nb'!AB55-1</f>
        <v>2.6663939396143199E-4</v>
      </c>
      <c r="AD52" s="105">
        <f>'B)NSA RCO Nb'!AD55/'B)NSA RCO Nb'!AC55-1</f>
        <v>3.1367422430443881E-3</v>
      </c>
      <c r="AE52" s="105">
        <f>'B)NSA RCO Nb'!AE55/'B)NSA RCO Nb'!AD55-1</f>
        <v>1.6016890539116702E-4</v>
      </c>
      <c r="AF52" s="105">
        <f>'B)NSA RCO Nb'!AF55/'B)NSA RCO Nb'!AE55-1</f>
        <v>-5.7142025229850457E-4</v>
      </c>
      <c r="AG52" s="105">
        <f>'B)NSA RCO Nb'!AG55/'B)NSA RCO Nb'!AF55-1</f>
        <v>5.0983805358395529E-4</v>
      </c>
      <c r="AH52" s="105">
        <f>'B)NSA RCO Nb'!AH55/'B)NSA RCO Nb'!AG55-1</f>
        <v>1.2342713213000289E-2</v>
      </c>
      <c r="AI52" s="105">
        <f>'B)NSA RCO Nb'!AI55/'B)NSA RCO Nb'!AH55-1</f>
        <v>-2.9339009376978531E-3</v>
      </c>
      <c r="AJ52" s="105">
        <f>'B)NSA RCO Nb'!AJ55/'B)NSA RCO Nb'!AI55-1</f>
        <v>3.2093814908851215E-4</v>
      </c>
      <c r="AK52" s="105">
        <f>'B)NSA RCO Nb'!AK55/'B)NSA RCO Nb'!AJ55-1</f>
        <v>-3.4606940854575718E-4</v>
      </c>
      <c r="AL52" s="105">
        <f>'B)NSA RCO Nb'!AL55/'B)NSA RCO Nb'!AK55-1</f>
        <v>-5.156776834173149E-4</v>
      </c>
      <c r="AM52" s="105">
        <f>'B)NSA RCO Nb'!AM55/'B)NSA RCO Nb'!AL55-1</f>
        <v>2.8106306059272335E-3</v>
      </c>
      <c r="AN52" s="105">
        <f>'B)NSA RCO Nb'!AN55/'B)NSA RCO Nb'!AM55-1</f>
        <v>-2.9502664234482001E-4</v>
      </c>
      <c r="AO52" s="105">
        <f>'B)NSA RCO Nb'!AO55/'B)NSA RCO Nb'!AN55-1</f>
        <v>2.4472844140372985E-3</v>
      </c>
      <c r="AP52" s="105">
        <f>'B)NSA RCO Nb'!AP55/'B)NSA RCO Nb'!AO55-1</f>
        <v>-2.484391772785921E-3</v>
      </c>
      <c r="AQ52" s="105">
        <f>'B)NSA RCO Nb'!AQ55/'B)NSA RCO Nb'!AP55-1</f>
        <v>8.4830860149651688E-3</v>
      </c>
      <c r="AR52" s="105">
        <f>'B)NSA RCO Nb'!AR55/'B)NSA RCO Nb'!AQ55-1</f>
        <v>1.9021855505274576E-3</v>
      </c>
      <c r="AS52" s="105">
        <f>'B)NSA RCO Nb'!AS55/'B)NSA RCO Nb'!AR55-1</f>
        <v>-1.2110979315159698E-3</v>
      </c>
      <c r="AT52" s="105">
        <f>'B)NSA RCO Nb'!AT55/'B)NSA RCO Nb'!AS55-1</f>
        <v>-1.0115849363766305E-2</v>
      </c>
      <c r="AU52" s="105">
        <f>'B)NSA RCO Nb'!AU55/'B)NSA RCO Nb'!AT55-1</f>
        <v>2.5769094337630971E-3</v>
      </c>
      <c r="AV52" s="105">
        <f>'B)NSA RCO Nb'!AV55/'B)NSA RCO Nb'!AU55-1</f>
        <v>-1.1082663597350439E-3</v>
      </c>
      <c r="AW52" s="105">
        <f>'B)NSA RCO Nb'!AW55/'B)NSA RCO Nb'!AV55-1</f>
        <v>-1.9135608322529141E-4</v>
      </c>
      <c r="AX52" s="105">
        <f>'B)NSA RCO Nb'!AX55/'B)NSA RCO Nb'!AW55-1</f>
        <v>-0.32223112235131868</v>
      </c>
      <c r="AY52" s="105">
        <f>'B)NSA RCO Nb'!AY55/'B)NSA RCO Nb'!AX55-1</f>
        <v>0.5272223419391</v>
      </c>
      <c r="AZ52" s="105">
        <f>'B)NSA RCO Nb'!AZ55/'B)NSA RCO Nb'!AY55-1</f>
        <v>-1.0656364742935853E-3</v>
      </c>
      <c r="BA52" s="105">
        <f>'B)NSA RCO Nb'!BA55/'B)NSA RCO Nb'!AZ55-1</f>
        <v>3.8737485396916238E-2</v>
      </c>
      <c r="BB52" s="105">
        <f>'B)NSA RCO Nb'!BB55/'B)NSA RCO Nb'!BA55-1</f>
        <v>-5.0883564889454558E-3</v>
      </c>
      <c r="BC52" s="105">
        <f>'B)NSA RCO Nb'!BC55/'B)NSA RCO Nb'!BB55-1</f>
        <v>9.7446827130858171E-3</v>
      </c>
      <c r="BD52" s="105">
        <f>'B)NSA RCO Nb'!BD55/'B)NSA RCO Nb'!BC55-1</f>
        <v>2.6076111952244574E-4</v>
      </c>
      <c r="BE52" s="105">
        <f>'B)NSA RCO Nb'!BE55/'B)NSA RCO Nb'!BD55-1</f>
        <v>-6.766992762625712E-4</v>
      </c>
      <c r="BF52" s="105">
        <f>'B)NSA RCO Nb'!BF55/'B)NSA RCO Nb'!BE55-1</f>
        <v>-7.3617212961751832E-4</v>
      </c>
      <c r="BG52" s="105">
        <f>'B)NSA RCO Nb'!BG55/'B)NSA RCO Nb'!BF55-1</f>
        <v>4.336610024608234E-2</v>
      </c>
      <c r="BH52" s="105">
        <f>'B)NSA RCO Nb'!BH55/'B)NSA RCO Nb'!BG55-1</f>
        <v>1.4551992580869033E-4</v>
      </c>
      <c r="BI52" s="105">
        <f>'B)NSA RCO Nb'!BI55/'B)NSA RCO Nb'!BH55-1</f>
        <v>-9.873199179359915E-3</v>
      </c>
      <c r="BJ52" s="105">
        <f>'B)NSA RCO Nb'!BJ55/'B)NSA RCO Nb'!BI55-1</f>
        <v>-4.3142818018157003E-3</v>
      </c>
    </row>
    <row r="53" spans="1:62" ht="13" thickBot="1" x14ac:dyDescent="0.3">
      <c r="A53" s="7"/>
      <c r="B53" s="7"/>
      <c r="C53" s="52"/>
      <c r="D53" s="52"/>
      <c r="E53" s="52"/>
      <c r="F53" s="52"/>
      <c r="G53" s="52"/>
      <c r="H53" s="52"/>
      <c r="I53" s="52"/>
      <c r="J53" s="52"/>
      <c r="K53" s="156"/>
      <c r="L53" s="156"/>
      <c r="M53" s="52"/>
      <c r="N53" s="52"/>
      <c r="O53" s="52"/>
      <c r="P53" s="52"/>
      <c r="Q53" s="52"/>
      <c r="R53" s="52"/>
      <c r="S53" s="52"/>
      <c r="T53" s="52"/>
      <c r="U53" s="52"/>
      <c r="V53" s="52"/>
      <c r="W53" s="52"/>
      <c r="X53" s="52"/>
      <c r="Y53" s="52"/>
      <c r="Z53" s="52"/>
      <c r="AA53" s="52"/>
      <c r="AB53" s="52"/>
      <c r="AC53" s="52"/>
      <c r="AD53" s="52"/>
      <c r="AE53" s="52"/>
      <c r="AF53" s="52"/>
      <c r="AG53" s="52"/>
      <c r="AH53" s="52"/>
      <c r="AI53" s="52"/>
      <c r="AJ53" s="52"/>
      <c r="AM53" s="52"/>
      <c r="AN53" s="52"/>
      <c r="AO53" s="52"/>
    </row>
    <row r="54" spans="1:62" x14ac:dyDescent="0.25">
      <c r="L54" s="14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M54" s="35"/>
      <c r="AN54" s="35"/>
      <c r="AO54" s="35"/>
    </row>
    <row r="55" spans="1:62" ht="13" x14ac:dyDescent="0.3">
      <c r="A55" s="25" t="s">
        <v>25</v>
      </c>
      <c r="L55" s="14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M55" s="35"/>
      <c r="AN55" s="35"/>
      <c r="AO55" s="35"/>
      <c r="BB55" s="377" t="s">
        <v>241</v>
      </c>
      <c r="BC55" s="377"/>
      <c r="BD55" s="377"/>
      <c r="BE55" s="377"/>
      <c r="BF55" s="377"/>
      <c r="BG55" s="377"/>
      <c r="BH55" s="377"/>
      <c r="BI55" s="377"/>
      <c r="BJ55" s="377"/>
    </row>
    <row r="56" spans="1:62" x14ac:dyDescent="0.25">
      <c r="A56" s="24" t="s">
        <v>246</v>
      </c>
      <c r="L56" s="14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M56" s="35"/>
      <c r="AN56" s="35"/>
      <c r="AO56" s="35"/>
      <c r="BB56" s="383" t="s">
        <v>244</v>
      </c>
      <c r="BC56" s="383"/>
      <c r="BD56" s="383"/>
      <c r="BE56" s="383"/>
      <c r="BF56" s="383"/>
      <c r="BG56" s="383"/>
      <c r="BH56" s="383"/>
      <c r="BI56" s="383"/>
      <c r="BJ56" s="383"/>
    </row>
    <row r="57" spans="1:62" x14ac:dyDescent="0.25">
      <c r="A57" s="5"/>
      <c r="B57" s="2" t="str">
        <f t="shared" ref="B57:H57" si="120">B8</f>
        <v>4eme T 2009</v>
      </c>
      <c r="C57" s="38" t="str">
        <f t="shared" si="120"/>
        <v>1er T 2010</v>
      </c>
      <c r="D57" s="38" t="str">
        <f t="shared" si="120"/>
        <v>2eme T 2010</v>
      </c>
      <c r="E57" s="38" t="str">
        <f t="shared" si="120"/>
        <v>3eme T 2010</v>
      </c>
      <c r="F57" s="38" t="str">
        <f t="shared" si="120"/>
        <v>4eme T 2010</v>
      </c>
      <c r="G57" s="38" t="str">
        <f t="shared" si="120"/>
        <v>1er T 2011</v>
      </c>
      <c r="H57" s="38" t="str">
        <f t="shared" si="120"/>
        <v>2eme T 2011</v>
      </c>
      <c r="I57" s="38" t="str">
        <f t="shared" ref="I57:N57" si="121">I8</f>
        <v>3eme T 2011</v>
      </c>
      <c r="J57" s="38" t="str">
        <f t="shared" si="121"/>
        <v>4eme T 2011</v>
      </c>
      <c r="K57" s="38" t="str">
        <f t="shared" si="121"/>
        <v>1er T 2012</v>
      </c>
      <c r="L57" s="38" t="str">
        <f t="shared" si="121"/>
        <v>2eme T 2012</v>
      </c>
      <c r="M57" s="38" t="str">
        <f t="shared" si="121"/>
        <v>3eme T 2012</v>
      </c>
      <c r="N57" s="38" t="str">
        <f t="shared" si="121"/>
        <v>4eme T 2012</v>
      </c>
      <c r="O57" s="38" t="str">
        <f t="shared" ref="O57:T57" si="122">O8</f>
        <v>1er T 2013</v>
      </c>
      <c r="P57" s="38" t="str">
        <f t="shared" si="122"/>
        <v>2eme T 2013</v>
      </c>
      <c r="Q57" s="38" t="str">
        <f t="shared" si="122"/>
        <v>3ème T 2013</v>
      </c>
      <c r="R57" s="38" t="str">
        <f t="shared" si="122"/>
        <v>4ème T 2013</v>
      </c>
      <c r="S57" s="38" t="str">
        <f t="shared" si="122"/>
        <v>1er T 2014</v>
      </c>
      <c r="T57" s="38" t="str">
        <f t="shared" si="122"/>
        <v>2eme T 2014</v>
      </c>
      <c r="U57" s="38" t="str">
        <f t="shared" ref="U57:V57" si="123">U8</f>
        <v>3T 2014</v>
      </c>
      <c r="V57" s="38" t="str">
        <f t="shared" si="123"/>
        <v>4ème T 2014</v>
      </c>
      <c r="W57" s="38" t="str">
        <f t="shared" ref="W57:X57" si="124">W8</f>
        <v>1er T 2015</v>
      </c>
      <c r="X57" s="38" t="str">
        <f t="shared" si="124"/>
        <v>2e T 2015</v>
      </c>
      <c r="Y57" s="38" t="str">
        <f t="shared" ref="Y57:Z57" si="125">Y8</f>
        <v>3e T 2015</v>
      </c>
      <c r="Z57" s="38" t="str">
        <f t="shared" si="125"/>
        <v>4e T 2015</v>
      </c>
      <c r="AA57" s="38" t="str">
        <f t="shared" ref="AA57:AB57" si="126">AA8</f>
        <v>1er T 2016</v>
      </c>
      <c r="AB57" s="38" t="str">
        <f t="shared" si="126"/>
        <v>2e T 2016</v>
      </c>
      <c r="AC57" s="38" t="str">
        <f t="shared" ref="AC57:AD57" si="127">AC8</f>
        <v>3e T 2016</v>
      </c>
      <c r="AD57" s="38" t="str">
        <f t="shared" si="127"/>
        <v>4e T 2016</v>
      </c>
      <c r="AE57" s="38" t="str">
        <f t="shared" ref="AE57:AF57" si="128">AE8</f>
        <v>2017 - T1</v>
      </c>
      <c r="AF57" s="38" t="str">
        <f t="shared" si="128"/>
        <v>2017 - T2</v>
      </c>
      <c r="AG57" s="38" t="str">
        <f t="shared" ref="AG57:AH57" si="129">AG8</f>
        <v>2017- T3</v>
      </c>
      <c r="AH57" s="38" t="str">
        <f t="shared" si="129"/>
        <v>2017 - T4</v>
      </c>
      <c r="AI57" s="38" t="str">
        <f t="shared" ref="AI57:AJ57" si="130">AI8</f>
        <v>2018 - T1</v>
      </c>
      <c r="AJ57" s="38" t="str">
        <f t="shared" si="130"/>
        <v>2018 - T2</v>
      </c>
      <c r="AK57" s="38" t="str">
        <f t="shared" ref="AK57:AM57" si="131">AK8</f>
        <v>2018 - T3</v>
      </c>
      <c r="AL57" s="38" t="str">
        <f t="shared" si="131"/>
        <v>2018 - T4</v>
      </c>
      <c r="AM57" s="38" t="str">
        <f t="shared" si="131"/>
        <v>2019 - T1</v>
      </c>
      <c r="AN57" s="38" t="str">
        <f t="shared" ref="AN57:AP57" si="132">AN8</f>
        <v>2019 - T2</v>
      </c>
      <c r="AO57" s="38" t="str">
        <f t="shared" si="132"/>
        <v>2019 - T3</v>
      </c>
      <c r="AP57" s="38" t="str">
        <f t="shared" si="132"/>
        <v>2019 - T4</v>
      </c>
      <c r="AQ57" s="38" t="str">
        <f t="shared" ref="AQ57" si="133">AQ8</f>
        <v>2020 - T1</v>
      </c>
      <c r="AR57" s="38" t="str">
        <f t="shared" ref="AR57" si="134">AR8</f>
        <v>2020 - T2</v>
      </c>
      <c r="AS57" s="38" t="str">
        <f t="shared" ref="AS57:AT57" si="135">AS8</f>
        <v>2020 - T3</v>
      </c>
      <c r="AT57" s="38" t="str">
        <f t="shared" si="135"/>
        <v>2020- T4</v>
      </c>
      <c r="AU57" s="38" t="str">
        <f t="shared" ref="AU57:AV57" si="136">AU8</f>
        <v>2021- T1</v>
      </c>
      <c r="AV57" s="38" t="str">
        <f t="shared" si="136"/>
        <v>2021- T2</v>
      </c>
      <c r="AW57" s="38" t="str">
        <f t="shared" ref="AW57:AX57" si="137">AW8</f>
        <v>2021- T3</v>
      </c>
      <c r="AX57" s="38" t="str">
        <f t="shared" si="137"/>
        <v>2021- T4</v>
      </c>
      <c r="AY57" s="38" t="str">
        <f t="shared" ref="AY57:AZ57" si="138">AY8</f>
        <v>2022- T1</v>
      </c>
      <c r="AZ57" s="38" t="str">
        <f t="shared" si="138"/>
        <v>2022- T2</v>
      </c>
      <c r="BA57" s="38" t="str">
        <f t="shared" ref="BA57:BB57" si="139">BA8</f>
        <v>2022- T3</v>
      </c>
      <c r="BB57" s="38" t="str">
        <f t="shared" si="139"/>
        <v>2022- T4</v>
      </c>
      <c r="BC57" s="38" t="str">
        <f t="shared" ref="BC57:BD57" si="140">BC8</f>
        <v>2023- T1</v>
      </c>
      <c r="BD57" s="38" t="str">
        <f t="shared" si="140"/>
        <v>2023- T2</v>
      </c>
      <c r="BE57" s="38" t="str">
        <f t="shared" ref="BE57:BF57" si="141">BE8</f>
        <v>2023- T3</v>
      </c>
      <c r="BF57" s="38" t="str">
        <f t="shared" si="141"/>
        <v>2023- T4</v>
      </c>
      <c r="BG57" s="38" t="str">
        <f t="shared" ref="BG57:BH57" si="142">BG8</f>
        <v>2024- T1</v>
      </c>
      <c r="BH57" s="38" t="str">
        <f t="shared" si="142"/>
        <v>2024- T2</v>
      </c>
      <c r="BI57" s="38" t="str">
        <f t="shared" ref="BI57:BJ57" si="143">BI8</f>
        <v>2024- T3</v>
      </c>
      <c r="BJ57" s="38" t="str">
        <f t="shared" si="143"/>
        <v>2024- T4</v>
      </c>
    </row>
    <row r="58" spans="1:62" x14ac:dyDescent="0.25">
      <c r="A58" s="8" t="s">
        <v>135</v>
      </c>
      <c r="B58" s="9"/>
      <c r="C58" s="105">
        <f>'B)NSA RCO Nb'!C63/'B)NSA RCO Nb'!B63-1</f>
        <v>-5.3631453714542143E-4</v>
      </c>
      <c r="D58" s="105">
        <f>'B)NSA RCO Nb'!D63/'B)NSA RCO Nb'!C63-1</f>
        <v>-7.5502214429311598E-3</v>
      </c>
      <c r="E58" s="105">
        <f>'B)NSA RCO Nb'!E63/'B)NSA RCO Nb'!D63-1</f>
        <v>-7.5315082054601135E-3</v>
      </c>
      <c r="F58" s="105">
        <f>'B)NSA RCO Nb'!F63/'B)NSA RCO Nb'!E63-1</f>
        <v>-3.353129843622904E-3</v>
      </c>
      <c r="G58" s="105">
        <f>'B)NSA RCO Nb'!G63/'B)NSA RCO Nb'!F63-1</f>
        <v>-2.7446512021803704E-3</v>
      </c>
      <c r="H58" s="105">
        <f>'B)NSA RCO Nb'!H63/'B)NSA RCO Nb'!G63-1</f>
        <v>-8.7159593152297266E-3</v>
      </c>
      <c r="I58" s="105">
        <f>'B)NSA RCO Nb'!I63/'B)NSA RCO Nb'!H63-1</f>
        <v>-8.9405662618230464E-3</v>
      </c>
      <c r="J58" s="105">
        <f>'B)NSA RCO Nb'!J63/'B)NSA RCO Nb'!I63-1</f>
        <v>-5.9761660596202582E-3</v>
      </c>
      <c r="K58" s="105">
        <f>'B)NSA RCO Nb'!K63/'B)NSA RCO Nb'!J63-1</f>
        <v>-3.9487726787620359E-3</v>
      </c>
      <c r="L58" s="105">
        <f>'B)NSA RCO Nb'!L63/'B)NSA RCO Nb'!K63-1</f>
        <v>-1.0639268862776885E-2</v>
      </c>
      <c r="M58" s="105">
        <f>'B)NSA RCO Nb'!M63/'B)NSA RCO Nb'!L63-1</f>
        <v>-1.083791263888334E-2</v>
      </c>
      <c r="N58" s="105">
        <f>'B)NSA RCO Nb'!N63/'B)NSA RCO Nb'!M63-1</f>
        <v>-7.0841173035749438E-3</v>
      </c>
      <c r="O58" s="105">
        <f>'B)NSA RCO Nb'!O63/'B)NSA RCO Nb'!N63-1</f>
        <v>-3.581623860067551E-3</v>
      </c>
      <c r="P58" s="105">
        <f>'B)NSA RCO Nb'!P63/'B)NSA RCO Nb'!O63-1</f>
        <v>-9.4104531444685335E-3</v>
      </c>
      <c r="Q58" s="105">
        <f>'B)NSA RCO Nb'!Q63/'B)NSA RCO Nb'!P63-1</f>
        <v>-7.0048988778921295E-3</v>
      </c>
      <c r="R58" s="105">
        <f>'B)NSA RCO Nb'!R63/'B)NSA RCO Nb'!Q63-1</f>
        <v>-5.0376049501030806E-3</v>
      </c>
      <c r="S58" s="105">
        <f>'B)NSA RCO Nb'!S63/'B)NSA RCO Nb'!R63-1</f>
        <v>-4.8285912909467044E-3</v>
      </c>
      <c r="T58" s="105">
        <f>'B)NSA RCO Nb'!T63/'B)NSA RCO Nb'!S63-1</f>
        <v>0.14611606973778901</v>
      </c>
      <c r="U58" s="105">
        <f>'B)NSA RCO Nb'!U63/'B)NSA RCO Nb'!T63-1</f>
        <v>-8.1217528593195976E-3</v>
      </c>
      <c r="V58" s="105">
        <f>'B)NSA RCO Nb'!V63/'B)NSA RCO Nb'!U63-1</f>
        <v>-4.934423620082673E-3</v>
      </c>
      <c r="W58" s="105">
        <f>'B)NSA RCO Nb'!W63/'B)NSA RCO Nb'!V63-1</f>
        <v>-4.4790000372010308E-3</v>
      </c>
      <c r="X58" s="105">
        <f>'B)NSA RCO Nb'!X63/'B)NSA RCO Nb'!W63-1</f>
        <v>-1.1800931219778321E-2</v>
      </c>
      <c r="Y58" s="105">
        <f>'B)NSA RCO Nb'!Y63/'B)NSA RCO Nb'!X63-1</f>
        <v>-1.0338516456921631E-2</v>
      </c>
      <c r="Z58" s="105">
        <f>'B)NSA RCO Nb'!Z63/'B)NSA RCO Nb'!Y63-1</f>
        <v>-4.3291531977655007E-3</v>
      </c>
      <c r="AA58" s="105">
        <f>'B)NSA RCO Nb'!AA63/'B)NSA RCO Nb'!Z63-1</f>
        <v>-2.9587728959517001E-3</v>
      </c>
      <c r="AB58" s="105">
        <f>'B)NSA RCO Nb'!AB63/'B)NSA RCO Nb'!AA63-1</f>
        <v>-8.7448520072360703E-3</v>
      </c>
      <c r="AC58" s="105">
        <f>'B)NSA RCO Nb'!AC63/'B)NSA RCO Nb'!AB63-1</f>
        <v>-8.5113653130800548E-3</v>
      </c>
      <c r="AD58" s="105">
        <f>'B)NSA RCO Nb'!AD63/'B)NSA RCO Nb'!AC63-1</f>
        <v>-4.7230032974865388E-3</v>
      </c>
      <c r="AE58" s="105">
        <f>'B)NSA RCO Nb'!AE63/'B)NSA RCO Nb'!AD63-1</f>
        <v>-4.2299519949634545E-3</v>
      </c>
      <c r="AF58" s="105">
        <f>'B)NSA RCO Nb'!AF63/'B)NSA RCO Nb'!AE63-1</f>
        <v>-9.3414735344674593E-3</v>
      </c>
      <c r="AG58" s="105">
        <f>'B)NSA RCO Nb'!AG63/'B)NSA RCO Nb'!AF63-1</f>
        <v>-7.0961025285100066E-3</v>
      </c>
      <c r="AH58" s="105">
        <f>'B)NSA RCO Nb'!AH63/'B)NSA RCO Nb'!AG63-1</f>
        <v>-2.0006267023404689E-3</v>
      </c>
      <c r="AI58" s="105">
        <f>'B)NSA RCO Nb'!AI63/'B)NSA RCO Nb'!AH63-1</f>
        <v>-2.3548449425175866E-3</v>
      </c>
      <c r="AJ58" s="105">
        <f>'B)NSA RCO Nb'!AJ63/'B)NSA RCO Nb'!AI63-1</f>
        <v>-8.2230803061664748E-3</v>
      </c>
      <c r="AK58" s="105">
        <f>'B)NSA RCO Nb'!AK63/'B)NSA RCO Nb'!AJ63-1</f>
        <v>-8.7102981680302616E-3</v>
      </c>
      <c r="AL58" s="105">
        <f>'B)NSA RCO Nb'!AL63/'B)NSA RCO Nb'!AK63-1</f>
        <v>-2.7907740293852124E-3</v>
      </c>
      <c r="AM58" s="105">
        <f>'B)NSA RCO Nb'!AM63/'B)NSA RCO Nb'!AL63-1</f>
        <v>-3.5517326528932136E-3</v>
      </c>
      <c r="AN58" s="105">
        <f>'B)NSA RCO Nb'!AN63/'B)NSA RCO Nb'!AM63-1</f>
        <v>-9.7680047249882884E-3</v>
      </c>
      <c r="AO58" s="105">
        <f>'B)NSA RCO Nb'!AO63/'B)NSA RCO Nb'!AN63-1</f>
        <v>-8.5796990223230285E-3</v>
      </c>
      <c r="AP58" s="105">
        <f>'B)NSA RCO Nb'!AP63/'B)NSA RCO Nb'!AO63-1</f>
        <v>-1.3210206356886189E-3</v>
      </c>
      <c r="AQ58" s="105">
        <f>'B)NSA RCO Nb'!AQ63/'B)NSA RCO Nb'!AP63-1</f>
        <v>-2.9825470446244173E-3</v>
      </c>
      <c r="AR58" s="105">
        <f>'B)NSA RCO Nb'!AR63/'B)NSA RCO Nb'!AQ63-1</f>
        <v>-1.028845706945869E-2</v>
      </c>
      <c r="AS58" s="105">
        <f>'B)NSA RCO Nb'!AS63/'B)NSA RCO Nb'!AR63-1</f>
        <v>-9.404964181729647E-3</v>
      </c>
      <c r="AT58" s="105">
        <f>'B)NSA RCO Nb'!AT63/'B)NSA RCO Nb'!AS63-1</f>
        <v>-2.8099209171029704E-3</v>
      </c>
      <c r="AU58" s="105">
        <f>'B)NSA RCO Nb'!AU63/'B)NSA RCO Nb'!AT63-1</f>
        <v>-5.7221144163572824E-3</v>
      </c>
      <c r="AV58" s="105">
        <f>'B)NSA RCO Nb'!AV63/'B)NSA RCO Nb'!AU63-1</f>
        <v>-1.2344659413454862E-2</v>
      </c>
      <c r="AW58" s="105">
        <f>'B)NSA RCO Nb'!AW63/'B)NSA RCO Nb'!AV63-1</f>
        <v>-8.8372891351515825E-3</v>
      </c>
      <c r="AX58" s="105">
        <f>'B)NSA RCO Nb'!AX63/'B)NSA RCO Nb'!AW63-1</f>
        <v>0.48186367450968204</v>
      </c>
      <c r="AY58" s="105">
        <f>'B)NSA RCO Nb'!AY63/'B)NSA RCO Nb'!AX63-1</f>
        <v>-0.48149712943319789</v>
      </c>
      <c r="AZ58" s="105">
        <f>'B)NSA RCO Nb'!AZ63/'B)NSA RCO Nb'!AY63-1</f>
        <v>-1.3985124912592961E-2</v>
      </c>
      <c r="BA58" s="105">
        <f>'B)NSA RCO Nb'!BA63/'B)NSA RCO Nb'!AZ63-1</f>
        <v>-1.1071321818533431E-2</v>
      </c>
      <c r="BB58" s="396">
        <f>'B)NSA RCO Nb'!BB63/'B)NSA RCO Nb'!BA63-1</f>
        <v>1.5290519877675379E-3</v>
      </c>
      <c r="BC58" s="455">
        <f>'B)NSA RCO Nb'!BC63/'B)NSA RCO Nb'!BB63-1</f>
        <v>-8.0596484999112539E-3</v>
      </c>
      <c r="BD58" s="455">
        <f>'B)NSA RCO Nb'!BD63/'B)NSA RCO Nb'!BC63-1</f>
        <v>-1.2653017395661825E-2</v>
      </c>
      <c r="BE58" s="455">
        <f>'B)NSA RCO Nb'!BE63/'B)NSA RCO Nb'!BD63-1</f>
        <v>-9.2987003570845772E-3</v>
      </c>
      <c r="BF58" s="455">
        <f>'B)NSA RCO Nb'!BF63/'B)NSA RCO Nb'!BE63-1</f>
        <v>-3.8849043715847298E-3</v>
      </c>
      <c r="BG58" s="455">
        <f>'B)NSA RCO Nb'!BG63/'B)NSA RCO Nb'!BF63-1</f>
        <v>-5.36946446173725E-3</v>
      </c>
      <c r="BH58" s="455">
        <f>'B)NSA RCO Nb'!BH63/'B)NSA RCO Nb'!BG63-1</f>
        <v>-1.405320890836792E-2</v>
      </c>
      <c r="BI58" s="455">
        <f>'B)NSA RCO Nb'!BI63/'B)NSA RCO Nb'!BH63-1</f>
        <v>-1.1337882637930674E-2</v>
      </c>
      <c r="BJ58" s="455">
        <f>'B)NSA RCO Nb'!BJ63/'B)NSA RCO Nb'!BI63-1</f>
        <v>-3.7889551956048484E-3</v>
      </c>
    </row>
    <row r="59" spans="1:62" ht="13" x14ac:dyDescent="0.25">
      <c r="A59" s="157" t="s">
        <v>137</v>
      </c>
      <c r="B59" s="9"/>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c r="BB59" s="105"/>
      <c r="BC59" s="455"/>
      <c r="BD59" s="455"/>
      <c r="BE59" s="455"/>
      <c r="BF59" s="455"/>
      <c r="BG59" s="455"/>
      <c r="BH59" s="455"/>
      <c r="BI59" s="455"/>
      <c r="BJ59" s="455"/>
    </row>
    <row r="60" spans="1:62" ht="13" x14ac:dyDescent="0.25">
      <c r="A60" s="157" t="s">
        <v>138</v>
      </c>
      <c r="B60" s="9"/>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455"/>
      <c r="BD60" s="455"/>
      <c r="BE60" s="455"/>
      <c r="BF60" s="455"/>
      <c r="BG60" s="455"/>
      <c r="BH60" s="455"/>
      <c r="BI60" s="455"/>
      <c r="BJ60" s="455"/>
    </row>
    <row r="61" spans="1:62" x14ac:dyDescent="0.25">
      <c r="A61" s="8" t="s">
        <v>136</v>
      </c>
      <c r="B61" s="9"/>
      <c r="C61" s="105">
        <f>'B)NSA RCO Nb'!C66/'B)NSA RCO Nb'!B66-1</f>
        <v>4.5930909561391342E-3</v>
      </c>
      <c r="D61" s="105">
        <f>'B)NSA RCO Nb'!D66/'B)NSA RCO Nb'!C66-1</f>
        <v>0.50623564513705532</v>
      </c>
      <c r="E61" s="105">
        <f>'B)NSA RCO Nb'!E66/'B)NSA RCO Nb'!D66-1</f>
        <v>1.2540793205170209E-2</v>
      </c>
      <c r="F61" s="105">
        <f>'B)NSA RCO Nb'!F66/'B)NSA RCO Nb'!E66-1</f>
        <v>1.0119491632770927E-2</v>
      </c>
      <c r="G61" s="105">
        <f>'B)NSA RCO Nb'!G66/'B)NSA RCO Nb'!F66-1</f>
        <v>1.6218475686219813E-2</v>
      </c>
      <c r="H61" s="105">
        <f>'B)NSA RCO Nb'!H66/'B)NSA RCO Nb'!G66-1</f>
        <v>9.7074066964653039E-3</v>
      </c>
      <c r="I61" s="105">
        <f>'B)NSA RCO Nb'!I66/'B)NSA RCO Nb'!H66-1</f>
        <v>9.5733412998018075E-3</v>
      </c>
      <c r="J61" s="105">
        <f>'B)NSA RCO Nb'!J66/'B)NSA RCO Nb'!I66-1</f>
        <v>8.339273945149106E-3</v>
      </c>
      <c r="K61" s="105">
        <f>'B)NSA RCO Nb'!K66/'B)NSA RCO Nb'!J66-1</f>
        <v>1.2071978337135025E-2</v>
      </c>
      <c r="L61" s="105">
        <f>'B)NSA RCO Nb'!L66/'B)NSA RCO Nb'!K66-1</f>
        <v>3.5190847743569176E-3</v>
      </c>
      <c r="M61" s="105">
        <f>'B)NSA RCO Nb'!M66/'B)NSA RCO Nb'!L66-1</f>
        <v>6.9215513731464284E-3</v>
      </c>
      <c r="N61" s="105">
        <f>'B)NSA RCO Nb'!N66/'B)NSA RCO Nb'!M66-1</f>
        <v>7.0957138757727911E-3</v>
      </c>
      <c r="O61" s="105">
        <f>'B)NSA RCO Nb'!O66/'B)NSA RCO Nb'!N66-1</f>
        <v>3.4192462116306999E-3</v>
      </c>
      <c r="P61" s="105">
        <f>'B)NSA RCO Nb'!P66/'B)NSA RCO Nb'!O66-1</f>
        <v>1.4327387252497381E-3</v>
      </c>
      <c r="Q61" s="105">
        <f>'B)NSA RCO Nb'!Q66/'B)NSA RCO Nb'!P66-1</f>
        <v>5.0396339498615106E-3</v>
      </c>
      <c r="R61" s="105">
        <f>'B)NSA RCO Nb'!R66/'B)NSA RCO Nb'!Q66-1</f>
        <v>6.9252077562327319E-3</v>
      </c>
      <c r="S61" s="105">
        <f>'B)NSA RCO Nb'!S66/'B)NSA RCO Nb'!R66-1</f>
        <v>5.7695246828672886E-3</v>
      </c>
      <c r="T61" s="105">
        <f>'B)NSA RCO Nb'!T66/'B)NSA RCO Nb'!S66-1</f>
        <v>0.56893211260114729</v>
      </c>
      <c r="U61" s="105">
        <f>'B)NSA RCO Nb'!U66/'B)NSA RCO Nb'!T66-1</f>
        <v>-5.4884299054858143E-4</v>
      </c>
      <c r="V61" s="105">
        <f>'B)NSA RCO Nb'!V66/'B)NSA RCO Nb'!U66-1</f>
        <v>-3.4563793618619387E-3</v>
      </c>
      <c r="W61" s="105">
        <f>'B)NSA RCO Nb'!W66/'B)NSA RCO Nb'!V66-1</f>
        <v>-7.5283020396917921E-3</v>
      </c>
      <c r="X61" s="105">
        <f>'B)NSA RCO Nb'!X66/'B)NSA RCO Nb'!W66-1</f>
        <v>-1.0557515187144761E-2</v>
      </c>
      <c r="Y61" s="105">
        <f>'B)NSA RCO Nb'!Y66/'B)NSA RCO Nb'!X66-1</f>
        <v>-5.7683261951327891E-3</v>
      </c>
      <c r="Z61" s="105">
        <f>'B)NSA RCO Nb'!Z66/'B)NSA RCO Nb'!Y66-1</f>
        <v>-3.1872509960159112E-3</v>
      </c>
      <c r="AA61" s="105">
        <f>'B)NSA RCO Nb'!AA66/'B)NSA RCO Nb'!Z66-1</f>
        <v>-7.7771116440180643E-3</v>
      </c>
      <c r="AB61" s="105">
        <f>'B)NSA RCO Nb'!AB66/'B)NSA RCO Nb'!AA66-1</f>
        <v>-1.0859166512814489E-2</v>
      </c>
      <c r="AC61" s="105">
        <f>'B)NSA RCO Nb'!AC66/'B)NSA RCO Nb'!AB66-1</f>
        <v>-7.9580547731360474E-3</v>
      </c>
      <c r="AD61" s="105">
        <f>'B)NSA RCO Nb'!AD66/'B)NSA RCO Nb'!AC66-1</f>
        <v>-5.3450782519456341E-3</v>
      </c>
      <c r="AE61" s="105">
        <f>'B)NSA RCO Nb'!AE66/'B)NSA RCO Nb'!AD66-1</f>
        <v>-1.0008168178496146E-2</v>
      </c>
      <c r="AF61" s="105">
        <f>'B)NSA RCO Nb'!AF66/'B)NSA RCO Nb'!AE66-1</f>
        <v>-1.594566661745167E-2</v>
      </c>
      <c r="AG61" s="105">
        <f>'B)NSA RCO Nb'!AG66/'B)NSA RCO Nb'!AF66-1</f>
        <v>-9.920127090596198E-3</v>
      </c>
      <c r="AH61" s="105">
        <f>'B)NSA RCO Nb'!AH66/'B)NSA RCO Nb'!AG66-1</f>
        <v>-8.0673197778590167E-3</v>
      </c>
      <c r="AI61" s="105">
        <f>'B)NSA RCO Nb'!AI66/'B)NSA RCO Nb'!AH66-1</f>
        <v>-1.2482476005607701E-2</v>
      </c>
      <c r="AJ61" s="105">
        <f>'B)NSA RCO Nb'!AJ66/'B)NSA RCO Nb'!AI66-1</f>
        <v>-1.612565635607488E-2</v>
      </c>
      <c r="AK61" s="105">
        <f>'B)NSA RCO Nb'!AK66/'B)NSA RCO Nb'!AJ66-1</f>
        <v>-8.6666974980345035E-3</v>
      </c>
      <c r="AL61" s="105">
        <f>'B)NSA RCO Nb'!AL66/'B)NSA RCO Nb'!AK66-1</f>
        <v>-4.9637052380152591E-3</v>
      </c>
      <c r="AM61" s="105">
        <f>'B)NSA RCO Nb'!AM66/'B)NSA RCO Nb'!AL66-1</f>
        <v>-1.0717701554676218E-2</v>
      </c>
      <c r="AN61" s="105">
        <f>'B)NSA RCO Nb'!AN66/'B)NSA RCO Nb'!AM66-1</f>
        <v>-1.4928485445911521E-2</v>
      </c>
      <c r="AO61" s="105">
        <f>'B)NSA RCO Nb'!AO66/'B)NSA RCO Nb'!AN66-1</f>
        <v>-1.0892156108074813E-2</v>
      </c>
      <c r="AP61" s="105">
        <f>'B)NSA RCO Nb'!AP66/'B)NSA RCO Nb'!AO66-1</f>
        <v>-8.3563562784544354E-3</v>
      </c>
      <c r="AQ61" s="105">
        <f>'B)NSA RCO Nb'!AQ66/'B)NSA RCO Nb'!AP66-1</f>
        <v>-1.0310289688729268E-2</v>
      </c>
      <c r="AR61" s="105">
        <f>'B)NSA RCO Nb'!AR66/'B)NSA RCO Nb'!AQ66-1</f>
        <v>-1.6583073964672956E-2</v>
      </c>
      <c r="AS61" s="105">
        <f>'B)NSA RCO Nb'!AS66/'B)NSA RCO Nb'!AR66-1</f>
        <v>-1.4090895346375976E-2</v>
      </c>
      <c r="AT61" s="105">
        <f>'B)NSA RCO Nb'!AT66/'B)NSA RCO Nb'!AS66-1</f>
        <v>-8.2604917446199577E-3</v>
      </c>
      <c r="AU61" s="105">
        <f>'B)NSA RCO Nb'!AU66/'B)NSA RCO Nb'!AT66-1</f>
        <v>-1.7297720783036263E-2</v>
      </c>
      <c r="AV61" s="105">
        <f>'B)NSA RCO Nb'!AV66/'B)NSA RCO Nb'!AU66-1</f>
        <v>-1.8588257508208361E-2</v>
      </c>
      <c r="AW61" s="105">
        <f>'B)NSA RCO Nb'!AW66/'B)NSA RCO Nb'!AV66-1</f>
        <v>-1.2441613134238971E-2</v>
      </c>
      <c r="AX61" s="105">
        <f>'B)NSA RCO Nb'!AX66/'B)NSA RCO Nb'!AW66-1</f>
        <v>1.626746615003305E-2</v>
      </c>
      <c r="AY61" s="105">
        <f>'B)NSA RCO Nb'!AY66/'B)NSA RCO Nb'!AX66-1</f>
        <v>-9.2389452159836405E-2</v>
      </c>
      <c r="AZ61" s="105">
        <f>'B)NSA RCO Nb'!AZ66/'B)NSA RCO Nb'!AY66-1</f>
        <v>-2.1649593410074996E-2</v>
      </c>
      <c r="BA61" s="105">
        <f>'B)NSA RCO Nb'!BA66/'B)NSA RCO Nb'!AZ66-1</f>
        <v>-1.6143734407983112E-2</v>
      </c>
      <c r="BB61" s="396">
        <f>'B)NSA RCO Nb'!BB66/'B)NSA RCO Nb'!BA66-1</f>
        <v>-1.0349871998049487E-2</v>
      </c>
      <c r="BC61" s="455">
        <f>'B)NSA RCO Nb'!BC66/'B)NSA RCO Nb'!BB66-1</f>
        <v>-2.6779665192594337E-2</v>
      </c>
      <c r="BD61" s="455">
        <f>'B)NSA RCO Nb'!BD66/'B)NSA RCO Nb'!BC66-1</f>
        <v>-1.8833774222537292E-2</v>
      </c>
      <c r="BE61" s="455">
        <f>'B)NSA RCO Nb'!BE66/'B)NSA RCO Nb'!BD66-1</f>
        <v>-1.5505875978792272E-2</v>
      </c>
      <c r="BF61" s="455">
        <f>'B)NSA RCO Nb'!BF66/'B)NSA RCO Nb'!BE66-1</f>
        <v>-1.0272940498185168E-2</v>
      </c>
      <c r="BG61" s="455">
        <f>'B)NSA RCO Nb'!BG66/'B)NSA RCO Nb'!BF66-1</f>
        <v>-1.9898587372406795E-2</v>
      </c>
      <c r="BH61" s="455">
        <f>'B)NSA RCO Nb'!BH66/'B)NSA RCO Nb'!BG66-1</f>
        <v>-2.4017290287721149E-2</v>
      </c>
      <c r="BI61" s="455">
        <f>'B)NSA RCO Nb'!BI66/'B)NSA RCO Nb'!BH66-1</f>
        <v>-1.7826496152355653E-2</v>
      </c>
      <c r="BJ61" s="455">
        <f>'B)NSA RCO Nb'!BJ66/'B)NSA RCO Nb'!BI66-1</f>
        <v>-1.2851586720027064E-2</v>
      </c>
    </row>
    <row r="62" spans="1:62" x14ac:dyDescent="0.25">
      <c r="A62" s="22" t="s">
        <v>60</v>
      </c>
      <c r="B62" s="9"/>
      <c r="C62" s="105">
        <f>'B)NSA RCO Nb'!C67/'B)NSA RCO Nb'!B67-1</f>
        <v>2.2819016275432702E-4</v>
      </c>
      <c r="D62" s="105">
        <f>'B)NSA RCO Nb'!D67/'B)NSA RCO Nb'!C67-1</f>
        <v>6.9360410005944395E-2</v>
      </c>
      <c r="E62" s="105">
        <f>'B)NSA RCO Nb'!E67/'B)NSA RCO Nb'!D67-1</f>
        <v>-3.299268932485222E-3</v>
      </c>
      <c r="F62" s="105">
        <f>'B)NSA RCO Nb'!F67/'B)NSA RCO Nb'!E67-1</f>
        <v>-4.6728549334795755E-4</v>
      </c>
      <c r="G62" s="105">
        <f>'B)NSA RCO Nb'!G67/'B)NSA RCO Nb'!F67-1</f>
        <v>1.3602856901564486E-3</v>
      </c>
      <c r="H62" s="105">
        <f>'B)NSA RCO Nb'!H67/'B)NSA RCO Nb'!G67-1</f>
        <v>-4.6686887611107064E-3</v>
      </c>
      <c r="I62" s="105">
        <f>'B)NSA RCO Nb'!I67/'B)NSA RCO Nb'!H67-1</f>
        <v>-4.8146612639167197E-3</v>
      </c>
      <c r="J62" s="105">
        <f>'B)NSA RCO Nb'!J67/'B)NSA RCO Nb'!I67-1</f>
        <v>-2.7397843446107517E-3</v>
      </c>
      <c r="K62" s="105">
        <f>'B)NSA RCO Nb'!K67/'B)NSA RCO Nb'!J67-1</f>
        <v>3.3540982506852224E-4</v>
      </c>
      <c r="L62" s="105">
        <f>'B)NSA RCO Nb'!L67/'B)NSA RCO Nb'!K67-1</f>
        <v>-7.2302304102516146E-3</v>
      </c>
      <c r="M62" s="105">
        <f>'B)NSA RCO Nb'!M67/'B)NSA RCO Nb'!L67-1</f>
        <v>-6.598197700302455E-3</v>
      </c>
      <c r="N62" s="105">
        <f>'B)NSA RCO Nb'!N67/'B)NSA RCO Nb'!M67-1</f>
        <v>-3.5976337213255993E-3</v>
      </c>
      <c r="O62" s="105">
        <f>'B)NSA RCO Nb'!O67/'B)NSA RCO Nb'!N67-1</f>
        <v>-1.7091524961071469E-3</v>
      </c>
      <c r="P62" s="105">
        <f>'B)NSA RCO Nb'!P67/'B)NSA RCO Nb'!O67-1</f>
        <v>-6.6028443499849265E-3</v>
      </c>
      <c r="Q62" s="105">
        <f>'B)NSA RCO Nb'!Q67/'B)NSA RCO Nb'!P67-1</f>
        <v>-3.925481536161346E-3</v>
      </c>
      <c r="R62" s="105">
        <f>'B)NSA RCO Nb'!R67/'B)NSA RCO Nb'!Q67-1</f>
        <v>-1.9940273385858909E-3</v>
      </c>
      <c r="S62" s="105">
        <f>'B)NSA RCO Nb'!S67/'B)NSA RCO Nb'!R67-1</f>
        <v>-2.032622649583371E-3</v>
      </c>
      <c r="T62" s="105">
        <f>'B)NSA RCO Nb'!T67/'B)NSA RCO Nb'!S67-1</f>
        <v>0.3640382129457389</v>
      </c>
      <c r="U62" s="105">
        <f>'B)NSA RCO Nb'!U67/'B)NSA RCO Nb'!T67-1</f>
        <v>-6.707779359825472E-3</v>
      </c>
      <c r="V62" s="105">
        <f>'B)NSA RCO Nb'!V67/'B)NSA RCO Nb'!U67-1</f>
        <v>-5.8641472552533047E-3</v>
      </c>
      <c r="W62" s="105">
        <f>'B)NSA RCO Nb'!W67/'B)NSA RCO Nb'!V67-1</f>
        <v>-6.9239952248308922E-3</v>
      </c>
      <c r="X62" s="105">
        <f>'B)NSA RCO Nb'!X67/'B)NSA RCO Nb'!W67-1</f>
        <v>-1.2820210629531537E-2</v>
      </c>
      <c r="Y62" s="105">
        <f>'B)NSA RCO Nb'!Y67/'B)NSA RCO Nb'!X67-1</f>
        <v>-1.0216970342372345E-2</v>
      </c>
      <c r="Z62" s="105">
        <f>'B)NSA RCO Nb'!Z67/'B)NSA RCO Nb'!Y67-1</f>
        <v>-5.5556359671341538E-3</v>
      </c>
      <c r="AA62" s="105">
        <f>'B)NSA RCO Nb'!AA67/'B)NSA RCO Nb'!Z67-1</f>
        <v>-5.9820828613083021E-3</v>
      </c>
      <c r="AB62" s="105">
        <f>'B)NSA RCO Nb'!AB67/'B)NSA RCO Nb'!AA67-1</f>
        <v>-1.0667089673349395E-2</v>
      </c>
      <c r="AC62" s="105">
        <f>'B)NSA RCO Nb'!AC67/'B)NSA RCO Nb'!AB67-1</f>
        <v>-9.5438018322915319E-3</v>
      </c>
      <c r="AD62" s="105">
        <f>'B)NSA RCO Nb'!AD67/'B)NSA RCO Nb'!AC67-1</f>
        <v>-6.1938858103480765E-3</v>
      </c>
      <c r="AE62" s="105">
        <f>'B)NSA RCO Nb'!AE67/'B)NSA RCO Nb'!AD67-1</f>
        <v>-7.5306111197429582E-3</v>
      </c>
      <c r="AF62" s="105">
        <f>'B)NSA RCO Nb'!AF67/'B)NSA RCO Nb'!AE67-1</f>
        <v>-1.2577234725389075E-2</v>
      </c>
      <c r="AG62" s="105">
        <f>'B)NSA RCO Nb'!AG67/'B)NSA RCO Nb'!AF67-1</f>
        <v>-8.9860172048730202E-3</v>
      </c>
      <c r="AH62" s="105">
        <f>'B)NSA RCO Nb'!AH67/'B)NSA RCO Nb'!AG67-1</f>
        <v>-5.2020705066342376E-3</v>
      </c>
      <c r="AI62" s="105">
        <f>'B)NSA RCO Nb'!AI67/'B)NSA RCO Nb'!AH67-1</f>
        <v>-6.6870373156395768E-3</v>
      </c>
      <c r="AJ62" s="105">
        <f>'B)NSA RCO Nb'!AJ67/'B)NSA RCO Nb'!AI67-1</f>
        <v>-1.1552602991560135E-2</v>
      </c>
      <c r="AK62" s="105">
        <f>'B)NSA RCO Nb'!AK67/'B)NSA RCO Nb'!AJ67-1</f>
        <v>-9.8700200781992597E-3</v>
      </c>
      <c r="AL62" s="105">
        <f>'B)NSA RCO Nb'!AL67/'B)NSA RCO Nb'!AK67-1</f>
        <v>-4.885480703551881E-3</v>
      </c>
      <c r="AM62" s="105">
        <f>'B)NSA RCO Nb'!AM67/'B)NSA RCO Nb'!AL67-1</f>
        <v>-7.1269033899713508E-3</v>
      </c>
      <c r="AN62" s="105">
        <f>'B)NSA RCO Nb'!AN67/'B)NSA RCO Nb'!AM67-1</f>
        <v>-1.232530820021871E-2</v>
      </c>
      <c r="AO62" s="105">
        <f>'B)NSA RCO Nb'!AO67/'B)NSA RCO Nb'!AN67-1</f>
        <v>-1.0086648383648145E-2</v>
      </c>
      <c r="AP62" s="105">
        <f>'B)NSA RCO Nb'!AP67/'B)NSA RCO Nb'!AO67-1</f>
        <v>-4.6265350428955632E-3</v>
      </c>
      <c r="AQ62" s="105">
        <f>'B)NSA RCO Nb'!AQ67/'B)NSA RCO Nb'!AP67-1</f>
        <v>-6.2908090918424309E-3</v>
      </c>
      <c r="AR62" s="105">
        <f>'B)NSA RCO Nb'!AR67/'B)NSA RCO Nb'!AQ67-1</f>
        <v>-1.2937726891929624E-2</v>
      </c>
      <c r="AS62" s="105">
        <f>'B)NSA RCO Nb'!AS67/'B)NSA RCO Nb'!AR67-1</f>
        <v>-1.168991730486868E-2</v>
      </c>
      <c r="AT62" s="105">
        <f>'B)NSA RCO Nb'!AT67/'B)NSA RCO Nb'!AS67-1</f>
        <v>-5.6077976727210155E-3</v>
      </c>
      <c r="AU62" s="105">
        <f>'B)NSA RCO Nb'!AU67/'B)NSA RCO Nb'!AT67-1</f>
        <v>-1.0225231449495609E-2</v>
      </c>
      <c r="AV62" s="105">
        <f>'B)NSA RCO Nb'!AV67/'B)NSA RCO Nb'!AU67-1</f>
        <v>-1.4929149797570873E-2</v>
      </c>
      <c r="AW62" s="105">
        <f>'B)NSA RCO Nb'!AW67/'B)NSA RCO Nb'!AV67-1</f>
        <v>-1.0649825357036402E-2</v>
      </c>
      <c r="AX62" s="105">
        <f>'B)NSA RCO Nb'!AX67/'B)NSA RCO Nb'!AW67-1</f>
        <v>-0.18314213749388208</v>
      </c>
      <c r="AY62" s="105">
        <f>'B)NSA RCO Nb'!AY67/'B)NSA RCO Nb'!AX67-1</f>
        <v>-1.0532815034561382E-2</v>
      </c>
      <c r="AZ62" s="105">
        <f>'B)NSA RCO Nb'!AZ67/'B)NSA RCO Nb'!AY67-1</f>
        <v>-1.7376021385872464E-2</v>
      </c>
      <c r="BA62" s="105">
        <f>'B)NSA RCO Nb'!BA67/'B)NSA RCO Nb'!AZ67-1</f>
        <v>-1.3527376027235083E-2</v>
      </c>
      <c r="BB62" s="396">
        <f>'B)NSA RCO Nb'!BB67/'B)NSA RCO Nb'!BA67-1</f>
        <v>-3.4701192639233769E-3</v>
      </c>
      <c r="BC62" s="455">
        <f>'B)NSA RCO Nb'!BC67/'B)NSA RCO Nb'!BB67-1</f>
        <v>-1.505259617148802E-2</v>
      </c>
      <c r="BD62" s="455">
        <f>'B)NSA RCO Nb'!BD67/'B)NSA RCO Nb'!BC67-1</f>
        <v>-1.5523249947609008E-2</v>
      </c>
      <c r="BE62" s="455">
        <f>'B)NSA RCO Nb'!BE67/'B)NSA RCO Nb'!BD67-1</f>
        <v>-1.2105898028208939E-2</v>
      </c>
      <c r="BF62" s="455">
        <f>'B)NSA RCO Nb'!BF67/'B)NSA RCO Nb'!BE67-1</f>
        <v>-6.8992486243401041E-3</v>
      </c>
      <c r="BG62" s="455">
        <f>'B)NSA RCO Nb'!BG67/'B)NSA RCO Nb'!BF67-1</f>
        <v>-1.0933067607422076E-2</v>
      </c>
      <c r="BH62" s="455">
        <f>'B)NSA RCO Nb'!BH67/'B)NSA RCO Nb'!BG67-1</f>
        <v>-1.7817896708198444E-2</v>
      </c>
      <c r="BI62" s="455">
        <f>'B)NSA RCO Nb'!BI67/'B)NSA RCO Nb'!BH67-1</f>
        <v>-1.394294601089463E-2</v>
      </c>
      <c r="BJ62" s="455">
        <f>'B)NSA RCO Nb'!BJ67/'B)NSA RCO Nb'!BI67-1</f>
        <v>-7.5922818791945845E-3</v>
      </c>
    </row>
    <row r="63" spans="1:62" x14ac:dyDescent="0.25">
      <c r="A63" s="5"/>
      <c r="B63" s="10"/>
      <c r="C63" s="40"/>
      <c r="D63" s="40"/>
      <c r="E63" s="40"/>
      <c r="F63" s="40"/>
      <c r="G63" s="40"/>
      <c r="H63" s="40"/>
      <c r="I63" s="40"/>
      <c r="J63" s="40"/>
      <c r="K63" s="146"/>
      <c r="L63" s="146"/>
      <c r="M63" s="40"/>
      <c r="N63" s="40"/>
      <c r="O63" s="40"/>
      <c r="P63" s="40"/>
      <c r="Q63" s="40"/>
      <c r="R63" s="40"/>
      <c r="S63" s="40"/>
      <c r="T63" s="40"/>
      <c r="U63" s="40"/>
      <c r="V63" s="40"/>
      <c r="W63" s="40"/>
      <c r="X63" s="40"/>
      <c r="Y63" s="40"/>
      <c r="Z63" s="40"/>
      <c r="AA63" s="40"/>
      <c r="AB63" s="40"/>
      <c r="AC63" s="40"/>
      <c r="AD63" s="40"/>
      <c r="AE63" s="40"/>
      <c r="AF63" s="40"/>
      <c r="AG63" s="40"/>
      <c r="AH63" s="40"/>
      <c r="AI63" s="40"/>
      <c r="AJ63" s="40"/>
      <c r="AM63" s="40"/>
      <c r="AN63" s="40"/>
      <c r="AO63" s="40"/>
    </row>
    <row r="64" spans="1:62" ht="13" x14ac:dyDescent="0.3">
      <c r="A64" s="25" t="s">
        <v>44</v>
      </c>
      <c r="L64" s="14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M64" s="35"/>
      <c r="AN64" s="35"/>
      <c r="AO64" s="35"/>
      <c r="BB64" s="377" t="s">
        <v>241</v>
      </c>
      <c r="BC64" s="377"/>
      <c r="BD64" s="377"/>
      <c r="BE64" s="377"/>
      <c r="BF64" s="377"/>
      <c r="BG64" s="377"/>
      <c r="BH64" s="377"/>
      <c r="BI64" s="377"/>
      <c r="BJ64" s="377"/>
    </row>
    <row r="65" spans="1:62" x14ac:dyDescent="0.25">
      <c r="A65" s="17" t="s">
        <v>7</v>
      </c>
      <c r="L65" s="14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M65" s="35"/>
      <c r="AN65" s="35"/>
      <c r="AO65" s="35"/>
      <c r="BB65" s="383" t="s">
        <v>244</v>
      </c>
      <c r="BC65" s="383"/>
      <c r="BD65" s="383"/>
      <c r="BE65" s="383"/>
      <c r="BF65" s="383"/>
      <c r="BG65" s="383"/>
      <c r="BH65" s="383"/>
      <c r="BI65" s="383"/>
      <c r="BJ65" s="383"/>
    </row>
    <row r="66" spans="1:62" x14ac:dyDescent="0.25">
      <c r="B66" s="2" t="str">
        <f t="shared" ref="B66:H66" si="144">B8</f>
        <v>4eme T 2009</v>
      </c>
      <c r="C66" s="38" t="str">
        <f t="shared" si="144"/>
        <v>1er T 2010</v>
      </c>
      <c r="D66" s="38" t="str">
        <f t="shared" si="144"/>
        <v>2eme T 2010</v>
      </c>
      <c r="E66" s="38" t="str">
        <f t="shared" si="144"/>
        <v>3eme T 2010</v>
      </c>
      <c r="F66" s="38" t="str">
        <f t="shared" si="144"/>
        <v>4eme T 2010</v>
      </c>
      <c r="G66" s="38" t="str">
        <f t="shared" si="144"/>
        <v>1er T 2011</v>
      </c>
      <c r="H66" s="38" t="str">
        <f t="shared" si="144"/>
        <v>2eme T 2011</v>
      </c>
      <c r="I66" s="38" t="str">
        <f t="shared" ref="I66:N66" si="145">I8</f>
        <v>3eme T 2011</v>
      </c>
      <c r="J66" s="38" t="str">
        <f t="shared" si="145"/>
        <v>4eme T 2011</v>
      </c>
      <c r="K66" s="38" t="str">
        <f t="shared" si="145"/>
        <v>1er T 2012</v>
      </c>
      <c r="L66" s="38" t="str">
        <f t="shared" si="145"/>
        <v>2eme T 2012</v>
      </c>
      <c r="M66" s="38" t="str">
        <f t="shared" si="145"/>
        <v>3eme T 2012</v>
      </c>
      <c r="N66" s="38" t="str">
        <f t="shared" si="145"/>
        <v>4eme T 2012</v>
      </c>
      <c r="O66" s="38" t="str">
        <f t="shared" ref="O66:T66" si="146">O8</f>
        <v>1er T 2013</v>
      </c>
      <c r="P66" s="38" t="str">
        <f t="shared" si="146"/>
        <v>2eme T 2013</v>
      </c>
      <c r="Q66" s="38" t="str">
        <f t="shared" si="146"/>
        <v>3ème T 2013</v>
      </c>
      <c r="R66" s="38" t="str">
        <f t="shared" si="146"/>
        <v>4ème T 2013</v>
      </c>
      <c r="S66" s="38" t="str">
        <f t="shared" si="146"/>
        <v>1er T 2014</v>
      </c>
      <c r="T66" s="38" t="str">
        <f t="shared" si="146"/>
        <v>2eme T 2014</v>
      </c>
      <c r="U66" s="38" t="str">
        <f t="shared" ref="U66:V66" si="147">U8</f>
        <v>3T 2014</v>
      </c>
      <c r="V66" s="38" t="str">
        <f t="shared" si="147"/>
        <v>4ème T 2014</v>
      </c>
      <c r="W66" s="38" t="str">
        <f t="shared" ref="W66:X66" si="148">W8</f>
        <v>1er T 2015</v>
      </c>
      <c r="X66" s="38" t="str">
        <f t="shared" si="148"/>
        <v>2e T 2015</v>
      </c>
      <c r="Y66" s="38" t="str">
        <f t="shared" ref="Y66:Z66" si="149">Y8</f>
        <v>3e T 2015</v>
      </c>
      <c r="Z66" s="38" t="str">
        <f t="shared" si="149"/>
        <v>4e T 2015</v>
      </c>
      <c r="AA66" s="38" t="str">
        <f t="shared" ref="AA66:AB66" si="150">AA8</f>
        <v>1er T 2016</v>
      </c>
      <c r="AB66" s="38" t="str">
        <f t="shared" si="150"/>
        <v>2e T 2016</v>
      </c>
      <c r="AC66" s="38" t="str">
        <f t="shared" ref="AC66:AD66" si="151">AC8</f>
        <v>3e T 2016</v>
      </c>
      <c r="AD66" s="38" t="str">
        <f t="shared" si="151"/>
        <v>4e T 2016</v>
      </c>
      <c r="AE66" s="38" t="str">
        <f t="shared" ref="AE66:AF66" si="152">AE8</f>
        <v>2017 - T1</v>
      </c>
      <c r="AF66" s="38" t="str">
        <f t="shared" si="152"/>
        <v>2017 - T2</v>
      </c>
      <c r="AG66" s="38" t="str">
        <f t="shared" ref="AG66:AH66" si="153">AG8</f>
        <v>2017- T3</v>
      </c>
      <c r="AH66" s="38" t="str">
        <f t="shared" si="153"/>
        <v>2017 - T4</v>
      </c>
      <c r="AI66" s="38" t="str">
        <f t="shared" ref="AI66:AJ66" si="154">AI8</f>
        <v>2018 - T1</v>
      </c>
      <c r="AJ66" s="38" t="str">
        <f t="shared" si="154"/>
        <v>2018 - T2</v>
      </c>
      <c r="AK66" s="38" t="str">
        <f t="shared" ref="AK66:AM66" si="155">AK8</f>
        <v>2018 - T3</v>
      </c>
      <c r="AL66" s="38" t="str">
        <f t="shared" si="155"/>
        <v>2018 - T4</v>
      </c>
      <c r="AM66" s="38" t="str">
        <f t="shared" si="155"/>
        <v>2019 - T1</v>
      </c>
      <c r="AN66" s="38" t="str">
        <f t="shared" ref="AN66:AP66" si="156">AN8</f>
        <v>2019 - T2</v>
      </c>
      <c r="AO66" s="38" t="str">
        <f t="shared" si="156"/>
        <v>2019 - T3</v>
      </c>
      <c r="AP66" s="38" t="str">
        <f t="shared" si="156"/>
        <v>2019 - T4</v>
      </c>
      <c r="AQ66" s="38" t="str">
        <f t="shared" ref="AQ66" si="157">AQ8</f>
        <v>2020 - T1</v>
      </c>
      <c r="AR66" s="38" t="str">
        <f t="shared" ref="AR66" si="158">AR8</f>
        <v>2020 - T2</v>
      </c>
      <c r="AS66" s="38" t="str">
        <f t="shared" ref="AS66:AT66" si="159">AS8</f>
        <v>2020 - T3</v>
      </c>
      <c r="AT66" s="38" t="str">
        <f t="shared" si="159"/>
        <v>2020- T4</v>
      </c>
      <c r="AU66" s="38" t="str">
        <f t="shared" ref="AU66:AV66" si="160">AU8</f>
        <v>2021- T1</v>
      </c>
      <c r="AV66" s="38" t="str">
        <f t="shared" si="160"/>
        <v>2021- T2</v>
      </c>
      <c r="AW66" s="38" t="str">
        <f t="shared" ref="AW66:AX66" si="161">AW8</f>
        <v>2021- T3</v>
      </c>
      <c r="AX66" s="38" t="str">
        <f t="shared" si="161"/>
        <v>2021- T4</v>
      </c>
      <c r="AY66" s="38" t="str">
        <f t="shared" ref="AY66:AZ66" si="162">AY8</f>
        <v>2022- T1</v>
      </c>
      <c r="AZ66" s="38" t="str">
        <f t="shared" si="162"/>
        <v>2022- T2</v>
      </c>
      <c r="BA66" s="38" t="str">
        <f t="shared" ref="BA66:BB66" si="163">BA8</f>
        <v>2022- T3</v>
      </c>
      <c r="BB66" s="38" t="str">
        <f t="shared" si="163"/>
        <v>2022- T4</v>
      </c>
      <c r="BC66" s="38" t="str">
        <f t="shared" ref="BC66:BD66" si="164">BC8</f>
        <v>2023- T1</v>
      </c>
      <c r="BD66" s="38" t="str">
        <f t="shared" si="164"/>
        <v>2023- T2</v>
      </c>
      <c r="BE66" s="38" t="str">
        <f t="shared" ref="BE66:BF66" si="165">BE8</f>
        <v>2023- T3</v>
      </c>
      <c r="BF66" s="38" t="str">
        <f t="shared" si="165"/>
        <v>2023- T4</v>
      </c>
      <c r="BG66" s="38" t="str">
        <f t="shared" ref="BG66:BH66" si="166">BG8</f>
        <v>2024- T1</v>
      </c>
      <c r="BH66" s="38" t="str">
        <f t="shared" si="166"/>
        <v>2024- T2</v>
      </c>
      <c r="BI66" s="38" t="str">
        <f t="shared" ref="BI66:BJ66" si="167">BI8</f>
        <v>2024- T3</v>
      </c>
      <c r="BJ66" s="38" t="str">
        <f t="shared" si="167"/>
        <v>2024- T4</v>
      </c>
    </row>
    <row r="67" spans="1:62" x14ac:dyDescent="0.25">
      <c r="A67" s="8" t="s">
        <v>135</v>
      </c>
      <c r="B67" s="16"/>
      <c r="C67" s="105">
        <f>'B)NSA RCO Nb'!C72/'B)NSA RCO Nb'!B72-1</f>
        <v>2.8736975900900408E-3</v>
      </c>
      <c r="D67" s="105">
        <f>'B)NSA RCO Nb'!D72/'B)NSA RCO Nb'!C72-1</f>
        <v>8.8380038403987893E-3</v>
      </c>
      <c r="E67" s="105">
        <f>'B)NSA RCO Nb'!E72/'B)NSA RCO Nb'!D72-1</f>
        <v>1.8907721913619113E-4</v>
      </c>
      <c r="F67" s="105">
        <f>'B)NSA RCO Nb'!F72/'B)NSA RCO Nb'!E72-1</f>
        <v>3.4447557794181627E-4</v>
      </c>
      <c r="G67" s="105">
        <f>'B)NSA RCO Nb'!G72/'B)NSA RCO Nb'!F72-1</f>
        <v>1.5034120734906953E-3</v>
      </c>
      <c r="H67" s="105">
        <f>'B)NSA RCO Nb'!H72/'B)NSA RCO Nb'!G72-1</f>
        <v>2.0487833514338583E-2</v>
      </c>
      <c r="I67" s="105">
        <f>'B)NSA RCO Nb'!I72/'B)NSA RCO Nb'!H72-1</f>
        <v>5.2595030591406911E-4</v>
      </c>
      <c r="J67" s="105">
        <f>'B)NSA RCO Nb'!J72/'B)NSA RCO Nb'!I72-1</f>
        <v>4.3121681170621429E-4</v>
      </c>
      <c r="K67" s="105">
        <f>'B)NSA RCO Nb'!K72/'B)NSA RCO Nb'!J72-1</f>
        <v>-7.6764558583253262E-4</v>
      </c>
      <c r="L67" s="105">
        <f>'B)NSA RCO Nb'!L72/'B)NSA RCO Nb'!K72-1</f>
        <v>2.2640346732945904E-2</v>
      </c>
      <c r="M67" s="105">
        <f>'B)NSA RCO Nb'!M72/'B)NSA RCO Nb'!L72-1</f>
        <v>7.0703743281130826E-4</v>
      </c>
      <c r="N67" s="105">
        <f>'B)NSA RCO Nb'!N72/'B)NSA RCO Nb'!M72-1</f>
        <v>5.861052902025321E-4</v>
      </c>
      <c r="O67" s="105">
        <f>'B)NSA RCO Nb'!O72/'B)NSA RCO Nb'!N72-1</f>
        <v>1.6329117986906283E-3</v>
      </c>
      <c r="P67" s="105">
        <f>'B)NSA RCO Nb'!P72/'B)NSA RCO Nb'!O72-1</f>
        <v>1.2621417556227588E-2</v>
      </c>
      <c r="Q67" s="105">
        <f>'B)NSA RCO Nb'!Q72/'B)NSA RCO Nb'!P72-1</f>
        <v>2.8875896932833989E-4</v>
      </c>
      <c r="R67" s="105">
        <f>'B)NSA RCO Nb'!R72/'B)NSA RCO Nb'!Q72-1</f>
        <v>-2.5387635984008838E-3</v>
      </c>
      <c r="S67" s="105">
        <f>'B)NSA RCO Nb'!S72/'B)NSA RCO Nb'!R72-1</f>
        <v>5.0864861221786573E-3</v>
      </c>
      <c r="T67" s="105">
        <f>'B)NSA RCO Nb'!T72/'B)NSA RCO Nb'!S72-1</f>
        <v>-2.6049226885452859E-2</v>
      </c>
      <c r="U67" s="105">
        <f>'B)NSA RCO Nb'!U72/'B)NSA RCO Nb'!T72-1</f>
        <v>3.2804678514151142E-3</v>
      </c>
      <c r="V67" s="105">
        <f>'B)NSA RCO Nb'!V72/'B)NSA RCO Nb'!U72-1</f>
        <v>9.4459200891305883E-4</v>
      </c>
      <c r="W67" s="105">
        <f>'B)NSA RCO Nb'!W72/'B)NSA RCO Nb'!V72-1</f>
        <v>1.0324245846105029E-3</v>
      </c>
      <c r="X67" s="105">
        <f>'B)NSA RCO Nb'!X72/'B)NSA RCO Nb'!W72-1</f>
        <v>1.4745221903504913E-3</v>
      </c>
      <c r="Y67" s="105">
        <f>'B)NSA RCO Nb'!Y72/'B)NSA RCO Nb'!X72-1</f>
        <v>1.2873015745307193E-3</v>
      </c>
      <c r="Z67" s="105">
        <f>'B)NSA RCO Nb'!Z72/'B)NSA RCO Nb'!Y72-1</f>
        <v>2.2137226699665558E-3</v>
      </c>
      <c r="AA67" s="105">
        <f>'B)NSA RCO Nb'!AA72/'B)NSA RCO Nb'!Z72-1</f>
        <v>1.5826628663515807E-2</v>
      </c>
      <c r="AB67" s="105">
        <f>'B)NSA RCO Nb'!AB72/'B)NSA RCO Nb'!AA72-1</f>
        <v>1.2825521604098444E-3</v>
      </c>
      <c r="AC67" s="105">
        <f>'B)NSA RCO Nb'!AC72/'B)NSA RCO Nb'!AB72-1</f>
        <v>9.5772605093680241E-4</v>
      </c>
      <c r="AD67" s="105">
        <f>'B)NSA RCO Nb'!AD72/'B)NSA RCO Nb'!AC72-1</f>
        <v>8.8396615334942474E-3</v>
      </c>
      <c r="AE67" s="105">
        <f>'B)NSA RCO Nb'!AE72/'B)NSA RCO Nb'!AD72-1</f>
        <v>1.2294410141522327E-3</v>
      </c>
      <c r="AF67" s="105">
        <f>'B)NSA RCO Nb'!AF72/'B)NSA RCO Nb'!AE72-1</f>
        <v>3.8592127985537239E-4</v>
      </c>
      <c r="AG67" s="105">
        <f>'B)NSA RCO Nb'!AG72/'B)NSA RCO Nb'!AF72-1</f>
        <v>1.6911638636467607E-3</v>
      </c>
      <c r="AH67" s="105">
        <f>'B)NSA RCO Nb'!AH72/'B)NSA RCO Nb'!AG72-1</f>
        <v>2.232146330457252E-2</v>
      </c>
      <c r="AI67" s="105">
        <f>'B)NSA RCO Nb'!AI72/'B)NSA RCO Nb'!AH72-1</f>
        <v>-6.3318112633180546E-3</v>
      </c>
      <c r="AJ67" s="105">
        <f>'B)NSA RCO Nb'!AJ72/'B)NSA RCO Nb'!AI72-1</f>
        <v>1.7002634642484526E-3</v>
      </c>
      <c r="AK67" s="105">
        <f>'B)NSA RCO Nb'!AK72/'B)NSA RCO Nb'!AJ72-1</f>
        <v>1.0704182276930485E-3</v>
      </c>
      <c r="AL67" s="105">
        <f>'B)NSA RCO Nb'!AL72/'B)NSA RCO Nb'!AK72-1</f>
        <v>1.2907660581991109E-3</v>
      </c>
      <c r="AM67" s="105">
        <f>'B)NSA RCO Nb'!AM72/'B)NSA RCO Nb'!AL72-1</f>
        <v>4.359300986277459E-3</v>
      </c>
      <c r="AN67" s="105">
        <f>'B)NSA RCO Nb'!AN72/'B)NSA RCO Nb'!AM72-1</f>
        <v>1.7240004404934783E-3</v>
      </c>
      <c r="AO67" s="105">
        <f>'B)NSA RCO Nb'!AO72/'B)NSA RCO Nb'!AN72-1</f>
        <v>2.1228605545975388E-3</v>
      </c>
      <c r="AP67" s="105">
        <f>'B)NSA RCO Nb'!AP72/'B)NSA RCO Nb'!AO72-1</f>
        <v>2.0729700592005962E-3</v>
      </c>
      <c r="AQ67" s="105">
        <f>'B)NSA RCO Nb'!AQ72/'B)NSA RCO Nb'!AP72-1</f>
        <v>1.0215059852096697E-2</v>
      </c>
      <c r="AR67" s="105">
        <f>'B)NSA RCO Nb'!AR72/'B)NSA RCO Nb'!AQ72-1</f>
        <v>1.6217690735362833E-3</v>
      </c>
      <c r="AS67" s="105">
        <f>'B)NSA RCO Nb'!AS72/'B)NSA RCO Nb'!AR72-1</f>
        <v>1.0632622377753087E-3</v>
      </c>
      <c r="AT67" s="105">
        <f>'B)NSA RCO Nb'!AT72/'B)NSA RCO Nb'!AS72-1</f>
        <v>2.2211621597445497E-3</v>
      </c>
      <c r="AU67" s="105">
        <f>'B)NSA RCO Nb'!AU72/'B)NSA RCO Nb'!AT72-1</f>
        <v>6.0054141690588647E-3</v>
      </c>
      <c r="AV67" s="105">
        <f>'B)NSA RCO Nb'!AV72/'B)NSA RCO Nb'!AU72-1</f>
        <v>2.9718450944224983E-3</v>
      </c>
      <c r="AW67" s="105">
        <f>'B)NSA RCO Nb'!AW72/'B)NSA RCO Nb'!AV72-1</f>
        <v>4.326627184043863E-3</v>
      </c>
      <c r="AX67" s="105">
        <f>'B)NSA RCO Nb'!AX72/'B)NSA RCO Nb'!AW72-1</f>
        <v>7.073896158685522E-2</v>
      </c>
      <c r="AY67" s="105">
        <f>'B)NSA RCO Nb'!AY72/'B)NSA RCO Nb'!AX72-1</f>
        <v>4.7742924307902834E-2</v>
      </c>
      <c r="AZ67" s="105">
        <f>'B)NSA RCO Nb'!AZ72/'B)NSA RCO Nb'!AY72-1</f>
        <v>2.1290897134178532E-3</v>
      </c>
      <c r="BA67" s="105">
        <f>'B)NSA RCO Nb'!BA72/'B)NSA RCO Nb'!AZ72-1</f>
        <v>4.123071693642788E-2</v>
      </c>
      <c r="BB67" s="396">
        <f>'B)NSA RCO Nb'!BB72/'B)NSA RCO Nb'!BA72-1</f>
        <v>-1.3216693994314577E-3</v>
      </c>
      <c r="BC67" s="455">
        <f>'B)NSA RCO Nb'!BC72/'B)NSA RCO Nb'!BB72-1</f>
        <v>1.0539322442535415E-2</v>
      </c>
      <c r="BD67" s="455">
        <f>'B)NSA RCO Nb'!BD72/'B)NSA RCO Nb'!BC72-1</f>
        <v>5.2545531797889566E-3</v>
      </c>
      <c r="BE67" s="455">
        <f>'B)NSA RCO Nb'!BE72/'B)NSA RCO Nb'!BD72-1</f>
        <v>2.8973518173509571E-3</v>
      </c>
      <c r="BF67" s="455">
        <f>'B)NSA RCO Nb'!BF72/'B)NSA RCO Nb'!BE72-1</f>
        <v>2.0582422891437524E-3</v>
      </c>
      <c r="BG67" s="455">
        <f>'B)NSA RCO Nb'!BG72/'B)NSA RCO Nb'!BF72-1</f>
        <v>4.5056831618353277E-2</v>
      </c>
      <c r="BH67" s="455">
        <f>'B)NSA RCO Nb'!BH72/'B)NSA RCO Nb'!BG72-1</f>
        <v>3.8437121246635009E-3</v>
      </c>
      <c r="BI67" s="455">
        <f>'B)NSA RCO Nb'!BI72/'B)NSA RCO Nb'!BH72-1</f>
        <v>2.7500490158900437E-3</v>
      </c>
      <c r="BJ67" s="455">
        <f>'B)NSA RCO Nb'!BJ72/'B)NSA RCO Nb'!BI72-1</f>
        <v>1.3265267495599087E-3</v>
      </c>
    </row>
    <row r="68" spans="1:62" ht="13" x14ac:dyDescent="0.25">
      <c r="A68" s="157" t="s">
        <v>137</v>
      </c>
      <c r="B68" s="16"/>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455"/>
      <c r="BD68" s="455"/>
      <c r="BE68" s="455"/>
      <c r="BF68" s="455"/>
      <c r="BG68" s="455"/>
      <c r="BH68" s="455"/>
      <c r="BI68" s="455"/>
      <c r="BJ68" s="455"/>
    </row>
    <row r="69" spans="1:62" ht="13" x14ac:dyDescent="0.25">
      <c r="A69" s="157" t="s">
        <v>138</v>
      </c>
      <c r="B69" s="16"/>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455"/>
      <c r="BD69" s="455"/>
      <c r="BE69" s="455"/>
      <c r="BF69" s="455"/>
      <c r="BG69" s="455"/>
      <c r="BH69" s="455"/>
      <c r="BI69" s="455"/>
      <c r="BJ69" s="455"/>
    </row>
    <row r="70" spans="1:62" x14ac:dyDescent="0.25">
      <c r="A70" s="8" t="s">
        <v>136</v>
      </c>
      <c r="B70" s="16"/>
      <c r="C70" s="105">
        <f>'B)NSA RCO Nb'!C75/'B)NSA RCO Nb'!B75-1</f>
        <v>2.2649939852208423E-3</v>
      </c>
      <c r="D70" s="105">
        <f>'B)NSA RCO Nb'!D75/'B)NSA RCO Nb'!C75-1</f>
        <v>3.6384336560255637E-3</v>
      </c>
      <c r="E70" s="105">
        <f>'B)NSA RCO Nb'!E75/'B)NSA RCO Nb'!D75-1</f>
        <v>4.7835446065547238E-4</v>
      </c>
      <c r="F70" s="105">
        <f>'B)NSA RCO Nb'!F75/'B)NSA RCO Nb'!E75-1</f>
        <v>7.615860114067452E-4</v>
      </c>
      <c r="G70" s="105">
        <f>'B)NSA RCO Nb'!G75/'B)NSA RCO Nb'!F75-1</f>
        <v>1.0101251394893929E-3</v>
      </c>
      <c r="H70" s="105">
        <f>'B)NSA RCO Nb'!H75/'B)NSA RCO Nb'!G75-1</f>
        <v>2.0659396104715233E-2</v>
      </c>
      <c r="I70" s="105">
        <f>'B)NSA RCO Nb'!I75/'B)NSA RCO Nb'!H75-1</f>
        <v>1.0354421839144923E-3</v>
      </c>
      <c r="J70" s="105">
        <f>'B)NSA RCO Nb'!J75/'B)NSA RCO Nb'!I75-1</f>
        <v>9.8432093533862286E-4</v>
      </c>
      <c r="K70" s="105">
        <f>'B)NSA RCO Nb'!K75/'B)NSA RCO Nb'!J75-1</f>
        <v>-1.7333680006936802E-4</v>
      </c>
      <c r="L70" s="105">
        <f>'B)NSA RCO Nb'!L75/'B)NSA RCO Nb'!K75-1</f>
        <v>2.2020924045315304E-2</v>
      </c>
      <c r="M70" s="105">
        <f>'B)NSA RCO Nb'!M75/'B)NSA RCO Nb'!L75-1</f>
        <v>6.1980707689146541E-5</v>
      </c>
      <c r="N70" s="105">
        <f>'B)NSA RCO Nb'!N75/'B)NSA RCO Nb'!M75-1</f>
        <v>5.7410149853542869E-4</v>
      </c>
      <c r="O70" s="105">
        <f>'B)NSA RCO Nb'!O75/'B)NSA RCO Nb'!N75-1</f>
        <v>1.8614992404040187E-3</v>
      </c>
      <c r="P70" s="105">
        <f>'B)NSA RCO Nb'!P75/'B)NSA RCO Nb'!O75-1</f>
        <v>1.2827312869940544E-2</v>
      </c>
      <c r="Q70" s="105">
        <f>'B)NSA RCO Nb'!Q75/'B)NSA RCO Nb'!P75-1</f>
        <v>4.015999742976728E-4</v>
      </c>
      <c r="R70" s="105">
        <f>'B)NSA RCO Nb'!R75/'B)NSA RCO Nb'!Q75-1</f>
        <v>1.2524889202891742E-4</v>
      </c>
      <c r="S70" s="105">
        <f>'B)NSA RCO Nb'!S75/'B)NSA RCO Nb'!R75-1</f>
        <v>1.9330869343232582E-3</v>
      </c>
      <c r="T70" s="105">
        <f>'B)NSA RCO Nb'!T75/'B)NSA RCO Nb'!S75-1</f>
        <v>-5.9681880386256103E-2</v>
      </c>
      <c r="U70" s="105">
        <f>'B)NSA RCO Nb'!U75/'B)NSA RCO Nb'!T75-1</f>
        <v>2.5596542592170035E-3</v>
      </c>
      <c r="V70" s="105">
        <f>'B)NSA RCO Nb'!V75/'B)NSA RCO Nb'!U75-1</f>
        <v>3.3418323984362175E-3</v>
      </c>
      <c r="W70" s="105">
        <f>'B)NSA RCO Nb'!W75/'B)NSA RCO Nb'!V75-1</f>
        <v>1.7263403279199618E-3</v>
      </c>
      <c r="X70" s="105">
        <f>'B)NSA RCO Nb'!X75/'B)NSA RCO Nb'!W75-1</f>
        <v>2.5317740176056258E-3</v>
      </c>
      <c r="Y70" s="105">
        <f>'B)NSA RCO Nb'!Y75/'B)NSA RCO Nb'!X75-1</f>
        <v>2.1964229683089087E-3</v>
      </c>
      <c r="Z70" s="105">
        <f>'B)NSA RCO Nb'!Z75/'B)NSA RCO Nb'!Y75-1</f>
        <v>2.8278829256469518E-3</v>
      </c>
      <c r="AA70" s="105">
        <f>'B)NSA RCO Nb'!AA75/'B)NSA RCO Nb'!Z75-1</f>
        <v>9.8931791783323231E-3</v>
      </c>
      <c r="AB70" s="105">
        <f>'B)NSA RCO Nb'!AB75/'B)NSA RCO Nb'!AA75-1</f>
        <v>1.8382536258141347E-3</v>
      </c>
      <c r="AC70" s="105">
        <f>'B)NSA RCO Nb'!AC75/'B)NSA RCO Nb'!AB75-1</f>
        <v>1.960966481077131E-3</v>
      </c>
      <c r="AD70" s="105">
        <f>'B)NSA RCO Nb'!AD75/'B)NSA RCO Nb'!AC75-1</f>
        <v>5.4475068963117934E-3</v>
      </c>
      <c r="AE70" s="105">
        <f>'B)NSA RCO Nb'!AE75/'B)NSA RCO Nb'!AD75-1</f>
        <v>2.0156907693220649E-3</v>
      </c>
      <c r="AF70" s="105">
        <f>'B)NSA RCO Nb'!AF75/'B)NSA RCO Nb'!AE75-1</f>
        <v>1.6204845018570335E-3</v>
      </c>
      <c r="AG70" s="105">
        <f>'B)NSA RCO Nb'!AG75/'B)NSA RCO Nb'!AF75-1</f>
        <v>2.192154842266536E-3</v>
      </c>
      <c r="AH70" s="105">
        <f>'B)NSA RCO Nb'!AH75/'B)NSA RCO Nb'!AG75-1</f>
        <v>1.5206734972543323E-2</v>
      </c>
      <c r="AI70" s="105">
        <f>'B)NSA RCO Nb'!AI75/'B)NSA RCO Nb'!AH75-1</f>
        <v>-1.9159127195317316E-3</v>
      </c>
      <c r="AJ70" s="105">
        <f>'B)NSA RCO Nb'!AJ75/'B)NSA RCO Nb'!AI75-1</f>
        <v>2.0423925724128988E-3</v>
      </c>
      <c r="AK70" s="105">
        <f>'B)NSA RCO Nb'!AK75/'B)NSA RCO Nb'!AJ75-1</f>
        <v>1.7383003357274163E-3</v>
      </c>
      <c r="AL70" s="105">
        <f>'B)NSA RCO Nb'!AL75/'B)NSA RCO Nb'!AK75-1</f>
        <v>1.4873861924200593E-3</v>
      </c>
      <c r="AM70" s="105">
        <f>'B)NSA RCO Nb'!AM75/'B)NSA RCO Nb'!AL75-1</f>
        <v>4.5648302333207713E-3</v>
      </c>
      <c r="AN70" s="105">
        <f>'B)NSA RCO Nb'!AN75/'B)NSA RCO Nb'!AM75-1</f>
        <v>1.724833116795832E-3</v>
      </c>
      <c r="AO70" s="105">
        <f>'B)NSA RCO Nb'!AO75/'B)NSA RCO Nb'!AN75-1</f>
        <v>4.5170956416735741E-3</v>
      </c>
      <c r="AP70" s="105">
        <f>'B)NSA RCO Nb'!AP75/'B)NSA RCO Nb'!AO75-1</f>
        <v>-3.1801861680980092E-4</v>
      </c>
      <c r="AQ70" s="105">
        <f>'B)NSA RCO Nb'!AQ75/'B)NSA RCO Nb'!AP75-1</f>
        <v>1.0478865712095331E-2</v>
      </c>
      <c r="AR70" s="105">
        <f>'B)NSA RCO Nb'!AR75/'B)NSA RCO Nb'!AQ75-1</f>
        <v>3.5606234711513807E-3</v>
      </c>
      <c r="AS70" s="105">
        <f>'B)NSA RCO Nb'!AS75/'B)NSA RCO Nb'!AR75-1</f>
        <v>9.881670912126328E-4</v>
      </c>
      <c r="AT70" s="105">
        <f>'B)NSA RCO Nb'!AT75/'B)NSA RCO Nb'!AS75-1</f>
        <v>1.4102736871135502E-3</v>
      </c>
      <c r="AU70" s="105">
        <f>'B)NSA RCO Nb'!AU75/'B)NSA RCO Nb'!AT75-1</f>
        <v>5.6237618804708678E-3</v>
      </c>
      <c r="AV70" s="105">
        <f>'B)NSA RCO Nb'!AV75/'B)NSA RCO Nb'!AU75-1</f>
        <v>1.5404532355740574E-3</v>
      </c>
      <c r="AW70" s="105">
        <f>'B)NSA RCO Nb'!AW75/'B)NSA RCO Nb'!AV75-1</f>
        <v>2.1937115673229535E-3</v>
      </c>
      <c r="AX70" s="105">
        <f>'B)NSA RCO Nb'!AX75/'B)NSA RCO Nb'!AW75-1</f>
        <v>2.0531342885779846E-2</v>
      </c>
      <c r="AY70" s="105">
        <f>'B)NSA RCO Nb'!AY75/'B)NSA RCO Nb'!AX75-1</f>
        <v>3.1832990645991321E-2</v>
      </c>
      <c r="AZ70" s="105">
        <f>'B)NSA RCO Nb'!AZ75/'B)NSA RCO Nb'!AY75-1</f>
        <v>2.1932293406317083E-3</v>
      </c>
      <c r="BA70" s="105">
        <f>'B)NSA RCO Nb'!BA75/'B)NSA RCO Nb'!AZ75-1</f>
        <v>4.1514628162280465E-2</v>
      </c>
      <c r="BB70" s="396">
        <f>'B)NSA RCO Nb'!BB75/'B)NSA RCO Nb'!BA75-1</f>
        <v>-3.3468650718935233E-3</v>
      </c>
      <c r="BC70" s="455">
        <f>'B)NSA RCO Nb'!BC75/'B)NSA RCO Nb'!BB75-1</f>
        <v>1.4737706699786024E-2</v>
      </c>
      <c r="BD70" s="455">
        <f>'B)NSA RCO Nb'!BD75/'B)NSA RCO Nb'!BC75-1</f>
        <v>3.9271428078551107E-3</v>
      </c>
      <c r="BE70" s="455">
        <f>'B)NSA RCO Nb'!BE75/'B)NSA RCO Nb'!BD75-1</f>
        <v>2.3614297349823232E-3</v>
      </c>
      <c r="BF70" s="455">
        <f>'B)NSA RCO Nb'!BF75/'B)NSA RCO Nb'!BE75-1</f>
        <v>2.3038886555626359E-3</v>
      </c>
      <c r="BG70" s="455">
        <f>'B)NSA RCO Nb'!BG75/'B)NSA RCO Nb'!BF75-1</f>
        <v>4.75600222929915E-2</v>
      </c>
      <c r="BH70" s="455">
        <f>'B)NSA RCO Nb'!BH75/'B)NSA RCO Nb'!BG75-1</f>
        <v>3.1133451460920725E-3</v>
      </c>
      <c r="BI70" s="455">
        <f>'B)NSA RCO Nb'!BI75/'B)NSA RCO Nb'!BH75-1</f>
        <v>1.8492776217808871E-3</v>
      </c>
      <c r="BJ70" s="455">
        <f>'B)NSA RCO Nb'!BJ75/'B)NSA RCO Nb'!BI75-1</f>
        <v>2.0552303989458398E-3</v>
      </c>
    </row>
    <row r="71" spans="1:62" x14ac:dyDescent="0.25">
      <c r="A71" s="22" t="s">
        <v>60</v>
      </c>
      <c r="B71" s="16"/>
      <c r="C71" s="105">
        <f>'B)NSA RCO Nb'!C76/'B)NSA RCO Nb'!B76-1</f>
        <v>2.9153082425208421E-3</v>
      </c>
      <c r="D71" s="105">
        <f>'B)NSA RCO Nb'!D76/'B)NSA RCO Nb'!C76-1</f>
        <v>2.1604736092232679E-2</v>
      </c>
      <c r="E71" s="105">
        <f>'B)NSA RCO Nb'!E76/'B)NSA RCO Nb'!D76-1</f>
        <v>9.9387245570659033E-4</v>
      </c>
      <c r="F71" s="105">
        <f>'B)NSA RCO Nb'!F76/'B)NSA RCO Nb'!E76-1</f>
        <v>9.6886422689035356E-4</v>
      </c>
      <c r="G71" s="105">
        <f>'B)NSA RCO Nb'!G76/'B)NSA RCO Nb'!F76-1</f>
        <v>2.0638431479207409E-3</v>
      </c>
      <c r="H71" s="105">
        <f>'B)NSA RCO Nb'!H76/'B)NSA RCO Nb'!G76-1</f>
        <v>2.1238549504061233E-2</v>
      </c>
      <c r="I71" s="105">
        <f>'B)NSA RCO Nb'!I76/'B)NSA RCO Nb'!H76-1</f>
        <v>1.3718654243013439E-3</v>
      </c>
      <c r="J71" s="105">
        <f>'B)NSA RCO Nb'!J76/'B)NSA RCO Nb'!I76-1</f>
        <v>1.1279941609714239E-3</v>
      </c>
      <c r="K71" s="105">
        <f>'B)NSA RCO Nb'!K76/'B)NSA RCO Nb'!J76-1</f>
        <v>-2.4171916910975533E-4</v>
      </c>
      <c r="L71" s="105">
        <f>'B)NSA RCO Nb'!L76/'B)NSA RCO Nb'!K76-1</f>
        <v>2.297667236013945E-2</v>
      </c>
      <c r="M71" s="105">
        <f>'B)NSA RCO Nb'!M76/'B)NSA RCO Nb'!L76-1</f>
        <v>1.2084200574855597E-3</v>
      </c>
      <c r="N71" s="105">
        <f>'B)NSA RCO Nb'!N76/'B)NSA RCO Nb'!M76-1</f>
        <v>1.1041604002390848E-3</v>
      </c>
      <c r="O71" s="105">
        <f>'B)NSA RCO Nb'!O76/'B)NSA RCO Nb'!N76-1</f>
        <v>1.8673958765160759E-3</v>
      </c>
      <c r="P71" s="105">
        <f>'B)NSA RCO Nb'!P76/'B)NSA RCO Nb'!O76-1</f>
        <v>1.3020833333333481E-2</v>
      </c>
      <c r="Q71" s="105">
        <f>'B)NSA RCO Nb'!Q76/'B)NSA RCO Nb'!P76-1</f>
        <v>7.4572612739554067E-4</v>
      </c>
      <c r="R71" s="105">
        <f>'B)NSA RCO Nb'!R76/'B)NSA RCO Nb'!Q76-1</f>
        <v>-1.3255795666030634E-3</v>
      </c>
      <c r="S71" s="105">
        <f>'B)NSA RCO Nb'!S76/'B)NSA RCO Nb'!R76-1</f>
        <v>4.5369498948253373E-3</v>
      </c>
      <c r="T71" s="105">
        <f>'B)NSA RCO Nb'!T76/'B)NSA RCO Nb'!S76-1</f>
        <v>-4.8736697908618232E-2</v>
      </c>
      <c r="U71" s="105">
        <f>'B)NSA RCO Nb'!U76/'B)NSA RCO Nb'!T76-1</f>
        <v>3.315649867373871E-3</v>
      </c>
      <c r="V71" s="105">
        <f>'B)NSA RCO Nb'!V76/'B)NSA RCO Nb'!U76-1</f>
        <v>2.2018248160908804E-3</v>
      </c>
      <c r="W71" s="105">
        <f>'B)NSA RCO Nb'!W76/'B)NSA RCO Nb'!V76-1</f>
        <v>1.4633575275111443E-3</v>
      </c>
      <c r="X71" s="105">
        <f>'B)NSA RCO Nb'!X76/'B)NSA RCO Nb'!W76-1</f>
        <v>2.193777154324339E-3</v>
      </c>
      <c r="Y71" s="105">
        <f>'B)NSA RCO Nb'!Y76/'B)NSA RCO Nb'!X76-1</f>
        <v>2.0762214325151795E-3</v>
      </c>
      <c r="Z71" s="105">
        <f>'B)NSA RCO Nb'!Z76/'B)NSA RCO Nb'!Y76-1</f>
        <v>2.8750795399872242E-3</v>
      </c>
      <c r="AA71" s="105">
        <f>'B)NSA RCO Nb'!AA76/'B)NSA RCO Nb'!Z76-1</f>
        <v>1.3208342844320153E-2</v>
      </c>
      <c r="AB71" s="105">
        <f>'B)NSA RCO Nb'!AB76/'B)NSA RCO Nb'!AA76-1</f>
        <v>1.6839323830508679E-3</v>
      </c>
      <c r="AC71" s="105">
        <f>'B)NSA RCO Nb'!AC76/'B)NSA RCO Nb'!AB76-1</f>
        <v>1.6391692842547823E-3</v>
      </c>
      <c r="AD71" s="105">
        <f>'B)NSA RCO Nb'!AD76/'B)NSA RCO Nb'!AC76-1</f>
        <v>7.6267896695818571E-3</v>
      </c>
      <c r="AE71" s="105">
        <f>'B)NSA RCO Nb'!AE76/'B)NSA RCO Nb'!AD76-1</f>
        <v>1.6505389746261923E-3</v>
      </c>
      <c r="AF71" s="105">
        <f>'B)NSA RCO Nb'!AF76/'B)NSA RCO Nb'!AE76-1</f>
        <v>8.8989777487857857E-4</v>
      </c>
      <c r="AG71" s="105">
        <f>'B)NSA RCO Nb'!AG76/'B)NSA RCO Nb'!AF76-1</f>
        <v>2.0042571627705286E-3</v>
      </c>
      <c r="AH71" s="105">
        <f>'B)NSA RCO Nb'!AH76/'B)NSA RCO Nb'!AG76-1</f>
        <v>1.9449781363853447E-2</v>
      </c>
      <c r="AI71" s="105">
        <f>'B)NSA RCO Nb'!AI76/'B)NSA RCO Nb'!AH76-1</f>
        <v>-4.6101644906689776E-3</v>
      </c>
      <c r="AJ71" s="105">
        <f>'B)NSA RCO Nb'!AJ76/'B)NSA RCO Nb'!AI76-1</f>
        <v>1.874837896920889E-3</v>
      </c>
      <c r="AK71" s="105">
        <f>'B)NSA RCO Nb'!AK76/'B)NSA RCO Nb'!AJ76-1</f>
        <v>1.6124498883121063E-3</v>
      </c>
      <c r="AL71" s="105">
        <f>'B)NSA RCO Nb'!AL76/'B)NSA RCO Nb'!AK76-1</f>
        <v>1.6541619897205706E-3</v>
      </c>
      <c r="AM71" s="105">
        <f>'B)NSA RCO Nb'!AM76/'B)NSA RCO Nb'!AL76-1</f>
        <v>4.6999410203478753E-3</v>
      </c>
      <c r="AN71" s="105">
        <f>'B)NSA RCO Nb'!AN76/'B)NSA RCO Nb'!AM76-1</f>
        <v>1.7721193887472175E-3</v>
      </c>
      <c r="AO71" s="105">
        <f>'B)NSA RCO Nb'!AO76/'B)NSA RCO Nb'!AN76-1</f>
        <v>3.0142324511606144E-3</v>
      </c>
      <c r="AP71" s="105">
        <f>'B)NSA RCO Nb'!AP76/'B)NSA RCO Nb'!AO76-1</f>
        <v>1.3072325011593833E-3</v>
      </c>
      <c r="AQ71" s="105">
        <f>'B)NSA RCO Nb'!AQ76/'B)NSA RCO Nb'!AP76-1</f>
        <v>1.0743238068842809E-2</v>
      </c>
      <c r="AR71" s="105">
        <f>'B)NSA RCO Nb'!AR76/'B)NSA RCO Nb'!AQ76-1</f>
        <v>2.117872025688694E-3</v>
      </c>
      <c r="AS71" s="105">
        <f>'B)NSA RCO Nb'!AS76/'B)NSA RCO Nb'!AR76-1</f>
        <v>1.1053025720786369E-3</v>
      </c>
      <c r="AT71" s="105">
        <f>'B)NSA RCO Nb'!AT76/'B)NSA RCO Nb'!AS76-1</f>
        <v>2.0391355791395949E-3</v>
      </c>
      <c r="AU71" s="105">
        <f>'B)NSA RCO Nb'!AU76/'B)NSA RCO Nb'!AT76-1</f>
        <v>5.7101634449046035E-3</v>
      </c>
      <c r="AV71" s="105">
        <f>'B)NSA RCO Nb'!AV76/'B)NSA RCO Nb'!AU76-1</f>
        <v>2.4588087089647548E-3</v>
      </c>
      <c r="AW71" s="105">
        <f>'B)NSA RCO Nb'!AW76/'B)NSA RCO Nb'!AV76-1</f>
        <v>3.6311079151034598E-3</v>
      </c>
      <c r="AX71" s="105">
        <f>'B)NSA RCO Nb'!AX76/'B)NSA RCO Nb'!AW76-1</f>
        <v>5.643211615323529E-2</v>
      </c>
      <c r="AY71" s="105">
        <f>'B)NSA RCO Nb'!AY76/'B)NSA RCO Nb'!AX76-1</f>
        <v>4.9709723581339071E-2</v>
      </c>
      <c r="AZ71" s="105">
        <f>'B)NSA RCO Nb'!AZ76/'B)NSA RCO Nb'!AY76-1</f>
        <v>1.8199695207457012E-3</v>
      </c>
      <c r="BA71" s="105">
        <f>'B)NSA RCO Nb'!BA76/'B)NSA RCO Nb'!AZ76-1</f>
        <v>4.1379275021047102E-2</v>
      </c>
      <c r="BB71" s="396">
        <f>'B)NSA RCO Nb'!BB76/'B)NSA RCO Nb'!BA76-1</f>
        <v>-2.0151170630087201E-3</v>
      </c>
      <c r="BC71" s="455">
        <f>'B)NSA RCO Nb'!BC76/'B)NSA RCO Nb'!BB76-1</f>
        <v>1.1778606444868389E-2</v>
      </c>
      <c r="BD71" s="455">
        <f>'B)NSA RCO Nb'!BD76/'B)NSA RCO Nb'!BC76-1</f>
        <v>4.7833618800767752E-3</v>
      </c>
      <c r="BE71" s="455">
        <f>'B)NSA RCO Nb'!BE76/'B)NSA RCO Nb'!BD76-1</f>
        <v>2.7320148573872771E-3</v>
      </c>
      <c r="BF71" s="455">
        <f>'B)NSA RCO Nb'!BF76/'B)NSA RCO Nb'!BE76-1</f>
        <v>2.2307656672129195E-3</v>
      </c>
      <c r="BG71" s="455">
        <f>'B)NSA RCO Nb'!BG76/'B)NSA RCO Nb'!BF76-1</f>
        <v>4.5965076556065076E-2</v>
      </c>
      <c r="BH71" s="455">
        <f>'B)NSA RCO Nb'!BH76/'B)NSA RCO Nb'!BG76-1</f>
        <v>3.4922921980071742E-3</v>
      </c>
      <c r="BI71" s="455">
        <f>'B)NSA RCO Nb'!BI76/'B)NSA RCO Nb'!BH76-1</f>
        <v>2.4289197670546159E-3</v>
      </c>
      <c r="BJ71" s="455">
        <f>'B)NSA RCO Nb'!BJ76/'B)NSA RCO Nb'!BI76-1</f>
        <v>1.5923374322301953E-3</v>
      </c>
    </row>
    <row r="72" spans="1:62" x14ac:dyDescent="0.25">
      <c r="C72" s="98"/>
    </row>
  </sheetData>
  <phoneticPr fontId="2" type="noConversion"/>
  <pageMargins left="0.55118110236220474" right="0.47244094488188981" top="0.34" bottom="0.24" header="0.27559055118110237" footer="0.19685039370078741"/>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37"/>
  <sheetViews>
    <sheetView topLeftCell="AV1" workbookViewId="0">
      <selection activeCell="BK1" sqref="BK1"/>
    </sheetView>
  </sheetViews>
  <sheetFormatPr baseColWidth="10" defaultColWidth="11.453125" defaultRowHeight="12.5" x14ac:dyDescent="0.25"/>
  <cols>
    <col min="1" max="1" width="33.7265625" style="4" customWidth="1"/>
    <col min="2" max="2" width="11.7265625" style="4" bestFit="1" customWidth="1"/>
    <col min="3" max="3" width="9.7265625" style="35" bestFit="1" customWidth="1"/>
    <col min="4" max="11" width="11.7265625" style="35" bestFit="1" customWidth="1"/>
    <col min="12" max="49" width="11.453125" style="4"/>
    <col min="50" max="51" width="11.453125" style="4" customWidth="1"/>
    <col min="52" max="16384" width="11.453125" style="4"/>
  </cols>
  <sheetData>
    <row r="1" spans="1:62" ht="15.5" x14ac:dyDescent="0.35">
      <c r="A1" s="32" t="str">
        <f>'A)NSA Nb'!A1</f>
        <v>Les Retraites du Régime des Non Salariés Agricoles (métropole)</v>
      </c>
      <c r="L1" s="35"/>
      <c r="M1" s="145"/>
      <c r="N1" s="145"/>
      <c r="O1" s="145"/>
      <c r="P1" s="145"/>
      <c r="Q1" s="145"/>
      <c r="R1" s="145"/>
      <c r="S1" s="145"/>
      <c r="T1" s="145"/>
    </row>
    <row r="2" spans="1:62" ht="15.5" x14ac:dyDescent="0.35">
      <c r="A2" s="32" t="str">
        <f>'A)NSA Nb'!A2</f>
        <v>Elements démographiques et financiers</v>
      </c>
      <c r="L2" s="35"/>
      <c r="M2" s="145"/>
      <c r="N2" s="145"/>
      <c r="O2" s="145"/>
      <c r="P2" s="145"/>
      <c r="Q2" s="145"/>
      <c r="R2" s="145"/>
      <c r="S2" s="145"/>
      <c r="T2" s="145"/>
    </row>
    <row r="3" spans="1:62" ht="13" x14ac:dyDescent="0.3">
      <c r="A3" s="108" t="s">
        <v>84</v>
      </c>
      <c r="L3" s="35"/>
      <c r="M3" s="145"/>
      <c r="N3" s="145"/>
      <c r="O3" s="145"/>
      <c r="P3" s="145"/>
      <c r="Q3" s="145"/>
      <c r="R3" s="145"/>
      <c r="S3" s="145"/>
      <c r="T3" s="145"/>
    </row>
    <row r="4" spans="1:62" ht="13" x14ac:dyDescent="0.3">
      <c r="A4" s="1" t="s">
        <v>45</v>
      </c>
      <c r="L4" s="35"/>
      <c r="M4" s="145"/>
      <c r="N4" s="145"/>
      <c r="O4" s="145"/>
      <c r="P4" s="145"/>
      <c r="Q4" s="145"/>
      <c r="R4" s="145"/>
      <c r="S4" s="145"/>
      <c r="T4" s="145"/>
    </row>
    <row r="5" spans="1:62" ht="13.5" thickBot="1" x14ac:dyDescent="0.35">
      <c r="A5" s="11"/>
      <c r="B5" s="7"/>
      <c r="C5" s="52"/>
      <c r="D5" s="52"/>
      <c r="E5" s="52"/>
      <c r="F5" s="52"/>
      <c r="G5" s="52"/>
      <c r="H5" s="52"/>
      <c r="I5" s="52"/>
      <c r="J5" s="52"/>
      <c r="K5" s="52"/>
      <c r="L5" s="52"/>
      <c r="M5" s="156"/>
      <c r="N5" s="156"/>
      <c r="O5" s="156"/>
      <c r="P5" s="156"/>
      <c r="Q5" s="156"/>
      <c r="R5" s="156"/>
      <c r="S5" s="156"/>
      <c r="T5" s="156"/>
    </row>
    <row r="6" spans="1:62" ht="13" x14ac:dyDescent="0.3">
      <c r="A6" s="1"/>
      <c r="L6" s="35"/>
      <c r="M6" s="145"/>
      <c r="N6" s="145"/>
      <c r="O6" s="145"/>
      <c r="P6" s="145"/>
      <c r="Q6" s="145"/>
      <c r="R6" s="145"/>
      <c r="S6" s="145"/>
      <c r="T6" s="145"/>
    </row>
    <row r="7" spans="1:62" ht="13" x14ac:dyDescent="0.3">
      <c r="A7" s="25" t="s">
        <v>46</v>
      </c>
      <c r="L7" s="35"/>
      <c r="M7" s="145"/>
      <c r="N7" s="145"/>
      <c r="O7" s="145"/>
      <c r="P7" s="145"/>
      <c r="Q7" s="145"/>
      <c r="R7" s="145"/>
      <c r="S7" s="145"/>
      <c r="T7" s="145"/>
    </row>
    <row r="8" spans="1:62" x14ac:dyDescent="0.25">
      <c r="A8" s="5"/>
      <c r="B8" s="2" t="str">
        <f>'A)NSA Nb'!B8</f>
        <v>4eme T 2009</v>
      </c>
      <c r="C8" s="38" t="str">
        <f>'A)NSA Nb'!C8</f>
        <v>1er T 2010</v>
      </c>
      <c r="D8" s="38" t="str">
        <f>'A)NSA Nb'!D8</f>
        <v>2eme T 2010</v>
      </c>
      <c r="E8" s="38" t="str">
        <f>'A)NSA Nb'!E8</f>
        <v>3eme T 2010</v>
      </c>
      <c r="F8" s="38" t="str">
        <f>'A)NSA Nb'!F8</f>
        <v>4eme T 2010</v>
      </c>
      <c r="G8" s="38" t="str">
        <f>'A)NSA Nb'!G8</f>
        <v>1er T 2011</v>
      </c>
      <c r="H8" s="38" t="str">
        <f>'A)NSA Nb'!H8</f>
        <v>2eme T 2011</v>
      </c>
      <c r="I8" s="38" t="str">
        <f>'A)NSA Nb'!I8</f>
        <v>3eme T 2011</v>
      </c>
      <c r="J8" s="38" t="str">
        <f>'A)NSA Nb'!J8</f>
        <v>4eme T 2011</v>
      </c>
      <c r="K8" s="38" t="str">
        <f>'A)NSA Nb'!K8</f>
        <v>1er T 2012</v>
      </c>
      <c r="L8" s="38" t="str">
        <f>'A)NSA Nb'!L8</f>
        <v>2eme T 2012</v>
      </c>
      <c r="M8" s="38" t="str">
        <f>'A)NSA Nb'!M8</f>
        <v>3eme T 2012</v>
      </c>
      <c r="N8" s="38" t="str">
        <f>'A)NSA Nb'!N8</f>
        <v>4eme T 2012</v>
      </c>
      <c r="O8" s="38" t="str">
        <f>'A)NSA Nb'!O8</f>
        <v>1er T 2013</v>
      </c>
      <c r="P8" s="38" t="str">
        <f>'A)NSA Nb'!P8</f>
        <v>2eme T 2013</v>
      </c>
      <c r="Q8" s="38" t="str">
        <f>'A)NSA Nb'!Q8</f>
        <v>3ème T 2013</v>
      </c>
      <c r="R8" s="38" t="str">
        <f>'A)NSA Nb'!R8</f>
        <v>4ème T 2013</v>
      </c>
      <c r="S8" s="38" t="str">
        <f>'A)NSA Nb'!S8</f>
        <v>1er T 2014</v>
      </c>
      <c r="T8" s="38" t="str">
        <f>'A)NSA Nb'!T8</f>
        <v>2eme T 2014</v>
      </c>
      <c r="U8" s="38" t="str">
        <f>'A)NSA Nb'!U8</f>
        <v>3T 2014</v>
      </c>
      <c r="V8" s="38" t="str">
        <f>'A)NSA Nb'!V8</f>
        <v>4ème T 2014</v>
      </c>
      <c r="W8" s="38" t="str">
        <f>'A)NSA Nb'!W8</f>
        <v>1er T 2015</v>
      </c>
      <c r="X8" s="38" t="str">
        <f>'A)NSA Nb'!X8</f>
        <v>2e T 2015</v>
      </c>
      <c r="Y8" s="38" t="str">
        <f>'A)NSA Nb'!Y8</f>
        <v>3e T 2015</v>
      </c>
      <c r="Z8" s="38" t="str">
        <f>'A)NSA Nb'!Z8</f>
        <v>4e T 2015</v>
      </c>
      <c r="AA8" s="38" t="str">
        <f>'A)NSA Nb'!AA8</f>
        <v>1er T 2016</v>
      </c>
      <c r="AB8" s="38" t="str">
        <f>'A)NSA Nb'!AB8</f>
        <v>2e T 2016</v>
      </c>
      <c r="AC8" s="38" t="str">
        <f>'A)NSA Nb'!AC8</f>
        <v>3e T 2016</v>
      </c>
      <c r="AD8" s="38" t="str">
        <f>'A)NSA Nb'!AD8</f>
        <v>4e T 2016</v>
      </c>
      <c r="AE8" s="38" t="str">
        <f>'A)NSA Nb'!AE8</f>
        <v>2017 - T1</v>
      </c>
      <c r="AF8" s="38" t="str">
        <f>'A)NSA Nb'!AF8</f>
        <v>2017 - T2</v>
      </c>
      <c r="AG8" s="38" t="str">
        <f>'A)NSA Nb'!AG8</f>
        <v>2017- T3</v>
      </c>
      <c r="AH8" s="38" t="str">
        <f>'A)NSA Nb'!AH8</f>
        <v>2017 - T4</v>
      </c>
      <c r="AI8" s="38" t="str">
        <f>'A)NSA Nb'!AI8</f>
        <v>2018 - T1</v>
      </c>
      <c r="AJ8" s="38" t="str">
        <f>'A)NSA Nb'!AJ8</f>
        <v>2018 - T2</v>
      </c>
      <c r="AK8" s="38" t="str">
        <f>'A)NSA Nb'!AK8</f>
        <v>2018 - T3</v>
      </c>
      <c r="AL8" s="38" t="str">
        <f>'A)NSA Nb'!AL8</f>
        <v>2018 - T4</v>
      </c>
      <c r="AM8" s="38" t="str">
        <f>'A)NSA Nb'!AM8</f>
        <v>2019 - T1</v>
      </c>
      <c r="AN8" s="38" t="str">
        <f>'A)NSA Nb'!AN8</f>
        <v>2019 - T2</v>
      </c>
      <c r="AO8" s="38" t="str">
        <f>'A)NSA Nb'!AO8</f>
        <v>2019 - T3</v>
      </c>
      <c r="AP8" s="38" t="str">
        <f>'A)NSA Nb'!AP8</f>
        <v>2019 - T4</v>
      </c>
      <c r="AQ8" s="38" t="str">
        <f>'A)NSA Nb'!AQ8</f>
        <v>2020 - T1</v>
      </c>
      <c r="AR8" s="38" t="str">
        <f>'A)NSA Nb'!AR8</f>
        <v>2020 - T2</v>
      </c>
      <c r="AS8" s="38" t="str">
        <f>'A)NSA Nb'!AS8</f>
        <v>2020 - T3</v>
      </c>
      <c r="AT8" s="38" t="str">
        <f>'A)NSA Nb'!AT8</f>
        <v>2020- T4</v>
      </c>
      <c r="AU8" s="38" t="str">
        <f>'A)NSA Nb'!AU8</f>
        <v>2021- T1</v>
      </c>
      <c r="AV8" s="38" t="str">
        <f>'A)NSA Nb'!AV8</f>
        <v>2021- T2</v>
      </c>
      <c r="AW8" s="38" t="str">
        <f>'A)NSA Nb'!AW8</f>
        <v>2021- T3</v>
      </c>
      <c r="AX8" s="38" t="str">
        <f>'A)NSA Nb'!AX8</f>
        <v>2021- T4</v>
      </c>
      <c r="AY8" s="38" t="str">
        <f>'A)NSA Nb'!AY8</f>
        <v>2022- T1</v>
      </c>
      <c r="AZ8" s="38" t="str">
        <f>'A)NSA Nb'!AZ8</f>
        <v>2022- T2</v>
      </c>
      <c r="BA8" s="38" t="str">
        <f>'A)NSA Nb'!BA8</f>
        <v>2022- T3</v>
      </c>
      <c r="BB8" s="38" t="str">
        <f>'A)NSA Nb'!BB8</f>
        <v>2022- T4</v>
      </c>
      <c r="BC8" s="38" t="str">
        <f>'A)NSA Nb'!BC8</f>
        <v>2023- T1</v>
      </c>
      <c r="BD8" s="38" t="str">
        <f>'A)NSA Nb'!BD8</f>
        <v>2023- T2</v>
      </c>
      <c r="BE8" s="38" t="str">
        <f>'A)NSA Nb'!BE8</f>
        <v>2023- T3</v>
      </c>
      <c r="BF8" s="38" t="str">
        <f>'A)NSA Nb'!BF8</f>
        <v>2023- T4</v>
      </c>
      <c r="BG8" s="38" t="str">
        <f>'A)NSA Nb'!BG8</f>
        <v>2024- T1</v>
      </c>
      <c r="BH8" s="38" t="str">
        <f>'A)NSA Nb'!BH8</f>
        <v>2024- T2</v>
      </c>
      <c r="BI8" s="38" t="str">
        <f>'A)NSA Nb'!BI8</f>
        <v>2024- T3</v>
      </c>
      <c r="BJ8" s="38" t="str">
        <f>'A)NSA Nb'!BJ8</f>
        <v>2024- T4</v>
      </c>
    </row>
    <row r="9" spans="1:62" x14ac:dyDescent="0.25">
      <c r="A9" s="20" t="s">
        <v>27</v>
      </c>
      <c r="B9" s="39"/>
      <c r="C9" s="39"/>
      <c r="D9" s="39"/>
      <c r="E9" s="39"/>
      <c r="F9" s="105" t="e">
        <f>'C)NSA RCO SA Nb'!F9/'C)NSA RCO SA Nb'!B9-1</f>
        <v>#DIV/0!</v>
      </c>
      <c r="G9" s="105">
        <f>'C)NSA RCO SA Nb'!G9/'C)NSA RCO SA Nb'!C9-1</f>
        <v>-2.7897665228017288E-2</v>
      </c>
      <c r="H9" s="105">
        <f>'C)NSA RCO SA Nb'!H9/'C)NSA RCO SA Nb'!D9-1</f>
        <v>-2.8306147114762981E-2</v>
      </c>
      <c r="I9" s="105">
        <f>'C)NSA RCO SA Nb'!I9/'C)NSA RCO SA Nb'!E9-1</f>
        <v>-2.9181828143479471E-2</v>
      </c>
      <c r="J9" s="105">
        <f>'C)NSA RCO SA Nb'!J9/'C)NSA RCO SA Nb'!F9-1</f>
        <v>-3.1645834124843231E-2</v>
      </c>
      <c r="K9" s="105">
        <f>'C)NSA RCO SA Nb'!K9/'C)NSA RCO SA Nb'!G9-1</f>
        <v>-3.2242103292412172E-2</v>
      </c>
      <c r="L9" s="105">
        <f>'C)NSA RCO SA Nb'!L9/'C)NSA RCO SA Nb'!H9-1</f>
        <v>-3.3992274745978768E-2</v>
      </c>
      <c r="M9" s="105">
        <f>'C)NSA RCO SA Nb'!M9/'C)NSA RCO SA Nb'!I9-1</f>
        <v>-3.5891378129281337E-2</v>
      </c>
      <c r="N9" s="105">
        <f>'C)NSA RCO SA Nb'!N9/'C)NSA RCO SA Nb'!J9-1</f>
        <v>-3.5989414647256246E-2</v>
      </c>
      <c r="O9" s="105">
        <f>'C)NSA RCO SA Nb'!O9/'C)NSA RCO SA Nb'!K9-1</f>
        <v>-3.5775975237331892E-2</v>
      </c>
      <c r="P9" s="105">
        <f>'C)NSA RCO SA Nb'!P9/'C)NSA RCO SA Nb'!L9-1</f>
        <v>-3.4853033944727052E-2</v>
      </c>
      <c r="Q9" s="105">
        <f>'C)NSA RCO SA Nb'!Q9/'C)NSA RCO SA Nb'!M9-1</f>
        <v>-3.1040768005684116E-2</v>
      </c>
      <c r="R9" s="105">
        <f>'C)NSA RCO SA Nb'!R9/'C)NSA RCO SA Nb'!N9-1</f>
        <v>-2.9893267401279955E-2</v>
      </c>
      <c r="S9" s="105">
        <f>'C)NSA RCO SA Nb'!S9/'C)NSA RCO SA Nb'!O9-1</f>
        <v>-3.1149809804973283E-2</v>
      </c>
      <c r="T9" s="105">
        <f>'C)NSA RCO SA Nb'!T9/'C)NSA RCO SA Nb'!P9-1</f>
        <v>-2.8711013851859368E-2</v>
      </c>
      <c r="U9" s="105">
        <f>'C)NSA RCO SA Nb'!U9/'C)NSA RCO SA Nb'!Q9-1</f>
        <v>-2.8872894684762618E-2</v>
      </c>
      <c r="V9" s="105">
        <f>'C)NSA RCO SA Nb'!V9/'C)NSA RCO SA Nb'!R9-1</f>
        <v>-2.6929571555928455E-2</v>
      </c>
      <c r="W9" s="105">
        <f>'C)NSA RCO SA Nb'!W9/'C)NSA RCO SA Nb'!S9-1</f>
        <v>-2.4345404252891334E-2</v>
      </c>
      <c r="X9" s="105">
        <f>'C)NSA RCO SA Nb'!X9/'C)NSA RCO SA Nb'!T9-1</f>
        <v>-2.7330107838293705E-2</v>
      </c>
      <c r="Y9" s="105">
        <f>'C)NSA RCO SA Nb'!Y9/'C)NSA RCO SA Nb'!U9-1</f>
        <v>-2.8873277202767222E-2</v>
      </c>
      <c r="Z9" s="105">
        <f>'C)NSA RCO SA Nb'!Z9/'C)NSA RCO SA Nb'!V9-1</f>
        <v>-2.8481074054672817E-2</v>
      </c>
      <c r="AA9" s="105">
        <f>'C)NSA RCO SA Nb'!AA9/'C)NSA RCO SA Nb'!W9-1</f>
        <v>-2.7320179333347738E-2</v>
      </c>
      <c r="AB9" s="105">
        <f>'C)NSA RCO SA Nb'!AB9/'C)NSA RCO SA Nb'!X9-1</f>
        <v>-2.434111717802423E-2</v>
      </c>
      <c r="AC9" s="105">
        <f>'C)NSA RCO SA Nb'!AC9/'C)NSA RCO SA Nb'!Y9-1</f>
        <v>-2.2373899694068E-2</v>
      </c>
      <c r="AD9" s="105">
        <f>'C)NSA RCO SA Nb'!AD9/'C)NSA RCO SA Nb'!Z9-1</f>
        <v>-2.2617185333111411E-2</v>
      </c>
      <c r="AE9" s="105">
        <f>'C)NSA RCO SA Nb'!AE9/'C)NSA RCO SA Nb'!AA9-1</f>
        <v>-2.3415928888255499E-2</v>
      </c>
      <c r="AF9" s="105">
        <f>'C)NSA RCO SA Nb'!AF9/'C)NSA RCO SA Nb'!AB9-1</f>
        <v>-2.4706040750381519E-2</v>
      </c>
      <c r="AG9" s="105">
        <f>'C)NSA RCO SA Nb'!AG9/'C)NSA RCO SA Nb'!AC9-1</f>
        <v>-2.359767367246135E-2</v>
      </c>
      <c r="AH9" s="105">
        <f>'C)NSA RCO SA Nb'!AH9/'C)NSA RCO SA Nb'!AD9-1</f>
        <v>-2.1290313792618032E-2</v>
      </c>
      <c r="AI9" s="105">
        <f>'C)NSA RCO SA Nb'!AI9/'C)NSA RCO SA Nb'!AE9-1</f>
        <v>-1.935564777235621E-2</v>
      </c>
      <c r="AJ9" s="105">
        <f>'C)NSA RCO SA Nb'!AJ9/'C)NSA RCO SA Nb'!AF9-1</f>
        <v>-1.7967006419253195E-2</v>
      </c>
      <c r="AK9" s="105">
        <f>'C)NSA RCO SA Nb'!AK9/'C)NSA RCO SA Nb'!AG9-1</f>
        <v>-1.8394416650082568E-2</v>
      </c>
      <c r="AL9" s="105">
        <f>'C)NSA RCO SA Nb'!AL9/'C)NSA RCO SA Nb'!AH9-1</f>
        <v>-1.7851840855106937E-2</v>
      </c>
      <c r="AM9" s="105">
        <f>'C)NSA RCO SA Nb'!AM9/'C)NSA RCO SA Nb'!AI9-1</f>
        <v>-1.8616990357854468E-2</v>
      </c>
      <c r="AN9" s="105">
        <f>'C)NSA RCO SA Nb'!AN9/'C)NSA RCO SA Nb'!AJ9-1</f>
        <v>-1.9783468948341376E-2</v>
      </c>
      <c r="AO9" s="105">
        <f>'C)NSA RCO SA Nb'!AO9/'C)NSA RCO SA Nb'!AK9-1</f>
        <v>-1.9472268519282521E-2</v>
      </c>
      <c r="AP9" s="105">
        <f>'C)NSA RCO SA Nb'!AP9/'C)NSA RCO SA Nb'!AL9-1</f>
        <v>-1.8877772739296361E-2</v>
      </c>
      <c r="AQ9" s="105">
        <f>'C)NSA RCO SA Nb'!AQ9/'C)NSA RCO SA Nb'!AM9-1</f>
        <v>-1.7174306536139716E-2</v>
      </c>
      <c r="AR9" s="105">
        <f>'C)NSA RCO SA Nb'!AR9/'C)NSA RCO SA Nb'!AN9-1</f>
        <v>-1.7003802790306333E-2</v>
      </c>
      <c r="AS9" s="105">
        <f>'C)NSA RCO SA Nb'!AS9/'C)NSA RCO SA Nb'!AO9-1</f>
        <v>-1.8716956817564356E-2</v>
      </c>
      <c r="AT9" s="105">
        <f>'C)NSA RCO SA Nb'!AT9/'C)NSA RCO SA Nb'!AP9-1</f>
        <v>-1.9917431965624788E-2</v>
      </c>
      <c r="AU9" s="105">
        <f>'C)NSA RCO SA Nb'!AU9/'C)NSA RCO SA Nb'!AQ9-1</f>
        <v>-2.3768486265623667E-2</v>
      </c>
      <c r="AV9" s="105">
        <f>'C)NSA RCO SA Nb'!AV9/'C)NSA RCO SA Nb'!AR9-1</f>
        <v>-2.5207713798712783E-2</v>
      </c>
      <c r="AW9" s="105">
        <f>'C)NSA RCO SA Nb'!AW9/'C)NSA RCO SA Nb'!AS9-1</f>
        <v>-2.4934582553387541E-2</v>
      </c>
      <c r="AX9" s="105">
        <f>'C)NSA RCO SA Nb'!AX9/'C)NSA RCO SA Nb'!AT9-1</f>
        <v>0.39313653009645311</v>
      </c>
      <c r="AY9" s="105">
        <f>'C)NSA RCO SA Nb'!AY9/'C)NSA RCO SA Nb'!AU9-1</f>
        <v>-1.9546885610222886E-2</v>
      </c>
      <c r="AZ9" s="105">
        <f>'C)NSA RCO SA Nb'!AZ9/'C)NSA RCO SA Nb'!AV9-1</f>
        <v>-1.7792644476372965E-2</v>
      </c>
      <c r="BA9" s="105">
        <f>'C)NSA RCO SA Nb'!BA9/'C)NSA RCO SA Nb'!AW9-1</f>
        <v>-1.6390641529156702E-2</v>
      </c>
      <c r="BB9" s="105">
        <f>'C)NSA RCO SA Nb'!BB9/'C)NSA RCO SA Nb'!AX9-1</f>
        <v>-0.30887177959213896</v>
      </c>
      <c r="BC9" s="105">
        <f>'C)NSA RCO SA Nb'!BC9/'C)NSA RCO SA Nb'!AY9-1</f>
        <v>-1.6594511143180224E-2</v>
      </c>
      <c r="BD9" s="105">
        <f>'C)NSA RCO SA Nb'!BD9/'C)NSA RCO SA Nb'!AZ9-1</f>
        <v>-1.395001561853193E-2</v>
      </c>
      <c r="BE9" s="105">
        <f>'C)NSA RCO SA Nb'!BE9/'C)NSA RCO SA Nb'!BA9-1</f>
        <v>-1.2075677995544765E-2</v>
      </c>
      <c r="BF9" s="105">
        <f>'C)NSA RCO SA Nb'!BF9/'C)NSA RCO SA Nb'!BB9-1</f>
        <v>-1.568837529654854E-2</v>
      </c>
      <c r="BG9" s="105">
        <f>'C)NSA RCO SA Nb'!BG9/'C)NSA RCO SA Nb'!BC9-1</f>
        <v>-1.3499116449407156E-2</v>
      </c>
      <c r="BH9" s="105">
        <f>'C)NSA RCO SA Nb'!BH9/'C)NSA RCO SA Nb'!BD9-1</f>
        <v>-1.5053957297756715E-2</v>
      </c>
      <c r="BI9" s="105">
        <f>'C)NSA RCO SA Nb'!BI9/'C)NSA RCO SA Nb'!BE9-1</f>
        <v>-1.6487338417101705E-2</v>
      </c>
      <c r="BJ9" s="105">
        <f>'C)NSA RCO SA Nb'!BJ9/'C)NSA RCO SA Nb'!BF9-1</f>
        <v>-1.5679261908464248E-2</v>
      </c>
    </row>
    <row r="10" spans="1:62" x14ac:dyDescent="0.25">
      <c r="A10" s="20" t="s">
        <v>28</v>
      </c>
      <c r="B10" s="39"/>
      <c r="C10" s="39"/>
      <c r="D10" s="39"/>
      <c r="E10" s="39"/>
      <c r="F10" s="105">
        <f>'C)NSA RCO SA Nb'!F10/'C)NSA RCO SA Nb'!B10-1</f>
        <v>-1.1943933823529429E-2</v>
      </c>
      <c r="G10" s="105">
        <f>'C)NSA RCO SA Nb'!G10/'C)NSA RCO SA Nb'!C10-1</f>
        <v>-1.4796836000587232E-2</v>
      </c>
      <c r="H10" s="105">
        <f>'C)NSA RCO SA Nb'!H10/'C)NSA RCO SA Nb'!D10-1</f>
        <v>-1.4942518130316884E-2</v>
      </c>
      <c r="I10" s="105">
        <f>'C)NSA RCO SA Nb'!I10/'C)NSA RCO SA Nb'!E10-1</f>
        <v>-1.5730816897747357E-2</v>
      </c>
      <c r="J10" s="105">
        <f>'C)NSA RCO SA Nb'!J10/'C)NSA RCO SA Nb'!F10-1</f>
        <v>-1.8892935381695897E-2</v>
      </c>
      <c r="K10" s="105">
        <f>'C)NSA RCO SA Nb'!K10/'C)NSA RCO SA Nb'!G10-1</f>
        <v>-2.0030084712216012E-2</v>
      </c>
      <c r="L10" s="105">
        <f>'C)NSA RCO SA Nb'!L10/'C)NSA RCO SA Nb'!H10-1</f>
        <v>-2.2020840650977647E-2</v>
      </c>
      <c r="M10" s="105">
        <f>'C)NSA RCO SA Nb'!M10/'C)NSA RCO SA Nb'!I10-1</f>
        <v>-2.4532181392892149E-2</v>
      </c>
      <c r="N10" s="105">
        <f>'C)NSA RCO SA Nb'!N10/'C)NSA RCO SA Nb'!J10-1</f>
        <v>-2.4737009277563615E-2</v>
      </c>
      <c r="O10" s="105">
        <f>'C)NSA RCO SA Nb'!O10/'C)NSA RCO SA Nb'!K10-1</f>
        <v>-2.4398125706899365E-2</v>
      </c>
      <c r="P10" s="105">
        <f>'C)NSA RCO SA Nb'!P10/'C)NSA RCO SA Nb'!L10-1</f>
        <v>-2.3589355578647941E-2</v>
      </c>
      <c r="Q10" s="105">
        <f>'C)NSA RCO SA Nb'!Q10/'C)NSA RCO SA Nb'!M10-1</f>
        <v>-1.9976214188333397E-2</v>
      </c>
      <c r="R10" s="105">
        <f>'C)NSA RCO SA Nb'!R10/'C)NSA RCO SA Nb'!N10-1</f>
        <v>-2.0095177449069412E-2</v>
      </c>
      <c r="S10" s="105">
        <f>'C)NSA RCO SA Nb'!S10/'C)NSA RCO SA Nb'!O10-1</f>
        <v>-2.28406367515539E-2</v>
      </c>
      <c r="T10" s="105">
        <f>'C)NSA RCO SA Nb'!T10/'C)NSA RCO SA Nb'!P10-1</f>
        <v>-2.0510355718818762E-2</v>
      </c>
      <c r="U10" s="105">
        <f>'C)NSA RCO SA Nb'!U10/'C)NSA RCO SA Nb'!Q10-1</f>
        <v>-2.1212151109444854E-2</v>
      </c>
      <c r="V10" s="105">
        <f>'C)NSA RCO SA Nb'!V10/'C)NSA RCO SA Nb'!R10-1</f>
        <v>-1.9366328185845272E-2</v>
      </c>
      <c r="W10" s="105">
        <f>'C)NSA RCO SA Nb'!W10/'C)NSA RCO SA Nb'!S10-1</f>
        <v>-1.8125352063528499E-2</v>
      </c>
      <c r="X10" s="105">
        <f>'C)NSA RCO SA Nb'!X10/'C)NSA RCO SA Nb'!T10-1</f>
        <v>-2.2507072578424214E-2</v>
      </c>
      <c r="Y10" s="105">
        <f>'C)NSA RCO SA Nb'!Y10/'C)NSA RCO SA Nb'!U10-1</f>
        <v>-2.4741197697743078E-2</v>
      </c>
      <c r="Z10" s="105">
        <f>'C)NSA RCO SA Nb'!Z10/'C)NSA RCO SA Nb'!V10-1</f>
        <v>-2.5611711679810578E-2</v>
      </c>
      <c r="AA10" s="105">
        <f>'C)NSA RCO SA Nb'!AA10/'C)NSA RCO SA Nb'!W10-1</f>
        <v>-2.4262947600359408E-2</v>
      </c>
      <c r="AB10" s="105">
        <f>'C)NSA RCO SA Nb'!AB10/'C)NSA RCO SA Nb'!X10-1</f>
        <v>-2.1985452310214093E-2</v>
      </c>
      <c r="AC10" s="105">
        <f>'C)NSA RCO SA Nb'!AC10/'C)NSA RCO SA Nb'!Y10-1</f>
        <v>-2.0211364047440616E-2</v>
      </c>
      <c r="AD10" s="105">
        <f>'C)NSA RCO SA Nb'!AD10/'C)NSA RCO SA Nb'!Z10-1</f>
        <v>-2.1872079742498163E-2</v>
      </c>
      <c r="AE10" s="105">
        <f>'C)NSA RCO SA Nb'!AE10/'C)NSA RCO SA Nb'!AA10-1</f>
        <v>-2.4054571565342298E-2</v>
      </c>
      <c r="AF10" s="105">
        <f>'C)NSA RCO SA Nb'!AF10/'C)NSA RCO SA Nb'!AB10-1</f>
        <v>-2.5145604625827489E-2</v>
      </c>
      <c r="AG10" s="105">
        <f>'C)NSA RCO SA Nb'!AG10/'C)NSA RCO SA Nb'!AC10-1</f>
        <v>-2.455773916896109E-2</v>
      </c>
      <c r="AH10" s="105">
        <f>'C)NSA RCO SA Nb'!AH10/'C)NSA RCO SA Nb'!AD10-1</f>
        <v>-2.2000244152287296E-2</v>
      </c>
      <c r="AI10" s="105">
        <f>'C)NSA RCO SA Nb'!AI10/'C)NSA RCO SA Nb'!AE10-1</f>
        <v>-1.858555700690423E-2</v>
      </c>
      <c r="AJ10" s="105">
        <f>'C)NSA RCO SA Nb'!AJ10/'C)NSA RCO SA Nb'!AF10-1</f>
        <v>-1.6934673636817887E-2</v>
      </c>
      <c r="AK10" s="105">
        <f>'C)NSA RCO SA Nb'!AK10/'C)NSA RCO SA Nb'!AG10-1</f>
        <v>-1.7065178600395803E-2</v>
      </c>
      <c r="AL10" s="105">
        <f>'C)NSA RCO SA Nb'!AL10/'C)NSA RCO SA Nb'!AH10-1</f>
        <v>-1.7827875525067594E-2</v>
      </c>
      <c r="AM10" s="105">
        <f>'C)NSA RCO SA Nb'!AM10/'C)NSA RCO SA Nb'!AI10-1</f>
        <v>-2.0241309437795674E-2</v>
      </c>
      <c r="AN10" s="105">
        <f>'C)NSA RCO SA Nb'!AN10/'C)NSA RCO SA Nb'!AJ10-1</f>
        <v>-2.1522065855991257E-2</v>
      </c>
      <c r="AO10" s="105">
        <f>'C)NSA RCO SA Nb'!AO10/'C)NSA RCO SA Nb'!AK10-1</f>
        <v>-2.0607100813061829E-2</v>
      </c>
      <c r="AP10" s="105">
        <f>'C)NSA RCO SA Nb'!AP10/'C)NSA RCO SA Nb'!AL10-1</f>
        <v>-1.8516165037546162E-2</v>
      </c>
      <c r="AQ10" s="105">
        <f>'C)NSA RCO SA Nb'!AQ10/'C)NSA RCO SA Nb'!AM10-1</f>
        <v>-1.7438024318974454E-2</v>
      </c>
      <c r="AR10" s="105">
        <f>'C)NSA RCO SA Nb'!AR10/'C)NSA RCO SA Nb'!AN10-1</f>
        <v>-1.7566201399710657E-2</v>
      </c>
      <c r="AS10" s="105">
        <f>'C)NSA RCO SA Nb'!AS10/'C)NSA RCO SA Nb'!AO10-1</f>
        <v>-1.9119728594216845E-2</v>
      </c>
      <c r="AT10" s="105">
        <f>'C)NSA RCO SA Nb'!AT10/'C)NSA RCO SA Nb'!AP10-1</f>
        <v>-2.1691644241271013E-2</v>
      </c>
      <c r="AU10" s="105">
        <f>'C)NSA RCO SA Nb'!AU10/'C)NSA RCO SA Nb'!AQ10-1</f>
        <v>-2.3576813687869569E-2</v>
      </c>
      <c r="AV10" s="105">
        <f>'C)NSA RCO SA Nb'!AV10/'C)NSA RCO SA Nb'!AR10-1</f>
        <v>-2.5310986287039761E-2</v>
      </c>
      <c r="AW10" s="105">
        <f>'C)NSA RCO SA Nb'!AW10/'C)NSA RCO SA Nb'!AS10-1</f>
        <v>-2.5482156763937835E-2</v>
      </c>
      <c r="AX10" s="105">
        <f>'C)NSA RCO SA Nb'!AX10/'C)NSA RCO SA Nb'!AT10-1</f>
        <v>1.2880769739833</v>
      </c>
      <c r="AY10" s="105">
        <f>'C)NSA RCO SA Nb'!AY10/'C)NSA RCO SA Nb'!AU10-1</f>
        <v>-2.1978847598682294E-2</v>
      </c>
      <c r="AZ10" s="105">
        <f>'C)NSA RCO SA Nb'!AZ10/'C)NSA RCO SA Nb'!AV10-1</f>
        <v>-2.0940270648623471E-2</v>
      </c>
      <c r="BA10" s="105">
        <f>'C)NSA RCO SA Nb'!BA10/'C)NSA RCO SA Nb'!AW10-1</f>
        <v>-1.9056069384541297E-2</v>
      </c>
      <c r="BB10" s="105">
        <f>'C)NSA RCO SA Nb'!BB10/'C)NSA RCO SA Nb'!AX10-1</f>
        <v>-0.58045653234609129</v>
      </c>
      <c r="BC10" s="105">
        <f>'C)NSA RCO SA Nb'!BC10/'C)NSA RCO SA Nb'!AY10-1</f>
        <v>-1.7379023441885799E-2</v>
      </c>
      <c r="BD10" s="105">
        <f>'C)NSA RCO SA Nb'!BD10/'C)NSA RCO SA Nb'!AZ10-1</f>
        <v>-1.5478105451295798E-2</v>
      </c>
      <c r="BE10" s="105">
        <f>'C)NSA RCO SA Nb'!BE10/'C)NSA RCO SA Nb'!BA10-1</f>
        <v>-1.4747901928249263E-2</v>
      </c>
      <c r="BF10" s="105">
        <f>'C)NSA RCO SA Nb'!BF10/'C)NSA RCO SA Nb'!BB10-1</f>
        <v>-1.7948241444012192E-2</v>
      </c>
      <c r="BG10" s="105">
        <f>'C)NSA RCO SA Nb'!BG10/'C)NSA RCO SA Nb'!BC10-1</f>
        <v>-1.6585882154841691E-2</v>
      </c>
      <c r="BH10" s="105">
        <f>'C)NSA RCO SA Nb'!BH10/'C)NSA RCO SA Nb'!BD10-1</f>
        <v>-1.7125360056156613E-2</v>
      </c>
      <c r="BI10" s="105">
        <f>'C)NSA RCO SA Nb'!BI10/'C)NSA RCO SA Nb'!BE10-1</f>
        <v>-1.7619484791186579E-2</v>
      </c>
      <c r="BJ10" s="105">
        <f>'C)NSA RCO SA Nb'!BJ10/'C)NSA RCO SA Nb'!BF10-1</f>
        <v>-1.5834549106025553E-2</v>
      </c>
    </row>
    <row r="11" spans="1:62" x14ac:dyDescent="0.25">
      <c r="A11" s="20" t="s">
        <v>13</v>
      </c>
      <c r="B11" s="39"/>
      <c r="C11" s="39"/>
      <c r="D11" s="39"/>
      <c r="E11" s="39"/>
      <c r="F11" s="105">
        <f>'C)NSA RCO SA Nb'!F11/'C)NSA RCO SA Nb'!B11-1</f>
        <v>2.407265625</v>
      </c>
      <c r="G11" s="105">
        <f>'C)NSA RCO SA Nb'!G11/'C)NSA RCO SA Nb'!C11-1</f>
        <v>-2.4122841807461493E-2</v>
      </c>
      <c r="H11" s="105">
        <f>'C)NSA RCO SA Nb'!H11/'C)NSA RCO SA Nb'!D11-1</f>
        <v>-2.4446016878345578E-2</v>
      </c>
      <c r="I11" s="105">
        <f>'C)NSA RCO SA Nb'!I11/'C)NSA RCO SA Nb'!E11-1</f>
        <v>-2.5290739440260279E-2</v>
      </c>
      <c r="J11" s="105">
        <f>'C)NSA RCO SA Nb'!J11/'C)NSA RCO SA Nb'!F11-1</f>
        <v>-2.7947684244174376E-2</v>
      </c>
      <c r="K11" s="105">
        <f>'C)NSA RCO SA Nb'!K11/'C)NSA RCO SA Nb'!G11-1</f>
        <v>-2.8689751589397017E-2</v>
      </c>
      <c r="L11" s="105">
        <f>'C)NSA RCO SA Nb'!L11/'C)NSA RCO SA Nb'!H11-1</f>
        <v>-3.0500598291999248E-2</v>
      </c>
      <c r="M11" s="105">
        <f>'C)NSA RCO SA Nb'!M11/'C)NSA RCO SA Nb'!I11-1</f>
        <v>-3.257317772046997E-2</v>
      </c>
      <c r="N11" s="105">
        <f>'C)NSA RCO SA Nb'!N11/'C)NSA RCO SA Nb'!J11-1</f>
        <v>-3.2695990009712794E-2</v>
      </c>
      <c r="O11" s="105">
        <f>'C)NSA RCO SA Nb'!O11/'C)NSA RCO SA Nb'!K11-1</f>
        <v>-3.2436767341473827E-2</v>
      </c>
      <c r="P11" s="105">
        <f>'C)NSA RCO SA Nb'!P11/'C)NSA RCO SA Nb'!L11-1</f>
        <v>-3.1539052208156337E-2</v>
      </c>
      <c r="Q11" s="105">
        <f>'C)NSA RCO SA Nb'!Q11/'C)NSA RCO SA Nb'!M11-1</f>
        <v>-2.7781772821708239E-2</v>
      </c>
      <c r="R11" s="105">
        <f>'C)NSA RCO SA Nb'!R11/'C)NSA RCO SA Nb'!N11-1</f>
        <v>-2.7001904936769905E-2</v>
      </c>
      <c r="S11" s="105">
        <f>'C)NSA RCO SA Nb'!S11/'C)NSA RCO SA Nb'!O11-1</f>
        <v>-2.8690946726285693E-2</v>
      </c>
      <c r="T11" s="105">
        <f>'C)NSA RCO SA Nb'!T11/'C)NSA RCO SA Nb'!P11-1</f>
        <v>-2.6278423556454267E-2</v>
      </c>
      <c r="U11" s="105">
        <f>'C)NSA RCO SA Nb'!U11/'C)NSA RCO SA Nb'!Q11-1</f>
        <v>-2.6598354592976325E-2</v>
      </c>
      <c r="V11" s="105">
        <f>'C)NSA RCO SA Nb'!V11/'C)NSA RCO SA Nb'!R11-1</f>
        <v>-2.468185731639716E-2</v>
      </c>
      <c r="W11" s="105">
        <f>'C)NSA RCO SA Nb'!W11/'C)NSA RCO SA Nb'!S11-1</f>
        <v>-2.249367054793916E-2</v>
      </c>
      <c r="X11" s="105">
        <f>'C)NSA RCO SA Nb'!X11/'C)NSA RCO SA Nb'!T11-1</f>
        <v>-2.5890958857445079E-2</v>
      </c>
      <c r="Y11" s="105">
        <f>'C)NSA RCO SA Nb'!Y11/'C)NSA RCO SA Nb'!U11-1</f>
        <v>-2.7639638934740085E-2</v>
      </c>
      <c r="Z11" s="105">
        <f>'C)NSA RCO SA Nb'!Z11/'C)NSA RCO SA Nb'!V11-1</f>
        <v>-2.7623683056970494E-2</v>
      </c>
      <c r="AA11" s="105">
        <f>'C)NSA RCO SA Nb'!AA11/'C)NSA RCO SA Nb'!W11-1</f>
        <v>-2.6405962254640758E-2</v>
      </c>
      <c r="AB11" s="105">
        <f>'C)NSA RCO SA Nb'!AB11/'C)NSA RCO SA Nb'!X11-1</f>
        <v>-2.363576685102875E-2</v>
      </c>
      <c r="AC11" s="105">
        <f>'C)NSA RCO SA Nb'!AC11/'C)NSA RCO SA Nb'!Y11-1</f>
        <v>-2.1726347064467189E-2</v>
      </c>
      <c r="AD11" s="105">
        <f>'C)NSA RCO SA Nb'!AD11/'C)NSA RCO SA Nb'!Z11-1</f>
        <v>-2.2394080476297762E-2</v>
      </c>
      <c r="AE11" s="105">
        <f>'C)NSA RCO SA Nb'!AE11/'C)NSA RCO SA Nb'!AA11-1</f>
        <v>-2.360732530360965E-2</v>
      </c>
      <c r="AF11" s="105">
        <f>'C)NSA RCO SA Nb'!AF11/'C)NSA RCO SA Nb'!AB11-1</f>
        <v>-2.4837880634904663E-2</v>
      </c>
      <c r="AG11" s="105">
        <f>'C)NSA RCO SA Nb'!AG11/'C)NSA RCO SA Nb'!AC11-1</f>
        <v>-2.3885602201904499E-2</v>
      </c>
      <c r="AH11" s="105">
        <f>'C)NSA RCO SA Nb'!AH11/'C)NSA RCO SA Nb'!AD11-1</f>
        <v>-2.1502999734452355E-2</v>
      </c>
      <c r="AI11" s="105">
        <f>'C)NSA RCO SA Nb'!AI11/'C)NSA RCO SA Nb'!AE11-1</f>
        <v>-1.9124963067660095E-2</v>
      </c>
      <c r="AJ11" s="105">
        <f>'C)NSA RCO SA Nb'!AJ11/'C)NSA RCO SA Nb'!AF11-1</f>
        <v>-1.7657473053062644E-2</v>
      </c>
      <c r="AK11" s="105">
        <f>'C)NSA RCO SA Nb'!AK11/'C)NSA RCO SA Nb'!AG11-1</f>
        <v>-1.7996045893563184E-2</v>
      </c>
      <c r="AL11" s="105">
        <f>'C)NSA RCO SA Nb'!AL11/'C)NSA RCO SA Nb'!AH11-1</f>
        <v>-1.7844664801110244E-2</v>
      </c>
      <c r="AM11" s="105">
        <f>'C)NSA RCO SA Nb'!AM11/'C)NSA RCO SA Nb'!AI11-1</f>
        <v>-1.910383118680492E-2</v>
      </c>
      <c r="AN11" s="105">
        <f>'C)NSA RCO SA Nb'!AN11/'C)NSA RCO SA Nb'!AJ11-1</f>
        <v>-2.0305151230903484E-2</v>
      </c>
      <c r="AO11" s="105">
        <f>'C)NSA RCO SA Nb'!AO11/'C)NSA RCO SA Nb'!AK11-1</f>
        <v>-1.9812698543669294E-2</v>
      </c>
      <c r="AP11" s="105">
        <f>'C)NSA RCO SA Nb'!AP11/'C)NSA RCO SA Nb'!AL11-1</f>
        <v>-1.8769492955649114E-2</v>
      </c>
      <c r="AQ11" s="105">
        <f>'C)NSA RCO SA Nb'!AQ11/'C)NSA RCO SA Nb'!AM11-1</f>
        <v>-1.7253256357096292E-2</v>
      </c>
      <c r="AR11" s="105">
        <f>'C)NSA RCO SA Nb'!AR11/'C)NSA RCO SA Nb'!AN11-1</f>
        <v>-1.7172346145219231E-2</v>
      </c>
      <c r="AS11" s="105">
        <f>'C)NSA RCO SA Nb'!AS11/'C)NSA RCO SA Nb'!AO11-1</f>
        <v>-1.8837683448126086E-2</v>
      </c>
      <c r="AT11" s="105">
        <f>'C)NSA RCO SA Nb'!AT11/'C)NSA RCO SA Nb'!AP11-1</f>
        <v>-2.0448839119049156E-2</v>
      </c>
      <c r="AU11" s="105">
        <f>'C)NSA RCO SA Nb'!AU11/'C)NSA RCO SA Nb'!AQ11-1</f>
        <v>-2.3711115577753628E-2</v>
      </c>
      <c r="AV11" s="105">
        <f>'C)NSA RCO SA Nb'!AV11/'C)NSA RCO SA Nb'!AR11-1</f>
        <v>-2.5238650782161476E-2</v>
      </c>
      <c r="AW11" s="105">
        <f>'C)NSA RCO SA Nb'!AW11/'C)NSA RCO SA Nb'!AS11-1</f>
        <v>-2.5098665019389843E-2</v>
      </c>
      <c r="AX11" s="105">
        <f>'C)NSA RCO SA Nb'!AX11/'C)NSA RCO SA Nb'!AT11-1</f>
        <v>-2.3602460949469273E-2</v>
      </c>
      <c r="AY11" s="105">
        <f>'C)NSA RCO SA Nb'!AY11/'C)NSA RCO SA Nb'!AU11-1</f>
        <v>-2.027491111668589E-2</v>
      </c>
      <c r="AZ11" s="105">
        <f>'C)NSA RCO SA Nb'!AZ11/'C)NSA RCO SA Nb'!AV11-1</f>
        <v>-1.8735498029129771E-2</v>
      </c>
      <c r="BA11" s="105">
        <f>'C)NSA RCO SA Nb'!BA11/'C)NSA RCO SA Nb'!AW11-1</f>
        <v>-1.7189031827694268E-2</v>
      </c>
      <c r="BB11" s="105">
        <f>'C)NSA RCO SA Nb'!BB11/'C)NSA RCO SA Nb'!AX11-1</f>
        <v>-1.4774251899231872E-2</v>
      </c>
      <c r="BC11" s="105">
        <f>'C)NSA RCO SA Nb'!BC11/'C)NSA RCO SA Nb'!AY11-1</f>
        <v>-1.6828952154918198E-2</v>
      </c>
      <c r="BD11" s="105">
        <f>'C)NSA RCO SA Nb'!BD11/'C)NSA RCO SA Nb'!AZ11-1</f>
        <v>-1.4406717793213453E-2</v>
      </c>
      <c r="BE11" s="105">
        <f>'C)NSA RCO SA Nb'!BE11/'C)NSA RCO SA Nb'!BA11-1</f>
        <v>-1.2874583398252426E-2</v>
      </c>
      <c r="BF11" s="105">
        <f>'C)NSA RCO SA Nb'!BF11/'C)NSA RCO SA Nb'!BB11-1</f>
        <v>-1.6362962870175357E-2</v>
      </c>
      <c r="BG11" s="105">
        <f>'C)NSA RCO SA Nb'!BG11/'C)NSA RCO SA Nb'!BC11-1</f>
        <v>-1.4421039018888027E-2</v>
      </c>
      <c r="BH11" s="105">
        <f>'C)NSA RCO SA Nb'!BH11/'C)NSA RCO SA Nb'!BD11-1</f>
        <v>-1.5672367132652409E-2</v>
      </c>
      <c r="BI11" s="105">
        <f>'C)NSA RCO SA Nb'!BI11/'C)NSA RCO SA Nb'!BE11-1</f>
        <v>-1.6825169902648374E-2</v>
      </c>
      <c r="BJ11" s="105">
        <f>'C)NSA RCO SA Nb'!BJ11/'C)NSA RCO SA Nb'!BF11-1</f>
        <v>-1.5725541634299289E-2</v>
      </c>
    </row>
    <row r="12" spans="1:62" x14ac:dyDescent="0.25">
      <c r="A12" s="19"/>
      <c r="B12" s="1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M12" s="40"/>
      <c r="AN12" s="40"/>
      <c r="AO12" s="40"/>
    </row>
    <row r="13" spans="1:62" ht="13" x14ac:dyDescent="0.3">
      <c r="A13" s="25" t="s">
        <v>47</v>
      </c>
      <c r="B13" s="1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M13" s="40"/>
      <c r="AN13" s="40"/>
      <c r="AO13" s="40"/>
    </row>
    <row r="14" spans="1:62" x14ac:dyDescent="0.25">
      <c r="A14" s="24" t="s">
        <v>50</v>
      </c>
      <c r="B14" s="1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M14" s="40"/>
      <c r="AN14" s="40"/>
      <c r="AO14" s="40"/>
    </row>
    <row r="15" spans="1:62" x14ac:dyDescent="0.25">
      <c r="A15" s="24"/>
      <c r="B15" s="1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M15" s="40"/>
      <c r="AN15" s="40"/>
      <c r="AO15" s="40"/>
    </row>
    <row r="16" spans="1:62" ht="13" x14ac:dyDescent="0.3">
      <c r="A16" s="1"/>
      <c r="B16" s="2" t="str">
        <f t="shared" ref="B16:H16" si="0">B8</f>
        <v>4eme T 2009</v>
      </c>
      <c r="C16" s="38" t="str">
        <f t="shared" si="0"/>
        <v>1er T 2010</v>
      </c>
      <c r="D16" s="38" t="str">
        <f t="shared" si="0"/>
        <v>2eme T 2010</v>
      </c>
      <c r="E16" s="38" t="str">
        <f t="shared" si="0"/>
        <v>3eme T 2010</v>
      </c>
      <c r="F16" s="38" t="str">
        <f t="shared" si="0"/>
        <v>4eme T 2010</v>
      </c>
      <c r="G16" s="38" t="str">
        <f t="shared" si="0"/>
        <v>1er T 2011</v>
      </c>
      <c r="H16" s="38" t="str">
        <f t="shared" si="0"/>
        <v>2eme T 2011</v>
      </c>
      <c r="I16" s="38" t="str">
        <f t="shared" ref="I16:N16" si="1">I8</f>
        <v>3eme T 2011</v>
      </c>
      <c r="J16" s="38" t="str">
        <f t="shared" si="1"/>
        <v>4eme T 2011</v>
      </c>
      <c r="K16" s="38" t="str">
        <f t="shared" si="1"/>
        <v>1er T 2012</v>
      </c>
      <c r="L16" s="38" t="str">
        <f t="shared" si="1"/>
        <v>2eme T 2012</v>
      </c>
      <c r="M16" s="38" t="str">
        <f t="shared" si="1"/>
        <v>3eme T 2012</v>
      </c>
      <c r="N16" s="38" t="str">
        <f t="shared" si="1"/>
        <v>4eme T 2012</v>
      </c>
      <c r="O16" s="38" t="str">
        <f t="shared" ref="O16:T16" si="2">O8</f>
        <v>1er T 2013</v>
      </c>
      <c r="P16" s="38" t="str">
        <f t="shared" si="2"/>
        <v>2eme T 2013</v>
      </c>
      <c r="Q16" s="38" t="str">
        <f t="shared" si="2"/>
        <v>3ème T 2013</v>
      </c>
      <c r="R16" s="38" t="str">
        <f t="shared" si="2"/>
        <v>4ème T 2013</v>
      </c>
      <c r="S16" s="38" t="str">
        <f t="shared" si="2"/>
        <v>1er T 2014</v>
      </c>
      <c r="T16" s="38" t="str">
        <f t="shared" si="2"/>
        <v>2eme T 2014</v>
      </c>
      <c r="U16" s="38" t="str">
        <f t="shared" ref="U16:V16" si="3">U8</f>
        <v>3T 2014</v>
      </c>
      <c r="V16" s="38" t="str">
        <f t="shared" si="3"/>
        <v>4ème T 2014</v>
      </c>
      <c r="W16" s="38" t="str">
        <f t="shared" ref="W16:X16" si="4">W8</f>
        <v>1er T 2015</v>
      </c>
      <c r="X16" s="38" t="str">
        <f t="shared" si="4"/>
        <v>2e T 2015</v>
      </c>
      <c r="Y16" s="38" t="str">
        <f t="shared" ref="Y16:Z16" si="5">Y8</f>
        <v>3e T 2015</v>
      </c>
      <c r="Z16" s="38" t="str">
        <f t="shared" si="5"/>
        <v>4e T 2015</v>
      </c>
      <c r="AA16" s="38" t="str">
        <f t="shared" ref="AA16:AB16" si="6">AA8</f>
        <v>1er T 2016</v>
      </c>
      <c r="AB16" s="38" t="str">
        <f t="shared" si="6"/>
        <v>2e T 2016</v>
      </c>
      <c r="AC16" s="38" t="str">
        <f t="shared" ref="AC16:AD16" si="7">AC8</f>
        <v>3e T 2016</v>
      </c>
      <c r="AD16" s="38" t="str">
        <f t="shared" si="7"/>
        <v>4e T 2016</v>
      </c>
      <c r="AE16" s="38" t="str">
        <f t="shared" ref="AE16:AF16" si="8">AE8</f>
        <v>2017 - T1</v>
      </c>
      <c r="AF16" s="38" t="str">
        <f t="shared" si="8"/>
        <v>2017 - T2</v>
      </c>
      <c r="AG16" s="38" t="str">
        <f t="shared" ref="AG16:AH16" si="9">AG8</f>
        <v>2017- T3</v>
      </c>
      <c r="AH16" s="38" t="str">
        <f t="shared" si="9"/>
        <v>2017 - T4</v>
      </c>
      <c r="AI16" s="38" t="str">
        <f t="shared" ref="AI16:AJ16" si="10">AI8</f>
        <v>2018 - T1</v>
      </c>
      <c r="AJ16" s="38" t="str">
        <f t="shared" si="10"/>
        <v>2018 - T2</v>
      </c>
      <c r="AK16" s="38" t="str">
        <f t="shared" ref="AK16:AM16" si="11">AK8</f>
        <v>2018 - T3</v>
      </c>
      <c r="AL16" s="38" t="str">
        <f t="shared" si="11"/>
        <v>2018 - T4</v>
      </c>
      <c r="AM16" s="38" t="str">
        <f t="shared" si="11"/>
        <v>2019 - T1</v>
      </c>
      <c r="AN16" s="38" t="str">
        <f t="shared" ref="AN16:AP16" si="12">AN8</f>
        <v>2019 - T2</v>
      </c>
      <c r="AO16" s="38" t="str">
        <f t="shared" si="12"/>
        <v>2019 - T3</v>
      </c>
      <c r="AP16" s="38" t="str">
        <f t="shared" si="12"/>
        <v>2019 - T4</v>
      </c>
      <c r="AQ16" s="38" t="str">
        <f t="shared" ref="AQ16" si="13">AQ8</f>
        <v>2020 - T1</v>
      </c>
      <c r="AR16" s="38" t="str">
        <f t="shared" ref="AR16" si="14">AR8</f>
        <v>2020 - T2</v>
      </c>
      <c r="AS16" s="38" t="str">
        <f t="shared" ref="AS16:AT16" si="15">AS8</f>
        <v>2020 - T3</v>
      </c>
      <c r="AT16" s="38" t="str">
        <f t="shared" si="15"/>
        <v>2020- T4</v>
      </c>
      <c r="AU16" s="38" t="str">
        <f t="shared" ref="AU16:AV16" si="16">AU8</f>
        <v>2021- T1</v>
      </c>
      <c r="AV16" s="38" t="str">
        <f t="shared" si="16"/>
        <v>2021- T2</v>
      </c>
      <c r="AW16" s="38" t="str">
        <f t="shared" ref="AW16:AX16" si="17">AW8</f>
        <v>2021- T3</v>
      </c>
      <c r="AX16" s="38" t="str">
        <f t="shared" si="17"/>
        <v>2021- T4</v>
      </c>
      <c r="AY16" s="38" t="str">
        <f t="shared" ref="AY16:AZ16" si="18">AY8</f>
        <v>2022- T1</v>
      </c>
      <c r="AZ16" s="38" t="str">
        <f t="shared" si="18"/>
        <v>2022- T2</v>
      </c>
      <c r="BA16" s="38" t="str">
        <f t="shared" ref="BA16:BB16" si="19">BA8</f>
        <v>2022- T3</v>
      </c>
      <c r="BB16" s="38" t="str">
        <f t="shared" si="19"/>
        <v>2022- T4</v>
      </c>
      <c r="BC16" s="38" t="str">
        <f t="shared" ref="BC16:BD16" si="20">BC8</f>
        <v>2023- T1</v>
      </c>
      <c r="BD16" s="38" t="str">
        <f t="shared" si="20"/>
        <v>2023- T2</v>
      </c>
      <c r="BE16" s="38" t="str">
        <f t="shared" ref="BE16:BF16" si="21">BE8</f>
        <v>2023- T3</v>
      </c>
      <c r="BF16" s="38" t="str">
        <f t="shared" si="21"/>
        <v>2023- T4</v>
      </c>
      <c r="BG16" s="38" t="str">
        <f t="shared" ref="BG16:BH16" si="22">BG8</f>
        <v>2024- T1</v>
      </c>
      <c r="BH16" s="38" t="str">
        <f t="shared" si="22"/>
        <v>2024- T2</v>
      </c>
      <c r="BI16" s="38" t="str">
        <f t="shared" ref="BI16:BJ16" si="23">BI8</f>
        <v>2024- T3</v>
      </c>
      <c r="BJ16" s="38" t="str">
        <f t="shared" si="23"/>
        <v>2024- T4</v>
      </c>
    </row>
    <row r="17" spans="1:62" x14ac:dyDescent="0.25">
      <c r="A17" s="20" t="s">
        <v>27</v>
      </c>
      <c r="B17" s="16"/>
      <c r="C17" s="42"/>
      <c r="D17" s="42"/>
      <c r="E17" s="42"/>
      <c r="F17" s="105">
        <f>'C)NSA RCO SA Nb'!F17/'C)NSA RCO SA Nb'!B17-1</f>
        <v>8.7529705810045488E-3</v>
      </c>
      <c r="G17" s="105">
        <f>'C)NSA RCO SA Nb'!G17/'C)NSA RCO SA Nb'!C17-1</f>
        <v>7.52567779669433E-3</v>
      </c>
      <c r="H17" s="105">
        <f>'C)NSA RCO SA Nb'!H17/'C)NSA RCO SA Nb'!D17-1</f>
        <v>1.8981981570793227E-2</v>
      </c>
      <c r="I17" s="105">
        <f>'C)NSA RCO SA Nb'!I17/'C)NSA RCO SA Nb'!E17-1</f>
        <v>1.875339413594812E-2</v>
      </c>
      <c r="J17" s="105">
        <f>'C)NSA RCO SA Nb'!J17/'C)NSA RCO SA Nb'!F17-1</f>
        <v>1.9059997867554745E-2</v>
      </c>
      <c r="K17" s="105">
        <f>'C)NSA RCO SA Nb'!K17/'C)NSA RCO SA Nb'!G17-1</f>
        <v>1.7405071320197418E-2</v>
      </c>
      <c r="L17" s="105">
        <f>'C)NSA RCO SA Nb'!L17/'C)NSA RCO SA Nb'!H17-1</f>
        <v>1.8767730055243126E-2</v>
      </c>
      <c r="M17" s="105">
        <f>'C)NSA RCO SA Nb'!M17/'C)NSA RCO SA Nb'!I17-1</f>
        <v>1.9419507188904284E-2</v>
      </c>
      <c r="N17" s="105">
        <f>'C)NSA RCO SA Nb'!N17/'C)NSA RCO SA Nb'!J17-1</f>
        <v>1.9336259597132255E-2</v>
      </c>
      <c r="O17" s="105">
        <f>'C)NSA RCO SA Nb'!O17/'C)NSA RCO SA Nb'!K17-1</f>
        <v>2.1291876767465245E-2</v>
      </c>
      <c r="P17" s="105">
        <f>'C)NSA RCO SA Nb'!P17/'C)NSA RCO SA Nb'!L17-1</f>
        <v>1.1890513480637521E-2</v>
      </c>
      <c r="Q17" s="105">
        <f>'C)NSA RCO SA Nb'!Q17/'C)NSA RCO SA Nb'!M17-1</f>
        <v>1.0971342560012642E-2</v>
      </c>
      <c r="R17" s="105">
        <f>'C)NSA RCO SA Nb'!R17/'C)NSA RCO SA Nb'!N17-1</f>
        <v>9.140142332055845E-3</v>
      </c>
      <c r="S17" s="105">
        <f>'C)NSA RCO SA Nb'!S17/'C)NSA RCO SA Nb'!O17-1</f>
        <v>1.1310360993905366E-2</v>
      </c>
      <c r="T17" s="105">
        <f>'C)NSA RCO SA Nb'!T17/'C)NSA RCO SA Nb'!P17-1</f>
        <v>2.4525068192240429E-3</v>
      </c>
      <c r="U17" s="105">
        <f>'C)NSA RCO SA Nb'!U17/'C)NSA RCO SA Nb'!Q17-1</f>
        <v>4.3167415127447484E-3</v>
      </c>
      <c r="V17" s="105">
        <f>'C)NSA RCO SA Nb'!V17/'C)NSA RCO SA Nb'!R17-1</f>
        <v>6.1464095087715442E-3</v>
      </c>
      <c r="W17" s="105">
        <f>'C)NSA RCO SA Nb'!W17/'C)NSA RCO SA Nb'!S17-1</f>
        <v>2.4193081068550892E-3</v>
      </c>
      <c r="X17" s="105">
        <f>'C)NSA RCO SA Nb'!X17/'C)NSA RCO SA Nb'!T17-1</f>
        <v>-4.2862027614698484E-4</v>
      </c>
      <c r="Y17" s="105">
        <f>'C)NSA RCO SA Nb'!Y17/'C)NSA RCO SA Nb'!U17-1</f>
        <v>-1.2418055274785456E-3</v>
      </c>
      <c r="Z17" s="105">
        <f>'C)NSA RCO SA Nb'!Z17/'C)NSA RCO SA Nb'!V17-1</f>
        <v>9.146444199470416E-5</v>
      </c>
      <c r="AA17" s="105">
        <f>'C)NSA RCO SA Nb'!AA17/'C)NSA RCO SA Nb'!W17-1</f>
        <v>1.2881470241106197E-2</v>
      </c>
      <c r="AB17" s="105">
        <f>'C)NSA RCO SA Nb'!AB17/'C)NSA RCO SA Nb'!X17-1</f>
        <v>1.2796669782321635E-2</v>
      </c>
      <c r="AC17" s="105">
        <f>'C)NSA RCO SA Nb'!AC17/'C)NSA RCO SA Nb'!Y17-1</f>
        <v>1.2669635284139114E-2</v>
      </c>
      <c r="AD17" s="105">
        <f>'C)NSA RCO SA Nb'!AD17/'C)NSA RCO SA Nb'!Z17-1</f>
        <v>1.8531889290011927E-2</v>
      </c>
      <c r="AE17" s="105">
        <f>'C)NSA RCO SA Nb'!AE17/'C)NSA RCO SA Nb'!AA17-1</f>
        <v>6.1067540509560647E-3</v>
      </c>
      <c r="AF17" s="105">
        <f>'C)NSA RCO SA Nb'!AF17/'C)NSA RCO SA Nb'!AB17-1</f>
        <v>5.7276057276056669E-3</v>
      </c>
      <c r="AG17" s="105">
        <f>'C)NSA RCO SA Nb'!AG17/'C)NSA RCO SA Nb'!AC17-1</f>
        <v>7.2144784493628489E-3</v>
      </c>
      <c r="AH17" s="105">
        <f>'C)NSA RCO SA Nb'!AH17/'C)NSA RCO SA Nb'!AD17-1</f>
        <v>2.1904536862003665E-2</v>
      </c>
      <c r="AI17" s="105">
        <f>'C)NSA RCO SA Nb'!AI17/'C)NSA RCO SA Nb'!AE17-1</f>
        <v>1.6814548342417357E-2</v>
      </c>
      <c r="AJ17" s="105">
        <f>'C)NSA RCO SA Nb'!AJ17/'C)NSA RCO SA Nb'!AF17-1</f>
        <v>1.9710142185475066E-2</v>
      </c>
      <c r="AK17" s="105">
        <f>'C)NSA RCO SA Nb'!AK17/'C)NSA RCO SA Nb'!AG17-1</f>
        <v>1.9593761369059326E-2</v>
      </c>
      <c r="AL17" s="105">
        <f>'C)NSA RCO SA Nb'!AL17/'C)NSA RCO SA Nb'!AH17-1</f>
        <v>-1.2948875066465249E-4</v>
      </c>
      <c r="AM17" s="105">
        <f>'C)NSA RCO SA Nb'!AM17/'C)NSA RCO SA Nb'!AI17-1</f>
        <v>1.0557880055787949E-2</v>
      </c>
      <c r="AN17" s="105">
        <f>'C)NSA RCO SA Nb'!AN17/'C)NSA RCO SA Nb'!AJ17-1</f>
        <v>1.0395164694476655E-2</v>
      </c>
      <c r="AO17" s="105">
        <f>'C)NSA RCO SA Nb'!AO17/'C)NSA RCO SA Nb'!AK17-1</f>
        <v>1.1353315168028955E-2</v>
      </c>
      <c r="AP17" s="105">
        <f>'C)NSA RCO SA Nb'!AP17/'C)NSA RCO SA Nb'!AL17-1</f>
        <v>1.2349276387905839E-2</v>
      </c>
      <c r="AQ17" s="105">
        <f>'C)NSA RCO SA Nb'!AQ17/'C)NSA RCO SA Nb'!AM17-1</f>
        <v>1.8567334189013351E-2</v>
      </c>
      <c r="AR17" s="105">
        <f>'C)NSA RCO SA Nb'!AR17/'C)NSA RCO SA Nb'!AN17-1</f>
        <v>1.7702527752017971E-2</v>
      </c>
      <c r="AS17" s="105">
        <f>'C)NSA RCO SA Nb'!AS17/'C)NSA RCO SA Nb'!AO17-1</f>
        <v>1.7516930436296763E-2</v>
      </c>
      <c r="AT17" s="105">
        <f>'C)NSA RCO SA Nb'!AT17/'C)NSA RCO SA Nb'!AP17-1</f>
        <v>1.7708576049562108E-2</v>
      </c>
      <c r="AU17" s="105">
        <f>'C)NSA RCO SA Nb'!AU17/'C)NSA RCO SA Nb'!AQ17-1</f>
        <v>1.3197414715885092E-2</v>
      </c>
      <c r="AV17" s="105">
        <f>'C)NSA RCO SA Nb'!AV17/'C)NSA RCO SA Nb'!AR17-1</f>
        <v>1.4733081316143259E-2</v>
      </c>
      <c r="AW17" s="105">
        <f>'C)NSA RCO SA Nb'!AW17/'C)NSA RCO SA Nb'!AS17-1</f>
        <v>1.7035245801980459E-2</v>
      </c>
      <c r="AX17" s="105">
        <f>'C)NSA RCO SA Nb'!AX17/'C)NSA RCO SA Nb'!AT17-1</f>
        <v>-3.6592868340682427E-2</v>
      </c>
      <c r="AY17" s="105">
        <f>'C)NSA RCO SA Nb'!AY17/'C)NSA RCO SA Nb'!AU17-1</f>
        <v>8.5281457884981426E-2</v>
      </c>
      <c r="AZ17" s="105">
        <f>'C)NSA RCO SA Nb'!AZ17/'C)NSA RCO SA Nb'!AV17-1</f>
        <v>8.454543939135073E-2</v>
      </c>
      <c r="BA17" s="105">
        <f>'C)NSA RCO SA Nb'!BA17/'C)NSA RCO SA Nb'!AW17-1</f>
        <v>0.12489012234577945</v>
      </c>
      <c r="BB17" s="105">
        <f>'C)NSA RCO SA Nb'!BB17/'C)NSA RCO SA Nb'!AX17-1</f>
        <v>0.18461496777532793</v>
      </c>
      <c r="BC17" s="105">
        <f>'C)NSA RCO SA Nb'!BC17/'C)NSA RCO SA Nb'!AY17-1</f>
        <v>5.6245183392922726E-2</v>
      </c>
      <c r="BD17" s="105">
        <f>'C)NSA RCO SA Nb'!BD17/'C)NSA RCO SA Nb'!AZ17-1</f>
        <v>5.9020369191026045E-2</v>
      </c>
      <c r="BE17" s="105">
        <f>'C)NSA RCO SA Nb'!BE17/'C)NSA RCO SA Nb'!BA17-1</f>
        <v>2.0005652252417017E-2</v>
      </c>
      <c r="BF17" s="105">
        <f>'C)NSA RCO SA Nb'!BF17/'C)NSA RCO SA Nb'!BB17-1</f>
        <v>2.2989018247833837E-2</v>
      </c>
      <c r="BG17" s="105">
        <f>'C)NSA RCO SA Nb'!BG17/'C)NSA RCO SA Nb'!BC17-1</f>
        <v>5.9471436867109873E-2</v>
      </c>
      <c r="BH17" s="105">
        <f>'C)NSA RCO SA Nb'!BH17/'C)NSA RCO SA Nb'!BD17-1</f>
        <v>5.7543395870959912E-2</v>
      </c>
      <c r="BI17" s="105">
        <f>'C)NSA RCO SA Nb'!BI17/'C)NSA RCO SA Nb'!BE17-1</f>
        <v>5.9003494863308692E-2</v>
      </c>
      <c r="BJ17" s="105">
        <f>'C)NSA RCO SA Nb'!BJ17/'C)NSA RCO SA Nb'!BF17-1</f>
        <v>5.9289596299283875E-2</v>
      </c>
    </row>
    <row r="18" spans="1:62" x14ac:dyDescent="0.25">
      <c r="A18" s="20" t="s">
        <v>28</v>
      </c>
      <c r="B18" s="16"/>
      <c r="C18" s="42"/>
      <c r="D18" s="42"/>
      <c r="E18" s="42"/>
      <c r="F18" s="105">
        <f>'C)NSA RCO SA Nb'!F18/'C)NSA RCO SA Nb'!B18-1</f>
        <v>4.6957149928426034E-3</v>
      </c>
      <c r="G18" s="105">
        <f>'C)NSA RCO SA Nb'!G18/'C)NSA RCO SA Nb'!C18-1</f>
        <v>1.3870470832496151E-2</v>
      </c>
      <c r="H18" s="105">
        <f>'C)NSA RCO SA Nb'!H18/'C)NSA RCO SA Nb'!D18-1</f>
        <v>2.8724385211917003E-2</v>
      </c>
      <c r="I18" s="105">
        <f>'C)NSA RCO SA Nb'!I18/'C)NSA RCO SA Nb'!E18-1</f>
        <v>2.8757666163894857E-2</v>
      </c>
      <c r="J18" s="105">
        <f>'C)NSA RCO SA Nb'!J18/'C)NSA RCO SA Nb'!F18-1</f>
        <v>2.9307589880159801E-2</v>
      </c>
      <c r="K18" s="105">
        <f>'C)NSA RCO SA Nb'!K18/'C)NSA RCO SA Nb'!G18-1</f>
        <v>1.6706191662097636E-2</v>
      </c>
      <c r="L18" s="105">
        <f>'C)NSA RCO SA Nb'!L18/'C)NSA RCO SA Nb'!H18-1</f>
        <v>1.3703223643058537E-2</v>
      </c>
      <c r="M18" s="105">
        <f>'C)NSA RCO SA Nb'!M18/'C)NSA RCO SA Nb'!I18-1</f>
        <v>1.4202949098025552E-2</v>
      </c>
      <c r="N18" s="105">
        <f>'C)NSA RCO SA Nb'!N18/'C)NSA RCO SA Nb'!J18-1</f>
        <v>1.3945485828126269E-2</v>
      </c>
      <c r="O18" s="105">
        <f>'C)NSA RCO SA Nb'!O18/'C)NSA RCO SA Nb'!K18-1</f>
        <v>1.635371320901835E-2</v>
      </c>
      <c r="P18" s="105">
        <f>'C)NSA RCO SA Nb'!P18/'C)NSA RCO SA Nb'!L18-1</f>
        <v>5.8779373783381939E-3</v>
      </c>
      <c r="Q18" s="105">
        <f>'C)NSA RCO SA Nb'!Q18/'C)NSA RCO SA Nb'!M18-1</f>
        <v>4.5852279240381488E-3</v>
      </c>
      <c r="R18" s="105">
        <f>'C)NSA RCO SA Nb'!R18/'C)NSA RCO SA Nb'!N18-1</f>
        <v>1.7351586521900941E-3</v>
      </c>
      <c r="S18" s="105">
        <f>'C)NSA RCO SA Nb'!S18/'C)NSA RCO SA Nb'!O18-1</f>
        <v>5.9772289949944213E-3</v>
      </c>
      <c r="T18" s="105">
        <f>'C)NSA RCO SA Nb'!T18/'C)NSA RCO SA Nb'!P18-1</f>
        <v>1.9643060421699721E-2</v>
      </c>
      <c r="U18" s="105">
        <f>'C)NSA RCO SA Nb'!U18/'C)NSA RCO SA Nb'!Q18-1</f>
        <v>2.4355609650957843E-2</v>
      </c>
      <c r="V18" s="105">
        <f>'C)NSA RCO SA Nb'!V18/'C)NSA RCO SA Nb'!R18-1</f>
        <v>2.7523403171368477E-2</v>
      </c>
      <c r="W18" s="105">
        <f>'C)NSA RCO SA Nb'!W18/'C)NSA RCO SA Nb'!S18-1</f>
        <v>2.3391924352766269E-2</v>
      </c>
      <c r="X18" s="105">
        <f>'C)NSA RCO SA Nb'!X18/'C)NSA RCO SA Nb'!T18-1</f>
        <v>-2.636018557570674E-3</v>
      </c>
      <c r="Y18" s="105">
        <f>'C)NSA RCO SA Nb'!Y18/'C)NSA RCO SA Nb'!U18-1</f>
        <v>-6.2071440948586742E-3</v>
      </c>
      <c r="Z18" s="105">
        <f>'C)NSA RCO SA Nb'!Z18/'C)NSA RCO SA Nb'!V18-1</f>
        <v>-5.3051713024938607E-3</v>
      </c>
      <c r="AA18" s="105">
        <f>'C)NSA RCO SA Nb'!AA18/'C)NSA RCO SA Nb'!W18-1</f>
        <v>9.9973299056776987E-4</v>
      </c>
      <c r="AB18" s="105">
        <f>'C)NSA RCO SA Nb'!AB18/'C)NSA RCO SA Nb'!X18-1</f>
        <v>1.3246021529449425E-3</v>
      </c>
      <c r="AC18" s="105">
        <f>'C)NSA RCO SA Nb'!AC18/'C)NSA RCO SA Nb'!Y18-1</f>
        <v>3.4872497431281957E-4</v>
      </c>
      <c r="AD18" s="105">
        <f>'C)NSA RCO SA Nb'!AD18/'C)NSA RCO SA Nb'!Z18-1</f>
        <v>2.5670421692751688E-3</v>
      </c>
      <c r="AE18" s="105">
        <f>'C)NSA RCO SA Nb'!AE18/'C)NSA RCO SA Nb'!AA18-1</f>
        <v>-3.9391082107143038E-3</v>
      </c>
      <c r="AF18" s="105">
        <f>'C)NSA RCO SA Nb'!AF18/'C)NSA RCO SA Nb'!AB18-1</f>
        <v>-4.7200278233220372E-3</v>
      </c>
      <c r="AG18" s="105">
        <f>'C)NSA RCO SA Nb'!AG18/'C)NSA RCO SA Nb'!AC18-1</f>
        <v>-2.8510778692862893E-3</v>
      </c>
      <c r="AH18" s="105">
        <f>'C)NSA RCO SA Nb'!AH18/'C)NSA RCO SA Nb'!AD18-1</f>
        <v>8.1350834016955531E-3</v>
      </c>
      <c r="AI18" s="105">
        <f>'C)NSA RCO SA Nb'!AI18/'C)NSA RCO SA Nb'!AE18-1</f>
        <v>6.7821310464659668E-3</v>
      </c>
      <c r="AJ18" s="105">
        <f>'C)NSA RCO SA Nb'!AJ18/'C)NSA RCO SA Nb'!AF18-1</f>
        <v>9.5409844249201292E-3</v>
      </c>
      <c r="AK18" s="105">
        <f>'C)NSA RCO SA Nb'!AK18/'C)NSA RCO SA Nb'!AG18-1</f>
        <v>9.3268324354021104E-3</v>
      </c>
      <c r="AL18" s="105">
        <f>'C)NSA RCO SA Nb'!AL18/'C)NSA RCO SA Nb'!AH18-1</f>
        <v>-3.5939513121313604E-3</v>
      </c>
      <c r="AM18" s="105">
        <f>'C)NSA RCO SA Nb'!AM18/'C)NSA RCO SA Nb'!AI18-1</f>
        <v>3.754840465674647E-3</v>
      </c>
      <c r="AN18" s="105">
        <f>'C)NSA RCO SA Nb'!AN18/'C)NSA RCO SA Nb'!AJ18-1</f>
        <v>2.7629261056341115E-3</v>
      </c>
      <c r="AO18" s="105">
        <f>'C)NSA RCO SA Nb'!AO18/'C)NSA RCO SA Nb'!AK18-1</f>
        <v>3.7976954050360501E-3</v>
      </c>
      <c r="AP18" s="105">
        <f>'C)NSA RCO SA Nb'!AP18/'C)NSA RCO SA Nb'!AL18-1</f>
        <v>5.3268495489811052E-3</v>
      </c>
      <c r="AQ18" s="105">
        <f>'C)NSA RCO SA Nb'!AQ18/'C)NSA RCO SA Nb'!AM18-1</f>
        <v>1.3323883770375522E-2</v>
      </c>
      <c r="AR18" s="105">
        <f>'C)NSA RCO SA Nb'!AR18/'C)NSA RCO SA Nb'!AN18-1</f>
        <v>1.3252625869125678E-2</v>
      </c>
      <c r="AS18" s="105">
        <f>'C)NSA RCO SA Nb'!AS18/'C)NSA RCO SA Nb'!AO18-1</f>
        <v>1.3253969721056524E-2</v>
      </c>
      <c r="AT18" s="105">
        <f>'C)NSA RCO SA Nb'!AT18/'C)NSA RCO SA Nb'!AP18-1</f>
        <v>1.3465029693221275E-2</v>
      </c>
      <c r="AU18" s="105">
        <f>'C)NSA RCO SA Nb'!AU18/'C)NSA RCO SA Nb'!AQ18-1</f>
        <v>6.8054516593989423E-3</v>
      </c>
      <c r="AV18" s="105">
        <f>'C)NSA RCO SA Nb'!AV18/'C)NSA RCO SA Nb'!AR18-1</f>
        <v>9.2345877285835432E-3</v>
      </c>
      <c r="AW18" s="105">
        <f>'C)NSA RCO SA Nb'!AW18/'C)NSA RCO SA Nb'!AS18-1</f>
        <v>1.2004232495347988E-2</v>
      </c>
      <c r="AX18" s="105">
        <f>'C)NSA RCO SA Nb'!AX18/'C)NSA RCO SA Nb'!AT18-1</f>
        <v>0.41979905091053737</v>
      </c>
      <c r="AY18" s="105">
        <f>'C)NSA RCO SA Nb'!AY18/'C)NSA RCO SA Nb'!AU18-1</f>
        <v>8.7572366097338428E-2</v>
      </c>
      <c r="AZ18" s="105">
        <f>'C)NSA RCO SA Nb'!AZ18/'C)NSA RCO SA Nb'!AV18-1</f>
        <v>8.5280041542302731E-2</v>
      </c>
      <c r="BA18" s="105">
        <f>'C)NSA RCO SA Nb'!BA18/'C)NSA RCO SA Nb'!AW18-1</f>
        <v>0.12553897718552287</v>
      </c>
      <c r="BB18" s="105">
        <f>'C)NSA RCO SA Nb'!BB18/'C)NSA RCO SA Nb'!AX18-1</f>
        <v>-0.19894448658479535</v>
      </c>
      <c r="BC18" s="105">
        <f>'C)NSA RCO SA Nb'!BC18/'C)NSA RCO SA Nb'!AY18-1</f>
        <v>5.1181641508261322E-2</v>
      </c>
      <c r="BD18" s="105">
        <f>'C)NSA RCO SA Nb'!BD18/'C)NSA RCO SA Nb'!AZ18-1</f>
        <v>5.4546668735379722E-2</v>
      </c>
      <c r="BE18" s="105">
        <f>'C)NSA RCO SA Nb'!BE18/'C)NSA RCO SA Nb'!BA18-1</f>
        <v>1.5811119996399059E-2</v>
      </c>
      <c r="BF18" s="105">
        <f>'C)NSA RCO SA Nb'!BF18/'C)NSA RCO SA Nb'!BB18-1</f>
        <v>1.8538804986778512E-2</v>
      </c>
      <c r="BG18" s="105">
        <f>'C)NSA RCO SA Nb'!BG18/'C)NSA RCO SA Nb'!BC18-1</f>
        <v>5.6049446117679036E-2</v>
      </c>
      <c r="BH18" s="105">
        <f>'C)NSA RCO SA Nb'!BH18/'C)NSA RCO SA Nb'!BD18-1</f>
        <v>5.5235059350255078E-2</v>
      </c>
      <c r="BI18" s="105">
        <f>'C)NSA RCO SA Nb'!BI18/'C)NSA RCO SA Nb'!BE18-1</f>
        <v>5.9650419052321935E-2</v>
      </c>
      <c r="BJ18" s="105">
        <f>'C)NSA RCO SA Nb'!BJ18/'C)NSA RCO SA Nb'!BF18-1</f>
        <v>5.789548365753161E-2</v>
      </c>
    </row>
    <row r="19" spans="1:62" x14ac:dyDescent="0.25">
      <c r="A19" s="20" t="s">
        <v>13</v>
      </c>
      <c r="B19" s="16"/>
      <c r="C19" s="42"/>
      <c r="D19" s="42"/>
      <c r="E19" s="42"/>
      <c r="F19" s="105">
        <f>'C)NSA RCO SA Nb'!F19/'C)NSA RCO SA Nb'!B19-1</f>
        <v>7.0062924852571928E-3</v>
      </c>
      <c r="G19" s="105">
        <f>'C)NSA RCO SA Nb'!G19/'C)NSA RCO SA Nb'!C19-1</f>
        <v>8.334247777899817E-3</v>
      </c>
      <c r="H19" s="105">
        <f>'C)NSA RCO SA Nb'!H19/'C)NSA RCO SA Nb'!D19-1</f>
        <v>2.0585290468624118E-2</v>
      </c>
      <c r="I19" s="105">
        <f>'C)NSA RCO SA Nb'!I19/'C)NSA RCO SA Nb'!E19-1</f>
        <v>2.0422727025112941E-2</v>
      </c>
      <c r="J19" s="105">
        <f>'C)NSA RCO SA Nb'!J19/'C)NSA RCO SA Nb'!F19-1</f>
        <v>2.0818111429786512E-2</v>
      </c>
      <c r="K19" s="105">
        <f>'C)NSA RCO SA Nb'!K19/'C)NSA RCO SA Nb'!G19-1</f>
        <v>1.65796962656235E-2</v>
      </c>
      <c r="L19" s="105">
        <f>'C)NSA RCO SA Nb'!L19/'C)NSA RCO SA Nb'!H19-1</f>
        <v>1.6896377062728396E-2</v>
      </c>
      <c r="M19" s="105">
        <f>'C)NSA RCO SA Nb'!M19/'C)NSA RCO SA Nb'!I19-1</f>
        <v>1.7536928982110789E-2</v>
      </c>
      <c r="N19" s="105">
        <f>'C)NSA RCO SA Nb'!N19/'C)NSA RCO SA Nb'!J19-1</f>
        <v>1.7413041620374381E-2</v>
      </c>
      <c r="O19" s="105">
        <f>'C)NSA RCO SA Nb'!O19/'C)NSA RCO SA Nb'!K19-1</f>
        <v>1.9467311830259293E-2</v>
      </c>
      <c r="P19" s="105">
        <f>'C)NSA RCO SA Nb'!P19/'C)NSA RCO SA Nb'!L19-1</f>
        <v>9.8152303852687695E-3</v>
      </c>
      <c r="Q19" s="105">
        <f>'C)NSA RCO SA Nb'!Q19/'C)NSA RCO SA Nb'!M19-1</f>
        <v>8.8140857484626522E-3</v>
      </c>
      <c r="R19" s="105">
        <f>'C)NSA RCO SA Nb'!R19/'C)NSA RCO SA Nb'!N19-1</f>
        <v>6.7987567987568553E-3</v>
      </c>
      <c r="S19" s="105">
        <f>'C)NSA RCO SA Nb'!S19/'C)NSA RCO SA Nb'!O19-1</f>
        <v>9.5504113659869994E-3</v>
      </c>
      <c r="T19" s="105">
        <f>'C)NSA RCO SA Nb'!T19/'C)NSA RCO SA Nb'!P19-1</f>
        <v>6.2150823485431772E-3</v>
      </c>
      <c r="U19" s="105">
        <f>'C)NSA RCO SA Nb'!U19/'C)NSA RCO SA Nb'!Q19-1</f>
        <v>8.8046847371596737E-3</v>
      </c>
      <c r="V19" s="105">
        <f>'C)NSA RCO SA Nb'!V19/'C)NSA RCO SA Nb'!R19-1</f>
        <v>1.0960989930698606E-2</v>
      </c>
      <c r="W19" s="105">
        <f>'C)NSA RCO SA Nb'!W19/'C)NSA RCO SA Nb'!S19-1</f>
        <v>7.2029623157654488E-3</v>
      </c>
      <c r="X19" s="105">
        <f>'C)NSA RCO SA Nb'!X19/'C)NSA RCO SA Nb'!T19-1</f>
        <v>-1.2281145345807154E-3</v>
      </c>
      <c r="Y19" s="105">
        <f>'C)NSA RCO SA Nb'!Y19/'C)NSA RCO SA Nb'!U19-1</f>
        <v>-2.6910406903911666E-3</v>
      </c>
      <c r="Z19" s="105">
        <f>'C)NSA RCO SA Nb'!Z19/'C)NSA RCO SA Nb'!V19-1</f>
        <v>-1.4029803015376263E-3</v>
      </c>
      <c r="AA19" s="105">
        <f>'C)NSA RCO SA Nb'!AA19/'C)NSA RCO SA Nb'!W19-1</f>
        <v>9.7641828499432926E-3</v>
      </c>
      <c r="AB19" s="105">
        <f>'C)NSA RCO SA Nb'!AB19/'C)NSA RCO SA Nb'!X19-1</f>
        <v>9.8163312753480891E-3</v>
      </c>
      <c r="AC19" s="105">
        <f>'C)NSA RCO SA Nb'!AC19/'C)NSA RCO SA Nb'!Y19-1</f>
        <v>9.4854100436794209E-3</v>
      </c>
      <c r="AD19" s="105">
        <f>'C)NSA RCO SA Nb'!AD19/'C)NSA RCO SA Nb'!Z19-1</f>
        <v>1.4524718364057998E-2</v>
      </c>
      <c r="AE19" s="105">
        <f>'C)NSA RCO SA Nb'!AE19/'C)NSA RCO SA Nb'!AA19-1</f>
        <v>3.6562042974463971E-3</v>
      </c>
      <c r="AF19" s="105">
        <f>'C)NSA RCO SA Nb'!AF19/'C)NSA RCO SA Nb'!AB19-1</f>
        <v>3.1720856463124392E-3</v>
      </c>
      <c r="AG19" s="105">
        <f>'C)NSA RCO SA Nb'!AG19/'C)NSA RCO SA Nb'!AC19-1</f>
        <v>4.7826309590863758E-3</v>
      </c>
      <c r="AH19" s="105">
        <f>'C)NSA RCO SA Nb'!AH19/'C)NSA RCO SA Nb'!AD19-1</f>
        <v>1.8568017391924041E-2</v>
      </c>
      <c r="AI19" s="105">
        <f>'C)NSA RCO SA Nb'!AI19/'C)NSA RCO SA Nb'!AE19-1</f>
        <v>1.4316793445863674E-2</v>
      </c>
      <c r="AJ19" s="105">
        <f>'C)NSA RCO SA Nb'!AJ19/'C)NSA RCO SA Nb'!AF19-1</f>
        <v>1.7156700242254352E-2</v>
      </c>
      <c r="AK19" s="105">
        <f>'C)NSA RCO SA Nb'!AK19/'C)NSA RCO SA Nb'!AG19-1</f>
        <v>1.7006074690149919E-2</v>
      </c>
      <c r="AL19" s="105">
        <f>'C)NSA RCO SA Nb'!AL19/'C)NSA RCO SA Nb'!AH19-1</f>
        <v>-9.6970908727378458E-4</v>
      </c>
      <c r="AM19" s="105">
        <f>'C)NSA RCO SA Nb'!AM19/'C)NSA RCO SA Nb'!AI19-1</f>
        <v>8.9962477961453846E-3</v>
      </c>
      <c r="AN19" s="105">
        <f>'C)NSA RCO SA Nb'!AN19/'C)NSA RCO SA Nb'!AJ19-1</f>
        <v>8.6442471131524812E-3</v>
      </c>
      <c r="AO19" s="105">
        <f>'C)NSA RCO SA Nb'!AO19/'C)NSA RCO SA Nb'!AK19-1</f>
        <v>9.58604136078689E-3</v>
      </c>
      <c r="AP19" s="105">
        <f>'C)NSA RCO SA Nb'!AP19/'C)NSA RCO SA Nb'!AL19-1</f>
        <v>1.0627120170514148E-2</v>
      </c>
      <c r="AQ19" s="105">
        <f>'C)NSA RCO SA Nb'!AQ19/'C)NSA RCO SA Nb'!AM19-1</f>
        <v>1.7314336350149784E-2</v>
      </c>
      <c r="AR19" s="105">
        <f>'C)NSA RCO SA Nb'!AR19/'C)NSA RCO SA Nb'!AN19-1</f>
        <v>1.6658132956855809E-2</v>
      </c>
      <c r="AS19" s="105">
        <f>'C)NSA RCO SA Nb'!AS19/'C)NSA RCO SA Nb'!AO19-1</f>
        <v>1.6513297001101934E-2</v>
      </c>
      <c r="AT19" s="105">
        <f>'C)NSA RCO SA Nb'!AT19/'C)NSA RCO SA Nb'!AP19-1</f>
        <v>1.6792910540125883E-2</v>
      </c>
      <c r="AU19" s="105">
        <f>'C)NSA RCO SA Nb'!AU19/'C)NSA RCO SA Nb'!AQ19-1</f>
        <v>1.1646570623238484E-2</v>
      </c>
      <c r="AV19" s="105">
        <f>'C)NSA RCO SA Nb'!AV19/'C)NSA RCO SA Nb'!AR19-1</f>
        <v>1.3417174374370289E-2</v>
      </c>
      <c r="AW19" s="105">
        <f>'C)NSA RCO SA Nb'!AW19/'C)NSA RCO SA Nb'!AS19-1</f>
        <v>1.5859297562023311E-2</v>
      </c>
      <c r="AX19" s="105">
        <f>'C)NSA RCO SA Nb'!AX19/'C)NSA RCO SA Nb'!AT19-1</f>
        <v>4.5008059343657036E-2</v>
      </c>
      <c r="AY19" s="105">
        <f>'C)NSA RCO SA Nb'!AY19/'C)NSA RCO SA Nb'!AU19-1</f>
        <v>8.598971922732801E-2</v>
      </c>
      <c r="AZ19" s="105">
        <f>'C)NSA RCO SA Nb'!AZ19/'C)NSA RCO SA Nb'!AV19-1</f>
        <v>8.4927582045344563E-2</v>
      </c>
      <c r="BA19" s="105">
        <f>'C)NSA RCO SA Nb'!BA19/'C)NSA RCO SA Nb'!AW19-1</f>
        <v>0.12522711022544208</v>
      </c>
      <c r="BB19" s="105">
        <f>'C)NSA RCO SA Nb'!BB19/'C)NSA RCO SA Nb'!AX19-1</f>
        <v>9.1407706460955973E-2</v>
      </c>
      <c r="BC19" s="105">
        <f>'C)NSA RCO SA Nb'!BC19/'C)NSA RCO SA Nb'!AY19-1</f>
        <v>5.5082268792354672E-2</v>
      </c>
      <c r="BD19" s="105">
        <f>'C)NSA RCO SA Nb'!BD19/'C)NSA RCO SA Nb'!AZ19-1</f>
        <v>5.8048729078356676E-2</v>
      </c>
      <c r="BE19" s="105">
        <f>'C)NSA RCO SA Nb'!BE19/'C)NSA RCO SA Nb'!BA19-1</f>
        <v>1.9169210824320437E-2</v>
      </c>
      <c r="BF19" s="105">
        <f>'C)NSA RCO SA Nb'!BF19/'C)NSA RCO SA Nb'!BB19-1</f>
        <v>2.2069131990930524E-2</v>
      </c>
      <c r="BG19" s="105">
        <f>'C)NSA RCO SA Nb'!BG19/'C)NSA RCO SA Nb'!BC19-1</f>
        <v>5.8855860949259764E-2</v>
      </c>
      <c r="BH19" s="105">
        <f>'C)NSA RCO SA Nb'!BH19/'C)NSA RCO SA Nb'!BD19-1</f>
        <v>5.7128396938691761E-2</v>
      </c>
      <c r="BI19" s="105">
        <f>'C)NSA RCO SA Nb'!BI19/'C)NSA RCO SA Nb'!BE19-1</f>
        <v>5.9231012792478888E-2</v>
      </c>
      <c r="BJ19" s="105">
        <f>'C)NSA RCO SA Nb'!BJ19/'C)NSA RCO SA Nb'!BF19-1</f>
        <v>5.8968682377158688E-2</v>
      </c>
    </row>
    <row r="20" spans="1:62" ht="13" thickBot="1" x14ac:dyDescent="0.3">
      <c r="A20" s="6"/>
      <c r="B20" s="15"/>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M20" s="43"/>
      <c r="AN20" s="43"/>
      <c r="AO20" s="43"/>
    </row>
    <row r="21" spans="1:62" x14ac:dyDescent="0.25">
      <c r="A21" s="19"/>
      <c r="B21" s="1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M21" s="40"/>
      <c r="AN21" s="40"/>
      <c r="AO21" s="40"/>
    </row>
    <row r="22" spans="1:62" ht="13" x14ac:dyDescent="0.3">
      <c r="A22" s="25" t="s">
        <v>48</v>
      </c>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M22" s="35"/>
      <c r="AN22" s="35"/>
      <c r="AO22" s="35"/>
      <c r="BB22" s="377" t="s">
        <v>241</v>
      </c>
      <c r="BC22" s="377"/>
      <c r="BD22" s="377"/>
    </row>
    <row r="23" spans="1:62" x14ac:dyDescent="0.25">
      <c r="A23" s="24" t="s">
        <v>247</v>
      </c>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M23" s="35"/>
      <c r="AN23" s="35"/>
      <c r="AO23" s="35"/>
      <c r="BB23" s="383" t="s">
        <v>244</v>
      </c>
      <c r="BC23" s="383"/>
      <c r="BD23" s="383"/>
    </row>
    <row r="24" spans="1:62" x14ac:dyDescent="0.25">
      <c r="A24" s="5"/>
      <c r="B24" s="2" t="str">
        <f t="shared" ref="B24:H24" si="24">B8</f>
        <v>4eme T 2009</v>
      </c>
      <c r="C24" s="38" t="str">
        <f t="shared" si="24"/>
        <v>1er T 2010</v>
      </c>
      <c r="D24" s="38" t="str">
        <f t="shared" si="24"/>
        <v>2eme T 2010</v>
      </c>
      <c r="E24" s="38" t="str">
        <f t="shared" si="24"/>
        <v>3eme T 2010</v>
      </c>
      <c r="F24" s="38" t="str">
        <f t="shared" si="24"/>
        <v>4eme T 2010</v>
      </c>
      <c r="G24" s="38" t="str">
        <f t="shared" si="24"/>
        <v>1er T 2011</v>
      </c>
      <c r="H24" s="38" t="str">
        <f t="shared" si="24"/>
        <v>2eme T 2011</v>
      </c>
      <c r="I24" s="38" t="str">
        <f t="shared" ref="I24:N24" si="25">I8</f>
        <v>3eme T 2011</v>
      </c>
      <c r="J24" s="38" t="str">
        <f t="shared" si="25"/>
        <v>4eme T 2011</v>
      </c>
      <c r="K24" s="38" t="str">
        <f t="shared" si="25"/>
        <v>1er T 2012</v>
      </c>
      <c r="L24" s="38" t="str">
        <f t="shared" si="25"/>
        <v>2eme T 2012</v>
      </c>
      <c r="M24" s="38" t="str">
        <f t="shared" si="25"/>
        <v>3eme T 2012</v>
      </c>
      <c r="N24" s="38" t="str">
        <f t="shared" si="25"/>
        <v>4eme T 2012</v>
      </c>
      <c r="O24" s="38" t="str">
        <f t="shared" ref="O24:T24" si="26">O8</f>
        <v>1er T 2013</v>
      </c>
      <c r="P24" s="38" t="str">
        <f t="shared" si="26"/>
        <v>2eme T 2013</v>
      </c>
      <c r="Q24" s="38" t="str">
        <f t="shared" si="26"/>
        <v>3ème T 2013</v>
      </c>
      <c r="R24" s="38" t="str">
        <f t="shared" si="26"/>
        <v>4ème T 2013</v>
      </c>
      <c r="S24" s="38" t="str">
        <f t="shared" si="26"/>
        <v>1er T 2014</v>
      </c>
      <c r="T24" s="38" t="str">
        <f t="shared" si="26"/>
        <v>2eme T 2014</v>
      </c>
      <c r="U24" s="38" t="str">
        <f t="shared" ref="U24:V24" si="27">U8</f>
        <v>3T 2014</v>
      </c>
      <c r="V24" s="38" t="str">
        <f t="shared" si="27"/>
        <v>4ème T 2014</v>
      </c>
      <c r="W24" s="38" t="str">
        <f t="shared" ref="W24:X24" si="28">W8</f>
        <v>1er T 2015</v>
      </c>
      <c r="X24" s="38" t="str">
        <f t="shared" si="28"/>
        <v>2e T 2015</v>
      </c>
      <c r="Y24" s="38" t="str">
        <f t="shared" ref="Y24:Z24" si="29">Y8</f>
        <v>3e T 2015</v>
      </c>
      <c r="Z24" s="38" t="str">
        <f t="shared" si="29"/>
        <v>4e T 2015</v>
      </c>
      <c r="AA24" s="38" t="str">
        <f t="shared" ref="AA24:AB24" si="30">AA8</f>
        <v>1er T 2016</v>
      </c>
      <c r="AB24" s="38" t="str">
        <f t="shared" si="30"/>
        <v>2e T 2016</v>
      </c>
      <c r="AC24" s="38" t="str">
        <f t="shared" ref="AC24:AD24" si="31">AC8</f>
        <v>3e T 2016</v>
      </c>
      <c r="AD24" s="38" t="str">
        <f t="shared" si="31"/>
        <v>4e T 2016</v>
      </c>
      <c r="AE24" s="38" t="str">
        <f t="shared" ref="AE24:AF24" si="32">AE8</f>
        <v>2017 - T1</v>
      </c>
      <c r="AF24" s="38" t="str">
        <f t="shared" si="32"/>
        <v>2017 - T2</v>
      </c>
      <c r="AG24" s="38" t="str">
        <f t="shared" ref="AG24:AH24" si="33">AG8</f>
        <v>2017- T3</v>
      </c>
      <c r="AH24" s="38" t="str">
        <f t="shared" si="33"/>
        <v>2017 - T4</v>
      </c>
      <c r="AI24" s="38" t="str">
        <f t="shared" ref="AI24:AJ24" si="34">AI8</f>
        <v>2018 - T1</v>
      </c>
      <c r="AJ24" s="38" t="str">
        <f t="shared" si="34"/>
        <v>2018 - T2</v>
      </c>
      <c r="AK24" s="38" t="str">
        <f t="shared" ref="AK24:AM24" si="35">AK8</f>
        <v>2018 - T3</v>
      </c>
      <c r="AL24" s="38" t="str">
        <f t="shared" si="35"/>
        <v>2018 - T4</v>
      </c>
      <c r="AM24" s="38" t="str">
        <f t="shared" si="35"/>
        <v>2019 - T1</v>
      </c>
      <c r="AN24" s="38" t="str">
        <f t="shared" ref="AN24:AP24" si="36">AN8</f>
        <v>2019 - T2</v>
      </c>
      <c r="AO24" s="38" t="str">
        <f t="shared" si="36"/>
        <v>2019 - T3</v>
      </c>
      <c r="AP24" s="38" t="str">
        <f t="shared" si="36"/>
        <v>2019 - T4</v>
      </c>
      <c r="AQ24" s="38" t="str">
        <f t="shared" ref="AQ24" si="37">AQ8</f>
        <v>2020 - T1</v>
      </c>
      <c r="AR24" s="38" t="str">
        <f t="shared" ref="AR24" si="38">AR8</f>
        <v>2020 - T2</v>
      </c>
      <c r="AS24" s="38" t="str">
        <f t="shared" ref="AS24:AT24" si="39">AS8</f>
        <v>2020 - T3</v>
      </c>
      <c r="AT24" s="38" t="str">
        <f t="shared" si="39"/>
        <v>2020- T4</v>
      </c>
      <c r="AU24" s="38" t="str">
        <f t="shared" ref="AU24:AV24" si="40">AU8</f>
        <v>2021- T1</v>
      </c>
      <c r="AV24" s="38" t="str">
        <f t="shared" si="40"/>
        <v>2021- T2</v>
      </c>
      <c r="AW24" s="38" t="str">
        <f t="shared" ref="AW24:AX24" si="41">AW8</f>
        <v>2021- T3</v>
      </c>
      <c r="AX24" s="38" t="str">
        <f t="shared" si="41"/>
        <v>2021- T4</v>
      </c>
      <c r="AY24" s="38" t="str">
        <f t="shared" ref="AY24:AZ24" si="42">AY8</f>
        <v>2022- T1</v>
      </c>
      <c r="AZ24" s="38" t="str">
        <f t="shared" si="42"/>
        <v>2022- T2</v>
      </c>
      <c r="BA24" s="38" t="str">
        <f t="shared" ref="BA24:BB24" si="43">BA8</f>
        <v>2022- T3</v>
      </c>
      <c r="BB24" s="38" t="str">
        <f t="shared" si="43"/>
        <v>2022- T4</v>
      </c>
      <c r="BC24" s="38" t="str">
        <f t="shared" ref="BC24:BD24" si="44">BC8</f>
        <v>2023- T1</v>
      </c>
      <c r="BD24" s="38" t="str">
        <f t="shared" si="44"/>
        <v>2023- T2</v>
      </c>
      <c r="BE24" s="38" t="str">
        <f t="shared" ref="BE24:BF24" si="45">BE8</f>
        <v>2023- T3</v>
      </c>
      <c r="BF24" s="38" t="str">
        <f t="shared" si="45"/>
        <v>2023- T4</v>
      </c>
      <c r="BG24" s="38" t="str">
        <f t="shared" ref="BG24:BH24" si="46">BG8</f>
        <v>2024- T1</v>
      </c>
      <c r="BH24" s="38" t="str">
        <f t="shared" si="46"/>
        <v>2024- T2</v>
      </c>
      <c r="BI24" s="38" t="str">
        <f t="shared" ref="BI24:BJ24" si="47">BI8</f>
        <v>2024- T3</v>
      </c>
      <c r="BJ24" s="38" t="str">
        <f t="shared" si="47"/>
        <v>2024- T4</v>
      </c>
    </row>
    <row r="25" spans="1:62" x14ac:dyDescent="0.25">
      <c r="A25" s="8" t="s">
        <v>0</v>
      </c>
      <c r="B25" s="3"/>
      <c r="C25" s="39"/>
      <c r="D25" s="39"/>
      <c r="E25" s="39"/>
      <c r="F25" s="105">
        <f>'C)NSA RCO SA Nb'!F25/'C)NSA RCO SA Nb'!B25-1</f>
        <v>-3.0004549325183483E-2</v>
      </c>
      <c r="G25" s="105">
        <f>'C)NSA RCO SA Nb'!G25/'C)NSA RCO SA Nb'!C25-1</f>
        <v>-3.1831619220877849E-2</v>
      </c>
      <c r="H25" s="105">
        <f>'C)NSA RCO SA Nb'!H25/'C)NSA RCO SA Nb'!D25-1</f>
        <v>-3.2622131710435931E-2</v>
      </c>
      <c r="I25" s="105">
        <f>'C)NSA RCO SA Nb'!I25/'C)NSA RCO SA Nb'!E25-1</f>
        <v>-3.3758168841040437E-2</v>
      </c>
      <c r="J25" s="105">
        <f>'C)NSA RCO SA Nb'!J25/'C)NSA RCO SA Nb'!F25-1</f>
        <v>-3.6231221769518984E-2</v>
      </c>
      <c r="K25" s="105">
        <f>'C)NSA RCO SA Nb'!K25/'C)NSA RCO SA Nb'!G25-1</f>
        <v>-3.6975245714673144E-2</v>
      </c>
      <c r="L25" s="105">
        <f>'C)NSA RCO SA Nb'!L25/'C)NSA RCO SA Nb'!H25-1</f>
        <v>-3.8378121680040289E-2</v>
      </c>
      <c r="M25" s="105">
        <f>'C)NSA RCO SA Nb'!M25/'C)NSA RCO SA Nb'!I25-1</f>
        <v>-4.00633294989301E-2</v>
      </c>
      <c r="N25" s="105">
        <f>'C)NSA RCO SA Nb'!N25/'C)NSA RCO SA Nb'!J25-1</f>
        <v>-4.0303461356092973E-2</v>
      </c>
      <c r="O25" s="105">
        <f>'C)NSA RCO SA Nb'!O25/'C)NSA RCO SA Nb'!K25-1</f>
        <v>-3.9624449031829823E-2</v>
      </c>
      <c r="P25" s="105">
        <f>'C)NSA RCO SA Nb'!P25/'C)NSA RCO SA Nb'!L25-1</f>
        <v>-3.861153254793348E-2</v>
      </c>
      <c r="Q25" s="105">
        <f>'C)NSA RCO SA Nb'!Q25/'C)NSA RCO SA Nb'!M25-1</f>
        <v>-3.568188846510667E-2</v>
      </c>
      <c r="R25" s="105">
        <f>'C)NSA RCO SA Nb'!R25/'C)NSA RCO SA Nb'!N25-1</f>
        <v>-3.4426357395464957E-2</v>
      </c>
      <c r="S25" s="105">
        <f>'C)NSA RCO SA Nb'!S25/'C)NSA RCO SA Nb'!O25-1</f>
        <v>-3.5784788584893312E-2</v>
      </c>
      <c r="T25" s="105">
        <f>'C)NSA RCO SA Nb'!T25/'C)NSA RCO SA Nb'!P25-1</f>
        <v>-3.3023713949818401E-2</v>
      </c>
      <c r="U25" s="105">
        <f>'C)NSA RCO SA Nb'!U25/'C)NSA RCO SA Nb'!Q25-1</f>
        <v>-3.3177977198993069E-2</v>
      </c>
      <c r="V25" s="105">
        <f>'C)NSA RCO SA Nb'!V25/'C)NSA RCO SA Nb'!R25-1</f>
        <v>-3.1697641663143261E-2</v>
      </c>
      <c r="W25" s="105">
        <f>'C)NSA RCO SA Nb'!W25/'C)NSA RCO SA Nb'!S25-1</f>
        <v>-2.9909145708994722E-2</v>
      </c>
      <c r="X25" s="105">
        <f>'C)NSA RCO SA Nb'!X25/'C)NSA RCO SA Nb'!T25-1</f>
        <v>-3.3943416685834449E-2</v>
      </c>
      <c r="Y25" s="105">
        <f>'C)NSA RCO SA Nb'!Y25/'C)NSA RCO SA Nb'!U25-1</f>
        <v>-3.5673712404534208E-2</v>
      </c>
      <c r="Z25" s="105">
        <f>'C)NSA RCO SA Nb'!Z25/'C)NSA RCO SA Nb'!V25-1</f>
        <v>-3.5213363333713388E-2</v>
      </c>
      <c r="AA25" s="105">
        <f>'C)NSA RCO SA Nb'!AA25/'C)NSA RCO SA Nb'!W25-1</f>
        <v>-3.4080953460577157E-2</v>
      </c>
      <c r="AB25" s="105">
        <f>'C)NSA RCO SA Nb'!AB25/'C)NSA RCO SA Nb'!X25-1</f>
        <v>-3.1142290249433158E-2</v>
      </c>
      <c r="AC25" s="105">
        <f>'C)NSA RCO SA Nb'!AC25/'C)NSA RCO SA Nb'!Y25-1</f>
        <v>-2.9001957732469941E-2</v>
      </c>
      <c r="AD25" s="105">
        <f>'C)NSA RCO SA Nb'!AD25/'C)NSA RCO SA Nb'!Z25-1</f>
        <v>-2.9283058029923037E-2</v>
      </c>
      <c r="AE25" s="105">
        <f>'C)NSA RCO SA Nb'!AE25/'C)NSA RCO SA Nb'!AA25-1</f>
        <v>-3.0675966629092E-2</v>
      </c>
      <c r="AF25" s="105">
        <f>'C)NSA RCO SA Nb'!AF25/'C)NSA RCO SA Nb'!AB25-1</f>
        <v>-3.1215898751656646E-2</v>
      </c>
      <c r="AG25" s="105">
        <f>'C)NSA RCO SA Nb'!AG25/'C)NSA RCO SA Nb'!AC25-1</f>
        <v>-2.8170801906982956E-2</v>
      </c>
      <c r="AH25" s="105">
        <f>'C)NSA RCO SA Nb'!AH25/'C)NSA RCO SA Nb'!AD25-1</f>
        <v>-2.2569877528717197E-2</v>
      </c>
      <c r="AI25" s="105">
        <f>'C)NSA RCO SA Nb'!AI25/'C)NSA RCO SA Nb'!AE25-1</f>
        <v>-1.6250878163256099E-2</v>
      </c>
      <c r="AJ25" s="105">
        <f>'C)NSA RCO SA Nb'!AJ25/'C)NSA RCO SA Nb'!AF25-1</f>
        <v>-1.2230365733233106E-2</v>
      </c>
      <c r="AK25" s="105">
        <f>'C)NSA RCO SA Nb'!AK25/'C)NSA RCO SA Nb'!AG25-1</f>
        <v>-1.1998347569347367E-2</v>
      </c>
      <c r="AL25" s="105">
        <f>'C)NSA RCO SA Nb'!AL25/'C)NSA RCO SA Nb'!AH25-1</f>
        <v>-1.1743008883973616E-2</v>
      </c>
      <c r="AM25" s="105">
        <f>'C)NSA RCO SA Nb'!AM25/'C)NSA RCO SA Nb'!AI25-1</f>
        <v>-1.2681230988029868E-2</v>
      </c>
      <c r="AN25" s="105">
        <f>'C)NSA RCO SA Nb'!AN25/'C)NSA RCO SA Nb'!AJ25-1</f>
        <v>-1.3968504370316714E-2</v>
      </c>
      <c r="AO25" s="105">
        <f>'C)NSA RCO SA Nb'!AO25/'C)NSA RCO SA Nb'!AK25-1</f>
        <v>-1.353677958076871E-2</v>
      </c>
      <c r="AP25" s="105">
        <f>'C)NSA RCO SA Nb'!AP25/'C)NSA RCO SA Nb'!AL25-1</f>
        <v>-1.2036265591037543E-2</v>
      </c>
      <c r="AQ25" s="105">
        <f>'C)NSA RCO SA Nb'!AQ25/'C)NSA RCO SA Nb'!AM25-1</f>
        <v>-1.0784989658229049E-2</v>
      </c>
      <c r="AR25" s="105">
        <f>'C)NSA RCO SA Nb'!AR25/'C)NSA RCO SA Nb'!AN25-1</f>
        <v>-1.0870508861356099E-2</v>
      </c>
      <c r="AS25" s="105">
        <f>'C)NSA RCO SA Nb'!AS25/'C)NSA RCO SA Nb'!AO25-1</f>
        <v>-1.2067606020089827E-2</v>
      </c>
      <c r="AT25" s="105">
        <f>'C)NSA RCO SA Nb'!AT25/'C)NSA RCO SA Nb'!AP25-1</f>
        <v>-1.4078020363962218E-2</v>
      </c>
      <c r="AU25" s="105">
        <f>'C)NSA RCO SA Nb'!AU25/'C)NSA RCO SA Nb'!AQ25-1</f>
        <v>-1.6434758799223403E-2</v>
      </c>
      <c r="AV25" s="105">
        <f>'C)NSA RCO SA Nb'!AV25/'C)NSA RCO SA Nb'!AR25-1</f>
        <v>-1.7939426615426135E-2</v>
      </c>
      <c r="AW25" s="105">
        <f>'C)NSA RCO SA Nb'!AW25/'C)NSA RCO SA Nb'!AS25-1</f>
        <v>-1.7726278995668587E-2</v>
      </c>
      <c r="AX25" s="105">
        <f>'C)NSA RCO SA Nb'!AX25/'C)NSA RCO SA Nb'!AT25-1</f>
        <v>0.46841188278813739</v>
      </c>
      <c r="AY25" s="105">
        <f>'C)NSA RCO SA Nb'!AY25/'C)NSA RCO SA Nb'!AU25-1</f>
        <v>-0.14712916389864283</v>
      </c>
      <c r="AZ25" s="105">
        <f>'C)NSA RCO SA Nb'!AZ25/'C)NSA RCO SA Nb'!AV25-1</f>
        <v>-0.14584018257552789</v>
      </c>
      <c r="BA25" s="105">
        <f>'C)NSA RCO SA Nb'!BA25/'C)NSA RCO SA Nb'!AW25-1</f>
        <v>-0.14475797127514711</v>
      </c>
      <c r="BB25" s="396">
        <f>'C)NSA RCO SA Nb'!BB25/'C)NSA RCO SA Nb'!AX25-1</f>
        <v>-0.42466801652501751</v>
      </c>
      <c r="BC25" s="455">
        <f>'C)NSA RCO SA Nb'!BC25/'C)NSA RCO SA Nb'!AY25-1</f>
        <v>-8.6275644378173144E-3</v>
      </c>
      <c r="BD25" s="455">
        <f>'C)NSA RCO SA Nb'!BD25/'C)NSA RCO SA Nb'!AZ25-1</f>
        <v>-6.4087233374687802E-3</v>
      </c>
      <c r="BE25" s="455">
        <f>'C)NSA RCO SA Nb'!BE25/'C)NSA RCO SA Nb'!BA25-1</f>
        <v>-4.6189376443418473E-3</v>
      </c>
      <c r="BF25" s="455">
        <f>'C)NSA RCO SA Nb'!BF25/'C)NSA RCO SA Nb'!BB25-1</f>
        <v>-9.4521489628788258E-3</v>
      </c>
      <c r="BG25" s="455">
        <f>'C)NSA RCO SA Nb'!BG25/'C)NSA RCO SA Nb'!BC25-1</f>
        <v>-7.7560564961182132E-3</v>
      </c>
      <c r="BH25" s="455">
        <f>'C)NSA RCO SA Nb'!BH25/'C)NSA RCO SA Nb'!BD25-1</f>
        <v>-1.0064350161157476E-2</v>
      </c>
      <c r="BI25" s="455">
        <f>'C)NSA RCO SA Nb'!BI25/'C)NSA RCO SA Nb'!BE25-1</f>
        <v>-1.1906513496689475E-2</v>
      </c>
      <c r="BJ25" s="455">
        <f>'C)NSA RCO SA Nb'!BJ25/'C)NSA RCO SA Nb'!BF25-1</f>
        <v>-1.0896376926384344E-2</v>
      </c>
    </row>
    <row r="26" spans="1:62" x14ac:dyDescent="0.25">
      <c r="A26" s="12"/>
      <c r="B26" s="1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M26" s="40"/>
      <c r="AN26" s="40"/>
      <c r="AO26" s="40"/>
    </row>
    <row r="27" spans="1:62" ht="13" x14ac:dyDescent="0.3">
      <c r="A27" s="25" t="s">
        <v>49</v>
      </c>
      <c r="B27" s="1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M27" s="40"/>
      <c r="AN27" s="40"/>
      <c r="AO27" s="40"/>
    </row>
    <row r="28" spans="1:62" x14ac:dyDescent="0.25">
      <c r="A28" s="24" t="s">
        <v>50</v>
      </c>
      <c r="B28" s="1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M28" s="40"/>
      <c r="AN28" s="40"/>
      <c r="AO28" s="40"/>
      <c r="BB28" s="377" t="s">
        <v>241</v>
      </c>
      <c r="BC28" s="377"/>
      <c r="BD28" s="377"/>
    </row>
    <row r="29" spans="1:62" x14ac:dyDescent="0.25">
      <c r="A29" s="24"/>
      <c r="B29" s="1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M29" s="40"/>
      <c r="AN29" s="40"/>
      <c r="AO29" s="40"/>
      <c r="BB29" s="383" t="s">
        <v>244</v>
      </c>
      <c r="BC29" s="383"/>
      <c r="BD29" s="383"/>
    </row>
    <row r="30" spans="1:62" x14ac:dyDescent="0.25">
      <c r="B30" s="2" t="str">
        <f t="shared" ref="B30:H30" si="48">B8</f>
        <v>4eme T 2009</v>
      </c>
      <c r="C30" s="38" t="str">
        <f t="shared" si="48"/>
        <v>1er T 2010</v>
      </c>
      <c r="D30" s="38" t="str">
        <f t="shared" si="48"/>
        <v>2eme T 2010</v>
      </c>
      <c r="E30" s="38" t="str">
        <f t="shared" si="48"/>
        <v>3eme T 2010</v>
      </c>
      <c r="F30" s="38" t="str">
        <f t="shared" si="48"/>
        <v>4eme T 2010</v>
      </c>
      <c r="G30" s="38" t="str">
        <f t="shared" si="48"/>
        <v>1er T 2011</v>
      </c>
      <c r="H30" s="38" t="str">
        <f t="shared" si="48"/>
        <v>2eme T 2011</v>
      </c>
      <c r="I30" s="38" t="str">
        <f t="shared" ref="I30:N30" si="49">I8</f>
        <v>3eme T 2011</v>
      </c>
      <c r="J30" s="38" t="str">
        <f t="shared" si="49"/>
        <v>4eme T 2011</v>
      </c>
      <c r="K30" s="38" t="str">
        <f t="shared" si="49"/>
        <v>1er T 2012</v>
      </c>
      <c r="L30" s="38" t="str">
        <f t="shared" si="49"/>
        <v>2eme T 2012</v>
      </c>
      <c r="M30" s="38" t="str">
        <f t="shared" si="49"/>
        <v>3eme T 2012</v>
      </c>
      <c r="N30" s="38" t="str">
        <f t="shared" si="49"/>
        <v>4eme T 2012</v>
      </c>
      <c r="O30" s="38" t="str">
        <f t="shared" ref="O30:T30" si="50">O8</f>
        <v>1er T 2013</v>
      </c>
      <c r="P30" s="38" t="str">
        <f t="shared" si="50"/>
        <v>2eme T 2013</v>
      </c>
      <c r="Q30" s="38" t="str">
        <f t="shared" si="50"/>
        <v>3ème T 2013</v>
      </c>
      <c r="R30" s="38" t="str">
        <f t="shared" si="50"/>
        <v>4ème T 2013</v>
      </c>
      <c r="S30" s="38" t="str">
        <f t="shared" si="50"/>
        <v>1er T 2014</v>
      </c>
      <c r="T30" s="38" t="str">
        <f t="shared" si="50"/>
        <v>2eme T 2014</v>
      </c>
      <c r="U30" s="38" t="str">
        <f t="shared" ref="U30:V30" si="51">U8</f>
        <v>3T 2014</v>
      </c>
      <c r="V30" s="38" t="str">
        <f t="shared" si="51"/>
        <v>4ème T 2014</v>
      </c>
      <c r="W30" s="38" t="str">
        <f t="shared" ref="W30:X30" si="52">W8</f>
        <v>1er T 2015</v>
      </c>
      <c r="X30" s="38" t="str">
        <f t="shared" si="52"/>
        <v>2e T 2015</v>
      </c>
      <c r="Y30" s="38" t="str">
        <f t="shared" ref="Y30:Z30" si="53">Y8</f>
        <v>3e T 2015</v>
      </c>
      <c r="Z30" s="38" t="str">
        <f t="shared" si="53"/>
        <v>4e T 2015</v>
      </c>
      <c r="AA30" s="38" t="str">
        <f t="shared" ref="AA30:AB30" si="54">AA8</f>
        <v>1er T 2016</v>
      </c>
      <c r="AB30" s="38" t="str">
        <f t="shared" si="54"/>
        <v>2e T 2016</v>
      </c>
      <c r="AC30" s="38" t="str">
        <f t="shared" ref="AC30:AD30" si="55">AC8</f>
        <v>3e T 2016</v>
      </c>
      <c r="AD30" s="38" t="str">
        <f t="shared" si="55"/>
        <v>4e T 2016</v>
      </c>
      <c r="AE30" s="38" t="str">
        <f t="shared" ref="AE30:AF30" si="56">AE8</f>
        <v>2017 - T1</v>
      </c>
      <c r="AF30" s="38" t="str">
        <f t="shared" si="56"/>
        <v>2017 - T2</v>
      </c>
      <c r="AG30" s="38" t="str">
        <f t="shared" ref="AG30:AH30" si="57">AG8</f>
        <v>2017- T3</v>
      </c>
      <c r="AH30" s="38" t="str">
        <f t="shared" si="57"/>
        <v>2017 - T4</v>
      </c>
      <c r="AI30" s="38" t="str">
        <f t="shared" ref="AI30:AJ30" si="58">AI8</f>
        <v>2018 - T1</v>
      </c>
      <c r="AJ30" s="38" t="str">
        <f t="shared" si="58"/>
        <v>2018 - T2</v>
      </c>
      <c r="AK30" s="38" t="str">
        <f t="shared" ref="AK30:AM30" si="59">AK8</f>
        <v>2018 - T3</v>
      </c>
      <c r="AL30" s="38" t="str">
        <f t="shared" si="59"/>
        <v>2018 - T4</v>
      </c>
      <c r="AM30" s="38" t="str">
        <f t="shared" si="59"/>
        <v>2019 - T1</v>
      </c>
      <c r="AN30" s="38" t="str">
        <f t="shared" ref="AN30:AP30" si="60">AN8</f>
        <v>2019 - T2</v>
      </c>
      <c r="AO30" s="38" t="str">
        <f t="shared" si="60"/>
        <v>2019 - T3</v>
      </c>
      <c r="AP30" s="38" t="str">
        <f t="shared" si="60"/>
        <v>2019 - T4</v>
      </c>
      <c r="AQ30" s="38" t="str">
        <f t="shared" ref="AQ30" si="61">AQ8</f>
        <v>2020 - T1</v>
      </c>
      <c r="AR30" s="38" t="str">
        <f t="shared" ref="AR30" si="62">AR8</f>
        <v>2020 - T2</v>
      </c>
      <c r="AS30" s="38" t="str">
        <f t="shared" ref="AS30:AT30" si="63">AS8</f>
        <v>2020 - T3</v>
      </c>
      <c r="AT30" s="38" t="str">
        <f t="shared" si="63"/>
        <v>2020- T4</v>
      </c>
      <c r="AU30" s="38" t="str">
        <f t="shared" ref="AU30:AV30" si="64">AU8</f>
        <v>2021- T1</v>
      </c>
      <c r="AV30" s="38" t="str">
        <f t="shared" si="64"/>
        <v>2021- T2</v>
      </c>
      <c r="AW30" s="38" t="str">
        <f t="shared" ref="AW30:AX30" si="65">AW8</f>
        <v>2021- T3</v>
      </c>
      <c r="AX30" s="38" t="str">
        <f t="shared" si="65"/>
        <v>2021- T4</v>
      </c>
      <c r="AY30" s="38" t="str">
        <f t="shared" ref="AY30:AZ30" si="66">AY8</f>
        <v>2022- T1</v>
      </c>
      <c r="AZ30" s="38" t="str">
        <f t="shared" si="66"/>
        <v>2022- T2</v>
      </c>
      <c r="BA30" s="38" t="str">
        <f t="shared" ref="BA30:BB30" si="67">BA8</f>
        <v>2022- T3</v>
      </c>
      <c r="BB30" s="38" t="str">
        <f t="shared" si="67"/>
        <v>2022- T4</v>
      </c>
      <c r="BC30" s="38" t="str">
        <f t="shared" ref="BC30:BD30" si="68">BC8</f>
        <v>2023- T1</v>
      </c>
      <c r="BD30" s="38" t="str">
        <f t="shared" si="68"/>
        <v>2023- T2</v>
      </c>
      <c r="BE30" s="38" t="str">
        <f t="shared" ref="BE30:BF30" si="69">BE8</f>
        <v>2023- T3</v>
      </c>
      <c r="BF30" s="38" t="str">
        <f t="shared" si="69"/>
        <v>2023- T4</v>
      </c>
      <c r="BG30" s="38" t="str">
        <f t="shared" ref="BG30:BH30" si="70">BG8</f>
        <v>2024- T1</v>
      </c>
      <c r="BH30" s="38" t="str">
        <f t="shared" si="70"/>
        <v>2024- T2</v>
      </c>
      <c r="BI30" s="38" t="str">
        <f t="shared" ref="BI30:BJ30" si="71">BI8</f>
        <v>2024- T3</v>
      </c>
      <c r="BJ30" s="38" t="str">
        <f t="shared" si="71"/>
        <v>2024- T4</v>
      </c>
    </row>
    <row r="31" spans="1:62" x14ac:dyDescent="0.25">
      <c r="A31" s="20" t="s">
        <v>24</v>
      </c>
      <c r="B31" s="16"/>
      <c r="C31" s="42"/>
      <c r="D31" s="42"/>
      <c r="E31" s="42"/>
      <c r="F31" s="105">
        <f>'C)NSA RCO SA Nb'!F32/'C)NSA RCO SA Nb'!B32-1</f>
        <v>1.2875042127581393E-2</v>
      </c>
      <c r="G31" s="105">
        <f>'C)NSA RCO SA Nb'!G32/'C)NSA RCO SA Nb'!C32-1</f>
        <v>1.3213496916850698E-2</v>
      </c>
      <c r="H31" s="105">
        <f>'C)NSA RCO SA Nb'!H32/'C)NSA RCO SA Nb'!D32-1</f>
        <v>2.535749215878047E-2</v>
      </c>
      <c r="I31" s="105">
        <f>'C)NSA RCO SA Nb'!I32/'C)NSA RCO SA Nb'!E32-1</f>
        <v>2.5469547371925083E-2</v>
      </c>
      <c r="J31" s="105">
        <f>'C)NSA RCO SA Nb'!J32/'C)NSA RCO SA Nb'!F32-1</f>
        <v>2.5557544487732953E-2</v>
      </c>
      <c r="K31" s="105">
        <f>'C)NSA RCO SA Nb'!K32/'C)NSA RCO SA Nb'!G32-1</f>
        <v>2.2403104682223729E-2</v>
      </c>
      <c r="L31" s="105">
        <f>'C)NSA RCO SA Nb'!L32/'C)NSA RCO SA Nb'!H32-1</f>
        <v>2.3316051524732373E-2</v>
      </c>
      <c r="M31" s="105">
        <f>'C)NSA RCO SA Nb'!M32/'C)NSA RCO SA Nb'!I32-1</f>
        <v>2.3435670051408231E-2</v>
      </c>
      <c r="N31" s="105">
        <f>'C)NSA RCO SA Nb'!N32/'C)NSA RCO SA Nb'!J32-1</f>
        <v>2.3487328177812072E-2</v>
      </c>
      <c r="O31" s="105">
        <f>'C)NSA RCO SA Nb'!O32/'C)NSA RCO SA Nb'!K32-1</f>
        <v>2.5391700147067153E-2</v>
      </c>
      <c r="P31" s="105">
        <f>'C)NSA RCO SA Nb'!P32/'C)NSA RCO SA Nb'!L32-1</f>
        <v>1.5677356625712235E-2</v>
      </c>
      <c r="Q31" s="105">
        <f>'C)NSA RCO SA Nb'!Q32/'C)NSA RCO SA Nb'!M32-1</f>
        <v>1.5378438064645783E-2</v>
      </c>
      <c r="R31" s="105">
        <f>'C)NSA RCO SA Nb'!R32/'C)NSA RCO SA Nb'!N32-1</f>
        <v>1.3330016211097417E-2</v>
      </c>
      <c r="S31" s="105">
        <f>'C)NSA RCO SA Nb'!S32/'C)NSA RCO SA Nb'!O32-1</f>
        <v>1.5796832620879941E-2</v>
      </c>
      <c r="T31" s="105">
        <f>'C)NSA RCO SA Nb'!T32/'C)NSA RCO SA Nb'!P32-1</f>
        <v>1.2148135255304782E-2</v>
      </c>
      <c r="U31" s="105">
        <f>'C)NSA RCO SA Nb'!U32/'C)NSA RCO SA Nb'!Q32-1</f>
        <v>1.4659126858588944E-2</v>
      </c>
      <c r="V31" s="105">
        <f>'C)NSA RCO SA Nb'!V32/'C)NSA RCO SA Nb'!R32-1</f>
        <v>1.6845256480315429E-2</v>
      </c>
      <c r="W31" s="105">
        <f>'C)NSA RCO SA Nb'!W32/'C)NSA RCO SA Nb'!S32-1</f>
        <v>1.3350423979491266E-2</v>
      </c>
      <c r="X31" s="105">
        <f>'C)NSA RCO SA Nb'!X32/'C)NSA RCO SA Nb'!T32-1</f>
        <v>5.5888410775910558E-3</v>
      </c>
      <c r="Y31" s="105">
        <f>'C)NSA RCO SA Nb'!Y32/'C)NSA RCO SA Nb'!U32-1</f>
        <v>3.9557732854742511E-3</v>
      </c>
      <c r="Z31" s="105">
        <f>'C)NSA RCO SA Nb'!Z32/'C)NSA RCO SA Nb'!V32-1</f>
        <v>5.0430705484678651E-3</v>
      </c>
      <c r="AA31" s="105">
        <f>'C)NSA RCO SA Nb'!AA32/'C)NSA RCO SA Nb'!W32-1</f>
        <v>1.802401385564445E-2</v>
      </c>
      <c r="AB31" s="105">
        <f>'C)NSA RCO SA Nb'!AB32/'C)NSA RCO SA Nb'!X32-1</f>
        <v>1.7971449336758871E-2</v>
      </c>
      <c r="AC31" s="105">
        <f>'C)NSA RCO SA Nb'!AC32/'C)NSA RCO SA Nb'!Y32-1</f>
        <v>1.7593031110006985E-2</v>
      </c>
      <c r="AD31" s="105">
        <f>'C)NSA RCO SA Nb'!AD32/'C)NSA RCO SA Nb'!Z32-1</f>
        <v>2.3538939023492356E-2</v>
      </c>
      <c r="AE31" s="105">
        <f>'C)NSA RCO SA Nb'!AE32/'C)NSA RCO SA Nb'!AA32-1</f>
        <v>1.0991489719611947E-2</v>
      </c>
      <c r="AF31" s="105">
        <f>'C)NSA RCO SA Nb'!AF32/'C)NSA RCO SA Nb'!AB32-1</f>
        <v>9.9686546706831969E-3</v>
      </c>
      <c r="AG31" s="105">
        <f>'C)NSA RCO SA Nb'!AG32/'C)NSA RCO SA Nb'!AC32-1</f>
        <v>1.0860857424065395E-2</v>
      </c>
      <c r="AH31" s="105">
        <f>'C)NSA RCO SA Nb'!AH32/'C)NSA RCO SA Nb'!AD32-1</f>
        <v>2.3758508165567571E-2</v>
      </c>
      <c r="AI31" s="105">
        <f>'C)NSA RCO SA Nb'!AI32/'C)NSA RCO SA Nb'!AE32-1</f>
        <v>1.7277956141445561E-2</v>
      </c>
      <c r="AJ31" s="105">
        <f>'C)NSA RCO SA Nb'!AJ32/'C)NSA RCO SA Nb'!AF32-1</f>
        <v>1.8863502336201154E-2</v>
      </c>
      <c r="AK31" s="105">
        <f>'C)NSA RCO SA Nb'!AK32/'C)NSA RCO SA Nb'!AG32-1</f>
        <v>1.8344711507617628E-2</v>
      </c>
      <c r="AL31" s="105">
        <f>'C)NSA RCO SA Nb'!AL32/'C)NSA RCO SA Nb'!AH32-1</f>
        <v>-6.5820126167570603E-4</v>
      </c>
      <c r="AM31" s="105">
        <f>'C)NSA RCO SA Nb'!AM32/'C)NSA RCO SA Nb'!AI32-1</f>
        <v>9.267313482770323E-3</v>
      </c>
      <c r="AN31" s="105">
        <f>'C)NSA RCO SA Nb'!AN32/'C)NSA RCO SA Nb'!AJ32-1</f>
        <v>9.3313347333427998E-3</v>
      </c>
      <c r="AO31" s="105">
        <f>'C)NSA RCO SA Nb'!AO32/'C)NSA RCO SA Nb'!AK32-1</f>
        <v>1.045055995730837E-2</v>
      </c>
      <c r="AP31" s="105">
        <f>'C)NSA RCO SA Nb'!AP32/'C)NSA RCO SA Nb'!AL32-1</f>
        <v>1.1078384938724817E-2</v>
      </c>
      <c r="AQ31" s="105">
        <f>'C)NSA RCO SA Nb'!AQ32/'C)NSA RCO SA Nb'!AM32-1</f>
        <v>1.6975871353170913E-2</v>
      </c>
      <c r="AR31" s="105">
        <f>'C)NSA RCO SA Nb'!AR32/'C)NSA RCO SA Nb'!AN32-1</f>
        <v>1.6703610170675232E-2</v>
      </c>
      <c r="AS31" s="105">
        <f>'C)NSA RCO SA Nb'!AS32/'C)NSA RCO SA Nb'!AO32-1</f>
        <v>1.5968488458237617E-2</v>
      </c>
      <c r="AT31" s="105">
        <f>'C)NSA RCO SA Nb'!AT32/'C)NSA RCO SA Nb'!AP32-1</f>
        <v>1.639158279963393E-2</v>
      </c>
      <c r="AU31" s="105">
        <f>'C)NSA RCO SA Nb'!AU32/'C)NSA RCO SA Nb'!AQ32-1</f>
        <v>1.2212435533406785E-2</v>
      </c>
      <c r="AV31" s="105">
        <f>'C)NSA RCO SA Nb'!AV32/'C)NSA RCO SA Nb'!AR32-1</f>
        <v>1.3876585882616643E-2</v>
      </c>
      <c r="AW31" s="105">
        <f>'C)NSA RCO SA Nb'!AW32/'C)NSA RCO SA Nb'!AS32-1</f>
        <v>1.6944869610419744E-2</v>
      </c>
      <c r="AX31" s="105">
        <f>'C)NSA RCO SA Nb'!AX32/'C)NSA RCO SA Nb'!AT32-1</f>
        <v>7.1782370500966808E-2</v>
      </c>
      <c r="AY31" s="105">
        <f>'C)NSA RCO SA Nb'!AY32/'C)NSA RCO SA Nb'!AU32-1</f>
        <v>0.11076367758136407</v>
      </c>
      <c r="AZ31" s="105">
        <f>'C)NSA RCO SA Nb'!AZ32/'C)NSA RCO SA Nb'!AV32-1</f>
        <v>0.10948384726553129</v>
      </c>
      <c r="BA31" s="105">
        <f>'C)NSA RCO SA Nb'!BA32/'C)NSA RCO SA Nb'!AW32-1</f>
        <v>0.1500999264983387</v>
      </c>
      <c r="BB31" s="396">
        <f>'C)NSA RCO SA Nb'!BB32/'C)NSA RCO SA Nb'!AX32-1</f>
        <v>8.7760320824714855E-2</v>
      </c>
      <c r="BC31" s="455">
        <f>'C)NSA RCO SA Nb'!BC32/'C)NSA RCO SA Nb'!AY32-1</f>
        <v>5.3887949204715069E-2</v>
      </c>
      <c r="BD31" s="455">
        <f>'C)NSA RCO SA Nb'!BD32/'C)NSA RCO SA Nb'!AZ32-1</f>
        <v>5.7439332332926307E-2</v>
      </c>
      <c r="BE31" s="455">
        <f>'C)NSA RCO SA Nb'!BE32/'C)NSA RCO SA Nb'!BA32-1</f>
        <v>1.8843347300348867E-2</v>
      </c>
      <c r="BF31" s="455">
        <f>'C)NSA RCO SA Nb'!BF32/'C)NSA RCO SA Nb'!BB32-1</f>
        <v>2.260348603190776E-2</v>
      </c>
      <c r="BG31" s="455">
        <f>'C)NSA RCO SA Nb'!BG32/'C)NSA RCO SA Nb'!BC32-1</f>
        <v>5.9665093002001068E-2</v>
      </c>
      <c r="BH31" s="455">
        <f>'C)NSA RCO SA Nb'!BH32/'C)NSA RCO SA Nb'!BD32-1</f>
        <v>5.7536495248955211E-2</v>
      </c>
      <c r="BI31" s="455">
        <f>'C)NSA RCO SA Nb'!BI32/'C)NSA RCO SA Nb'!BE32-1</f>
        <v>5.6781636637167399E-2</v>
      </c>
      <c r="BJ31" s="455">
        <f>'C)NSA RCO SA Nb'!BJ32/'C)NSA RCO SA Nb'!BF32-1</f>
        <v>5.7918179222116395E-2</v>
      </c>
    </row>
    <row r="33" spans="1:51" x14ac:dyDescent="0.25">
      <c r="A33" s="19"/>
      <c r="B33" s="10"/>
      <c r="C33" s="40"/>
      <c r="D33" s="40"/>
      <c r="E33" s="40"/>
      <c r="F33" s="40"/>
      <c r="G33" s="40"/>
      <c r="H33" s="40"/>
      <c r="I33" s="40"/>
      <c r="J33" s="40"/>
      <c r="K33" s="40"/>
    </row>
    <row r="34" spans="1:51" x14ac:dyDescent="0.25">
      <c r="A34" s="18"/>
      <c r="B34" s="18"/>
      <c r="C34" s="51"/>
      <c r="D34" s="51"/>
      <c r="E34" s="51"/>
      <c r="F34" s="51"/>
      <c r="G34" s="51"/>
      <c r="H34" s="51"/>
      <c r="I34" s="51"/>
      <c r="J34" s="51"/>
      <c r="K34" s="51"/>
    </row>
    <row r="35" spans="1:51" x14ac:dyDescent="0.25">
      <c r="A35" s="18"/>
      <c r="B35" s="18"/>
      <c r="C35" s="51"/>
      <c r="D35" s="51"/>
      <c r="E35" s="51"/>
      <c r="F35" s="51"/>
      <c r="G35" s="51"/>
      <c r="H35" s="51"/>
      <c r="I35" s="51"/>
      <c r="J35" s="51"/>
      <c r="K35" s="51"/>
    </row>
    <row r="37" spans="1:51" x14ac:dyDescent="0.25">
      <c r="AY37" s="4" t="s">
        <v>243</v>
      </c>
    </row>
  </sheetData>
  <phoneticPr fontId="2" type="noConversion"/>
  <pageMargins left="0.66" right="0.39" top="0.43" bottom="0.67" header="0.35" footer="0.66"/>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35"/>
  <sheetViews>
    <sheetView topLeftCell="AU1" workbookViewId="0">
      <selection activeCell="BK2" sqref="BK2"/>
    </sheetView>
  </sheetViews>
  <sheetFormatPr baseColWidth="10" defaultColWidth="11.453125" defaultRowHeight="12.5" x14ac:dyDescent="0.25"/>
  <cols>
    <col min="1" max="1" width="33.7265625" style="4" customWidth="1"/>
    <col min="2" max="2" width="11.7265625" style="4" bestFit="1" customWidth="1"/>
    <col min="3" max="3" width="9.7265625" style="35" bestFit="1" customWidth="1"/>
    <col min="4" max="11" width="11.7265625" style="35" bestFit="1" customWidth="1"/>
    <col min="12" max="49" width="11.453125" style="4"/>
    <col min="50" max="51" width="11.54296875" style="4" customWidth="1"/>
    <col min="52" max="16384" width="11.453125" style="4"/>
  </cols>
  <sheetData>
    <row r="1" spans="1:62" ht="15.5" x14ac:dyDescent="0.35">
      <c r="A1" s="32" t="str">
        <f>'A)NSA Nb'!A1</f>
        <v>Les Retraites du Régime des Non Salariés Agricoles (métropole)</v>
      </c>
      <c r="L1" s="35"/>
      <c r="M1" s="35"/>
      <c r="N1" s="35"/>
      <c r="O1" s="35"/>
      <c r="P1" s="35"/>
      <c r="Q1" s="35"/>
      <c r="R1" s="35"/>
      <c r="S1" s="35"/>
      <c r="T1" s="35"/>
    </row>
    <row r="2" spans="1:62" ht="15.5" x14ac:dyDescent="0.35">
      <c r="A2" s="32" t="str">
        <f>'A)NSA Nb'!A2</f>
        <v>Elements démographiques et financiers</v>
      </c>
      <c r="L2" s="35"/>
      <c r="M2" s="35"/>
      <c r="N2" s="35"/>
      <c r="O2" s="35"/>
      <c r="P2" s="35"/>
      <c r="Q2" s="35"/>
      <c r="R2" s="35"/>
      <c r="S2" s="35"/>
      <c r="T2" s="35"/>
    </row>
    <row r="3" spans="1:62" ht="13" x14ac:dyDescent="0.3">
      <c r="A3" s="108" t="s">
        <v>83</v>
      </c>
      <c r="L3" s="35"/>
      <c r="M3" s="35"/>
      <c r="N3" s="35"/>
      <c r="O3" s="35"/>
      <c r="P3" s="35"/>
      <c r="Q3" s="35"/>
      <c r="R3" s="35"/>
      <c r="S3" s="35"/>
      <c r="T3" s="35"/>
    </row>
    <row r="4" spans="1:62" ht="13" x14ac:dyDescent="0.3">
      <c r="A4" s="1" t="s">
        <v>45</v>
      </c>
      <c r="L4" s="35"/>
      <c r="M4" s="35"/>
      <c r="N4" s="35"/>
      <c r="O4" s="35"/>
      <c r="P4" s="35"/>
      <c r="Q4" s="35"/>
      <c r="R4" s="35"/>
      <c r="S4" s="35"/>
      <c r="T4" s="35"/>
    </row>
    <row r="5" spans="1:62" ht="13.5" thickBot="1" x14ac:dyDescent="0.35">
      <c r="A5" s="11"/>
      <c r="B5" s="7"/>
      <c r="C5" s="52"/>
      <c r="D5" s="52"/>
      <c r="E5" s="52"/>
      <c r="F5" s="52"/>
      <c r="G5" s="52"/>
      <c r="H5" s="52"/>
      <c r="I5" s="52"/>
      <c r="J5" s="52"/>
      <c r="K5" s="52"/>
      <c r="L5" s="52"/>
      <c r="M5" s="52"/>
      <c r="N5" s="52"/>
      <c r="O5" s="52"/>
      <c r="P5" s="52"/>
      <c r="Q5" s="52"/>
      <c r="R5" s="52"/>
      <c r="S5" s="52"/>
      <c r="T5" s="52"/>
    </row>
    <row r="6" spans="1:62" ht="13" x14ac:dyDescent="0.3">
      <c r="A6" s="1"/>
      <c r="L6" s="35"/>
      <c r="M6" s="35"/>
      <c r="N6" s="35"/>
      <c r="O6" s="35"/>
      <c r="P6" s="35"/>
      <c r="Q6" s="35"/>
      <c r="R6" s="35"/>
      <c r="S6" s="35"/>
      <c r="T6" s="35"/>
    </row>
    <row r="7" spans="1:62" ht="13" x14ac:dyDescent="0.3">
      <c r="A7" s="25" t="s">
        <v>46</v>
      </c>
      <c r="L7" s="35"/>
      <c r="M7" s="35"/>
      <c r="N7" s="35"/>
      <c r="O7" s="35"/>
      <c r="P7" s="35"/>
      <c r="Q7" s="35"/>
      <c r="R7" s="35"/>
      <c r="S7" s="35"/>
      <c r="T7" s="35"/>
    </row>
    <row r="8" spans="1:62" x14ac:dyDescent="0.25">
      <c r="A8" s="5"/>
      <c r="B8" s="2" t="str">
        <f>'A)NSA Nb'!B8</f>
        <v>4eme T 2009</v>
      </c>
      <c r="C8" s="38" t="str">
        <f>'A)NSA Nb'!C8</f>
        <v>1er T 2010</v>
      </c>
      <c r="D8" s="38" t="str">
        <f>'A)NSA Nb'!D8</f>
        <v>2eme T 2010</v>
      </c>
      <c r="E8" s="38" t="str">
        <f>'A)NSA Nb'!E8</f>
        <v>3eme T 2010</v>
      </c>
      <c r="F8" s="38" t="str">
        <f>'A)NSA Nb'!F8</f>
        <v>4eme T 2010</v>
      </c>
      <c r="G8" s="38" t="str">
        <f>'A)NSA Nb'!G8</f>
        <v>1er T 2011</v>
      </c>
      <c r="H8" s="38" t="str">
        <f>'A)NSA Nb'!H8</f>
        <v>2eme T 2011</v>
      </c>
      <c r="I8" s="38" t="str">
        <f>'A)NSA Nb'!I8</f>
        <v>3eme T 2011</v>
      </c>
      <c r="J8" s="38" t="str">
        <f>'A)NSA Nb'!J8</f>
        <v>4eme T 2011</v>
      </c>
      <c r="K8" s="38" t="str">
        <f>'A)NSA Nb'!K8</f>
        <v>1er T 2012</v>
      </c>
      <c r="L8" s="38" t="str">
        <f>'A)NSA Nb'!L8</f>
        <v>2eme T 2012</v>
      </c>
      <c r="M8" s="38" t="str">
        <f>'A)NSA Nb'!M8</f>
        <v>3eme T 2012</v>
      </c>
      <c r="N8" s="38" t="str">
        <f>'A)NSA Nb'!N8</f>
        <v>4eme T 2012</v>
      </c>
      <c r="O8" s="38" t="str">
        <f>'A)NSA Nb'!O8</f>
        <v>1er T 2013</v>
      </c>
      <c r="P8" s="38" t="str">
        <f>'A)NSA Nb'!P8</f>
        <v>2eme T 2013</v>
      </c>
      <c r="Q8" s="38" t="str">
        <f>'A)NSA Nb'!Q8</f>
        <v>3ème T 2013</v>
      </c>
      <c r="R8" s="38" t="str">
        <f>'A)NSA Nb'!R8</f>
        <v>4ème T 2013</v>
      </c>
      <c r="S8" s="38" t="str">
        <f>'A)NSA Nb'!S8</f>
        <v>1er T 2014</v>
      </c>
      <c r="T8" s="38" t="str">
        <f>'A)NSA Nb'!T8</f>
        <v>2eme T 2014</v>
      </c>
      <c r="U8" s="38" t="str">
        <f>'A)NSA Nb'!U8</f>
        <v>3T 2014</v>
      </c>
      <c r="V8" s="38" t="str">
        <f>'A)NSA Nb'!V8</f>
        <v>4ème T 2014</v>
      </c>
      <c r="W8" s="38" t="str">
        <f>'A)NSA Nb'!W8</f>
        <v>1er T 2015</v>
      </c>
      <c r="X8" s="38" t="str">
        <f>'A)NSA Nb'!X8</f>
        <v>2e T 2015</v>
      </c>
      <c r="Y8" s="38" t="str">
        <f>'A)NSA Nb'!Y8</f>
        <v>3e T 2015</v>
      </c>
      <c r="Z8" s="38" t="str">
        <f>'A)NSA Nb'!Z8</f>
        <v>4e T 2015</v>
      </c>
      <c r="AA8" s="38" t="str">
        <f>'A)NSA Nb'!AA8</f>
        <v>1er T 2016</v>
      </c>
      <c r="AB8" s="38" t="str">
        <f>'A)NSA Nb'!AB8</f>
        <v>2e T 2016</v>
      </c>
      <c r="AC8" s="38" t="str">
        <f>'A)NSA Nb'!AC8</f>
        <v>3e T 2016</v>
      </c>
      <c r="AD8" s="38" t="str">
        <f>'A)NSA Nb'!AD8</f>
        <v>4e T 2016</v>
      </c>
      <c r="AE8" s="38" t="str">
        <f>'A)NSA Nb'!AE8</f>
        <v>2017 - T1</v>
      </c>
      <c r="AF8" s="38" t="str">
        <f>'A)NSA Nb'!AF8</f>
        <v>2017 - T2</v>
      </c>
      <c r="AG8" s="38" t="str">
        <f>'A)NSA Nb'!AG8</f>
        <v>2017- T3</v>
      </c>
      <c r="AH8" s="38" t="str">
        <f>'A)NSA Nb'!AH8</f>
        <v>2017 - T4</v>
      </c>
      <c r="AI8" s="38" t="str">
        <f>'A)NSA Nb'!AI8</f>
        <v>2018 - T1</v>
      </c>
      <c r="AJ8" s="38" t="str">
        <f>'A)NSA Nb'!AJ8</f>
        <v>2018 - T2</v>
      </c>
      <c r="AK8" s="38" t="str">
        <f>'A)NSA Nb'!AK8</f>
        <v>2018 - T3</v>
      </c>
      <c r="AL8" s="38" t="str">
        <f>'A)NSA Nb'!AL8</f>
        <v>2018 - T4</v>
      </c>
      <c r="AM8" s="38" t="str">
        <f>'A)NSA Nb'!AM8</f>
        <v>2019 - T1</v>
      </c>
      <c r="AN8" s="38" t="str">
        <f>'A)NSA Nb'!AN8</f>
        <v>2019 - T2</v>
      </c>
      <c r="AO8" s="38" t="str">
        <f>'A)NSA Nb'!AO8</f>
        <v>2019 - T3</v>
      </c>
      <c r="AP8" s="38" t="str">
        <f>'A)NSA Nb'!AP8</f>
        <v>2019 - T4</v>
      </c>
      <c r="AQ8" s="38" t="str">
        <f>'A)NSA Nb'!AQ8</f>
        <v>2020 - T1</v>
      </c>
      <c r="AR8" s="38" t="str">
        <f>'A)NSA Nb'!AR8</f>
        <v>2020 - T2</v>
      </c>
      <c r="AS8" s="38" t="str">
        <f>'A)NSA Nb'!AS8</f>
        <v>2020 - T3</v>
      </c>
      <c r="AT8" s="38" t="str">
        <f>'A)NSA Nb'!AT8</f>
        <v>2020- T4</v>
      </c>
      <c r="AU8" s="38" t="str">
        <f>'A)NSA Nb'!AU8</f>
        <v>2021- T1</v>
      </c>
      <c r="AV8" s="38" t="str">
        <f>'A)NSA Nb'!AV8</f>
        <v>2021- T2</v>
      </c>
      <c r="AW8" s="38" t="str">
        <f>'A)NSA Nb'!AW8</f>
        <v>2021- T3</v>
      </c>
      <c r="AX8" s="38" t="str">
        <f>'A)NSA Nb'!AX8</f>
        <v>2021- T4</v>
      </c>
      <c r="AY8" s="38" t="str">
        <f>'A)NSA Nb'!AY8</f>
        <v>2022- T1</v>
      </c>
      <c r="AZ8" s="38" t="str">
        <f>'A)NSA Nb'!AZ8</f>
        <v>2022- T2</v>
      </c>
      <c r="BA8" s="38" t="str">
        <f>'A)NSA Nb'!BA8</f>
        <v>2022- T3</v>
      </c>
      <c r="BB8" s="38" t="str">
        <f>'A)NSA Nb'!BB8</f>
        <v>2022- T4</v>
      </c>
      <c r="BC8" s="38" t="str">
        <f>'A)NSA Nb'!BC8</f>
        <v>2023- T1</v>
      </c>
      <c r="BD8" s="38" t="str">
        <f>'A)NSA Nb'!BD8</f>
        <v>2023- T2</v>
      </c>
      <c r="BE8" s="38" t="str">
        <f>'A)NSA Nb'!BE8</f>
        <v>2023- T3</v>
      </c>
      <c r="BF8" s="38" t="str">
        <f>'A)NSA Nb'!BF8</f>
        <v>2023- T4</v>
      </c>
      <c r="BG8" s="38" t="str">
        <f>'A)NSA Nb'!BG8</f>
        <v>2024- T1</v>
      </c>
      <c r="BH8" s="38" t="str">
        <f>'A)NSA Nb'!BH8</f>
        <v>2024- T2</v>
      </c>
      <c r="BI8" s="38" t="str">
        <f>'A)NSA Nb'!BI8</f>
        <v>2024- T3</v>
      </c>
      <c r="BJ8" s="38" t="str">
        <f>'A)NSA Nb'!BJ8</f>
        <v>2024- T4</v>
      </c>
    </row>
    <row r="9" spans="1:62" x14ac:dyDescent="0.25">
      <c r="A9" s="20" t="s">
        <v>27</v>
      </c>
      <c r="B9" s="39"/>
      <c r="C9" s="105" t="e">
        <f>'C)NSA RCO SA Nb'!C9/'C)NSA RCO SA Nb'!B9-1</f>
        <v>#DIV/0!</v>
      </c>
      <c r="D9" s="105">
        <f>'C)NSA RCO SA Nb'!D9/'C)NSA RCO SA Nb'!C9-1</f>
        <v>-8.9197501058558837E-3</v>
      </c>
      <c r="E9" s="105">
        <f>'C)NSA RCO SA Nb'!E9/'C)NSA RCO SA Nb'!D9-1</f>
        <v>-8.1755408355429493E-3</v>
      </c>
      <c r="F9" s="105">
        <f>'C)NSA RCO SA Nb'!F9/'C)NSA RCO SA Nb'!E9-1</f>
        <v>-5.444906688431228E-3</v>
      </c>
      <c r="G9" s="105">
        <f>'C)NSA RCO SA Nb'!G9/'C)NSA RCO SA Nb'!F9-1</f>
        <v>-5.6494814026822882E-3</v>
      </c>
      <c r="H9" s="105">
        <f>'C)NSA RCO SA Nb'!H9/'C)NSA RCO SA Nb'!G9-1</f>
        <v>-9.3362066001076993E-3</v>
      </c>
      <c r="I9" s="105">
        <f>'C)NSA RCO SA Nb'!I9/'C)NSA RCO SA Nb'!H9-1</f>
        <v>-9.0693633704168608E-3</v>
      </c>
      <c r="J9" s="105">
        <f>'C)NSA RCO SA Nb'!J9/'C)NSA RCO SA Nb'!I9-1</f>
        <v>-7.9691586748038556E-3</v>
      </c>
      <c r="K9" s="105">
        <f>'C)NSA RCO SA Nb'!K9/'C)NSA RCO SA Nb'!J9-1</f>
        <v>-6.261757961083747E-3</v>
      </c>
      <c r="L9" s="105">
        <f>'C)NSA RCO SA Nb'!L9/'C)NSA RCO SA Nb'!K9-1</f>
        <v>-1.1127802925169128E-2</v>
      </c>
      <c r="M9" s="105">
        <f>'C)NSA RCO SA Nb'!M9/'C)NSA RCO SA Nb'!L9-1</f>
        <v>-1.1017463448132703E-2</v>
      </c>
      <c r="N9" s="105">
        <f>'C)NSA RCO SA Nb'!N9/'C)NSA RCO SA Nb'!M9-1</f>
        <v>-8.0700344964705906E-3</v>
      </c>
      <c r="O9" s="105">
        <f>'C)NSA RCO SA Nb'!O9/'C)NSA RCO SA Nb'!N9-1</f>
        <v>-6.0417366177263343E-3</v>
      </c>
      <c r="P9" s="105">
        <f>'C)NSA RCO SA Nb'!P9/'C)NSA RCO SA Nb'!O9-1</f>
        <v>-1.0181268758470696E-2</v>
      </c>
      <c r="Q9" s="105">
        <f>'C)NSA RCO SA Nb'!Q9/'C)NSA RCO SA Nb'!P9-1</f>
        <v>-7.111048600438874E-3</v>
      </c>
      <c r="R9" s="105">
        <f>'C)NSA RCO SA Nb'!R9/'C)NSA RCO SA Nb'!Q9-1</f>
        <v>-6.8953305488141936E-3</v>
      </c>
      <c r="S9" s="105">
        <f>'C)NSA RCO SA Nb'!S9/'C)NSA RCO SA Nb'!R9-1</f>
        <v>-7.3291730033038238E-3</v>
      </c>
      <c r="T9" s="105">
        <f>'C)NSA RCO SA Nb'!T9/'C)NSA RCO SA Nb'!S9-1</f>
        <v>-7.6896906584733582E-3</v>
      </c>
      <c r="U9" s="105">
        <f>'C)NSA RCO SA Nb'!U9/'C)NSA RCO SA Nb'!T9-1</f>
        <v>-7.2765294127667968E-3</v>
      </c>
      <c r="V9" s="105">
        <f>'C)NSA RCO SA Nb'!V9/'C)NSA RCO SA Nb'!U9-1</f>
        <v>-4.9080281010349669E-3</v>
      </c>
      <c r="W9" s="105">
        <f>'C)NSA RCO SA Nb'!W9/'C)NSA RCO SA Nb'!V9-1</f>
        <v>-4.6929532407676833E-3</v>
      </c>
      <c r="X9" s="105">
        <f>'C)NSA RCO SA Nb'!X9/'C)NSA RCO SA Nb'!W9-1</f>
        <v>-1.0725347079335479E-2</v>
      </c>
      <c r="Y9" s="105">
        <f>'C)NSA RCO SA Nb'!Y9/'C)NSA RCO SA Nb'!X9-1</f>
        <v>-8.8515143686591635E-3</v>
      </c>
      <c r="Z9" s="105">
        <f>'C)NSA RCO SA Nb'!Z9/'C)NSA RCO SA Nb'!Y9-1</f>
        <v>-4.5061462509525807E-3</v>
      </c>
      <c r="AA9" s="105">
        <f>'C)NSA RCO SA Nb'!AA9/'C)NSA RCO SA Nb'!Z9-1</f>
        <v>-3.5036334387308354E-3</v>
      </c>
      <c r="AB9" s="105">
        <f>'C)NSA RCO SA Nb'!AB9/'C)NSA RCO SA Nb'!AA9-1</f>
        <v>-7.6954593227283041E-3</v>
      </c>
      <c r="AC9" s="105">
        <f>'C)NSA RCO SA Nb'!AC9/'C)NSA RCO SA Nb'!AB9-1</f>
        <v>-6.8530652544654957E-3</v>
      </c>
      <c r="AD9" s="105">
        <f>'C)NSA RCO SA Nb'!AD9/'C)NSA RCO SA Nb'!AC9-1</f>
        <v>-4.7538783422882425E-3</v>
      </c>
      <c r="AE9" s="105">
        <f>'C)NSA RCO SA Nb'!AE9/'C)NSA RCO SA Nb'!AD9-1</f>
        <v>-4.3179971031733766E-3</v>
      </c>
      <c r="AF9" s="105">
        <f>'C)NSA RCO SA Nb'!AF9/'C)NSA RCO SA Nb'!AE9-1</f>
        <v>-9.0063386383327781E-3</v>
      </c>
      <c r="AG9" s="105">
        <f>'C)NSA RCO SA Nb'!AG9/'C)NSA RCO SA Nb'!AF9-1</f>
        <v>-5.7244092676529412E-3</v>
      </c>
      <c r="AH9" s="105">
        <f>'C)NSA RCO SA Nb'!AH9/'C)NSA RCO SA Nb'!AG9-1</f>
        <v>-2.40198823534854E-3</v>
      </c>
      <c r="AI9" s="105">
        <f>'C)NSA RCO SA Nb'!AI9/'C)NSA RCO SA Nb'!AH9-1</f>
        <v>-2.349781027315867E-3</v>
      </c>
      <c r="AJ9" s="105">
        <f>'C)NSA RCO SA Nb'!AJ9/'C)NSA RCO SA Nb'!AI9-1</f>
        <v>-7.6030421468944454E-3</v>
      </c>
      <c r="AK9" s="105">
        <f>'C)NSA RCO SA Nb'!AK9/'C)NSA RCO SA Nb'!AJ9-1</f>
        <v>-6.1571478441782013E-3</v>
      </c>
      <c r="AL9" s="105">
        <f>'C)NSA RCO SA Nb'!AL9/'C)NSA RCO SA Nb'!AK9-1</f>
        <v>-1.8505727345806688E-3</v>
      </c>
      <c r="AM9" s="105">
        <f>'C)NSA RCO SA Nb'!AM9/'C)NSA RCO SA Nb'!AL9-1</f>
        <v>-3.1270075199334446E-3</v>
      </c>
      <c r="AN9" s="105">
        <f>'C)NSA RCO SA Nb'!AN9/'C)NSA RCO SA Nb'!AM9-1</f>
        <v>-8.7826119919257595E-3</v>
      </c>
      <c r="AO9" s="105">
        <f>'C)NSA RCO SA Nb'!AO9/'C)NSA RCO SA Nb'!AN9-1</f>
        <v>-5.8416213128350547E-3</v>
      </c>
      <c r="AP9" s="105">
        <f>'C)NSA RCO SA Nb'!AP9/'C)NSA RCO SA Nb'!AO9-1</f>
        <v>-1.2453928877967924E-3</v>
      </c>
      <c r="AQ9" s="105">
        <f>'C)NSA RCO SA Nb'!AQ9/'C)NSA RCO SA Nb'!AP9-1</f>
        <v>-1.3961941672785416E-3</v>
      </c>
      <c r="AR9" s="105">
        <f>'C)NSA RCO SA Nb'!AR9/'C)NSA RCO SA Nb'!AQ9-1</f>
        <v>-8.6106524280737951E-3</v>
      </c>
      <c r="AS9" s="105">
        <f>'C)NSA RCO SA Nb'!AS9/'C)NSA RCO SA Nb'!AR9-1</f>
        <v>-7.5742286566017336E-3</v>
      </c>
      <c r="AT9" s="105">
        <f>'C)NSA RCO SA Nb'!AT9/'C)NSA RCO SA Nb'!AS9-1</f>
        <v>-2.467242274861059E-3</v>
      </c>
      <c r="AU9" s="105">
        <f>'C)NSA RCO SA Nb'!AU9/'C)NSA RCO SA Nb'!AT9-1</f>
        <v>-5.3200242667773567E-3</v>
      </c>
      <c r="AV9" s="105">
        <f>'C)NSA RCO SA Nb'!AV9/'C)NSA RCO SA Nb'!AU9-1</f>
        <v>-1.0072226680659324E-2</v>
      </c>
      <c r="AW9" s="105">
        <f>'C)NSA RCO SA Nb'!AW9/'C)NSA RCO SA Nb'!AV9-1</f>
        <v>-7.2961566091953589E-3</v>
      </c>
      <c r="AX9" s="105">
        <f>'C)NSA RCO SA Nb'!AX9/'C)NSA RCO SA Nb'!AW9-1</f>
        <v>0.42523701475735676</v>
      </c>
      <c r="AY9" s="105">
        <f>'C)NSA RCO SA Nb'!AY9/'C)NSA RCO SA Nb'!AX9-1</f>
        <v>-0.29997020467099078</v>
      </c>
      <c r="AZ9" s="105">
        <f>'C)NSA RCO SA Nb'!AZ9/'C)NSA RCO SA Nb'!AY9-1</f>
        <v>-8.3010333476888354E-3</v>
      </c>
      <c r="BA9" s="105">
        <f>'C)NSA RCO SA Nb'!BA9/'C)NSA RCO SA Nb'!AZ9-1</f>
        <v>-5.8791709734027364E-3</v>
      </c>
      <c r="BB9" s="105">
        <f>'C)NSA RCO SA Nb'!BB9/'C)NSA RCO SA Nb'!BA9-1</f>
        <v>1.4356951625758008E-3</v>
      </c>
      <c r="BC9" s="105">
        <f>'C)NSA RCO SA Nb'!BC9/'C)NSA RCO SA Nb'!BB9-1</f>
        <v>-3.9284712124690868E-3</v>
      </c>
      <c r="BD9" s="105">
        <f>'C)NSA RCO SA Nb'!BD9/'C)NSA RCO SA Nb'!BC9-1</f>
        <v>-5.6342356647117731E-3</v>
      </c>
      <c r="BE9" s="105">
        <f>'C)NSA RCO SA Nb'!BE9/'C)NSA RCO SA Nb'!BD9-1</f>
        <v>-3.9894918484559838E-3</v>
      </c>
      <c r="BF9" s="105">
        <f>'C)NSA RCO SA Nb'!BF9/'C)NSA RCO SA Nb'!BE9-1</f>
        <v>-2.2264112887585563E-3</v>
      </c>
      <c r="BG9" s="105">
        <f>'C)NSA RCO SA Nb'!BG9/'C)NSA RCO SA Nb'!BF9-1</f>
        <v>-1.7130565490074412E-3</v>
      </c>
      <c r="BH9" s="105">
        <f>'C)NSA RCO SA Nb'!BH9/'C)NSA RCO SA Nb'!BG9-1</f>
        <v>-7.2014724856502843E-3</v>
      </c>
      <c r="BI9" s="105">
        <f>'C)NSA RCO SA Nb'!BI9/'C)NSA RCO SA Nb'!BH9-1</f>
        <v>-5.4389749624109696E-3</v>
      </c>
      <c r="BJ9" s="105">
        <f>'C)NSA RCO SA Nb'!BJ9/'C)NSA RCO SA Nb'!BI9-1</f>
        <v>-1.4066176760572091E-3</v>
      </c>
    </row>
    <row r="10" spans="1:62" x14ac:dyDescent="0.25">
      <c r="A10" s="20" t="s">
        <v>28</v>
      </c>
      <c r="B10" s="39"/>
      <c r="C10" s="105">
        <f>'C)NSA RCO SA Nb'!C10/'C)NSA RCO SA Nb'!B10-1</f>
        <v>1.6176470588236125E-3</v>
      </c>
      <c r="D10" s="105">
        <f>'C)NSA RCO SA Nb'!D10/'C)NSA RCO SA Nb'!C10-1</f>
        <v>-5.450741447658225E-3</v>
      </c>
      <c r="E10" s="105">
        <f>'C)NSA RCO SA Nb'!E10/'C)NSA RCO SA Nb'!D10-1</f>
        <v>-6.1218652543780783E-3</v>
      </c>
      <c r="F10" s="105">
        <f>'C)NSA RCO SA Nb'!F10/'C)NSA RCO SA Nb'!E10-1</f>
        <v>-2.0237934987954453E-3</v>
      </c>
      <c r="G10" s="105">
        <f>'C)NSA RCO SA Nb'!G10/'C)NSA RCO SA Nb'!F10-1</f>
        <v>-1.2744126771503383E-3</v>
      </c>
      <c r="H10" s="105">
        <f>'C)NSA RCO SA Nb'!H10/'C)NSA RCO SA Nb'!G10-1</f>
        <v>-5.5978055856972242E-3</v>
      </c>
      <c r="I10" s="105">
        <f>'C)NSA RCO SA Nb'!I10/'C)NSA RCO SA Nb'!H10-1</f>
        <v>-6.9172228076337383E-3</v>
      </c>
      <c r="J10" s="105">
        <f>'C)NSA RCO SA Nb'!J10/'C)NSA RCO SA Nb'!I10-1</f>
        <v>-5.2299479363162593E-3</v>
      </c>
      <c r="K10" s="105">
        <f>'C)NSA RCO SA Nb'!K10/'C)NSA RCO SA Nb'!J10-1</f>
        <v>-2.431982705900726E-3</v>
      </c>
      <c r="L10" s="105">
        <f>'C)NSA RCO SA Nb'!L10/'C)NSA RCO SA Nb'!K10-1</f>
        <v>-7.6178799197818003E-3</v>
      </c>
      <c r="M10" s="105">
        <f>'C)NSA RCO SA Nb'!M10/'C)NSA RCO SA Nb'!L10-1</f>
        <v>-9.4673479453891707E-3</v>
      </c>
      <c r="N10" s="105">
        <f>'C)NSA RCO SA Nb'!N10/'C)NSA RCO SA Nb'!M10-1</f>
        <v>-5.4388288871913826E-3</v>
      </c>
      <c r="O10" s="105">
        <f>'C)NSA RCO SA Nb'!O10/'C)NSA RCO SA Nb'!N10-1</f>
        <v>-2.0853486032053059E-3</v>
      </c>
      <c r="P10" s="105">
        <f>'C)NSA RCO SA Nb'!P10/'C)NSA RCO SA Nb'!O10-1</f>
        <v>-6.7951990335717305E-3</v>
      </c>
      <c r="Q10" s="105">
        <f>'C)NSA RCO SA Nb'!Q10/'C)NSA RCO SA Nb'!P10-1</f>
        <v>-5.8019490232813498E-3</v>
      </c>
      <c r="R10" s="105">
        <f>'C)NSA RCO SA Nb'!R10/'C)NSA RCO SA Nb'!Q10-1</f>
        <v>-5.5595568140335283E-3</v>
      </c>
      <c r="S10" s="105">
        <f>'C)NSA RCO SA Nb'!S10/'C)NSA RCO SA Nb'!R10-1</f>
        <v>-4.8812671452027612E-3</v>
      </c>
      <c r="T10" s="105">
        <f>'C)NSA RCO SA Nb'!T10/'C)NSA RCO SA Nb'!S10-1</f>
        <v>-4.4266536392776334E-3</v>
      </c>
      <c r="U10" s="105">
        <f>'C)NSA RCO SA Nb'!U10/'C)NSA RCO SA Nb'!T10-1</f>
        <v>-6.514282853065656E-3</v>
      </c>
      <c r="V10" s="105">
        <f>'C)NSA RCO SA Nb'!V10/'C)NSA RCO SA Nb'!U10-1</f>
        <v>-3.684215831544102E-3</v>
      </c>
      <c r="W10" s="105">
        <f>'C)NSA RCO SA Nb'!W10/'C)NSA RCO SA Nb'!V10-1</f>
        <v>-3.6219604113656434E-3</v>
      </c>
      <c r="X10" s="105">
        <f>'C)NSA RCO SA Nb'!X10/'C)NSA RCO SA Nb'!W10-1</f>
        <v>-8.8695060593906305E-3</v>
      </c>
      <c r="Y10" s="105">
        <f>'C)NSA RCO SA Nb'!Y10/'C)NSA RCO SA Nb'!X10-1</f>
        <v>-8.7849605573199208E-3</v>
      </c>
      <c r="Z10" s="105">
        <f>'C)NSA RCO SA Nb'!Z10/'C)NSA RCO SA Nb'!Y10-1</f>
        <v>-4.5735252319061281E-3</v>
      </c>
      <c r="AA10" s="105">
        <f>'C)NSA RCO SA Nb'!AA10/'C)NSA RCO SA Nb'!Z10-1</f>
        <v>-2.2427577613954863E-3</v>
      </c>
      <c r="AB10" s="105">
        <f>'C)NSA RCO SA Nb'!AB10/'C)NSA RCO SA Nb'!AA10-1</f>
        <v>-6.5560805045059567E-3</v>
      </c>
      <c r="AC10" s="105">
        <f>'C)NSA RCO SA Nb'!AC10/'C)NSA RCO SA Nb'!AB10-1</f>
        <v>-6.9869270091342806E-3</v>
      </c>
      <c r="AD10" s="105">
        <f>'C)NSA RCO SA Nb'!AD10/'C)NSA RCO SA Nb'!AC10-1</f>
        <v>-6.2607466481007235E-3</v>
      </c>
      <c r="AE10" s="105">
        <f>'C)NSA RCO SA Nb'!AE10/'C)NSA RCO SA Nb'!AD10-1</f>
        <v>-4.4690483899217925E-3</v>
      </c>
      <c r="AF10" s="105">
        <f>'C)NSA RCO SA Nb'!AF10/'C)NSA RCO SA Nb'!AE10-1</f>
        <v>-7.6666755524751329E-3</v>
      </c>
      <c r="AG10" s="105">
        <f>'C)NSA RCO SA Nb'!AG10/'C)NSA RCO SA Nb'!AF10-1</f>
        <v>-6.3881113433300607E-3</v>
      </c>
      <c r="AH10" s="105">
        <f>'C)NSA RCO SA Nb'!AH10/'C)NSA RCO SA Nb'!AG10-1</f>
        <v>-3.6552790664979851E-3</v>
      </c>
      <c r="AI10" s="105">
        <f>'C)NSA RCO SA Nb'!AI10/'C)NSA RCO SA Nb'!AH10-1</f>
        <v>-9.9315105664754544E-4</v>
      </c>
      <c r="AJ10" s="105">
        <f>'C)NSA RCO SA Nb'!AJ10/'C)NSA RCO SA Nb'!AI10-1</f>
        <v>-5.9974250186061173E-3</v>
      </c>
      <c r="AK10" s="105">
        <f>'C)NSA RCO SA Nb'!AK10/'C)NSA RCO SA Nb'!AJ10-1</f>
        <v>-6.5200163956824486E-3</v>
      </c>
      <c r="AL10" s="105">
        <f>'C)NSA RCO SA Nb'!AL10/'C)NSA RCO SA Nb'!AK10-1</f>
        <v>-4.4283812478683737E-3</v>
      </c>
      <c r="AM10" s="105">
        <f>'C)NSA RCO SA Nb'!AM10/'C)NSA RCO SA Nb'!AL10-1</f>
        <v>-3.4479519496952715E-3</v>
      </c>
      <c r="AN10" s="105">
        <f>'C)NSA RCO SA Nb'!AN10/'C)NSA RCO SA Nb'!AM10-1</f>
        <v>-7.2968012730589837E-3</v>
      </c>
      <c r="AO10" s="105">
        <f>'C)NSA RCO SA Nb'!AO10/'C)NSA RCO SA Nb'!AN10-1</f>
        <v>-5.5910230846137887E-3</v>
      </c>
      <c r="AP10" s="105">
        <f>'C)NSA RCO SA Nb'!AP10/'C)NSA RCO SA Nb'!AO10-1</f>
        <v>-2.3029050304432808E-3</v>
      </c>
      <c r="AQ10" s="105">
        <f>'C)NSA RCO SA Nb'!AQ10/'C)NSA RCO SA Nb'!AP10-1</f>
        <v>-2.3532590949523202E-3</v>
      </c>
      <c r="AR10" s="105">
        <f>'C)NSA RCO SA Nb'!AR10/'C)NSA RCO SA Nb'!AQ10-1</f>
        <v>-7.426301295652582E-3</v>
      </c>
      <c r="AS10" s="105">
        <f>'C)NSA RCO SA Nb'!AS10/'C)NSA RCO SA Nb'!AR10-1</f>
        <v>-7.1634866850112111E-3</v>
      </c>
      <c r="AT10" s="105">
        <f>'C)NSA RCO SA Nb'!AT10/'C)NSA RCO SA Nb'!AS10-1</f>
        <v>-4.9189152045444606E-3</v>
      </c>
      <c r="AU10" s="105">
        <f>'C)NSA RCO SA Nb'!AU10/'C)NSA RCO SA Nb'!AT10-1</f>
        <v>-4.2756930017896488E-3</v>
      </c>
      <c r="AV10" s="105">
        <f>'C)NSA RCO SA Nb'!AV10/'C)NSA RCO SA Nb'!AU10-1</f>
        <v>-9.1891579494884912E-3</v>
      </c>
      <c r="AW10" s="105">
        <f>'C)NSA RCO SA Nb'!AW10/'C)NSA RCO SA Nb'!AV10-1</f>
        <v>-7.3378441437237374E-3</v>
      </c>
      <c r="AX10" s="105">
        <f>'C)NSA RCO SA Nb'!AX10/'C)NSA RCO SA Nb'!AW10-1</f>
        <v>1.3363575466265529</v>
      </c>
      <c r="AY10" s="105">
        <f>'C)NSA RCO SA Nb'!AY10/'C)NSA RCO SA Nb'!AX10-1</f>
        <v>-0.57438519539443567</v>
      </c>
      <c r="AZ10" s="105">
        <f>'C)NSA RCO SA Nb'!AZ10/'C)NSA RCO SA Nb'!AY10-1</f>
        <v>-8.1369994149870228E-3</v>
      </c>
      <c r="BA10" s="105">
        <f>'C)NSA RCO SA Nb'!BA10/'C)NSA RCO SA Nb'!AZ10-1</f>
        <v>-5.427464998510545E-3</v>
      </c>
      <c r="BB10" s="105">
        <f>'C)NSA RCO SA Nb'!BB10/'C)NSA RCO SA Nb'!BA10-1</f>
        <v>-7.5476671119389938E-4</v>
      </c>
      <c r="BC10" s="105">
        <f>'C)NSA RCO SA Nb'!BC10/'C)NSA RCO SA Nb'!BB10-1</f>
        <v>-3.1592261993969029E-3</v>
      </c>
      <c r="BD10" s="105">
        <f>'C)NSA RCO SA Nb'!BD10/'C)NSA RCO SA Nb'!BC10-1</f>
        <v>-6.2182023742227699E-3</v>
      </c>
      <c r="BE10" s="105">
        <f>'C)NSA RCO SA Nb'!BE10/'C)NSA RCO SA Nb'!BD10-1</f>
        <v>-4.6898070825164284E-3</v>
      </c>
      <c r="BF10" s="105">
        <f>'C)NSA RCO SA Nb'!BF10/'C)NSA RCO SA Nb'!BE10-1</f>
        <v>-4.0005593487235647E-3</v>
      </c>
      <c r="BG10" s="105">
        <f>'C)NSA RCO SA Nb'!BG10/'C)NSA RCO SA Nb'!BF10-1</f>
        <v>-1.7763507285479818E-3</v>
      </c>
      <c r="BH10" s="105">
        <f>'C)NSA RCO SA Nb'!BH10/'C)NSA RCO SA Nb'!BG10-1</f>
        <v>-6.7633677413042603E-3</v>
      </c>
      <c r="BI10" s="105">
        <f>'C)NSA RCO SA Nb'!BI10/'C)NSA RCO SA Nb'!BH10-1</f>
        <v>-5.190183595818354E-3</v>
      </c>
      <c r="BJ10" s="105">
        <f>'C)NSA RCO SA Nb'!BJ10/'C)NSA RCO SA Nb'!BI10-1</f>
        <v>-2.1908787651860884E-3</v>
      </c>
    </row>
    <row r="11" spans="1:62" x14ac:dyDescent="0.25">
      <c r="A11" s="20" t="s">
        <v>13</v>
      </c>
      <c r="B11" s="39"/>
      <c r="C11" s="105">
        <f>'C)NSA RCO SA Nb'!C11/'C)NSA RCO SA Nb'!B11-1</f>
        <v>2.4761948529411764</v>
      </c>
      <c r="D11" s="105">
        <f>'C)NSA RCO SA Nb'!D11/'C)NSA RCO SA Nb'!C11-1</f>
        <v>-7.9202030617910868E-3</v>
      </c>
      <c r="E11" s="105">
        <f>'C)NSA RCO SA Nb'!E11/'C)NSA RCO SA Nb'!D11-1</f>
        <v>-7.5823295741502816E-3</v>
      </c>
      <c r="F11" s="105">
        <f>'C)NSA RCO SA Nb'!F11/'C)NSA RCO SA Nb'!E11-1</f>
        <v>-4.4552521084567642E-3</v>
      </c>
      <c r="G11" s="105">
        <f>'C)NSA RCO SA Nb'!G11/'C)NSA RCO SA Nb'!F11-1</f>
        <v>-4.3807769135214558E-3</v>
      </c>
      <c r="H11" s="105">
        <f>'C)NSA RCO SA Nb'!H11/'C)NSA RCO SA Nb'!G11-1</f>
        <v>-8.2487438581471118E-3</v>
      </c>
      <c r="I11" s="105">
        <f>'C)NSA RCO SA Nb'!I11/'C)NSA RCO SA Nb'!H11-1</f>
        <v>-8.4416542363990876E-3</v>
      </c>
      <c r="J11" s="105">
        <f>'C)NSA RCO SA Nb'!J11/'C)NSA RCO SA Nb'!I11-1</f>
        <v>-7.1689920430250131E-3</v>
      </c>
      <c r="K11" s="105">
        <f>'C)NSA RCO SA Nb'!K11/'C)NSA RCO SA Nb'!J11-1</f>
        <v>-5.1408352990148787E-3</v>
      </c>
      <c r="L11" s="105">
        <f>'C)NSA RCO SA Nb'!L11/'C)NSA RCO SA Nb'!K11-1</f>
        <v>-1.0097699426076856E-2</v>
      </c>
      <c r="M11" s="105">
        <f>'C)NSA RCO SA Nb'!M11/'C)NSA RCO SA Nb'!L11-1</f>
        <v>-1.0561390902494527E-2</v>
      </c>
      <c r="N11" s="105">
        <f>'C)NSA RCO SA Nb'!N11/'C)NSA RCO SA Nb'!M11-1</f>
        <v>-7.2950293267868282E-3</v>
      </c>
      <c r="O11" s="105">
        <f>'C)NSA RCO SA Nb'!O11/'C)NSA RCO SA Nb'!N11-1</f>
        <v>-4.8742282710977358E-3</v>
      </c>
      <c r="P11" s="105">
        <f>'C)NSA RCO SA Nb'!P11/'C)NSA RCO SA Nb'!O11-1</f>
        <v>-9.1792578754514853E-3</v>
      </c>
      <c r="Q11" s="105">
        <f>'C)NSA RCO SA Nb'!Q11/'C)NSA RCO SA Nb'!P11-1</f>
        <v>-6.7227257517785688E-3</v>
      </c>
      <c r="R11" s="105">
        <f>'C)NSA RCO SA Nb'!R11/'C)NSA RCO SA Nb'!Q11-1</f>
        <v>-6.4987279366208739E-3</v>
      </c>
      <c r="S11" s="105">
        <f>'C)NSA RCO SA Nb'!S11/'C)NSA RCO SA Nb'!R11-1</f>
        <v>-6.6016818219344353E-3</v>
      </c>
      <c r="T11" s="105">
        <f>'C)NSA RCO SA Nb'!T11/'C)NSA RCO SA Nb'!S11-1</f>
        <v>-6.7182718592413426E-3</v>
      </c>
      <c r="U11" s="105">
        <f>'C)NSA RCO SA Nb'!U11/'C)NSA RCO SA Nb'!T11-1</f>
        <v>-7.0490821103021961E-3</v>
      </c>
      <c r="V11" s="105">
        <f>'C)NSA RCO SA Nb'!V11/'C)NSA RCO SA Nb'!U11-1</f>
        <v>-4.5426571911362235E-3</v>
      </c>
      <c r="W11" s="105">
        <f>'C)NSA RCO SA Nb'!W11/'C)NSA RCO SA Nb'!V11-1</f>
        <v>-4.372931057937901E-3</v>
      </c>
      <c r="X11" s="105">
        <f>'C)NSA RCO SA Nb'!X11/'C)NSA RCO SA Nb'!W11-1</f>
        <v>-1.0170387003037962E-2</v>
      </c>
      <c r="Y11" s="105">
        <f>'C)NSA RCO SA Nb'!Y11/'C)NSA RCO SA Nb'!X11-1</f>
        <v>-8.8315863418704232E-3</v>
      </c>
      <c r="Z11" s="105">
        <f>'C)NSA RCO SA Nb'!Z11/'C)NSA RCO SA Nb'!Y11-1</f>
        <v>-4.5263223050973078E-3</v>
      </c>
      <c r="AA11" s="105">
        <f>'C)NSA RCO SA Nb'!AA11/'C)NSA RCO SA Nb'!Z11-1</f>
        <v>-3.1260930055417857E-3</v>
      </c>
      <c r="AB11" s="105">
        <f>'C)NSA RCO SA Nb'!AB11/'C)NSA RCO SA Nb'!AA11-1</f>
        <v>-7.3539960454338527E-3</v>
      </c>
      <c r="AC11" s="105">
        <f>'C)NSA RCO SA Nb'!AC11/'C)NSA RCO SA Nb'!AB11-1</f>
        <v>-6.8932148647120606E-3</v>
      </c>
      <c r="AD11" s="105">
        <f>'C)NSA RCO SA Nb'!AD11/'C)NSA RCO SA Nb'!AC11-1</f>
        <v>-5.2057958176469077E-3</v>
      </c>
      <c r="AE11" s="105">
        <f>'C)NSA RCO SA Nb'!AE11/'C)NSA RCO SA Nb'!AD11-1</f>
        <v>-4.363250112499939E-3</v>
      </c>
      <c r="AF11" s="105">
        <f>'C)NSA RCO SA Nb'!AF11/'C)NSA RCO SA Nb'!AE11-1</f>
        <v>-8.6050355748269469E-3</v>
      </c>
      <c r="AG11" s="105">
        <f>'C)NSA RCO SA Nb'!AG11/'C)NSA RCO SA Nb'!AF11-1</f>
        <v>-5.9234128652596585E-3</v>
      </c>
      <c r="AH11" s="105">
        <f>'C)NSA RCO SA Nb'!AH11/'C)NSA RCO SA Nb'!AG11-1</f>
        <v>-2.7775977182861178E-3</v>
      </c>
      <c r="AI11" s="105">
        <f>'C)NSA RCO SA Nb'!AI11/'C)NSA RCO SA Nb'!AH11-1</f>
        <v>-1.9435587926535103E-3</v>
      </c>
      <c r="AJ11" s="105">
        <f>'C)NSA RCO SA Nb'!AJ11/'C)NSA RCO SA Nb'!AI11-1</f>
        <v>-7.1218066659067825E-3</v>
      </c>
      <c r="AK11" s="105">
        <f>'C)NSA RCO SA Nb'!AK11/'C)NSA RCO SA Nb'!AJ11-1</f>
        <v>-6.2660299510000073E-3</v>
      </c>
      <c r="AL11" s="105">
        <f>'C)NSA RCO SA Nb'!AL11/'C)NSA RCO SA Nb'!AK11-1</f>
        <v>-2.6238706217253105E-3</v>
      </c>
      <c r="AM11" s="105">
        <f>'C)NSA RCO SA Nb'!AM11/'C)NSA RCO SA Nb'!AL11-1</f>
        <v>-3.2231110964038301E-3</v>
      </c>
      <c r="AN11" s="105">
        <f>'C)NSA RCO SA Nb'!AN11/'C)NSA RCO SA Nb'!AM11-1</f>
        <v>-8.3378012970650728E-3</v>
      </c>
      <c r="AO11" s="105">
        <f>'C)NSA RCO SA Nb'!AO11/'C)NSA RCO SA Nb'!AN11-1</f>
        <v>-5.7665203694590161E-3</v>
      </c>
      <c r="AP11" s="105">
        <f>'C)NSA RCO SA Nb'!AP11/'C)NSA RCO SA Nb'!AO11-1</f>
        <v>-1.5623711001752083E-3</v>
      </c>
      <c r="AQ11" s="105">
        <f>'C)NSA RCO SA Nb'!AQ11/'C)NSA RCO SA Nb'!AP11-1</f>
        <v>-1.6828516072244781E-3</v>
      </c>
      <c r="AR11" s="105">
        <f>'C)NSA RCO SA Nb'!AR11/'C)NSA RCO SA Nb'!AQ11-1</f>
        <v>-8.2561570696723097E-3</v>
      </c>
      <c r="AS11" s="105">
        <f>'C)NSA RCO SA Nb'!AS11/'C)NSA RCO SA Nb'!AR11-1</f>
        <v>-7.4511840995988843E-3</v>
      </c>
      <c r="AT11" s="105">
        <f>'C)NSA RCO SA Nb'!AT11/'C)NSA RCO SA Nb'!AS11-1</f>
        <v>-3.20189436837226E-3</v>
      </c>
      <c r="AU11" s="105">
        <f>'C)NSA RCO SA Nb'!AU11/'C)NSA RCO SA Nb'!AT11-1</f>
        <v>-5.0076259136464518E-3</v>
      </c>
      <c r="AV11" s="105">
        <f>'C)NSA RCO SA Nb'!AV11/'C)NSA RCO SA Nb'!AU11-1</f>
        <v>-9.8078736343111261E-3</v>
      </c>
      <c r="AW11" s="105">
        <f>'C)NSA RCO SA Nb'!AW11/'C)NSA RCO SA Nb'!AV11-1</f>
        <v>-7.3086438735288084E-3</v>
      </c>
      <c r="AX11" s="105">
        <f>'C)NSA RCO SA Nb'!AX11/'C)NSA RCO SA Nb'!AW11-1</f>
        <v>-1.6720848081415163E-3</v>
      </c>
      <c r="AY11" s="105">
        <f>'C)NSA RCO SA Nb'!AY11/'C)NSA RCO SA Nb'!AX11-1</f>
        <v>-1.6167051302620195E-3</v>
      </c>
      <c r="AZ11" s="105">
        <f>'C)NSA RCO SA Nb'!AZ11/'C)NSA RCO SA Nb'!AY11-1</f>
        <v>-8.2520139999929798E-3</v>
      </c>
      <c r="BA11" s="105">
        <f>'C)NSA RCO SA Nb'!BA11/'C)NSA RCO SA Nb'!AZ11-1</f>
        <v>-5.7441690274263602E-3</v>
      </c>
      <c r="BB11" s="105">
        <f>'C)NSA RCO SA Nb'!BB11/'C)NSA RCO SA Nb'!BA11-1</f>
        <v>7.8082047039051972E-4</v>
      </c>
      <c r="BC11" s="105">
        <f>'C)NSA RCO SA Nb'!BC11/'C)NSA RCO SA Nb'!BB11-1</f>
        <v>-3.6988456094326772E-3</v>
      </c>
      <c r="BD11" s="105">
        <f>'C)NSA RCO SA Nb'!BD11/'C)NSA RCO SA Nb'!BC11-1</f>
        <v>-5.8086486719496344E-3</v>
      </c>
      <c r="BE11" s="105">
        <f>'C)NSA RCO SA Nb'!BE11/'C)NSA RCO SA Nb'!BD11-1</f>
        <v>-4.1985684399175049E-3</v>
      </c>
      <c r="BF11" s="105">
        <f>'C)NSA RCO SA Nb'!BF11/'C)NSA RCO SA Nb'!BE11-1</f>
        <v>-2.755815514570048E-3</v>
      </c>
      <c r="BG11" s="105">
        <f>'C)NSA RCO SA Nb'!BG11/'C)NSA RCO SA Nb'!BF11-1</f>
        <v>-1.7319199023430043E-3</v>
      </c>
      <c r="BH11" s="105">
        <f>'C)NSA RCO SA Nb'!BH11/'C)NSA RCO SA Nb'!BG11-1</f>
        <v>-7.0709114003867368E-3</v>
      </c>
      <c r="BI11" s="105">
        <f>'C)NSA RCO SA Nb'!BI11/'C)NSA RCO SA Nb'!BH11-1</f>
        <v>-5.3648088362421298E-3</v>
      </c>
      <c r="BJ11" s="105">
        <f>'C)NSA RCO SA Nb'!BJ11/'C)NSA RCO SA Nb'!BI11-1</f>
        <v>-1.6404514286135763E-3</v>
      </c>
    </row>
    <row r="12" spans="1:62" x14ac:dyDescent="0.25">
      <c r="A12" s="19"/>
      <c r="B12" s="1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M12" s="40"/>
      <c r="AN12" s="40"/>
      <c r="AO12" s="40"/>
    </row>
    <row r="13" spans="1:62" ht="13" x14ac:dyDescent="0.3">
      <c r="A13" s="25" t="s">
        <v>47</v>
      </c>
      <c r="B13" s="1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M13" s="40"/>
      <c r="AN13" s="40"/>
      <c r="AO13" s="40"/>
    </row>
    <row r="14" spans="1:62" x14ac:dyDescent="0.25">
      <c r="A14" s="24" t="s">
        <v>50</v>
      </c>
      <c r="B14" s="1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M14" s="40"/>
      <c r="AN14" s="40"/>
      <c r="AO14" s="40"/>
    </row>
    <row r="15" spans="1:62" x14ac:dyDescent="0.25">
      <c r="A15" s="24"/>
      <c r="B15" s="1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M15" s="40"/>
      <c r="AN15" s="40"/>
      <c r="AO15" s="40"/>
    </row>
    <row r="16" spans="1:62" ht="13" x14ac:dyDescent="0.3">
      <c r="A16" s="1"/>
      <c r="B16" s="2" t="str">
        <f t="shared" ref="B16:H16" si="0">B8</f>
        <v>4eme T 2009</v>
      </c>
      <c r="C16" s="38" t="str">
        <f t="shared" si="0"/>
        <v>1er T 2010</v>
      </c>
      <c r="D16" s="38" t="str">
        <f t="shared" si="0"/>
        <v>2eme T 2010</v>
      </c>
      <c r="E16" s="38" t="str">
        <f t="shared" si="0"/>
        <v>3eme T 2010</v>
      </c>
      <c r="F16" s="38" t="str">
        <f t="shared" si="0"/>
        <v>4eme T 2010</v>
      </c>
      <c r="G16" s="38" t="str">
        <f t="shared" si="0"/>
        <v>1er T 2011</v>
      </c>
      <c r="H16" s="38" t="str">
        <f t="shared" si="0"/>
        <v>2eme T 2011</v>
      </c>
      <c r="I16" s="38" t="str">
        <f t="shared" ref="I16:N16" si="1">I8</f>
        <v>3eme T 2011</v>
      </c>
      <c r="J16" s="38" t="str">
        <f t="shared" si="1"/>
        <v>4eme T 2011</v>
      </c>
      <c r="K16" s="38" t="str">
        <f t="shared" si="1"/>
        <v>1er T 2012</v>
      </c>
      <c r="L16" s="38" t="str">
        <f t="shared" si="1"/>
        <v>2eme T 2012</v>
      </c>
      <c r="M16" s="38" t="str">
        <f t="shared" si="1"/>
        <v>3eme T 2012</v>
      </c>
      <c r="N16" s="38" t="str">
        <f t="shared" si="1"/>
        <v>4eme T 2012</v>
      </c>
      <c r="O16" s="38" t="str">
        <f t="shared" ref="O16:T16" si="2">O8</f>
        <v>1er T 2013</v>
      </c>
      <c r="P16" s="38" t="str">
        <f t="shared" si="2"/>
        <v>2eme T 2013</v>
      </c>
      <c r="Q16" s="38" t="str">
        <f t="shared" si="2"/>
        <v>3ème T 2013</v>
      </c>
      <c r="R16" s="38" t="str">
        <f t="shared" si="2"/>
        <v>4ème T 2013</v>
      </c>
      <c r="S16" s="38" t="str">
        <f t="shared" si="2"/>
        <v>1er T 2014</v>
      </c>
      <c r="T16" s="38" t="str">
        <f t="shared" si="2"/>
        <v>2eme T 2014</v>
      </c>
      <c r="U16" s="38" t="str">
        <f t="shared" ref="U16:V16" si="3">U8</f>
        <v>3T 2014</v>
      </c>
      <c r="V16" s="38" t="str">
        <f t="shared" si="3"/>
        <v>4ème T 2014</v>
      </c>
      <c r="W16" s="38" t="str">
        <f t="shared" ref="W16:X16" si="4">W8</f>
        <v>1er T 2015</v>
      </c>
      <c r="X16" s="38" t="str">
        <f t="shared" si="4"/>
        <v>2e T 2015</v>
      </c>
      <c r="Y16" s="38" t="str">
        <f t="shared" ref="Y16:Z16" si="5">Y8</f>
        <v>3e T 2015</v>
      </c>
      <c r="Z16" s="38" t="str">
        <f t="shared" si="5"/>
        <v>4e T 2015</v>
      </c>
      <c r="AA16" s="38" t="str">
        <f t="shared" ref="AA16:AB16" si="6">AA8</f>
        <v>1er T 2016</v>
      </c>
      <c r="AB16" s="38" t="str">
        <f t="shared" si="6"/>
        <v>2e T 2016</v>
      </c>
      <c r="AC16" s="38" t="str">
        <f t="shared" ref="AC16:AD16" si="7">AC8</f>
        <v>3e T 2016</v>
      </c>
      <c r="AD16" s="38" t="str">
        <f t="shared" si="7"/>
        <v>4e T 2016</v>
      </c>
      <c r="AE16" s="38" t="str">
        <f t="shared" ref="AE16:AF16" si="8">AE8</f>
        <v>2017 - T1</v>
      </c>
      <c r="AF16" s="38" t="str">
        <f t="shared" si="8"/>
        <v>2017 - T2</v>
      </c>
      <c r="AG16" s="38" t="str">
        <f t="shared" ref="AG16:AH16" si="9">AG8</f>
        <v>2017- T3</v>
      </c>
      <c r="AH16" s="38" t="str">
        <f t="shared" si="9"/>
        <v>2017 - T4</v>
      </c>
      <c r="AI16" s="38" t="str">
        <f t="shared" ref="AI16:AJ16" si="10">AI8</f>
        <v>2018 - T1</v>
      </c>
      <c r="AJ16" s="38" t="str">
        <f t="shared" si="10"/>
        <v>2018 - T2</v>
      </c>
      <c r="AK16" s="38" t="str">
        <f t="shared" ref="AK16:AM16" si="11">AK8</f>
        <v>2018 - T3</v>
      </c>
      <c r="AL16" s="38" t="str">
        <f t="shared" si="11"/>
        <v>2018 - T4</v>
      </c>
      <c r="AM16" s="38" t="str">
        <f t="shared" si="11"/>
        <v>2019 - T1</v>
      </c>
      <c r="AN16" s="38" t="str">
        <f t="shared" ref="AN16:AP16" si="12">AN8</f>
        <v>2019 - T2</v>
      </c>
      <c r="AO16" s="38" t="str">
        <f t="shared" si="12"/>
        <v>2019 - T3</v>
      </c>
      <c r="AP16" s="38" t="str">
        <f t="shared" si="12"/>
        <v>2019 - T4</v>
      </c>
      <c r="AQ16" s="38" t="str">
        <f t="shared" ref="AQ16" si="13">AQ8</f>
        <v>2020 - T1</v>
      </c>
      <c r="AR16" s="38" t="str">
        <f t="shared" ref="AR16" si="14">AR8</f>
        <v>2020 - T2</v>
      </c>
      <c r="AS16" s="38" t="str">
        <f t="shared" ref="AS16:AT16" si="15">AS8</f>
        <v>2020 - T3</v>
      </c>
      <c r="AT16" s="38" t="str">
        <f t="shared" si="15"/>
        <v>2020- T4</v>
      </c>
      <c r="AU16" s="38" t="str">
        <f t="shared" ref="AU16:AV16" si="16">AU8</f>
        <v>2021- T1</v>
      </c>
      <c r="AV16" s="38" t="str">
        <f t="shared" si="16"/>
        <v>2021- T2</v>
      </c>
      <c r="AW16" s="38" t="str">
        <f t="shared" ref="AW16:AX16" si="17">AW8</f>
        <v>2021- T3</v>
      </c>
      <c r="AX16" s="38" t="str">
        <f t="shared" si="17"/>
        <v>2021- T4</v>
      </c>
      <c r="AY16" s="38" t="str">
        <f t="shared" ref="AY16:AZ16" si="18">AY8</f>
        <v>2022- T1</v>
      </c>
      <c r="AZ16" s="38" t="str">
        <f t="shared" si="18"/>
        <v>2022- T2</v>
      </c>
      <c r="BA16" s="38" t="str">
        <f t="shared" ref="BA16:BB16" si="19">BA8</f>
        <v>2022- T3</v>
      </c>
      <c r="BB16" s="38" t="str">
        <f t="shared" si="19"/>
        <v>2022- T4</v>
      </c>
      <c r="BC16" s="38" t="str">
        <f t="shared" ref="BC16:BD16" si="20">BC8</f>
        <v>2023- T1</v>
      </c>
      <c r="BD16" s="38" t="str">
        <f t="shared" si="20"/>
        <v>2023- T2</v>
      </c>
      <c r="BE16" s="38" t="str">
        <f t="shared" ref="BE16:BF16" si="21">BE8</f>
        <v>2023- T3</v>
      </c>
      <c r="BF16" s="38" t="str">
        <f t="shared" si="21"/>
        <v>2023- T4</v>
      </c>
      <c r="BG16" s="38" t="str">
        <f t="shared" ref="BG16:BH16" si="22">BG8</f>
        <v>2024- T1</v>
      </c>
      <c r="BH16" s="38" t="str">
        <f t="shared" si="22"/>
        <v>2024- T2</v>
      </c>
      <c r="BI16" s="38" t="str">
        <f t="shared" ref="BI16:BJ16" si="23">BI8</f>
        <v>2024- T3</v>
      </c>
      <c r="BJ16" s="38" t="str">
        <f t="shared" si="23"/>
        <v>2024- T4</v>
      </c>
    </row>
    <row r="17" spans="1:62" x14ac:dyDescent="0.25">
      <c r="A17" s="20" t="s">
        <v>27</v>
      </c>
      <c r="B17" s="16"/>
      <c r="C17" s="105">
        <f>'C)NSA RCO SA Nb'!C17/'C)NSA RCO SA Nb'!B17-1</f>
        <v>1.7874702941900189E-3</v>
      </c>
      <c r="D17" s="105">
        <f>'C)NSA RCO SA Nb'!D17/'C)NSA RCO SA Nb'!C17-1</f>
        <v>8.1289590331139472E-3</v>
      </c>
      <c r="E17" s="105">
        <f>'C)NSA RCO SA Nb'!E17/'C)NSA RCO SA Nb'!D17-1</f>
        <v>-7.9112720412599646E-4</v>
      </c>
      <c r="F17" s="105">
        <f>'C)NSA RCO SA Nb'!F17/'C)NSA RCO SA Nb'!E17-1</f>
        <v>-3.7557541706634279E-4</v>
      </c>
      <c r="G17" s="105">
        <f>'C)NSA RCO SA Nb'!G17/'C)NSA RCO SA Nb'!F17-1</f>
        <v>5.6865204080081E-4</v>
      </c>
      <c r="H17" s="105">
        <f>'C)NSA RCO SA Nb'!H17/'C)NSA RCO SA Nb'!G17-1</f>
        <v>1.9592122556058911E-2</v>
      </c>
      <c r="I17" s="105">
        <f>'C)NSA RCO SA Nb'!I17/'C)NSA RCO SA Nb'!H17-1</f>
        <v>-1.0152789528691253E-3</v>
      </c>
      <c r="J17" s="105">
        <f>'C)NSA RCO SA Nb'!J17/'C)NSA RCO SA Nb'!I17-1</f>
        <v>-7.4728734693163545E-5</v>
      </c>
      <c r="K17" s="105">
        <f>'C)NSA RCO SA Nb'!K17/'C)NSA RCO SA Nb'!J17-1</f>
        <v>-1.0562450488512676E-3</v>
      </c>
      <c r="L17" s="105">
        <f>'C)NSA RCO SA Nb'!L17/'C)NSA RCO SA Nb'!K17-1</f>
        <v>2.0957710512271799E-2</v>
      </c>
      <c r="M17" s="105">
        <f>'C)NSA RCO SA Nb'!M17/'C)NSA RCO SA Nb'!L17-1</f>
        <v>-3.7615839688132091E-4</v>
      </c>
      <c r="N17" s="105">
        <f>'C)NSA RCO SA Nb'!N17/'C)NSA RCO SA Nb'!M17-1</f>
        <v>-1.5638439283760519E-4</v>
      </c>
      <c r="O17" s="105">
        <f>'C)NSA RCO SA Nb'!O17/'C)NSA RCO SA Nb'!N17-1</f>
        <v>8.6024869007594873E-4</v>
      </c>
      <c r="P17" s="105">
        <f>'C)NSA RCO SA Nb'!P17/'C)NSA RCO SA Nb'!O17-1</f>
        <v>1.1559423347397901E-2</v>
      </c>
      <c r="Q17" s="105">
        <f>'C)NSA RCO SA Nb'!Q17/'C)NSA RCO SA Nb'!P17-1</f>
        <v>-1.2841866415621572E-3</v>
      </c>
      <c r="R17" s="105">
        <f>'C)NSA RCO SA Nb'!R17/'C)NSA RCO SA Nb'!Q17-1</f>
        <v>-1.9674286625835924E-3</v>
      </c>
      <c r="S17" s="105">
        <f>'C)NSA RCO SA Nb'!S17/'C)NSA RCO SA Nb'!R17-1</f>
        <v>3.0126609254972347E-3</v>
      </c>
      <c r="T17" s="105">
        <f>'C)NSA RCO SA Nb'!T17/'C)NSA RCO SA Nb'!S17-1</f>
        <v>2.699387688087862E-3</v>
      </c>
      <c r="U17" s="105">
        <f>'C)NSA RCO SA Nb'!U17/'C)NSA RCO SA Nb'!T17-1</f>
        <v>5.7309902091562392E-4</v>
      </c>
      <c r="V17" s="105">
        <f>'C)NSA RCO SA Nb'!V17/'C)NSA RCO SA Nb'!U17-1</f>
        <v>-1.4920919128613708E-4</v>
      </c>
      <c r="W17" s="105">
        <f>'C)NSA RCO SA Nb'!W17/'C)NSA RCO SA Nb'!V17-1</f>
        <v>-7.0283202795928812E-4</v>
      </c>
      <c r="X17" s="105">
        <f>'C)NSA RCO SA Nb'!X17/'C)NSA RCO SA Nb'!W17-1</f>
        <v>-1.4933641640768602E-4</v>
      </c>
      <c r="Y17" s="105">
        <f>'C)NSA RCO SA Nb'!Y17/'C)NSA RCO SA Nb'!X17-1</f>
        <v>-2.4090116307085019E-4</v>
      </c>
      <c r="Z17" s="105">
        <f>'C)NSA RCO SA Nb'!Z17/'C)NSA RCO SA Nb'!Y17-1</f>
        <v>1.1855193152903176E-3</v>
      </c>
      <c r="AA17" s="105">
        <f>'C)NSA RCO SA Nb'!AA17/'C)NSA RCO SA Nb'!Z17-1</f>
        <v>1.2077015643802813E-2</v>
      </c>
      <c r="AB17" s="105">
        <f>'C)NSA RCO SA Nb'!AB17/'C)NSA RCO SA Nb'!AA17-1</f>
        <v>-2.3304591004436048E-4</v>
      </c>
      <c r="AC17" s="105">
        <f>'C)NSA RCO SA Nb'!AC17/'C)NSA RCO SA Nb'!AB17-1</f>
        <v>-3.66300366300365E-4</v>
      </c>
      <c r="AD17" s="105">
        <f>'C)NSA RCO SA Nb'!AD17/'C)NSA RCO SA Nb'!AC17-1</f>
        <v>6.9812928002741526E-3</v>
      </c>
      <c r="AE17" s="105">
        <f>'C)NSA RCO SA Nb'!AE17/'C)NSA RCO SA Nb'!AD17-1</f>
        <v>-2.6937618147460096E-4</v>
      </c>
      <c r="AF17" s="105">
        <f>'C)NSA RCO SA Nb'!AF17/'C)NSA RCO SA Nb'!AE17-1</f>
        <v>-6.0980509872698985E-4</v>
      </c>
      <c r="AG17" s="105">
        <f>'C)NSA RCO SA Nb'!AG17/'C)NSA RCO SA Nb'!AF17-1</f>
        <v>1.1115630942131194E-3</v>
      </c>
      <c r="AH17" s="105">
        <f>'C)NSA RCO SA Nb'!AH17/'C)NSA RCO SA Nb'!AG17-1</f>
        <v>2.1667950238366318E-2</v>
      </c>
      <c r="AI17" s="105">
        <f>'C)NSA RCO SA Nb'!AI17/'C)NSA RCO SA Nb'!AH17-1</f>
        <v>-5.248919000161778E-3</v>
      </c>
      <c r="AJ17" s="105">
        <f>'C)NSA RCO SA Nb'!AJ17/'C)NSA RCO SA Nb'!AI17-1</f>
        <v>2.2361692236168018E-3</v>
      </c>
      <c r="AK17" s="105">
        <f>'C)NSA RCO SA Nb'!AK17/'C)NSA RCO SA Nb'!AJ17-1</f>
        <v>9.97304957301548E-4</v>
      </c>
      <c r="AL17" s="105">
        <f>'C)NSA RCO SA Nb'!AL17/'C)NSA RCO SA Nb'!AK17-1</f>
        <v>1.9045765445142582E-3</v>
      </c>
      <c r="AM17" s="105">
        <f>'C)NSA RCO SA Nb'!AM17/'C)NSA RCO SA Nb'!AL17-1</f>
        <v>5.3837294814691461E-3</v>
      </c>
      <c r="AN17" s="105">
        <f>'C)NSA RCO SA Nb'!AN17/'C)NSA RCO SA Nb'!AM17-1</f>
        <v>2.0747937857394927E-3</v>
      </c>
      <c r="AO17" s="105">
        <f>'C)NSA RCO SA Nb'!AO17/'C)NSA RCO SA Nb'!AN17-1</f>
        <v>1.9465435080021631E-3</v>
      </c>
      <c r="AP17" s="105">
        <f>'C)NSA RCO SA Nb'!AP17/'C)NSA RCO SA Nb'!AO17-1</f>
        <v>2.8912328290093825E-3</v>
      </c>
      <c r="AQ17" s="105">
        <f>'C)NSA RCO SA Nb'!AQ17/'C)NSA RCO SA Nb'!AP17-1</f>
        <v>1.1559003458563533E-2</v>
      </c>
      <c r="AR17" s="105">
        <f>'C)NSA RCO SA Nb'!AR17/'C)NSA RCO SA Nb'!AQ17-1</f>
        <v>1.223990208078396E-3</v>
      </c>
      <c r="AS17" s="105">
        <f>'C)NSA RCO SA Nb'!AS17/'C)NSA RCO SA Nb'!AR17-1</f>
        <v>1.7638195941860335E-3</v>
      </c>
      <c r="AT17" s="105">
        <f>'C)NSA RCO SA Nb'!AT17/'C)NSA RCO SA Nb'!AS17-1</f>
        <v>3.0801237453224051E-3</v>
      </c>
      <c r="AU17" s="105">
        <f>'C)NSA RCO SA Nb'!AU17/'C)NSA RCO SA Nb'!AT17-1</f>
        <v>7.0751011209724268E-3</v>
      </c>
      <c r="AV17" s="105">
        <f>'C)NSA RCO SA Nb'!AV17/'C)NSA RCO SA Nb'!AU17-1</f>
        <v>2.7415091227616095E-3</v>
      </c>
      <c r="AW17" s="105">
        <f>'C)NSA RCO SA Nb'!AW17/'C)NSA RCO SA Nb'!AV17-1</f>
        <v>4.0365602105412179E-3</v>
      </c>
      <c r="AX17" s="105">
        <f>'C)NSA RCO SA Nb'!AX17/'C)NSA RCO SA Nb'!AW17-1</f>
        <v>-4.9812138929440586E-2</v>
      </c>
      <c r="AY17" s="105">
        <f>'C)NSA RCO SA Nb'!AY17/'C)NSA RCO SA Nb'!AX17-1</f>
        <v>0.13447357615236055</v>
      </c>
      <c r="AZ17" s="105">
        <f>'C)NSA RCO SA Nb'!AZ17/'C)NSA RCO SA Nb'!AY17-1</f>
        <v>2.0614677476111787E-3</v>
      </c>
      <c r="BA17" s="105">
        <f>'C)NSA RCO SA Nb'!BA17/'C)NSA RCO SA Nb'!AZ17-1</f>
        <v>4.1386343101226242E-2</v>
      </c>
      <c r="BB17" s="105">
        <f>'C)NSA RCO SA Nb'!BB17/'C)NSA RCO SA Nb'!BA17-1</f>
        <v>6.3707562418158226E-4</v>
      </c>
      <c r="BC17" s="105">
        <f>'C)NSA RCO SA Nb'!BC17/'C)NSA RCO SA Nb'!BB17-1</f>
        <v>1.153732064335955E-2</v>
      </c>
      <c r="BD17" s="105">
        <f>'C)NSA RCO SA Nb'!BD17/'C)NSA RCO SA Nb'!BC17-1</f>
        <v>4.6942908817122486E-3</v>
      </c>
      <c r="BE17" s="105">
        <f>'C)NSA RCO SA Nb'!BE17/'C)NSA RCO SA Nb'!BD17-1</f>
        <v>3.0212704531298318E-3</v>
      </c>
      <c r="BF17" s="105">
        <f>'C)NSA RCO SA Nb'!BF17/'C)NSA RCO SA Nb'!BE17-1</f>
        <v>3.5637913914698949E-3</v>
      </c>
      <c r="BG17" s="105">
        <f>'C)NSA RCO SA Nb'!BG17/'C)NSA RCO SA Nb'!BF17-1</f>
        <v>4.7611342282359859E-2</v>
      </c>
      <c r="BH17" s="105">
        <f>'C)NSA RCO SA Nb'!BH17/'C)NSA RCO SA Nb'!BG17-1</f>
        <v>2.8659341049162013E-3</v>
      </c>
      <c r="BI17" s="105">
        <f>'C)NSA RCO SA Nb'!BI17/'C)NSA RCO SA Nb'!BH17-1</f>
        <v>4.4060933852296813E-3</v>
      </c>
      <c r="BJ17" s="105">
        <f>'C)NSA RCO SA Nb'!BJ17/'C)NSA RCO SA Nb'!BI17-1</f>
        <v>3.8349151820926686E-3</v>
      </c>
    </row>
    <row r="18" spans="1:62" x14ac:dyDescent="0.25">
      <c r="A18" s="20" t="s">
        <v>28</v>
      </c>
      <c r="B18" s="16"/>
      <c r="C18" s="105">
        <f>'C)NSA RCO SA Nb'!C18/'C)NSA RCO SA Nb'!B18-1</f>
        <v>-1.2575419069151828E-3</v>
      </c>
      <c r="D18" s="105">
        <f>'C)NSA RCO SA Nb'!D18/'C)NSA RCO SA Nb'!C18-1</f>
        <v>9.5974817493806874E-3</v>
      </c>
      <c r="E18" s="105">
        <f>'C)NSA RCO SA Nb'!E18/'C)NSA RCO SA Nb'!D18-1</f>
        <v>-1.6186489588240205E-3</v>
      </c>
      <c r="F18" s="105">
        <f>'C)NSA RCO SA Nb'!F18/'C)NSA RCO SA Nb'!E18-1</f>
        <v>-1.9867241642801403E-3</v>
      </c>
      <c r="G18" s="105">
        <f>'C)NSA RCO SA Nb'!G18/'C)NSA RCO SA Nb'!F18-1</f>
        <v>7.8628495339547744E-3</v>
      </c>
      <c r="H18" s="105">
        <f>'C)NSA RCO SA Nb'!H18/'C)NSA RCO SA Nb'!G18-1</f>
        <v>2.4388793838064249E-2</v>
      </c>
      <c r="I18" s="105">
        <f>'C)NSA RCO SA Nb'!I18/'C)NSA RCO SA Nb'!H18-1</f>
        <v>-1.5863496546787426E-3</v>
      </c>
      <c r="J18" s="105">
        <f>'C)NSA RCO SA Nb'!J18/'C)NSA RCO SA Nb'!I18-1</f>
        <v>-1.453234900889333E-3</v>
      </c>
      <c r="K18" s="105">
        <f>'C)NSA RCO SA Nb'!K18/'C)NSA RCO SA Nb'!J18-1</f>
        <v>-4.4760093659849121E-3</v>
      </c>
      <c r="L18" s="105">
        <f>'C)NSA RCO SA Nb'!L18/'C)NSA RCO SA Nb'!K18-1</f>
        <v>2.1363134299265951E-2</v>
      </c>
      <c r="M18" s="105">
        <f>'C)NSA RCO SA Nb'!M18/'C)NSA RCO SA Nb'!L18-1</f>
        <v>-1.0941615033270846E-3</v>
      </c>
      <c r="N18" s="105">
        <f>'C)NSA RCO SA Nb'!N18/'C)NSA RCO SA Nb'!M18-1</f>
        <v>-1.7067237272808677E-3</v>
      </c>
      <c r="O18" s="105">
        <f>'C)NSA RCO SA Nb'!O18/'C)NSA RCO SA Nb'!N18-1</f>
        <v>-2.1115349774811776E-3</v>
      </c>
      <c r="P18" s="105">
        <f>'C)NSA RCO SA Nb'!P18/'C)NSA RCO SA Nb'!O18-1</f>
        <v>1.0835725290391007E-2</v>
      </c>
      <c r="Q18" s="105">
        <f>'C)NSA RCO SA Nb'!Q18/'C)NSA RCO SA Nb'!P18-1</f>
        <v>-2.377910727159982E-3</v>
      </c>
      <c r="R18" s="105">
        <f>'C)NSA RCO SA Nb'!R18/'C)NSA RCO SA Nb'!Q18-1</f>
        <v>-4.5389423503607862E-3</v>
      </c>
      <c r="S18" s="105">
        <f>'C)NSA RCO SA Nb'!S18/'C)NSA RCO SA Nb'!R18-1</f>
        <v>2.1142456855378633E-3</v>
      </c>
      <c r="T18" s="105">
        <f>'C)NSA RCO SA Nb'!T18/'C)NSA RCO SA Nb'!S18-1</f>
        <v>2.4567557606029355E-2</v>
      </c>
      <c r="U18" s="105">
        <f>'C)NSA RCO SA Nb'!U18/'C)NSA RCO SA Nb'!T18-1</f>
        <v>2.2328627781775801E-3</v>
      </c>
      <c r="V18" s="105">
        <f>'C)NSA RCO SA Nb'!V18/'C)NSA RCO SA Nb'!U18-1</f>
        <v>-1.4605044929080213E-3</v>
      </c>
      <c r="W18" s="105">
        <f>'C)NSA RCO SA Nb'!W18/'C)NSA RCO SA Nb'!V18-1</f>
        <v>-1.9150676781198861E-3</v>
      </c>
      <c r="X18" s="105">
        <f>'C)NSA RCO SA Nb'!X18/'C)NSA RCO SA Nb'!W18-1</f>
        <v>-1.4902852033308323E-3</v>
      </c>
      <c r="Y18" s="105">
        <f>'C)NSA RCO SA Nb'!Y18/'C)NSA RCO SA Nb'!X18-1</f>
        <v>-1.3556961001971457E-3</v>
      </c>
      <c r="Z18" s="105">
        <f>'C)NSA RCO SA Nb'!Z18/'C)NSA RCO SA Nb'!Y18-1</f>
        <v>-5.5422361988965996E-4</v>
      </c>
      <c r="AA18" s="105">
        <f>'C)NSA RCO SA Nb'!AA18/'C)NSA RCO SA Nb'!Z18-1</f>
        <v>4.4113248928321358E-3</v>
      </c>
      <c r="AB18" s="105">
        <f>'C)NSA RCO SA Nb'!AB18/'C)NSA RCO SA Nb'!AA18-1</f>
        <v>-1.1662241631720249E-3</v>
      </c>
      <c r="AC18" s="105">
        <f>'C)NSA RCO SA Nb'!AC18/'C)NSA RCO SA Nb'!AB18-1</f>
        <v>-2.3289610970338437E-3</v>
      </c>
      <c r="AD18" s="105">
        <f>'C)NSA RCO SA Nb'!AD18/'C)NSA RCO SA Nb'!AC18-1</f>
        <v>1.6620912469418325E-3</v>
      </c>
      <c r="AE18" s="105">
        <f>'C)NSA RCO SA Nb'!AE18/'C)NSA RCO SA Nb'!AD18-1</f>
        <v>-2.1067939443656369E-3</v>
      </c>
      <c r="AF18" s="105">
        <f>'C)NSA RCO SA Nb'!AF18/'C)NSA RCO SA Nb'!AE18-1</f>
        <v>-1.9493177387914784E-3</v>
      </c>
      <c r="AG18" s="105">
        <f>'C)NSA RCO SA Nb'!AG18/'C)NSA RCO SA Nb'!AF18-1</f>
        <v>-4.5552116613423177E-4</v>
      </c>
      <c r="AH18" s="105">
        <f>'C)NSA RCO SA Nb'!AH18/'C)NSA RCO SA Nb'!AG18-1</f>
        <v>1.2697976689161949E-2</v>
      </c>
      <c r="AI18" s="105">
        <f>'C)NSA RCO SA Nb'!AI18/'C)NSA RCO SA Nb'!AH18-1</f>
        <v>-3.4460013438789572E-3</v>
      </c>
      <c r="AJ18" s="105">
        <f>'C)NSA RCO SA Nb'!AJ18/'C)NSA RCO SA Nb'!AI18-1</f>
        <v>7.8560912543768069E-4</v>
      </c>
      <c r="AK18" s="105">
        <f>'C)NSA RCO SA Nb'!AK18/'C)NSA RCO SA Nb'!AJ18-1</f>
        <v>-6.6755261612627681E-4</v>
      </c>
      <c r="AL18" s="105">
        <f>'C)NSA RCO SA Nb'!AL18/'C)NSA RCO SA Nb'!AK18-1</f>
        <v>-2.6596238178600018E-4</v>
      </c>
      <c r="AM18" s="105">
        <f>'C)NSA RCO SA Nb'!AM18/'C)NSA RCO SA Nb'!AL18-1</f>
        <v>3.9038816090675166E-3</v>
      </c>
      <c r="AN18" s="105">
        <f>'C)NSA RCO SA Nb'!AN18/'C)NSA RCO SA Nb'!AM18-1</f>
        <v>-2.0337102887257874E-4</v>
      </c>
      <c r="AO18" s="105">
        <f>'C)NSA RCO SA Nb'!AO18/'C)NSA RCO SA Nb'!AN18-1</f>
        <v>3.6367670989712053E-4</v>
      </c>
      <c r="AP18" s="105">
        <f>'C)NSA RCO SA Nb'!AP18/'C)NSA RCO SA Nb'!AO18-1</f>
        <v>1.2570013124573176E-3</v>
      </c>
      <c r="AQ18" s="105">
        <f>'C)NSA RCO SA Nb'!AQ18/'C)NSA RCO SA Nb'!AP18-1</f>
        <v>1.1889596602972397E-2</v>
      </c>
      <c r="AR18" s="105">
        <f>'C)NSA RCO SA Nb'!AR18/'C)NSA RCO SA Nb'!AQ18-1</f>
        <v>-2.7367768067287912E-4</v>
      </c>
      <c r="AS18" s="105">
        <f>'C)NSA RCO SA Nb'!AS18/'C)NSA RCO SA Nb'!AR18-1</f>
        <v>3.650034675330982E-4</v>
      </c>
      <c r="AT18" s="105">
        <f>'C)NSA RCO SA Nb'!AT18/'C)NSA RCO SA Nb'!AS18-1</f>
        <v>1.4655623259263173E-3</v>
      </c>
      <c r="AU18" s="105">
        <f>'C)NSA RCO SA Nb'!AU18/'C)NSA RCO SA Nb'!AT18-1</f>
        <v>5.2403708943851157E-3</v>
      </c>
      <c r="AV18" s="105">
        <f>'C)NSA RCO SA Nb'!AV18/'C)NSA RCO SA Nb'!AU18-1</f>
        <v>2.1383784567430286E-3</v>
      </c>
      <c r="AW18" s="105">
        <f>'C)NSA RCO SA Nb'!AW18/'C)NSA RCO SA Nb'!AV18-1</f>
        <v>3.1103074141050069E-3</v>
      </c>
      <c r="AX18" s="105">
        <f>'C)NSA RCO SA Nb'!AX18/'C)NSA RCO SA Nb'!AW18-1</f>
        <v>0.40501374327648776</v>
      </c>
      <c r="AY18" s="105">
        <f>'C)NSA RCO SA Nb'!AY18/'C)NSA RCO SA Nb'!AX18-1</f>
        <v>-0.22998142027983337</v>
      </c>
      <c r="AZ18" s="105">
        <f>'C)NSA RCO SA Nb'!AZ18/'C)NSA RCO SA Nb'!AY18-1</f>
        <v>2.6126910003698711E-5</v>
      </c>
      <c r="BA18" s="105">
        <f>'C)NSA RCO SA Nb'!BA18/'C)NSA RCO SA Nb'!AZ18-1</f>
        <v>4.0321120995312043E-2</v>
      </c>
      <c r="BB18" s="105">
        <f>'C)NSA RCO SA Nb'!BB18/'C)NSA RCO SA Nb'!BA18-1</f>
        <v>-3.995571070314341E-5</v>
      </c>
      <c r="BC18" s="105">
        <f>'C)NSA RCO SA Nb'!BC18/'C)NSA RCO SA Nb'!BB18-1</f>
        <v>1.0453559168700943E-2</v>
      </c>
      <c r="BD18" s="105">
        <f>'C)NSA RCO SA Nb'!BD18/'C)NSA RCO SA Nb'!BC18-1</f>
        <v>3.2273958553532545E-3</v>
      </c>
      <c r="BE18" s="105">
        <f>'C)NSA RCO SA Nb'!BE18/'C)NSA RCO SA Nb'!BD18-1</f>
        <v>2.1081042733213096E-3</v>
      </c>
      <c r="BF18" s="105">
        <f>'C)NSA RCO SA Nb'!BF18/'C)NSA RCO SA Nb'!BE18-1</f>
        <v>2.645165519114423E-3</v>
      </c>
      <c r="BG18" s="105">
        <f>'C)NSA RCO SA Nb'!BG18/'C)NSA RCO SA Nb'!BF18-1</f>
        <v>4.7666437707884812E-2</v>
      </c>
      <c r="BH18" s="105">
        <f>'C)NSA RCO SA Nb'!BH18/'C)NSA RCO SA Nb'!BG18-1</f>
        <v>2.4537435241054339E-3</v>
      </c>
      <c r="BI18" s="105">
        <f>'C)NSA RCO SA Nb'!BI18/'C)NSA RCO SA Nb'!BH18-1</f>
        <v>6.3011678959870032E-3</v>
      </c>
      <c r="BJ18" s="105">
        <f>'C)NSA RCO SA Nb'!BJ18/'C)NSA RCO SA Nb'!BI18-1</f>
        <v>9.8463912498658601E-4</v>
      </c>
    </row>
    <row r="19" spans="1:62" x14ac:dyDescent="0.25">
      <c r="A19" s="20" t="s">
        <v>13</v>
      </c>
      <c r="B19" s="16"/>
      <c r="C19" s="105">
        <f>'C)NSA RCO SA Nb'!C19/'C)NSA RCO SA Nb'!B19-1</f>
        <v>7.5773382677546408E-4</v>
      </c>
      <c r="D19" s="105">
        <f>'C)NSA RCO SA Nb'!D19/'C)NSA RCO SA Nb'!C19-1</f>
        <v>8.2958411061122561E-3</v>
      </c>
      <c r="E19" s="105">
        <f>'C)NSA RCO SA Nb'!E19/'C)NSA RCO SA Nb'!D19-1</f>
        <v>-1.099188124415007E-3</v>
      </c>
      <c r="F19" s="105">
        <f>'C)NSA RCO SA Nb'!F19/'C)NSA RCO SA Nb'!E19-1</f>
        <v>-9.3697227215772116E-4</v>
      </c>
      <c r="G19" s="105">
        <f>'C)NSA RCO SA Nb'!G19/'C)NSA RCO SA Nb'!F19-1</f>
        <v>2.0774490452457606E-3</v>
      </c>
      <c r="H19" s="105">
        <f>'C)NSA RCO SA Nb'!H19/'C)NSA RCO SA Nb'!G19-1</f>
        <v>2.0546417164093889E-2</v>
      </c>
      <c r="I19" s="105">
        <f>'C)NSA RCO SA Nb'!I19/'C)NSA RCO SA Nb'!H19-1</f>
        <v>-1.2582975660472284E-3</v>
      </c>
      <c r="J19" s="105">
        <f>'C)NSA RCO SA Nb'!J19/'C)NSA RCO SA Nb'!I19-1</f>
        <v>-5.4986413551216806E-4</v>
      </c>
      <c r="K19" s="105">
        <f>'C)NSA RCO SA Nb'!K19/'C)NSA RCO SA Nb'!J19-1</f>
        <v>-2.0831552858731062E-3</v>
      </c>
      <c r="L19" s="105">
        <f>'C)NSA RCO SA Nb'!L19/'C)NSA RCO SA Nb'!K19-1</f>
        <v>2.0864333658056067E-2</v>
      </c>
      <c r="M19" s="105">
        <f>'C)NSA RCO SA Nb'!M19/'C)NSA RCO SA Nb'!L19-1</f>
        <v>-6.2918143495316325E-4</v>
      </c>
      <c r="N19" s="105">
        <f>'C)NSA RCO SA Nb'!N19/'C)NSA RCO SA Nb'!M19-1</f>
        <v>-6.7154939035907191E-4</v>
      </c>
      <c r="O19" s="105">
        <f>'C)NSA RCO SA Nb'!O19/'C)NSA RCO SA Nb'!N19-1</f>
        <v>-6.8250068249953166E-5</v>
      </c>
      <c r="P19" s="105">
        <f>'C)NSA RCO SA Nb'!P19/'C)NSA RCO SA Nb'!O19-1</f>
        <v>1.1199025532518059E-2</v>
      </c>
      <c r="Q19" s="105">
        <f>'C)NSA RCO SA Nb'!Q19/'C)NSA RCO SA Nb'!P19-1</f>
        <v>-1.6199713389686288E-3</v>
      </c>
      <c r="R19" s="105">
        <f>'C)NSA RCO SA Nb'!R19/'C)NSA RCO SA Nb'!Q19-1</f>
        <v>-2.6679286888143805E-3</v>
      </c>
      <c r="S19" s="105">
        <f>'C)NSA RCO SA Nb'!S19/'C)NSA RCO SA Nb'!R19-1</f>
        <v>2.6646364674534073E-3</v>
      </c>
      <c r="T19" s="105">
        <f>'C)NSA RCO SA Nb'!T19/'C)NSA RCO SA Nb'!S19-1</f>
        <v>7.8582498621817543E-3</v>
      </c>
      <c r="U19" s="105">
        <f>'C)NSA RCO SA Nb'!U19/'C)NSA RCO SA Nb'!T19-1</f>
        <v>9.4946669900353164E-4</v>
      </c>
      <c r="V19" s="105">
        <f>'C)NSA RCO SA Nb'!V19/'C)NSA RCO SA Nb'!U19-1</f>
        <v>-5.3614603793228355E-4</v>
      </c>
      <c r="W19" s="105">
        <f>'C)NSA RCO SA Nb'!W19/'C)NSA RCO SA Nb'!V19-1</f>
        <v>-1.0625512577820961E-3</v>
      </c>
      <c r="X19" s="105">
        <f>'C)NSA RCO SA Nb'!X19/'C)NSA RCO SA Nb'!W19-1</f>
        <v>-5.783122576381583E-4</v>
      </c>
      <c r="Y19" s="105">
        <f>'C)NSA RCO SA Nb'!Y19/'C)NSA RCO SA Nb'!X19-1</f>
        <v>-5.1664901449199885E-4</v>
      </c>
      <c r="Z19" s="105">
        <f>'C)NSA RCO SA Nb'!Z19/'C)NSA RCO SA Nb'!Y19-1</f>
        <v>7.5469747486489602E-4</v>
      </c>
      <c r="AA19" s="105">
        <f>'C)NSA RCO SA Nb'!AA19/'C)NSA RCO SA Nb'!Z19-1</f>
        <v>1.0108418861472845E-2</v>
      </c>
      <c r="AB19" s="105">
        <f>'C)NSA RCO SA Nb'!AB19/'C)NSA RCO SA Nb'!AA19-1</f>
        <v>-5.2669796172999384E-4</v>
      </c>
      <c r="AC19" s="105">
        <f>'C)NSA RCO SA Nb'!AC19/'C)NSA RCO SA Nb'!AB19-1</f>
        <v>-8.4418408329278716E-4</v>
      </c>
      <c r="AD19" s="105">
        <f>'C)NSA RCO SA Nb'!AD19/'C)NSA RCO SA Nb'!AC19-1</f>
        <v>5.7504224486661926E-3</v>
      </c>
      <c r="AE19" s="105">
        <f>'C)NSA RCO SA Nb'!AE19/'C)NSA RCO SA Nb'!AD19-1</f>
        <v>-7.1278377704131479E-4</v>
      </c>
      <c r="AF19" s="105">
        <f>'C)NSA RCO SA Nb'!AF19/'C)NSA RCO SA Nb'!AE19-1</f>
        <v>-1.0087989687832533E-3</v>
      </c>
      <c r="AG19" s="105">
        <f>'C)NSA RCO SA Nb'!AG19/'C)NSA RCO SA Nb'!AF19-1</f>
        <v>7.5991329848279499E-4</v>
      </c>
      <c r="AH19" s="105">
        <f>'C)NSA RCO SA Nb'!AH19/'C)NSA RCO SA Nb'!AG19-1</f>
        <v>1.954908675799083E-2</v>
      </c>
      <c r="AI19" s="105">
        <f>'C)NSA RCO SA Nb'!AI19/'C)NSA RCO SA Nb'!AH19-1</f>
        <v>-4.8835349395180971E-3</v>
      </c>
      <c r="AJ19" s="105">
        <f>'C)NSA RCO SA Nb'!AJ19/'C)NSA RCO SA Nb'!AI19-1</f>
        <v>1.7881988919195013E-3</v>
      </c>
      <c r="AK19" s="105">
        <f>'C)NSA RCO SA Nb'!AK19/'C)NSA RCO SA Nb'!AJ19-1</f>
        <v>6.1171586299568759E-4</v>
      </c>
      <c r="AL19" s="105">
        <f>'C)NSA RCO SA Nb'!AL19/'C)NSA RCO SA Nb'!AK19-1</f>
        <v>1.5283547386515384E-3</v>
      </c>
      <c r="AM19" s="105">
        <f>'C)NSA RCO SA Nb'!AM19/'C)NSA RCO SA Nb'!AL19-1</f>
        <v>5.043379063972786E-3</v>
      </c>
      <c r="AN19" s="105">
        <f>'C)NSA RCO SA Nb'!AN19/'C)NSA RCO SA Nb'!AM19-1</f>
        <v>1.4387128249548908E-3</v>
      </c>
      <c r="AO19" s="105">
        <f>'C)NSA RCO SA Nb'!AO19/'C)NSA RCO SA Nb'!AN19-1</f>
        <v>1.54600995212828E-3</v>
      </c>
      <c r="AP19" s="105">
        <f>'C)NSA RCO SA Nb'!AP19/'C)NSA RCO SA Nb'!AO19-1</f>
        <v>2.5611245123440263E-3</v>
      </c>
      <c r="AQ19" s="105">
        <f>'C)NSA RCO SA Nb'!AQ19/'C)NSA RCO SA Nb'!AP19-1</f>
        <v>1.1693648200405971E-2</v>
      </c>
      <c r="AR19" s="105">
        <f>'C)NSA RCO SA Nb'!AR19/'C)NSA RCO SA Nb'!AQ19-1</f>
        <v>7.9274976511123363E-4</v>
      </c>
      <c r="AS19" s="105">
        <f>'C)NSA RCO SA Nb'!AS19/'C)NSA RCO SA Nb'!AR19-1</f>
        <v>1.4033269116051628E-3</v>
      </c>
      <c r="AT19" s="105">
        <f>'C)NSA RCO SA Nb'!AT19/'C)NSA RCO SA Nb'!AS19-1</f>
        <v>2.8369002104482455E-3</v>
      </c>
      <c r="AU19" s="105">
        <f>'C)NSA RCO SA Nb'!AU19/'C)NSA RCO SA Nb'!AT19-1</f>
        <v>6.5731174104839418E-3</v>
      </c>
      <c r="AV19" s="105">
        <f>'C)NSA RCO SA Nb'!AV19/'C)NSA RCO SA Nb'!AU19-1</f>
        <v>2.5443569452237025E-3</v>
      </c>
      <c r="AW19" s="105">
        <f>'C)NSA RCO SA Nb'!AW19/'C)NSA RCO SA Nb'!AV19-1</f>
        <v>3.8164992424900568E-3</v>
      </c>
      <c r="AX19" s="105">
        <f>'C)NSA RCO SA Nb'!AX19/'C)NSA RCO SA Nb'!AW19-1</f>
        <v>3.1612001231051456E-2</v>
      </c>
      <c r="AY19" s="105">
        <f>'C)NSA RCO SA Nb'!AY19/'C)NSA RCO SA Nb'!AX19-1</f>
        <v>4.6047489667164543E-2</v>
      </c>
      <c r="AZ19" s="105">
        <f>'C)NSA RCO SA Nb'!AZ19/'C)NSA RCO SA Nb'!AY19-1</f>
        <v>1.5638323424151945E-3</v>
      </c>
      <c r="BA19" s="105">
        <f>'C)NSA RCO SA Nb'!BA19/'C)NSA RCO SA Nb'!AZ19-1</f>
        <v>4.1103164240540391E-2</v>
      </c>
      <c r="BB19" s="105">
        <f>'C)NSA RCO SA Nb'!BB19/'C)NSA RCO SA Nb'!BA19-1</f>
        <v>6.0625805185221537E-4</v>
      </c>
      <c r="BC19" s="105">
        <f>'C)NSA RCO SA Nb'!BC19/'C)NSA RCO SA Nb'!BB19-1</f>
        <v>1.1231780872587915E-2</v>
      </c>
      <c r="BD19" s="105">
        <f>'C)NSA RCO SA Nb'!BD19/'C)NSA RCO SA Nb'!BC19-1</f>
        <v>4.3798206500762493E-3</v>
      </c>
      <c r="BE19" s="105">
        <f>'C)NSA RCO SA Nb'!BE19/'C)NSA RCO SA Nb'!BD19-1</f>
        <v>2.8463350738119342E-3</v>
      </c>
      <c r="BF19" s="105">
        <f>'C)NSA RCO SA Nb'!BF19/'C)NSA RCO SA Nb'!BE19-1</f>
        <v>3.4533606098468006E-3</v>
      </c>
      <c r="BG19" s="105">
        <f>'C)NSA RCO SA Nb'!BG19/'C)NSA RCO SA Nb'!BF19-1</f>
        <v>4.7628447470418944E-2</v>
      </c>
      <c r="BH19" s="105">
        <f>'C)NSA RCO SA Nb'!BH19/'C)NSA RCO SA Nb'!BG19-1</f>
        <v>2.741231247021636E-3</v>
      </c>
      <c r="BI19" s="105">
        <f>'C)NSA RCO SA Nb'!BI19/'C)NSA RCO SA Nb'!BH19-1</f>
        <v>4.8409845498307291E-3</v>
      </c>
      <c r="BJ19" s="105">
        <f>'C)NSA RCO SA Nb'!BJ19/'C)NSA RCO SA Nb'!BI19-1</f>
        <v>3.2048441543577333E-3</v>
      </c>
    </row>
    <row r="20" spans="1:62" ht="13" thickBot="1" x14ac:dyDescent="0.3">
      <c r="A20" s="6"/>
      <c r="B20" s="15"/>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M20" s="43"/>
      <c r="AN20" s="43"/>
      <c r="AO20" s="43"/>
    </row>
    <row r="21" spans="1:62" x14ac:dyDescent="0.25">
      <c r="A21" s="19"/>
      <c r="B21" s="1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M21" s="40"/>
      <c r="AN21" s="40"/>
      <c r="AO21" s="40"/>
    </row>
    <row r="22" spans="1:62" ht="13" x14ac:dyDescent="0.3">
      <c r="A22" s="25" t="s">
        <v>48</v>
      </c>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M22" s="35"/>
      <c r="AN22" s="35"/>
      <c r="AO22" s="35"/>
      <c r="BB22" s="377" t="s">
        <v>241</v>
      </c>
      <c r="BC22" s="377"/>
      <c r="BD22" s="377"/>
    </row>
    <row r="23" spans="1:62" x14ac:dyDescent="0.25">
      <c r="A23" s="24" t="s">
        <v>247</v>
      </c>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M23" s="35"/>
      <c r="AN23" s="35"/>
      <c r="AO23" s="35"/>
      <c r="BB23" s="383" t="s">
        <v>244</v>
      </c>
      <c r="BC23" s="383"/>
      <c r="BD23" s="383"/>
    </row>
    <row r="24" spans="1:62" x14ac:dyDescent="0.25">
      <c r="A24" s="5"/>
      <c r="B24" s="2" t="str">
        <f t="shared" ref="B24:H24" si="24">B8</f>
        <v>4eme T 2009</v>
      </c>
      <c r="C24" s="38" t="str">
        <f t="shared" si="24"/>
        <v>1er T 2010</v>
      </c>
      <c r="D24" s="38" t="str">
        <f t="shared" si="24"/>
        <v>2eme T 2010</v>
      </c>
      <c r="E24" s="38" t="str">
        <f t="shared" si="24"/>
        <v>3eme T 2010</v>
      </c>
      <c r="F24" s="38" t="str">
        <f t="shared" si="24"/>
        <v>4eme T 2010</v>
      </c>
      <c r="G24" s="38" t="str">
        <f t="shared" si="24"/>
        <v>1er T 2011</v>
      </c>
      <c r="H24" s="38" t="str">
        <f t="shared" si="24"/>
        <v>2eme T 2011</v>
      </c>
      <c r="I24" s="38" t="str">
        <f t="shared" ref="I24:N24" si="25">I8</f>
        <v>3eme T 2011</v>
      </c>
      <c r="J24" s="38" t="str">
        <f t="shared" si="25"/>
        <v>4eme T 2011</v>
      </c>
      <c r="K24" s="38" t="str">
        <f t="shared" si="25"/>
        <v>1er T 2012</v>
      </c>
      <c r="L24" s="38" t="str">
        <f t="shared" si="25"/>
        <v>2eme T 2012</v>
      </c>
      <c r="M24" s="38" t="str">
        <f t="shared" si="25"/>
        <v>3eme T 2012</v>
      </c>
      <c r="N24" s="38" t="str">
        <f t="shared" si="25"/>
        <v>4eme T 2012</v>
      </c>
      <c r="O24" s="38" t="str">
        <f t="shared" ref="O24:T24" si="26">O8</f>
        <v>1er T 2013</v>
      </c>
      <c r="P24" s="38" t="str">
        <f t="shared" si="26"/>
        <v>2eme T 2013</v>
      </c>
      <c r="Q24" s="38" t="str">
        <f t="shared" si="26"/>
        <v>3ème T 2013</v>
      </c>
      <c r="R24" s="38" t="str">
        <f t="shared" si="26"/>
        <v>4ème T 2013</v>
      </c>
      <c r="S24" s="38" t="str">
        <f t="shared" si="26"/>
        <v>1er T 2014</v>
      </c>
      <c r="T24" s="38" t="str">
        <f t="shared" si="26"/>
        <v>2eme T 2014</v>
      </c>
      <c r="U24" s="38" t="str">
        <f t="shared" ref="U24:V24" si="27">U8</f>
        <v>3T 2014</v>
      </c>
      <c r="V24" s="38" t="str">
        <f t="shared" si="27"/>
        <v>4ème T 2014</v>
      </c>
      <c r="W24" s="38" t="str">
        <f t="shared" ref="W24:X24" si="28">W8</f>
        <v>1er T 2015</v>
      </c>
      <c r="X24" s="38" t="str">
        <f t="shared" si="28"/>
        <v>2e T 2015</v>
      </c>
      <c r="Y24" s="38" t="str">
        <f t="shared" ref="Y24:Z24" si="29">Y8</f>
        <v>3e T 2015</v>
      </c>
      <c r="Z24" s="38" t="str">
        <f t="shared" si="29"/>
        <v>4e T 2015</v>
      </c>
      <c r="AA24" s="38" t="str">
        <f t="shared" ref="AA24:AB24" si="30">AA8</f>
        <v>1er T 2016</v>
      </c>
      <c r="AB24" s="38" t="str">
        <f t="shared" si="30"/>
        <v>2e T 2016</v>
      </c>
      <c r="AC24" s="38" t="str">
        <f t="shared" ref="AC24:AD24" si="31">AC8</f>
        <v>3e T 2016</v>
      </c>
      <c r="AD24" s="38" t="str">
        <f t="shared" si="31"/>
        <v>4e T 2016</v>
      </c>
      <c r="AE24" s="38" t="str">
        <f t="shared" ref="AE24:AF24" si="32">AE8</f>
        <v>2017 - T1</v>
      </c>
      <c r="AF24" s="38" t="str">
        <f t="shared" si="32"/>
        <v>2017 - T2</v>
      </c>
      <c r="AG24" s="38" t="str">
        <f t="shared" ref="AG24:AH24" si="33">AG8</f>
        <v>2017- T3</v>
      </c>
      <c r="AH24" s="38" t="str">
        <f t="shared" si="33"/>
        <v>2017 - T4</v>
      </c>
      <c r="AI24" s="38" t="str">
        <f t="shared" ref="AI24:AJ24" si="34">AI8</f>
        <v>2018 - T1</v>
      </c>
      <c r="AJ24" s="38" t="str">
        <f t="shared" si="34"/>
        <v>2018 - T2</v>
      </c>
      <c r="AK24" s="38" t="str">
        <f t="shared" ref="AK24:AM24" si="35">AK8</f>
        <v>2018 - T3</v>
      </c>
      <c r="AL24" s="38" t="str">
        <f t="shared" si="35"/>
        <v>2018 - T4</v>
      </c>
      <c r="AM24" s="38" t="str">
        <f t="shared" si="35"/>
        <v>2019 - T1</v>
      </c>
      <c r="AN24" s="38" t="str">
        <f t="shared" ref="AN24:AP24" si="36">AN8</f>
        <v>2019 - T2</v>
      </c>
      <c r="AO24" s="38" t="str">
        <f t="shared" si="36"/>
        <v>2019 - T3</v>
      </c>
      <c r="AP24" s="38" t="str">
        <f t="shared" si="36"/>
        <v>2019 - T4</v>
      </c>
      <c r="AQ24" s="38" t="str">
        <f t="shared" ref="AQ24" si="37">AQ8</f>
        <v>2020 - T1</v>
      </c>
      <c r="AR24" s="38" t="str">
        <f t="shared" ref="AR24" si="38">AR8</f>
        <v>2020 - T2</v>
      </c>
      <c r="AS24" s="38" t="str">
        <f t="shared" ref="AS24:AT24" si="39">AS8</f>
        <v>2020 - T3</v>
      </c>
      <c r="AT24" s="38" t="str">
        <f t="shared" si="39"/>
        <v>2020- T4</v>
      </c>
      <c r="AU24" s="38" t="str">
        <f t="shared" ref="AU24:AV24" si="40">AU8</f>
        <v>2021- T1</v>
      </c>
      <c r="AV24" s="38" t="str">
        <f t="shared" si="40"/>
        <v>2021- T2</v>
      </c>
      <c r="AW24" s="38" t="str">
        <f t="shared" ref="AW24:AX24" si="41">AW8</f>
        <v>2021- T3</v>
      </c>
      <c r="AX24" s="38" t="str">
        <f t="shared" si="41"/>
        <v>2021- T4</v>
      </c>
      <c r="AY24" s="38" t="str">
        <f t="shared" ref="AY24:AZ24" si="42">AY8</f>
        <v>2022- T1</v>
      </c>
      <c r="AZ24" s="38" t="str">
        <f t="shared" si="42"/>
        <v>2022- T2</v>
      </c>
      <c r="BA24" s="38" t="str">
        <f t="shared" ref="BA24:BB24" si="43">BA8</f>
        <v>2022- T3</v>
      </c>
      <c r="BB24" s="38" t="str">
        <f t="shared" si="43"/>
        <v>2022- T4</v>
      </c>
      <c r="BC24" s="38" t="str">
        <f t="shared" ref="BC24:BD24" si="44">BC8</f>
        <v>2023- T1</v>
      </c>
      <c r="BD24" s="38" t="str">
        <f t="shared" si="44"/>
        <v>2023- T2</v>
      </c>
      <c r="BE24" s="38" t="str">
        <f t="shared" ref="BE24:BF24" si="45">BE8</f>
        <v>2023- T3</v>
      </c>
      <c r="BF24" s="38" t="str">
        <f t="shared" si="45"/>
        <v>2023- T4</v>
      </c>
      <c r="BG24" s="38" t="str">
        <f t="shared" ref="BG24:BH24" si="46">BG8</f>
        <v>2024- T1</v>
      </c>
      <c r="BH24" s="38" t="str">
        <f t="shared" si="46"/>
        <v>2024- T2</v>
      </c>
      <c r="BI24" s="38" t="str">
        <f t="shared" ref="BI24:BJ24" si="47">BI8</f>
        <v>2024- T3</v>
      </c>
      <c r="BJ24" s="38" t="str">
        <f t="shared" si="47"/>
        <v>2024- T4</v>
      </c>
    </row>
    <row r="25" spans="1:62" x14ac:dyDescent="0.25">
      <c r="A25" s="8" t="s">
        <v>0</v>
      </c>
      <c r="B25" s="3"/>
      <c r="C25" s="105">
        <f>'C)NSA RCO SA Nb'!C25/'C)NSA RCO SA Nb'!B25-1</f>
        <v>-4.8479475544460637E-3</v>
      </c>
      <c r="D25" s="105">
        <f>'C)NSA RCO SA Nb'!D25/'C)NSA RCO SA Nb'!C25-1</f>
        <v>-1.0003352424177825E-2</v>
      </c>
      <c r="E25" s="105">
        <f>'C)NSA RCO SA Nb'!E25/'C)NSA RCO SA Nb'!D25-1</f>
        <v>-9.3111368964455821E-3</v>
      </c>
      <c r="F25" s="105">
        <f>'C)NSA RCO SA Nb'!F25/'C)NSA RCO SA Nb'!E25-1</f>
        <v>-6.1765282365821017E-3</v>
      </c>
      <c r="G25" s="105">
        <f>'C)NSA RCO SA Nb'!G25/'C)NSA RCO SA Nb'!F25-1</f>
        <v>-6.722402074203826E-3</v>
      </c>
      <c r="H25" s="105">
        <f>'C)NSA RCO SA Nb'!H25/'C)NSA RCO SA Nb'!G25-1</f>
        <v>-1.0811687761363209E-2</v>
      </c>
      <c r="I25" s="105">
        <f>'C)NSA RCO SA Nb'!I25/'C)NSA RCO SA Nb'!H25-1</f>
        <v>-1.0474549219855356E-2</v>
      </c>
      <c r="J25" s="105">
        <f>'C)NSA RCO SA Nb'!J25/'C)NSA RCO SA Nb'!I25-1</f>
        <v>-8.7201751456454923E-3</v>
      </c>
      <c r="K25" s="105">
        <f>'C)NSA RCO SA Nb'!K25/'C)NSA RCO SA Nb'!J25-1</f>
        <v>-7.4892066581817573E-3</v>
      </c>
      <c r="L25" s="105">
        <f>'C)NSA RCO SA Nb'!L25/'C)NSA RCO SA Nb'!K25-1</f>
        <v>-1.2252677208712925E-2</v>
      </c>
      <c r="M25" s="105">
        <f>'C)NSA RCO SA Nb'!M25/'C)NSA RCO SA Nb'!L25-1</f>
        <v>-1.220865704772478E-2</v>
      </c>
      <c r="N25" s="105">
        <f>'C)NSA RCO SA Nb'!N25/'C)NSA RCO SA Nb'!M25-1</f>
        <v>-8.9681476136480587E-3</v>
      </c>
      <c r="O25" s="105">
        <f>'C)NSA RCO SA Nb'!O25/'C)NSA RCO SA Nb'!N25-1</f>
        <v>-6.7869773247347664E-3</v>
      </c>
      <c r="P25" s="105">
        <f>'C)NSA RCO SA Nb'!P25/'C)NSA RCO SA Nb'!O25-1</f>
        <v>-1.1210891477942186E-2</v>
      </c>
      <c r="Q25" s="105">
        <f>'C)NSA RCO SA Nb'!Q25/'C)NSA RCO SA Nb'!P25-1</f>
        <v>-9.1985553449061008E-3</v>
      </c>
      <c r="R25" s="105">
        <f>'C)NSA RCO SA Nb'!R25/'C)NSA RCO SA Nb'!Q25-1</f>
        <v>-7.6778355612329152E-3</v>
      </c>
      <c r="S25" s="105">
        <f>'C)NSA RCO SA Nb'!S25/'C)NSA RCO SA Nb'!R25-1</f>
        <v>-8.1842933741964607E-3</v>
      </c>
      <c r="T25" s="105">
        <f>'C)NSA RCO SA Nb'!T25/'C)NSA RCO SA Nb'!S25-1</f>
        <v>-8.3794483575087009E-3</v>
      </c>
      <c r="U25" s="105">
        <f>'C)NSA RCO SA Nb'!U25/'C)NSA RCO SA Nb'!T25-1</f>
        <v>-9.3566194591397922E-3</v>
      </c>
      <c r="V25" s="105">
        <f>'C)NSA RCO SA Nb'!V25/'C)NSA RCO SA Nb'!U25-1</f>
        <v>-6.1584558528825495E-3</v>
      </c>
      <c r="W25" s="105">
        <f>'C)NSA RCO SA Nb'!W25/'C)NSA RCO SA Nb'!V25-1</f>
        <v>-6.3523672580524382E-3</v>
      </c>
      <c r="X25" s="105">
        <f>'C)NSA RCO SA Nb'!X25/'C)NSA RCO SA Nb'!W25-1</f>
        <v>-1.2503253868955122E-2</v>
      </c>
      <c r="Y25" s="105">
        <f>'C)NSA RCO SA Nb'!Y25/'C)NSA RCO SA Nb'!X25-1</f>
        <v>-1.1130952380952408E-2</v>
      </c>
      <c r="Z25" s="105">
        <f>'C)NSA RCO SA Nb'!Z25/'C)NSA RCO SA Nb'!Y25-1</f>
        <v>-5.6840168198742935E-3</v>
      </c>
      <c r="AA25" s="105">
        <f>'C)NSA RCO SA Nb'!AA25/'C)NSA RCO SA Nb'!Z25-1</f>
        <v>-5.1860820432990673E-3</v>
      </c>
      <c r="AB25" s="105">
        <f>'C)NSA RCO SA Nb'!AB25/'C)NSA RCO SA Nb'!AA25-1</f>
        <v>-9.4989437568641089E-3</v>
      </c>
      <c r="AC25" s="105">
        <f>'C)NSA RCO SA Nb'!AC25/'C)NSA RCO SA Nb'!AB25-1</f>
        <v>-8.9464122195469509E-3</v>
      </c>
      <c r="AD25" s="105">
        <f>'C)NSA RCO SA Nb'!AD25/'C)NSA RCO SA Nb'!AC25-1</f>
        <v>-5.9718675739103277E-3</v>
      </c>
      <c r="AE25" s="105">
        <f>'C)NSA RCO SA Nb'!AE25/'C)NSA RCO SA Nb'!AD25-1</f>
        <v>-6.613568060059638E-3</v>
      </c>
      <c r="AF25" s="105">
        <f>'C)NSA RCO SA Nb'!AF25/'C)NSA RCO SA Nb'!AE25-1</f>
        <v>-1.0050671888312546E-2</v>
      </c>
      <c r="AG25" s="105">
        <f>'C)NSA RCO SA Nb'!AG25/'C)NSA RCO SA Nb'!AF25-1</f>
        <v>-5.8313175878699219E-3</v>
      </c>
      <c r="AH25" s="105">
        <f>'C)NSA RCO SA Nb'!AH25/'C)NSA RCO SA Nb'!AG25-1</f>
        <v>-2.4300450773362403E-4</v>
      </c>
      <c r="AI25" s="105">
        <f>'C)NSA RCO SA Nb'!AI25/'C)NSA RCO SA Nb'!AH25-1</f>
        <v>-1.9141256395605044E-4</v>
      </c>
      <c r="AJ25" s="105">
        <f>'C)NSA RCO SA Nb'!AJ25/'C)NSA RCO SA Nb'!AI25-1</f>
        <v>-6.0048196578833535E-3</v>
      </c>
      <c r="AK25" s="105">
        <f>'C)NSA RCO SA Nb'!AK25/'C)NSA RCO SA Nb'!AJ25-1</f>
        <v>-5.5977963453819335E-3</v>
      </c>
      <c r="AL25" s="105">
        <f>'C)NSA RCO SA Nb'!AL25/'C)NSA RCO SA Nb'!AK25-1</f>
        <v>1.5372223007847907E-5</v>
      </c>
      <c r="AM25" s="105">
        <f>'C)NSA RCO SA Nb'!AM25/'C)NSA RCO SA Nb'!AL25-1</f>
        <v>-1.1406014136079445E-3</v>
      </c>
      <c r="AN25" s="105">
        <f>'C)NSA RCO SA Nb'!AN25/'C)NSA RCO SA Nb'!AM25-1</f>
        <v>-7.3007977937555868E-3</v>
      </c>
      <c r="AO25" s="105">
        <f>'C)NSA RCO SA Nb'!AO25/'C)NSA RCO SA Nb'!AN25-1</f>
        <v>-5.1624065185846835E-3</v>
      </c>
      <c r="AP25" s="105">
        <f>'C)NSA RCO SA Nb'!AP25/'C)NSA RCO SA Nb'!AO25-1</f>
        <v>1.5365004565868201E-3</v>
      </c>
      <c r="AQ25" s="105">
        <f>'C)NSA RCO SA Nb'!AQ25/'C)NSA RCO SA Nb'!AP25-1</f>
        <v>1.2447409694038569E-4</v>
      </c>
      <c r="AR25" s="105">
        <f>'C)NSA RCO SA Nb'!AR25/'C)NSA RCO SA Nb'!AQ25-1</f>
        <v>-7.3866182107831246E-3</v>
      </c>
      <c r="AS25" s="105">
        <f>'C)NSA RCO SA Nb'!AS25/'C)NSA RCO SA Nb'!AR25-1</f>
        <v>-6.3664119265997021E-3</v>
      </c>
      <c r="AT25" s="105">
        <f>'C)NSA RCO SA Nb'!AT25/'C)NSA RCO SA Nb'!AS25-1</f>
        <v>-5.0159785732539763E-4</v>
      </c>
      <c r="AU25" s="105">
        <f>'C)NSA RCO SA Nb'!AU25/'C)NSA RCO SA Nb'!AT25-1</f>
        <v>-2.2662138447359093E-3</v>
      </c>
      <c r="AV25" s="105">
        <f>'C)NSA RCO SA Nb'!AV25/'C)NSA RCO SA Nb'!AU25-1</f>
        <v>-8.9051279617854417E-3</v>
      </c>
      <c r="AW25" s="105">
        <f>'C)NSA RCO SA Nb'!AW25/'C)NSA RCO SA Nb'!AV25-1</f>
        <v>-6.1507524856764251E-3</v>
      </c>
      <c r="AX25" s="105">
        <f>'C)NSA RCO SA Nb'!AX25/'C)NSA RCO SA Nb'!AW25-1</f>
        <v>0.49416124971095288</v>
      </c>
      <c r="AY25" s="105">
        <f>'C)NSA RCO SA Nb'!AY25/'C)NSA RCO SA Nb'!AX25-1</f>
        <v>-0.42050452030591057</v>
      </c>
      <c r="AZ25" s="105">
        <f>'C)NSA RCO SA Nb'!AZ25/'C)NSA RCO SA Nb'!AY25-1</f>
        <v>-7.4072425547383469E-3</v>
      </c>
      <c r="BA25" s="105">
        <f>'C)NSA RCO SA Nb'!BA25/'C)NSA RCO SA Nb'!AZ25-1</f>
        <v>-4.8915561800272345E-3</v>
      </c>
      <c r="BB25" s="396">
        <f>'C)NSA RCO SA Nb'!BB25/'C)NSA RCO SA Nb'!BA25-1</f>
        <v>5.1409151504910877E-3</v>
      </c>
      <c r="BC25" s="455">
        <f>'C)NSA RCO SA Nb'!BC25/'C)NSA RCO SA Nb'!BB25-1</f>
        <v>-1.4533146033833821E-3</v>
      </c>
      <c r="BD25" s="455">
        <f>'C)NSA RCO SA Nb'!BD25/'C)NSA RCO SA Nb'!BC25-1</f>
        <v>-5.1856701898793656E-3</v>
      </c>
      <c r="BE25" s="455">
        <f>'C)NSA RCO SA Nb'!BE25/'C)NSA RCO SA Nb'!BD25-1</f>
        <v>-3.099037568308538E-3</v>
      </c>
      <c r="BF25" s="455">
        <f>'C)NSA RCO SA Nb'!BF25/'C)NSA RCO SA Nb'!BE25-1</f>
        <v>2.6031350800748143E-4</v>
      </c>
      <c r="BG25" s="455">
        <f>'C)NSA RCO SA Nb'!BG25/'C)NSA RCO SA Nb'!BF25-1</f>
        <v>2.5647408480233835E-4</v>
      </c>
      <c r="BH25" s="455">
        <f>'C)NSA RCO SA Nb'!BH25/'C)NSA RCO SA Nb'!BG25-1</f>
        <v>-7.4999434393405728E-3</v>
      </c>
      <c r="BI25" s="455">
        <f>'C)NSA RCO SA Nb'!BI25/'C)NSA RCO SA Nb'!BH25-1</f>
        <v>-4.9541625983519078E-3</v>
      </c>
      <c r="BJ25" s="455">
        <f>'C)NSA RCO SA Nb'!BJ25/'C)NSA RCO SA Nb'!BI25-1</f>
        <v>1.2828883314432993E-3</v>
      </c>
    </row>
    <row r="26" spans="1:62" x14ac:dyDescent="0.25">
      <c r="A26" s="12"/>
      <c r="B26" s="1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M26" s="40"/>
      <c r="AN26" s="40"/>
      <c r="AO26" s="40"/>
    </row>
    <row r="27" spans="1:62" ht="13" x14ac:dyDescent="0.3">
      <c r="A27" s="25" t="s">
        <v>49</v>
      </c>
      <c r="B27" s="1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M27" s="40"/>
      <c r="AN27" s="40"/>
      <c r="AO27" s="40"/>
    </row>
    <row r="28" spans="1:62" x14ac:dyDescent="0.25">
      <c r="A28" s="24" t="s">
        <v>50</v>
      </c>
      <c r="B28" s="1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M28" s="40"/>
      <c r="AN28" s="40"/>
      <c r="AO28" s="40"/>
      <c r="BB28" s="377" t="s">
        <v>241</v>
      </c>
      <c r="BC28" s="377"/>
      <c r="BD28" s="377"/>
    </row>
    <row r="29" spans="1:62" x14ac:dyDescent="0.25">
      <c r="A29" s="24"/>
      <c r="B29" s="1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M29" s="40"/>
      <c r="AN29" s="40"/>
      <c r="AO29" s="40"/>
      <c r="BB29" s="383" t="s">
        <v>244</v>
      </c>
      <c r="BC29" s="383"/>
      <c r="BD29" s="383"/>
    </row>
    <row r="30" spans="1:62" x14ac:dyDescent="0.25">
      <c r="B30" s="2" t="str">
        <f t="shared" ref="B30:H30" si="48">B8</f>
        <v>4eme T 2009</v>
      </c>
      <c r="C30" s="38" t="str">
        <f t="shared" si="48"/>
        <v>1er T 2010</v>
      </c>
      <c r="D30" s="38" t="str">
        <f t="shared" si="48"/>
        <v>2eme T 2010</v>
      </c>
      <c r="E30" s="38" t="str">
        <f t="shared" si="48"/>
        <v>3eme T 2010</v>
      </c>
      <c r="F30" s="38" t="str">
        <f t="shared" si="48"/>
        <v>4eme T 2010</v>
      </c>
      <c r="G30" s="38" t="str">
        <f t="shared" si="48"/>
        <v>1er T 2011</v>
      </c>
      <c r="H30" s="38" t="str">
        <f t="shared" si="48"/>
        <v>2eme T 2011</v>
      </c>
      <c r="I30" s="38" t="str">
        <f t="shared" ref="I30:N30" si="49">I8</f>
        <v>3eme T 2011</v>
      </c>
      <c r="J30" s="38" t="str">
        <f t="shared" si="49"/>
        <v>4eme T 2011</v>
      </c>
      <c r="K30" s="38" t="str">
        <f t="shared" si="49"/>
        <v>1er T 2012</v>
      </c>
      <c r="L30" s="38" t="str">
        <f t="shared" si="49"/>
        <v>2eme T 2012</v>
      </c>
      <c r="M30" s="38" t="str">
        <f t="shared" si="49"/>
        <v>3eme T 2012</v>
      </c>
      <c r="N30" s="38" t="str">
        <f t="shared" si="49"/>
        <v>4eme T 2012</v>
      </c>
      <c r="O30" s="38" t="str">
        <f t="shared" ref="O30:T30" si="50">O8</f>
        <v>1er T 2013</v>
      </c>
      <c r="P30" s="38" t="str">
        <f t="shared" si="50"/>
        <v>2eme T 2013</v>
      </c>
      <c r="Q30" s="38" t="str">
        <f t="shared" si="50"/>
        <v>3ème T 2013</v>
      </c>
      <c r="R30" s="38" t="str">
        <f t="shared" si="50"/>
        <v>4ème T 2013</v>
      </c>
      <c r="S30" s="38" t="str">
        <f t="shared" si="50"/>
        <v>1er T 2014</v>
      </c>
      <c r="T30" s="38" t="str">
        <f t="shared" si="50"/>
        <v>2eme T 2014</v>
      </c>
      <c r="U30" s="38" t="str">
        <f t="shared" ref="U30:V30" si="51">U8</f>
        <v>3T 2014</v>
      </c>
      <c r="V30" s="38" t="str">
        <f t="shared" si="51"/>
        <v>4ème T 2014</v>
      </c>
      <c r="W30" s="38" t="str">
        <f t="shared" ref="W30:X30" si="52">W8</f>
        <v>1er T 2015</v>
      </c>
      <c r="X30" s="38" t="str">
        <f t="shared" si="52"/>
        <v>2e T 2015</v>
      </c>
      <c r="Y30" s="38" t="str">
        <f t="shared" ref="Y30:Z30" si="53">Y8</f>
        <v>3e T 2015</v>
      </c>
      <c r="Z30" s="38" t="str">
        <f t="shared" si="53"/>
        <v>4e T 2015</v>
      </c>
      <c r="AA30" s="38" t="str">
        <f t="shared" ref="AA30:AB30" si="54">AA8</f>
        <v>1er T 2016</v>
      </c>
      <c r="AB30" s="38" t="str">
        <f t="shared" si="54"/>
        <v>2e T 2016</v>
      </c>
      <c r="AC30" s="38" t="str">
        <f t="shared" ref="AC30:AD30" si="55">AC8</f>
        <v>3e T 2016</v>
      </c>
      <c r="AD30" s="38" t="str">
        <f t="shared" si="55"/>
        <v>4e T 2016</v>
      </c>
      <c r="AE30" s="38" t="str">
        <f t="shared" ref="AE30:AF30" si="56">AE8</f>
        <v>2017 - T1</v>
      </c>
      <c r="AF30" s="38" t="str">
        <f t="shared" si="56"/>
        <v>2017 - T2</v>
      </c>
      <c r="AG30" s="38" t="str">
        <f t="shared" ref="AG30:AH30" si="57">AG8</f>
        <v>2017- T3</v>
      </c>
      <c r="AH30" s="38" t="str">
        <f t="shared" si="57"/>
        <v>2017 - T4</v>
      </c>
      <c r="AI30" s="38" t="str">
        <f t="shared" ref="AI30:AJ30" si="58">AI8</f>
        <v>2018 - T1</v>
      </c>
      <c r="AJ30" s="38" t="str">
        <f t="shared" si="58"/>
        <v>2018 - T2</v>
      </c>
      <c r="AK30" s="38" t="str">
        <f t="shared" ref="AK30:AM30" si="59">AK8</f>
        <v>2018 - T3</v>
      </c>
      <c r="AL30" s="38" t="str">
        <f t="shared" si="59"/>
        <v>2018 - T4</v>
      </c>
      <c r="AM30" s="38" t="str">
        <f t="shared" si="59"/>
        <v>2019 - T1</v>
      </c>
      <c r="AN30" s="38" t="str">
        <f t="shared" ref="AN30:AP30" si="60">AN8</f>
        <v>2019 - T2</v>
      </c>
      <c r="AO30" s="38" t="str">
        <f t="shared" si="60"/>
        <v>2019 - T3</v>
      </c>
      <c r="AP30" s="38" t="str">
        <f t="shared" si="60"/>
        <v>2019 - T4</v>
      </c>
      <c r="AQ30" s="38" t="str">
        <f t="shared" ref="AQ30" si="61">AQ8</f>
        <v>2020 - T1</v>
      </c>
      <c r="AR30" s="38" t="str">
        <f t="shared" ref="AR30" si="62">AR8</f>
        <v>2020 - T2</v>
      </c>
      <c r="AS30" s="38" t="str">
        <f t="shared" ref="AS30:AT30" si="63">AS8</f>
        <v>2020 - T3</v>
      </c>
      <c r="AT30" s="38" t="str">
        <f t="shared" si="63"/>
        <v>2020- T4</v>
      </c>
      <c r="AU30" s="38" t="str">
        <f t="shared" ref="AU30:AV30" si="64">AU8</f>
        <v>2021- T1</v>
      </c>
      <c r="AV30" s="38" t="str">
        <f t="shared" si="64"/>
        <v>2021- T2</v>
      </c>
      <c r="AW30" s="38" t="str">
        <f t="shared" ref="AW30:AX30" si="65">AW8</f>
        <v>2021- T3</v>
      </c>
      <c r="AX30" s="38" t="str">
        <f t="shared" si="65"/>
        <v>2021- T4</v>
      </c>
      <c r="AY30" s="38" t="str">
        <f t="shared" ref="AY30:AZ30" si="66">AY8</f>
        <v>2022- T1</v>
      </c>
      <c r="AZ30" s="38" t="str">
        <f t="shared" si="66"/>
        <v>2022- T2</v>
      </c>
      <c r="BA30" s="38" t="str">
        <f t="shared" ref="BA30:BB30" si="67">BA8</f>
        <v>2022- T3</v>
      </c>
      <c r="BB30" s="38" t="str">
        <f t="shared" si="67"/>
        <v>2022- T4</v>
      </c>
      <c r="BC30" s="38" t="str">
        <f t="shared" ref="BC30:BD30" si="68">BC8</f>
        <v>2023- T1</v>
      </c>
      <c r="BD30" s="38" t="str">
        <f t="shared" si="68"/>
        <v>2023- T2</v>
      </c>
      <c r="BE30" s="38" t="str">
        <f t="shared" ref="BE30:BF30" si="69">BE8</f>
        <v>2023- T3</v>
      </c>
      <c r="BF30" s="38" t="str">
        <f t="shared" si="69"/>
        <v>2023- T4</v>
      </c>
      <c r="BG30" s="38" t="str">
        <f t="shared" ref="BG30:BH30" si="70">BG8</f>
        <v>2024- T1</v>
      </c>
      <c r="BH30" s="38" t="str">
        <f t="shared" si="70"/>
        <v>2024- T2</v>
      </c>
      <c r="BI30" s="38" t="str">
        <f t="shared" ref="BI30:BJ30" si="71">BI8</f>
        <v>2024- T3</v>
      </c>
      <c r="BJ30" s="38" t="str">
        <f t="shared" si="71"/>
        <v>2024- T4</v>
      </c>
    </row>
    <row r="31" spans="1:62" x14ac:dyDescent="0.25">
      <c r="A31" s="20" t="s">
        <v>24</v>
      </c>
      <c r="B31" s="16"/>
      <c r="C31" s="105">
        <f>'C)NSA RCO SA Nb'!C32/'C)NSA RCO SA Nb'!B32-1</f>
        <v>2.4743288383024531E-3</v>
      </c>
      <c r="D31" s="105">
        <f>'C)NSA RCO SA Nb'!D32/'C)NSA RCO SA Nb'!C32-1</f>
        <v>9.4515866835187534E-3</v>
      </c>
      <c r="E31" s="105">
        <f>'C)NSA RCO SA Nb'!E32/'C)NSA RCO SA Nb'!D32-1</f>
        <v>4.0049239486039667E-4</v>
      </c>
      <c r="F31" s="105">
        <f>'C)NSA RCO SA Nb'!F32/'C)NSA RCO SA Nb'!E32-1</f>
        <v>5.1411065178275095E-4</v>
      </c>
      <c r="G31" s="105">
        <f>'C)NSA RCO SA Nb'!G32/'C)NSA RCO SA Nb'!F32-1</f>
        <v>2.8093082025903993E-3</v>
      </c>
      <c r="H31" s="105">
        <f>'C)NSA RCO SA Nb'!H32/'C)NSA RCO SA Nb'!G32-1</f>
        <v>2.1550493086705869E-2</v>
      </c>
      <c r="I31" s="105">
        <f>'C)NSA RCO SA Nb'!I32/'C)NSA RCO SA Nb'!H32-1</f>
        <v>5.0982020614820378E-4</v>
      </c>
      <c r="J31" s="105">
        <f>'C)NSA RCO SA Nb'!J32/'C)NSA RCO SA Nb'!I32-1</f>
        <v>5.9996630326253353E-4</v>
      </c>
      <c r="K31" s="105">
        <f>'C)NSA RCO SA Nb'!K32/'C)NSA RCO SA Nb'!J32-1</f>
        <v>-2.7516191430543291E-4</v>
      </c>
      <c r="L31" s="105">
        <f>'C)NSA RCO SA Nb'!L32/'C)NSA RCO SA Nb'!K32-1</f>
        <v>2.2462678596370189E-2</v>
      </c>
      <c r="M31" s="105">
        <f>'C)NSA RCO SA Nb'!M32/'C)NSA RCO SA Nb'!L32-1</f>
        <v>6.2677284305756586E-4</v>
      </c>
      <c r="N31" s="105">
        <f>'C)NSA RCO SA Nb'!N32/'C)NSA RCO SA Nb'!M32-1</f>
        <v>6.5047179281263467E-4</v>
      </c>
      <c r="O31" s="105">
        <f>'C)NSA RCO SA Nb'!O32/'C)NSA RCO SA Nb'!N32-1</f>
        <v>1.5849959070992625E-3</v>
      </c>
      <c r="P31" s="105">
        <f>'C)NSA RCO SA Nb'!P32/'C)NSA RCO SA Nb'!O32-1</f>
        <v>1.2776084004054278E-2</v>
      </c>
      <c r="Q31" s="105">
        <f>'C)NSA RCO SA Nb'!Q32/'C)NSA RCO SA Nb'!P32-1</f>
        <v>3.3228373866678318E-4</v>
      </c>
      <c r="R31" s="105">
        <f>'C)NSA RCO SA Nb'!R32/'C)NSA RCO SA Nb'!Q32-1</f>
        <v>-1.3682378993989941E-3</v>
      </c>
      <c r="S31" s="105">
        <f>'C)NSA RCO SA Nb'!S32/'C)NSA RCO SA Nb'!R32-1</f>
        <v>4.0232206356372036E-3</v>
      </c>
      <c r="T31" s="105">
        <f>'C)NSA RCO SA Nb'!T32/'C)NSA RCO SA Nb'!S32-1</f>
        <v>9.1382370341155372E-3</v>
      </c>
      <c r="U31" s="105">
        <f>'C)NSA RCO SA Nb'!U32/'C)NSA RCO SA Nb'!T32-1</f>
        <v>2.8139619411646777E-3</v>
      </c>
      <c r="V31" s="105">
        <f>'C)NSA RCO SA Nb'!V32/'C)NSA RCO SA Nb'!U32-1</f>
        <v>7.8336002993140141E-4</v>
      </c>
      <c r="W31" s="105">
        <f>'C)NSA RCO SA Nb'!W32/'C)NSA RCO SA Nb'!V32-1</f>
        <v>5.7245665685301539E-4</v>
      </c>
      <c r="X31" s="105">
        <f>'C)NSA RCO SA Nb'!X32/'C)NSA RCO SA Nb'!W32-1</f>
        <v>1.4089166520714347E-3</v>
      </c>
      <c r="Y31" s="105">
        <f>'C)NSA RCO SA Nb'!Y32/'C)NSA RCO SA Nb'!X32-1</f>
        <v>1.1854005293494563E-3</v>
      </c>
      <c r="Z31" s="105">
        <f>'C)NSA RCO SA Nb'!Z32/'C)NSA RCO SA Nb'!Y32-1</f>
        <v>1.8672215277830695E-3</v>
      </c>
      <c r="AA31" s="105">
        <f>'C)NSA RCO SA Nb'!AA32/'C)NSA RCO SA Nb'!Z32-1</f>
        <v>1.3495658373468888E-2</v>
      </c>
      <c r="AB31" s="105">
        <f>'C)NSA RCO SA Nb'!AB32/'C)NSA RCO SA Nb'!AA32-1</f>
        <v>1.3572100349434901E-3</v>
      </c>
      <c r="AC31" s="105">
        <f>'C)NSA RCO SA Nb'!AC32/'C)NSA RCO SA Nb'!AB32-1</f>
        <v>8.132223074897027E-4</v>
      </c>
      <c r="AD31" s="105">
        <f>'C)NSA RCO SA Nb'!AD32/'C)NSA RCO SA Nb'!AC32-1</f>
        <v>7.7212418076251232E-3</v>
      </c>
      <c r="AE31" s="105">
        <f>'C)NSA RCO SA Nb'!AE32/'C)NSA RCO SA Nb'!AD32-1</f>
        <v>1.0713285230807834E-3</v>
      </c>
      <c r="AF31" s="105">
        <f>'C)NSA RCO SA Nb'!AF32/'C)NSA RCO SA Nb'!AE32-1</f>
        <v>3.4412212932188879E-4</v>
      </c>
      <c r="AG31" s="105">
        <f>'C)NSA RCO SA Nb'!AG32/'C)NSA RCO SA Nb'!AF32-1</f>
        <v>1.6973371841590978E-3</v>
      </c>
      <c r="AH31" s="105">
        <f>'C)NSA RCO SA Nb'!AH32/'C)NSA RCO SA Nb'!AG32-1</f>
        <v>2.0578833954132625E-2</v>
      </c>
      <c r="AI31" s="105">
        <f>'C)NSA RCO SA Nb'!AI32/'C)NSA RCO SA Nb'!AH32-1</f>
        <v>-5.2656100934055372E-3</v>
      </c>
      <c r="AJ31" s="105">
        <f>'C)NSA RCO SA Nb'!AJ32/'C)NSA RCO SA Nb'!AI32-1</f>
        <v>1.9032749711906938E-3</v>
      </c>
      <c r="AK31" s="105">
        <f>'C)NSA RCO SA Nb'!AK32/'C)NSA RCO SA Nb'!AJ32-1</f>
        <v>1.1872871231290993E-3</v>
      </c>
      <c r="AL31" s="105">
        <f>'C)NSA RCO SA Nb'!AL32/'C)NSA RCO SA Nb'!AK32-1</f>
        <v>1.5342311426687072E-3</v>
      </c>
      <c r="AM31" s="105">
        <f>'C)NSA RCO SA Nb'!AM32/'C)NSA RCO SA Nb'!AL32-1</f>
        <v>4.6141436267836955E-3</v>
      </c>
      <c r="AN31" s="105">
        <f>'C)NSA RCO SA Nb'!AN32/'C)NSA RCO SA Nb'!AM32-1</f>
        <v>1.966829095811029E-3</v>
      </c>
      <c r="AO31" s="105">
        <f>'C)NSA RCO SA Nb'!AO32/'C)NSA RCO SA Nb'!AN32-1</f>
        <v>2.2974815925775882E-3</v>
      </c>
      <c r="AP31" s="105">
        <f>'C)NSA RCO SA Nb'!AP32/'C)NSA RCO SA Nb'!AO32-1</f>
        <v>2.1565161261929422E-3</v>
      </c>
      <c r="AQ31" s="105">
        <f>'C)NSA RCO SA Nb'!AQ32/'C)NSA RCO SA Nb'!AP32-1</f>
        <v>1.0473924977127069E-2</v>
      </c>
      <c r="AR31" s="105">
        <f>'C)NSA RCO SA Nb'!AR32/'C)NSA RCO SA Nb'!AQ32-1</f>
        <v>1.6985860810105891E-3</v>
      </c>
      <c r="AS31" s="105">
        <f>'C)NSA RCO SA Nb'!AS32/'C)NSA RCO SA Nb'!AR32-1</f>
        <v>1.5727761487593916E-3</v>
      </c>
      <c r="AT31" s="105">
        <f>'C)NSA RCO SA Nb'!AT32/'C)NSA RCO SA Nb'!AS32-1</f>
        <v>2.573858549686614E-3</v>
      </c>
      <c r="AU31" s="105">
        <f>'C)NSA RCO SA Nb'!AU32/'C)NSA RCO SA Nb'!AT32-1</f>
        <v>6.319109635652076E-3</v>
      </c>
      <c r="AV31" s="105">
        <f>'C)NSA RCO SA Nb'!AV32/'C)NSA RCO SA Nb'!AU32-1</f>
        <v>3.345450902377145E-3</v>
      </c>
      <c r="AW31" s="105">
        <f>'C)NSA RCO SA Nb'!AW32/'C)NSA RCO SA Nb'!AV32-1</f>
        <v>4.6038249904607476E-3</v>
      </c>
      <c r="AX31" s="105">
        <f>'C)NSA RCO SA Nb'!AX32/'C)NSA RCO SA Nb'!AW32-1</f>
        <v>5.6636420350228978E-2</v>
      </c>
      <c r="AY31" s="105">
        <f>'C)NSA RCO SA Nb'!AY32/'C)NSA RCO SA Nb'!AX32-1</f>
        <v>4.2919482354270233E-2</v>
      </c>
      <c r="AZ31" s="105">
        <f>'C)NSA RCO SA Nb'!AZ32/'C)NSA RCO SA Nb'!AY32-1</f>
        <v>2.1893886802903939E-3</v>
      </c>
      <c r="BA31" s="105">
        <f>'C)NSA RCO SA Nb'!BA32/'C)NSA RCO SA Nb'!AZ32-1</f>
        <v>4.1380447429767653E-2</v>
      </c>
      <c r="BB31" s="396">
        <f>'C)NSA RCO SA Nb'!BB32/'C)NSA RCO SA Nb'!BA32-1</f>
        <v>-6.3712281534222814E-4</v>
      </c>
      <c r="BC31" s="455">
        <f>'C)NSA RCO SA Nb'!BC32/'C)NSA RCO SA Nb'!BB32-1</f>
        <v>1.044343446050422E-2</v>
      </c>
      <c r="BD31" s="455">
        <f>'C)NSA RCO SA Nb'!BD32/'C)NSA RCO SA Nb'!BC32-1</f>
        <v>5.5665584153816727E-3</v>
      </c>
      <c r="BE31" s="455">
        <f>'C)NSA RCO SA Nb'!BE32/'C)NSA RCO SA Nb'!BD32-1</f>
        <v>3.3706033344622632E-3</v>
      </c>
      <c r="BF31" s="455">
        <f>'C)NSA RCO SA Nb'!BF32/'C)NSA RCO SA Nb'!BE32-1</f>
        <v>3.0511213797455028E-3</v>
      </c>
      <c r="BG31" s="455">
        <f>'C)NSA RCO SA Nb'!BG32/'C)NSA RCO SA Nb'!BF32-1</f>
        <v>4.7064331949130622E-2</v>
      </c>
      <c r="BH31" s="455">
        <f>'C)NSA RCO SA Nb'!BH32/'C)NSA RCO SA Nb'!BG32-1</f>
        <v>3.5466308638216759E-3</v>
      </c>
      <c r="BI31" s="455">
        <f>'C)NSA RCO SA Nb'!BI32/'C)NSA RCO SA Nb'!BH32-1</f>
        <v>2.6544077760637386E-3</v>
      </c>
      <c r="BJ31" s="455">
        <f>'C)NSA RCO SA Nb'!BJ32/'C)NSA RCO SA Nb'!BI32-1</f>
        <v>4.1298781207848023E-3</v>
      </c>
    </row>
    <row r="33" spans="1:55" x14ac:dyDescent="0.25">
      <c r="A33" s="19"/>
      <c r="B33" s="10"/>
      <c r="C33" s="40"/>
      <c r="D33" s="40"/>
      <c r="E33" s="40"/>
      <c r="F33" s="40"/>
      <c r="G33" s="40"/>
      <c r="H33" s="40"/>
      <c r="I33" s="40"/>
      <c r="J33" s="40"/>
      <c r="K33" s="40"/>
      <c r="BB33" s="4" t="s">
        <v>243</v>
      </c>
      <c r="BC33" s="4" t="s">
        <v>243</v>
      </c>
    </row>
    <row r="34" spans="1:55" x14ac:dyDescent="0.25">
      <c r="A34" s="18"/>
      <c r="B34" s="18"/>
      <c r="C34" s="51"/>
      <c r="D34" s="51"/>
      <c r="E34" s="51"/>
      <c r="F34" s="51"/>
      <c r="G34" s="51"/>
      <c r="H34" s="51"/>
      <c r="I34" s="51"/>
      <c r="J34" s="51"/>
      <c r="K34" s="51"/>
    </row>
    <row r="35" spans="1:55" x14ac:dyDescent="0.25">
      <c r="A35" s="18"/>
      <c r="B35" s="18"/>
      <c r="C35" s="51"/>
      <c r="D35" s="51"/>
      <c r="E35" s="51"/>
      <c r="F35" s="51"/>
      <c r="G35" s="51"/>
      <c r="H35" s="51"/>
      <c r="I35" s="51"/>
      <c r="J35" s="51"/>
      <c r="K35" s="51"/>
    </row>
  </sheetData>
  <phoneticPr fontId="2" type="noConversion"/>
  <pageMargins left="0.66" right="0.39" top="0.43" bottom="0.67" header="0.35" footer="0.66"/>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9"/>
  </sheetPr>
  <dimension ref="A1:K105"/>
  <sheetViews>
    <sheetView showGridLines="0" zoomScaleNormal="100" workbookViewId="0">
      <selection activeCell="H65" sqref="H65"/>
    </sheetView>
  </sheetViews>
  <sheetFormatPr baseColWidth="10" defaultColWidth="11.453125" defaultRowHeight="11.5" x14ac:dyDescent="0.25"/>
  <cols>
    <col min="1" max="1" width="32.7265625" style="58" customWidth="1"/>
    <col min="2" max="2" width="11.453125" style="218"/>
    <col min="3" max="3" width="11.453125" style="59"/>
    <col min="4" max="4" width="38.81640625" style="59" bestFit="1" customWidth="1"/>
    <col min="5" max="5" width="36.1796875" style="60" customWidth="1"/>
    <col min="6" max="6" width="8.453125" style="60" customWidth="1"/>
    <col min="7" max="7" width="35.54296875" style="60" customWidth="1"/>
    <col min="8" max="8" width="7" style="60" bestFit="1" customWidth="1"/>
    <col min="9" max="9" width="9.81640625" style="58" bestFit="1" customWidth="1"/>
    <col min="10" max="10" width="9" style="58" bestFit="1" customWidth="1"/>
    <col min="11" max="11" width="5" style="58" bestFit="1" customWidth="1"/>
    <col min="12" max="16384" width="11.453125" style="58"/>
  </cols>
  <sheetData>
    <row r="1" spans="1:11" ht="15" customHeight="1" x14ac:dyDescent="0.3">
      <c r="A1" s="492" t="s">
        <v>72</v>
      </c>
      <c r="B1" s="492"/>
      <c r="C1" s="492"/>
      <c r="D1" s="492"/>
      <c r="E1" s="492"/>
      <c r="F1" s="368"/>
      <c r="G1" s="368"/>
      <c r="H1" s="368"/>
      <c r="I1" s="64"/>
      <c r="J1" s="64"/>
      <c r="K1" s="64"/>
    </row>
    <row r="2" spans="1:11" ht="15" customHeight="1" x14ac:dyDescent="0.3">
      <c r="A2" s="492" t="s">
        <v>288</v>
      </c>
      <c r="B2" s="492"/>
      <c r="C2" s="492"/>
      <c r="D2" s="492"/>
      <c r="E2" s="492"/>
      <c r="F2" s="368"/>
      <c r="G2" s="112" t="s">
        <v>86</v>
      </c>
      <c r="H2" s="368"/>
    </row>
    <row r="3" spans="1:11" ht="12.5" x14ac:dyDescent="0.25">
      <c r="A3" s="57"/>
      <c r="D3" s="217"/>
      <c r="G3" s="112" t="s">
        <v>179</v>
      </c>
      <c r="I3" s="113"/>
      <c r="J3" s="57"/>
    </row>
    <row r="4" spans="1:11" x14ac:dyDescent="0.25">
      <c r="A4" s="57" t="s">
        <v>68</v>
      </c>
      <c r="I4" s="113"/>
      <c r="J4" s="57"/>
      <c r="K4" s="104"/>
    </row>
    <row r="5" spans="1:11" ht="12.5" x14ac:dyDescent="0.25">
      <c r="A5" s="90"/>
      <c r="B5" s="390"/>
      <c r="C5" s="391"/>
      <c r="D5" s="391"/>
      <c r="E5" s="392"/>
      <c r="F5" s="63"/>
      <c r="G5" s="112" t="s">
        <v>87</v>
      </c>
      <c r="H5" s="63"/>
      <c r="I5" s="113"/>
      <c r="J5" s="57"/>
      <c r="K5" s="119"/>
    </row>
    <row r="6" spans="1:11" x14ac:dyDescent="0.25">
      <c r="A6" s="354"/>
      <c r="B6" s="351" t="s">
        <v>279</v>
      </c>
      <c r="C6" s="352" t="s">
        <v>289</v>
      </c>
      <c r="D6" s="353"/>
      <c r="E6" s="63"/>
      <c r="F6" s="63"/>
      <c r="G6" s="63"/>
      <c r="H6" s="63"/>
    </row>
    <row r="7" spans="1:11" x14ac:dyDescent="0.25">
      <c r="A7" s="64" t="s">
        <v>111</v>
      </c>
      <c r="C7" s="350"/>
    </row>
    <row r="8" spans="1:11" ht="12.5" x14ac:dyDescent="0.25">
      <c r="A8" s="65"/>
      <c r="B8" s="270" t="str">
        <f>'A)NSA Nb'!BF8</f>
        <v>2023- T4</v>
      </c>
      <c r="C8" s="270" t="str">
        <f>'A)NSA Nb'!BJ8</f>
        <v>2024- T4</v>
      </c>
      <c r="D8" s="270" t="str">
        <f>"% au "&amp;RIGHT(C8,2)&amp;" "&amp;LEFT(C8,4)</f>
        <v>% au T4 2024</v>
      </c>
      <c r="E8" s="270" t="str">
        <f>"Evolution "&amp;C8&amp;" / "&amp;B8&amp;" (en %)"</f>
        <v>Evolution 2024- T4 / 2023- T4 (en %)</v>
      </c>
      <c r="F8" s="78"/>
      <c r="G8" s="112" t="s">
        <v>88</v>
      </c>
      <c r="H8" s="78"/>
    </row>
    <row r="9" spans="1:11" x14ac:dyDescent="0.25">
      <c r="A9" s="242" t="s">
        <v>27</v>
      </c>
      <c r="B9" s="66">
        <f>'A)NSA Nb'!BF9</f>
        <v>510130</v>
      </c>
      <c r="C9" s="66">
        <f>'A)NSA Nb'!BJ9</f>
        <v>498084</v>
      </c>
      <c r="D9" s="230">
        <f>C9/$C$11</f>
        <v>0.45330350650308021</v>
      </c>
      <c r="E9" s="233">
        <f>(C9-B9)/B9</f>
        <v>-2.3613588693078235E-2</v>
      </c>
      <c r="F9" s="71"/>
      <c r="G9" s="71"/>
      <c r="H9" s="71"/>
      <c r="I9" s="95"/>
      <c r="J9" s="95"/>
    </row>
    <row r="10" spans="1:11" x14ac:dyDescent="0.25">
      <c r="A10" s="242" t="s">
        <v>28</v>
      </c>
      <c r="B10" s="66">
        <f>'A)NSA Nb'!BF10</f>
        <v>625012</v>
      </c>
      <c r="C10" s="66">
        <f>'A)NSA Nb'!BJ10</f>
        <v>600703</v>
      </c>
      <c r="D10" s="230">
        <f t="shared" ref="D10:D11" si="0">C10/$C$11</f>
        <v>0.54669649349691973</v>
      </c>
      <c r="E10" s="233">
        <f>(C10-B10)/B10</f>
        <v>-3.8893653241857756E-2</v>
      </c>
      <c r="F10" s="71"/>
      <c r="G10" s="71"/>
      <c r="H10" s="71"/>
      <c r="I10" s="95"/>
      <c r="J10" s="95"/>
    </row>
    <row r="11" spans="1:11" x14ac:dyDescent="0.25">
      <c r="A11" s="242" t="s">
        <v>13</v>
      </c>
      <c r="B11" s="66">
        <f>'A)NSA Nb'!BF11</f>
        <v>1135142</v>
      </c>
      <c r="C11" s="66">
        <f>'A)NSA Nb'!BJ11</f>
        <v>1098787</v>
      </c>
      <c r="D11" s="272">
        <f t="shared" si="0"/>
        <v>1</v>
      </c>
      <c r="E11" s="233">
        <f>(C11-B11)/B11</f>
        <v>-3.2026830123455918E-2</v>
      </c>
      <c r="F11" s="71"/>
      <c r="G11" s="71"/>
      <c r="H11" s="71"/>
      <c r="I11" s="67"/>
      <c r="J11" s="67"/>
    </row>
    <row r="12" spans="1:11" x14ac:dyDescent="0.25">
      <c r="A12" s="68"/>
      <c r="B12" s="69"/>
      <c r="C12" s="70"/>
      <c r="D12" s="70"/>
      <c r="E12" s="71"/>
      <c r="F12" s="71"/>
      <c r="G12" s="71"/>
      <c r="H12" s="71"/>
      <c r="I12" s="67"/>
      <c r="J12" s="67"/>
    </row>
    <row r="13" spans="1:11" ht="13" x14ac:dyDescent="0.3">
      <c r="A13" s="26" t="s">
        <v>152</v>
      </c>
      <c r="B13" s="61"/>
      <c r="C13" s="62"/>
      <c r="D13" s="62"/>
      <c r="E13" s="61"/>
      <c r="F13" s="61"/>
      <c r="G13" s="61"/>
      <c r="H13" s="61"/>
      <c r="I13" s="67"/>
      <c r="J13" s="67"/>
    </row>
    <row r="14" spans="1:11" x14ac:dyDescent="0.25">
      <c r="A14" s="61"/>
      <c r="B14" s="270" t="str">
        <f>B8</f>
        <v>2023- T4</v>
      </c>
      <c r="C14" s="270" t="str">
        <f>C8</f>
        <v>2024- T4</v>
      </c>
      <c r="D14" s="270" t="str">
        <f>E8</f>
        <v>Evolution 2024- T4 / 2023- T4 (en %)</v>
      </c>
      <c r="F14" s="78"/>
      <c r="G14" s="78"/>
      <c r="H14" s="78"/>
      <c r="I14" s="67"/>
      <c r="J14" s="67"/>
    </row>
    <row r="15" spans="1:11" x14ac:dyDescent="0.25">
      <c r="A15" s="243" t="s">
        <v>34</v>
      </c>
      <c r="B15" s="66">
        <f>'A)NSA Nb'!BF15</f>
        <v>472678</v>
      </c>
      <c r="C15" s="66">
        <f>'A)NSA Nb'!BJ15</f>
        <v>452748</v>
      </c>
      <c r="D15" s="233">
        <f>(C15-B15)/B15</f>
        <v>-4.2164010171829448E-2</v>
      </c>
      <c r="F15" s="71"/>
      <c r="G15" s="71"/>
      <c r="H15" s="71"/>
      <c r="I15" s="67"/>
      <c r="J15" s="67"/>
    </row>
    <row r="16" spans="1:11" x14ac:dyDescent="0.25">
      <c r="A16" s="243" t="s">
        <v>36</v>
      </c>
      <c r="B16" s="66">
        <f>'A)NSA Nb'!BF17</f>
        <v>367</v>
      </c>
      <c r="C16" s="66">
        <f>'A)NSA Nb'!BJ17</f>
        <v>319</v>
      </c>
      <c r="D16" s="233">
        <f>(C16-B16)/B16</f>
        <v>-0.13079019073569481</v>
      </c>
      <c r="F16" s="71"/>
      <c r="G16" s="71"/>
      <c r="H16" s="71"/>
      <c r="I16" s="67"/>
      <c r="J16" s="67"/>
    </row>
    <row r="17" spans="1:11" x14ac:dyDescent="0.25">
      <c r="A17" s="244" t="s">
        <v>37</v>
      </c>
      <c r="B17" s="66">
        <f>'A)NSA Nb'!BF18</f>
        <v>4608</v>
      </c>
      <c r="C17" s="66">
        <f>'A)NSA Nb'!BJ18</f>
        <v>3712</v>
      </c>
      <c r="D17" s="233">
        <f>(C17-B17)/B17</f>
        <v>-0.19444444444444445</v>
      </c>
      <c r="F17" s="71"/>
      <c r="G17" s="71"/>
      <c r="H17" s="71"/>
      <c r="I17" s="67"/>
      <c r="J17" s="67"/>
    </row>
    <row r="18" spans="1:11" x14ac:dyDescent="0.25">
      <c r="A18" s="245" t="s">
        <v>38</v>
      </c>
      <c r="B18" s="66">
        <f>'A)NSA Nb'!BF19</f>
        <v>3019</v>
      </c>
      <c r="C18" s="66">
        <f>'A)NSA Nb'!BJ19</f>
        <v>2974</v>
      </c>
      <c r="D18" s="233">
        <f>(C18-B18)/B18</f>
        <v>-1.4905597880092747E-2</v>
      </c>
      <c r="F18" s="71"/>
      <c r="G18" s="71"/>
      <c r="H18" s="71"/>
      <c r="I18" s="67"/>
      <c r="J18" s="67"/>
    </row>
    <row r="19" spans="1:11" x14ac:dyDescent="0.25">
      <c r="A19" s="68"/>
      <c r="B19" s="69"/>
      <c r="C19" s="70"/>
      <c r="D19" s="70"/>
      <c r="E19" s="71"/>
      <c r="F19" s="71"/>
      <c r="G19" s="71"/>
      <c r="H19" s="71"/>
      <c r="I19" s="67"/>
      <c r="J19" s="67"/>
    </row>
    <row r="20" spans="1:11" x14ac:dyDescent="0.25">
      <c r="A20" s="64" t="s">
        <v>112</v>
      </c>
      <c r="B20" s="58"/>
    </row>
    <row r="21" spans="1:11" x14ac:dyDescent="0.25">
      <c r="A21" s="58" t="s">
        <v>66</v>
      </c>
      <c r="B21" s="58"/>
    </row>
    <row r="22" spans="1:11" x14ac:dyDescent="0.25">
      <c r="A22" s="65"/>
      <c r="B22" s="270" t="str">
        <f>B8</f>
        <v>2023- T4</v>
      </c>
      <c r="C22" s="270" t="str">
        <f>C8</f>
        <v>2024- T4</v>
      </c>
      <c r="D22" s="270" t="str">
        <f>E8</f>
        <v>Evolution 2024- T4 / 2023- T4 (en %)</v>
      </c>
      <c r="F22" s="78"/>
      <c r="G22" s="78"/>
      <c r="H22" s="78"/>
    </row>
    <row r="23" spans="1:11" x14ac:dyDescent="0.25">
      <c r="A23" s="242" t="s">
        <v>27</v>
      </c>
      <c r="B23" s="253">
        <f>'A)NSA Nb'!BF24</f>
        <v>6263.9640875151199</v>
      </c>
      <c r="C23" s="253">
        <f>'A)NSA Nb'!BJ24</f>
        <v>6627.22966407272</v>
      </c>
      <c r="D23" s="233">
        <f>(C23-B23)/B23</f>
        <v>5.7992921332616632E-2</v>
      </c>
      <c r="E23" s="446">
        <f>F23/C23</f>
        <v>0.18260564381511687</v>
      </c>
      <c r="F23" s="448">
        <f>C23-C24</f>
        <v>1210.1695395186398</v>
      </c>
      <c r="G23" s="484" t="s">
        <v>290</v>
      </c>
      <c r="H23" s="71"/>
      <c r="I23" s="71"/>
    </row>
    <row r="24" spans="1:11" x14ac:dyDescent="0.25">
      <c r="A24" s="242" t="s">
        <v>28</v>
      </c>
      <c r="B24" s="253">
        <f>'A)NSA Nb'!BF25</f>
        <v>5202.6998585627198</v>
      </c>
      <c r="C24" s="253">
        <f>'A)NSA Nb'!BJ25</f>
        <v>5417.0601245540802</v>
      </c>
      <c r="D24" s="233">
        <f>(C24-B24)/B24</f>
        <v>4.1201735986857183E-2</v>
      </c>
      <c r="F24" s="71"/>
      <c r="G24" s="71"/>
      <c r="H24" s="58"/>
    </row>
    <row r="25" spans="1:11" x14ac:dyDescent="0.25">
      <c r="A25" s="242" t="s">
        <v>13</v>
      </c>
      <c r="B25" s="253">
        <f>'A)NSA Nb'!BF26</f>
        <v>5679.6288566794801</v>
      </c>
      <c r="C25" s="253">
        <f>'A)NSA Nb'!BJ26</f>
        <v>5965.6342202810802</v>
      </c>
      <c r="D25" s="233">
        <f>(C25-B25)/B25</f>
        <v>5.0356347363304528E-2</v>
      </c>
      <c r="E25" s="269">
        <f>C25/12</f>
        <v>497.13618502342337</v>
      </c>
      <c r="F25" s="71"/>
      <c r="G25" s="71"/>
      <c r="H25" s="67"/>
      <c r="J25" s="67"/>
      <c r="K25" s="67"/>
    </row>
    <row r="26" spans="1:11" ht="12" thickBot="1" x14ac:dyDescent="0.3">
      <c r="A26" s="73"/>
      <c r="B26" s="74"/>
      <c r="C26" s="75"/>
      <c r="D26" s="75"/>
      <c r="E26" s="76"/>
      <c r="F26" s="78"/>
      <c r="G26" s="78"/>
      <c r="H26" s="78"/>
    </row>
    <row r="27" spans="1:11" s="286" customFormat="1" x14ac:dyDescent="0.25">
      <c r="A27" s="282"/>
      <c r="B27" s="283"/>
      <c r="C27" s="284"/>
      <c r="D27" s="284"/>
      <c r="E27" s="285"/>
      <c r="F27" s="285"/>
      <c r="G27" s="285"/>
      <c r="H27" s="285"/>
    </row>
    <row r="28" spans="1:11" x14ac:dyDescent="0.25">
      <c r="A28" s="57" t="s">
        <v>113</v>
      </c>
      <c r="B28" s="58"/>
    </row>
    <row r="29" spans="1:11" x14ac:dyDescent="0.25">
      <c r="A29" s="65"/>
      <c r="B29" s="270" t="str">
        <f>B8</f>
        <v>2023- T4</v>
      </c>
      <c r="C29" s="270" t="str">
        <f>C8</f>
        <v>2024- T4</v>
      </c>
      <c r="D29" s="270" t="str">
        <f>E8</f>
        <v>Evolution 2024- T4 / 2023- T4 (en %)</v>
      </c>
      <c r="F29" s="78"/>
      <c r="G29" s="78"/>
      <c r="H29" s="78"/>
    </row>
    <row r="30" spans="1:11" x14ac:dyDescent="0.25">
      <c r="A30" s="244" t="s">
        <v>67</v>
      </c>
      <c r="B30" s="66">
        <f>'A)NSA Nb'!BF31+'A)NSA Nb'!BF34</f>
        <v>809695</v>
      </c>
      <c r="C30" s="66">
        <f>'A)NSA Nb'!BJ31+'A)NSA Nb'!BJ34</f>
        <v>788363</v>
      </c>
      <c r="D30" s="233">
        <f>(C30-B30)/B30</f>
        <v>-2.6345722772154946E-2</v>
      </c>
      <c r="F30" s="71"/>
      <c r="G30" s="255" t="s">
        <v>185</v>
      </c>
      <c r="H30" s="71"/>
      <c r="I30" s="95"/>
      <c r="J30" s="102"/>
    </row>
    <row r="31" spans="1:11" x14ac:dyDescent="0.25">
      <c r="A31" s="244" t="s">
        <v>76</v>
      </c>
      <c r="B31" s="66">
        <f>'A)NSA Nb'!BF32</f>
        <v>89225</v>
      </c>
      <c r="C31" s="66">
        <f>'A)NSA Nb'!BJ32</f>
        <v>86763</v>
      </c>
      <c r="D31" s="233">
        <f>(C31-B31)/B31</f>
        <v>-2.7593163351078732E-2</v>
      </c>
      <c r="F31" s="71"/>
      <c r="G31" s="71"/>
      <c r="H31" s="71"/>
      <c r="I31" s="95"/>
      <c r="J31" s="102"/>
    </row>
    <row r="32" spans="1:11" x14ac:dyDescent="0.25">
      <c r="A32" s="244" t="s">
        <v>77</v>
      </c>
      <c r="B32" s="66">
        <f>'A)NSA Nb'!BF33</f>
        <v>236222</v>
      </c>
      <c r="C32" s="66">
        <f>'A)NSA Nb'!BJ33</f>
        <v>223661</v>
      </c>
      <c r="D32" s="233">
        <f>(C32-B32)/B32</f>
        <v>-5.317455613787031E-2</v>
      </c>
      <c r="F32" s="71"/>
      <c r="G32" s="71"/>
      <c r="H32" s="71"/>
      <c r="I32" s="95"/>
      <c r="J32" s="102"/>
    </row>
    <row r="33" spans="1:10" x14ac:dyDescent="0.25">
      <c r="A33" s="79"/>
      <c r="B33" s="69"/>
      <c r="C33" s="70"/>
      <c r="D33" s="70"/>
      <c r="E33" s="71"/>
      <c r="F33" s="71"/>
      <c r="G33" s="71"/>
      <c r="H33" s="71"/>
    </row>
    <row r="34" spans="1:10" x14ac:dyDescent="0.25">
      <c r="A34" s="64" t="s">
        <v>114</v>
      </c>
      <c r="B34" s="58"/>
    </row>
    <row r="35" spans="1:10" x14ac:dyDescent="0.25">
      <c r="A35" s="58" t="s">
        <v>61</v>
      </c>
      <c r="B35" s="58"/>
    </row>
    <row r="36" spans="1:10" x14ac:dyDescent="0.25">
      <c r="B36" s="270" t="str">
        <f>B8</f>
        <v>2023- T4</v>
      </c>
      <c r="C36" s="270" t="str">
        <f>C8</f>
        <v>2024- T4</v>
      </c>
      <c r="D36" s="270" t="str">
        <f>E8</f>
        <v>Evolution 2024- T4 / 2023- T4 (en %)</v>
      </c>
      <c r="F36" s="78"/>
      <c r="G36" s="78"/>
      <c r="H36" s="78"/>
    </row>
    <row r="37" spans="1:10" x14ac:dyDescent="0.25">
      <c r="A37" s="244" t="s">
        <v>67</v>
      </c>
      <c r="B37" s="72">
        <f>'A)NSA Nb'!BF40</f>
        <v>5283.0105397076404</v>
      </c>
      <c r="C37" s="72">
        <f>'A)NSA Nb'!BJ40</f>
        <v>5566.7695239061604</v>
      </c>
      <c r="D37" s="233">
        <f>(C37-B37)/B37</f>
        <v>5.3711606680652793E-2</v>
      </c>
      <c r="F37" s="71"/>
      <c r="G37" s="71"/>
      <c r="H37" s="71"/>
    </row>
    <row r="38" spans="1:10" x14ac:dyDescent="0.25">
      <c r="A38" s="244" t="s">
        <v>76</v>
      </c>
      <c r="B38" s="72">
        <f>'A)NSA Nb'!BF41</f>
        <v>925.98449786312801</v>
      </c>
      <c r="C38" s="72">
        <f>'A)NSA Nb'!BJ41</f>
        <v>962.25300509886404</v>
      </c>
      <c r="D38" s="233">
        <f>(C38-B38)/B38</f>
        <v>3.9167510168293292E-2</v>
      </c>
      <c r="F38" s="71"/>
      <c r="G38" s="71"/>
      <c r="H38" s="71"/>
    </row>
    <row r="39" spans="1:10" x14ac:dyDescent="0.25">
      <c r="A39" s="244" t="s">
        <v>77</v>
      </c>
      <c r="B39" s="72">
        <f>'A)NSA Nb'!BF42</f>
        <v>8835.4711103398404</v>
      </c>
      <c r="C39" s="72">
        <f>'A)NSA Nb'!BJ42</f>
        <v>9313.1276503484805</v>
      </c>
      <c r="D39" s="233">
        <f>(C39-B39)/B39</f>
        <v>5.406124178818892E-2</v>
      </c>
      <c r="F39" s="71"/>
      <c r="G39" s="71"/>
      <c r="H39" s="71"/>
    </row>
    <row r="40" spans="1:10" ht="12" thickBot="1" x14ac:dyDescent="0.3">
      <c r="A40" s="73"/>
      <c r="B40" s="74"/>
      <c r="C40" s="75"/>
      <c r="D40" s="75"/>
      <c r="E40" s="76"/>
      <c r="F40" s="78"/>
      <c r="G40" s="78"/>
      <c r="H40" s="78"/>
    </row>
    <row r="41" spans="1:10" x14ac:dyDescent="0.25">
      <c r="A41" s="77"/>
      <c r="B41" s="69"/>
      <c r="C41" s="169"/>
      <c r="D41" s="169"/>
      <c r="E41" s="78"/>
      <c r="F41" s="78"/>
      <c r="G41" s="78"/>
      <c r="H41" s="78"/>
    </row>
    <row r="42" spans="1:10" x14ac:dyDescent="0.25">
      <c r="A42" s="64" t="s">
        <v>115</v>
      </c>
      <c r="B42" s="58"/>
      <c r="G42" s="78"/>
    </row>
    <row r="43" spans="1:10" x14ac:dyDescent="0.25">
      <c r="A43" s="80"/>
      <c r="B43" s="270" t="str">
        <f>B8</f>
        <v>2023- T4</v>
      </c>
      <c r="C43" s="270" t="str">
        <f>C8</f>
        <v>2024- T4</v>
      </c>
      <c r="D43" s="270" t="str">
        <f>D8</f>
        <v>% au T4 2024</v>
      </c>
      <c r="E43" s="270" t="str">
        <f>E8</f>
        <v>Evolution 2024- T4 / 2023- T4 (en %)</v>
      </c>
      <c r="F43" s="78"/>
      <c r="G43" s="78"/>
      <c r="H43" s="78"/>
    </row>
    <row r="44" spans="1:10" x14ac:dyDescent="0.25">
      <c r="A44" s="246" t="s">
        <v>0</v>
      </c>
      <c r="B44" s="66">
        <f>'A)NSA Nb'!BF47</f>
        <v>549680</v>
      </c>
      <c r="C44" s="66">
        <f>'A)NSA Nb'!BJ47</f>
        <v>541036</v>
      </c>
      <c r="D44" s="230">
        <f>C44/$C$48</f>
        <v>0.49239388525710626</v>
      </c>
      <c r="E44" s="233">
        <f>(C44-B44)/B44</f>
        <v>-1.5725513025760442E-2</v>
      </c>
      <c r="F44" s="71"/>
      <c r="G44" s="255" t="s">
        <v>200</v>
      </c>
      <c r="H44" s="71"/>
      <c r="I44" s="95"/>
      <c r="J44" s="102"/>
    </row>
    <row r="45" spans="1:10" x14ac:dyDescent="0.25">
      <c r="A45" s="246" t="s">
        <v>1</v>
      </c>
      <c r="B45" s="66">
        <f>'A)NSA Nb'!BF48</f>
        <v>103221</v>
      </c>
      <c r="C45" s="66">
        <f>'A)NSA Nb'!BJ48</f>
        <v>98966</v>
      </c>
      <c r="D45" s="230">
        <f t="shared" ref="D45:D48" si="1">C45/$C$48</f>
        <v>9.0068411803197523E-2</v>
      </c>
      <c r="E45" s="233">
        <f>(C45-B45)/B45</f>
        <v>-4.1222231910173317E-2</v>
      </c>
      <c r="F45" s="71"/>
      <c r="G45" s="78"/>
      <c r="H45" s="71"/>
      <c r="I45" s="95"/>
      <c r="J45" s="102"/>
    </row>
    <row r="46" spans="1:10" x14ac:dyDescent="0.25">
      <c r="A46" s="246" t="s">
        <v>2</v>
      </c>
      <c r="B46" s="66">
        <f>'A)NSA Nb'!BF49</f>
        <v>156555</v>
      </c>
      <c r="C46" s="66">
        <f>'A)NSA Nb'!BJ49</f>
        <v>148119</v>
      </c>
      <c r="D46" s="230">
        <f t="shared" si="1"/>
        <v>0.13480228652140952</v>
      </c>
      <c r="E46" s="233">
        <f>(C46-B46)/B46</f>
        <v>-5.388521605825429E-2</v>
      </c>
      <c r="F46" s="71"/>
      <c r="G46" s="78"/>
      <c r="H46" s="71"/>
      <c r="I46" s="95"/>
      <c r="J46" s="102"/>
    </row>
    <row r="47" spans="1:10" x14ac:dyDescent="0.25">
      <c r="A47" s="246" t="s">
        <v>73</v>
      </c>
      <c r="B47" s="66">
        <f>'A)NSA Nb'!BF50+'A)NSA Nb'!BF51</f>
        <v>325686</v>
      </c>
      <c r="C47" s="66">
        <f>'A)NSA Nb'!BJ50+'A)NSA Nb'!BJ51</f>
        <v>310666</v>
      </c>
      <c r="D47" s="230">
        <f t="shared" si="1"/>
        <v>0.2827354164182867</v>
      </c>
      <c r="E47" s="233">
        <f>(C47-B47)/B47</f>
        <v>-4.6118040075410059E-2</v>
      </c>
      <c r="F47" s="71"/>
      <c r="G47" s="78"/>
      <c r="H47" s="71"/>
      <c r="I47" s="95"/>
      <c r="J47" s="102"/>
    </row>
    <row r="48" spans="1:10" x14ac:dyDescent="0.25">
      <c r="A48" s="246" t="s">
        <v>29</v>
      </c>
      <c r="B48" s="66">
        <f>SUM(B44:B47)</f>
        <v>1135142</v>
      </c>
      <c r="C48" s="66">
        <f>SUM(C44:C47)</f>
        <v>1098787</v>
      </c>
      <c r="D48" s="272">
        <f t="shared" si="1"/>
        <v>1</v>
      </c>
      <c r="E48" s="233">
        <f>(C48-B48)/B48</f>
        <v>-3.2026830123455918E-2</v>
      </c>
      <c r="F48" s="71"/>
      <c r="G48" s="78"/>
      <c r="H48" s="71"/>
      <c r="I48" s="95"/>
      <c r="J48" s="102"/>
    </row>
    <row r="49" spans="1:10" x14ac:dyDescent="0.25">
      <c r="A49" s="84"/>
      <c r="B49" s="85"/>
      <c r="C49" s="86"/>
      <c r="D49" s="86"/>
      <c r="E49" s="71"/>
      <c r="F49" s="71"/>
      <c r="G49" s="71"/>
      <c r="H49" s="71"/>
    </row>
    <row r="50" spans="1:10" x14ac:dyDescent="0.25">
      <c r="A50" s="64" t="s">
        <v>116</v>
      </c>
      <c r="B50" s="58"/>
      <c r="I50" s="83"/>
      <c r="J50" s="83"/>
    </row>
    <row r="51" spans="1:10" x14ac:dyDescent="0.25">
      <c r="A51" s="58" t="s">
        <v>61</v>
      </c>
      <c r="B51" s="58"/>
    </row>
    <row r="52" spans="1:10" x14ac:dyDescent="0.25">
      <c r="B52" s="270" t="str">
        <f>B8</f>
        <v>2023- T4</v>
      </c>
      <c r="C52" s="270" t="str">
        <f>C8</f>
        <v>2024- T4</v>
      </c>
      <c r="D52" s="270" t="str">
        <f>E8</f>
        <v>Evolution 2024- T4 / 2023- T4 (en %)</v>
      </c>
      <c r="E52" s="58"/>
      <c r="F52" s="78"/>
      <c r="G52" s="78"/>
      <c r="H52" s="78"/>
    </row>
    <row r="53" spans="1:10" x14ac:dyDescent="0.25">
      <c r="A53" s="246" t="s">
        <v>0</v>
      </c>
      <c r="B53" s="72">
        <f>'A)NSA Nb'!BF56</f>
        <v>6855.8761097365596</v>
      </c>
      <c r="C53" s="72">
        <f>'A)NSA Nb'!BJ56</f>
        <v>7195.5909551305203</v>
      </c>
      <c r="D53" s="233">
        <f>(C53-B53)/B53</f>
        <v>4.9550902022792602E-2</v>
      </c>
      <c r="E53" s="482">
        <f>C53/12</f>
        <v>599.63257959421003</v>
      </c>
      <c r="F53" s="71"/>
      <c r="G53" s="71"/>
      <c r="H53" s="71"/>
      <c r="I53" s="67"/>
      <c r="J53" s="67"/>
    </row>
    <row r="54" spans="1:10" x14ac:dyDescent="0.25">
      <c r="A54" s="246" t="s">
        <v>1</v>
      </c>
      <c r="B54" s="72">
        <f>'A)NSA Nb'!BF57</f>
        <v>3888.7605429127798</v>
      </c>
      <c r="C54" s="72">
        <f>'A)NSA Nb'!BJ57</f>
        <v>3945.7748721783241</v>
      </c>
      <c r="D54" s="233">
        <f>(C54-B54)/B54</f>
        <v>1.4661311396365685E-2</v>
      </c>
      <c r="E54" s="58"/>
      <c r="F54" s="71"/>
      <c r="G54" s="71"/>
      <c r="H54" s="71"/>
      <c r="I54" s="67"/>
      <c r="J54" s="67"/>
    </row>
    <row r="55" spans="1:10" x14ac:dyDescent="0.25">
      <c r="A55" s="246" t="s">
        <v>2</v>
      </c>
      <c r="B55" s="72">
        <f>'A)NSA Nb'!BF58</f>
        <v>680.96252435246402</v>
      </c>
      <c r="C55" s="72">
        <f>'A)NSA Nb'!BJ58</f>
        <v>702.17862664479196</v>
      </c>
      <c r="D55" s="233">
        <f>(C55-B55)/B55</f>
        <v>3.1156049758395456E-2</v>
      </c>
      <c r="E55" s="58"/>
      <c r="F55" s="71"/>
      <c r="G55" s="71"/>
      <c r="H55" s="71"/>
      <c r="I55" s="104"/>
      <c r="J55" s="104"/>
    </row>
    <row r="56" spans="1:10" x14ac:dyDescent="0.25">
      <c r="A56" s="246" t="s">
        <v>73</v>
      </c>
      <c r="B56" s="72">
        <f>'A)NSA Nb'!BF59</f>
        <v>6666.9053086984804</v>
      </c>
      <c r="C56" s="72">
        <f>'A)NSA Nb'!BJ59</f>
        <v>6979.0582717242396</v>
      </c>
      <c r="D56" s="233">
        <f>(C56-B56)/B56</f>
        <v>4.6821268425469499E-2</v>
      </c>
      <c r="E56" s="58"/>
      <c r="F56" s="71"/>
      <c r="G56" s="71"/>
      <c r="H56" s="71"/>
      <c r="I56" s="67"/>
      <c r="J56" s="67"/>
    </row>
    <row r="57" spans="1:10" x14ac:dyDescent="0.25">
      <c r="A57" s="84"/>
      <c r="B57" s="170"/>
      <c r="C57" s="170"/>
      <c r="D57" s="170"/>
      <c r="E57" s="71"/>
      <c r="F57" s="71"/>
      <c r="G57" s="71"/>
      <c r="H57" s="71"/>
      <c r="I57" s="67"/>
      <c r="J57" s="67"/>
    </row>
    <row r="58" spans="1:10" x14ac:dyDescent="0.25">
      <c r="A58" s="57" t="s">
        <v>117</v>
      </c>
      <c r="B58" s="58"/>
      <c r="F58" s="71"/>
      <c r="G58" s="71"/>
      <c r="H58" s="71"/>
      <c r="I58" s="67"/>
      <c r="J58" s="67"/>
    </row>
    <row r="59" spans="1:10" x14ac:dyDescent="0.25">
      <c r="B59" s="270" t="str">
        <f>B8</f>
        <v>2023- T4</v>
      </c>
      <c r="C59" s="270" t="str">
        <f>C8</f>
        <v>2024- T4</v>
      </c>
      <c r="D59" s="270" t="str">
        <f>E8</f>
        <v>Evolution 2024- T4 / 2023- T4 (en %)</v>
      </c>
      <c r="E59" s="58"/>
      <c r="F59" s="71"/>
      <c r="G59" s="71"/>
      <c r="H59" s="71"/>
      <c r="I59" s="67"/>
      <c r="J59" s="67"/>
    </row>
    <row r="60" spans="1:10" x14ac:dyDescent="0.25">
      <c r="A60" s="244" t="s">
        <v>30</v>
      </c>
      <c r="B60" s="228">
        <f>'A)NSA Nb'!BF104</f>
        <v>0.17357159661004631</v>
      </c>
      <c r="C60" s="229">
        <f>'A)NSA Nb'!BJ104</f>
        <v>0.17337430395085107</v>
      </c>
      <c r="D60" s="231">
        <f>(C60-B60)*100</f>
        <v>-1.9729265919524175E-2</v>
      </c>
      <c r="E60" s="58"/>
      <c r="F60" s="71"/>
      <c r="G60" s="71"/>
      <c r="H60" s="71"/>
      <c r="I60" s="67"/>
      <c r="J60" s="67"/>
    </row>
    <row r="61" spans="1:10" x14ac:dyDescent="0.25">
      <c r="A61" s="244" t="s">
        <v>110</v>
      </c>
      <c r="B61" s="72">
        <f>'A)NSA Nb'!BF106</f>
        <v>107.7207391</v>
      </c>
      <c r="C61" s="72">
        <f>'A)NSA Nb'!BJ106</f>
        <v>113.38056709999999</v>
      </c>
      <c r="D61" s="230">
        <f>C61/B61-1</f>
        <v>5.2541674400746752E-2</v>
      </c>
      <c r="E61" s="58"/>
      <c r="F61" s="78"/>
      <c r="G61" s="78"/>
      <c r="H61" s="78"/>
    </row>
    <row r="62" spans="1:10" ht="12" thickBot="1" x14ac:dyDescent="0.3">
      <c r="A62" s="88"/>
      <c r="B62" s="280"/>
      <c r="C62" s="171"/>
      <c r="D62" s="171"/>
      <c r="E62" s="172"/>
      <c r="F62" s="78"/>
      <c r="G62" s="78"/>
      <c r="H62" s="78"/>
    </row>
    <row r="63" spans="1:10" x14ac:dyDescent="0.25">
      <c r="A63" s="61"/>
      <c r="B63" s="61"/>
      <c r="C63" s="62"/>
      <c r="D63" s="62"/>
      <c r="E63" s="63"/>
      <c r="F63" s="78"/>
      <c r="G63" s="78"/>
      <c r="H63" s="78"/>
    </row>
    <row r="64" spans="1:10" x14ac:dyDescent="0.25">
      <c r="A64" s="61" t="s">
        <v>118</v>
      </c>
      <c r="B64" s="61"/>
      <c r="C64" s="62"/>
      <c r="D64" s="62"/>
      <c r="E64" s="63"/>
      <c r="F64" s="63"/>
      <c r="G64" s="392"/>
      <c r="H64" s="63"/>
    </row>
    <row r="65" spans="1:8" x14ac:dyDescent="0.25">
      <c r="A65" s="61"/>
      <c r="B65" s="270" t="str">
        <f>B8</f>
        <v>2023- T4</v>
      </c>
      <c r="C65" s="270" t="str">
        <f>C8</f>
        <v>2024- T4</v>
      </c>
      <c r="D65" s="270" t="str">
        <f>"Différence"&amp;LEFT(RIGHT(D59,28),28)</f>
        <v>Différencen 2024- T4 / 2023- T4 (en %)</v>
      </c>
      <c r="E65" s="58"/>
      <c r="F65" s="78"/>
      <c r="G65" s="393"/>
    </row>
    <row r="66" spans="1:8" x14ac:dyDescent="0.25">
      <c r="A66" s="244" t="s">
        <v>67</v>
      </c>
      <c r="B66" s="87">
        <f>'A)NSA Nb'!BF65</f>
        <v>76.622702428962299</v>
      </c>
      <c r="C66" s="87">
        <f>'A)NSA Nb'!BJ65</f>
        <v>76.640478757817604</v>
      </c>
      <c r="D66" s="97">
        <f>C66-B66</f>
        <v>1.7776328855305223E-2</v>
      </c>
      <c r="E66" s="58"/>
      <c r="F66" s="99"/>
      <c r="G66" s="71"/>
    </row>
    <row r="67" spans="1:8" x14ac:dyDescent="0.25">
      <c r="A67" s="244" t="s">
        <v>76</v>
      </c>
      <c r="B67" s="87">
        <f>'A)NSA Nb'!BF66</f>
        <v>81.764035491144099</v>
      </c>
      <c r="C67" s="87">
        <f>'A)NSA Nb'!BJ66</f>
        <v>81.938755969822097</v>
      </c>
      <c r="D67" s="97">
        <f>C67-B67</f>
        <v>0.17472047867799745</v>
      </c>
      <c r="E67" s="58"/>
      <c r="F67" s="99"/>
      <c r="G67" s="71"/>
    </row>
    <row r="68" spans="1:8" x14ac:dyDescent="0.25">
      <c r="A68" s="244" t="s">
        <v>77</v>
      </c>
      <c r="B68" s="87">
        <f>'A)NSA Nb'!BF67</f>
        <v>86.026466492565405</v>
      </c>
      <c r="C68" s="87">
        <f>'A)NSA Nb'!BJ67</f>
        <v>86.151298408114599</v>
      </c>
      <c r="D68" s="97">
        <f>C68-B68</f>
        <v>0.12483191554919415</v>
      </c>
      <c r="E68" s="58"/>
      <c r="F68" s="99"/>
      <c r="G68" s="71"/>
    </row>
    <row r="69" spans="1:8" x14ac:dyDescent="0.25">
      <c r="A69" s="242" t="s">
        <v>13</v>
      </c>
      <c r="B69" s="87">
        <f>'A)NSA Nb'!BF68</f>
        <v>78.9835756086689</v>
      </c>
      <c r="C69" s="87">
        <f>'A)NSA Nb'!BJ68</f>
        <v>78.994558545013803</v>
      </c>
      <c r="D69" s="97">
        <f>C69-B69</f>
        <v>1.0982936344902328E-2</v>
      </c>
      <c r="E69" s="58"/>
      <c r="F69" s="99"/>
      <c r="G69" s="71"/>
    </row>
    <row r="70" spans="1:8" ht="12" thickBot="1" x14ac:dyDescent="0.3">
      <c r="A70" s="88"/>
      <c r="B70" s="88"/>
      <c r="C70" s="171"/>
      <c r="D70" s="171"/>
      <c r="E70" s="172"/>
      <c r="F70" s="63"/>
      <c r="G70" s="63"/>
    </row>
    <row r="71" spans="1:8" x14ac:dyDescent="0.25">
      <c r="A71" s="61"/>
      <c r="B71" s="61"/>
      <c r="C71" s="62"/>
      <c r="D71" s="62"/>
      <c r="E71" s="63"/>
      <c r="F71" s="63"/>
      <c r="G71" s="63"/>
    </row>
    <row r="72" spans="1:8" x14ac:dyDescent="0.25">
      <c r="A72" s="61" t="s">
        <v>248</v>
      </c>
      <c r="B72" s="61"/>
      <c r="C72" s="62"/>
      <c r="D72" s="62"/>
      <c r="E72" s="63"/>
      <c r="F72" s="63"/>
      <c r="G72" s="63"/>
    </row>
    <row r="73" spans="1:8" x14ac:dyDescent="0.25">
      <c r="A73" s="61"/>
      <c r="B73" s="270" t="str">
        <f>B8</f>
        <v>2023- T4</v>
      </c>
      <c r="C73" s="270" t="str">
        <f>C8</f>
        <v>2024- T4</v>
      </c>
      <c r="D73" s="270" t="str">
        <f>LEFT(D59,31)&amp;" (en points de %)"</f>
        <v>Evolution 2024- T4 / 2023- T4 ( (en points de %)</v>
      </c>
      <c r="E73" s="58"/>
      <c r="F73" s="78"/>
      <c r="G73" s="78"/>
    </row>
    <row r="74" spans="1:8" x14ac:dyDescent="0.25">
      <c r="A74" s="244" t="s">
        <v>30</v>
      </c>
      <c r="B74" s="228">
        <f>'A)NSA Nb'!BF73</f>
        <v>0.75105912048302204</v>
      </c>
      <c r="C74" s="228">
        <f>'A)NSA Nb'!BJ73</f>
        <v>0.76825329068608128</v>
      </c>
      <c r="D74" s="232">
        <f>(C74-B74)*100</f>
        <v>1.7194170203059245</v>
      </c>
      <c r="E74" s="58"/>
      <c r="F74" s="96"/>
      <c r="G74" s="136"/>
    </row>
    <row r="75" spans="1:8" x14ac:dyDescent="0.25">
      <c r="A75" s="61"/>
      <c r="B75" s="61"/>
      <c r="C75" s="62"/>
      <c r="D75" s="62"/>
      <c r="E75" s="96"/>
      <c r="F75" s="63"/>
      <c r="G75" s="63"/>
    </row>
    <row r="76" spans="1:8" x14ac:dyDescent="0.25">
      <c r="A76" s="61" t="s">
        <v>119</v>
      </c>
      <c r="B76" s="61"/>
      <c r="C76" s="62"/>
      <c r="D76" s="62"/>
      <c r="E76" s="63"/>
      <c r="F76" s="63"/>
      <c r="G76" s="63"/>
    </row>
    <row r="77" spans="1:8" x14ac:dyDescent="0.25">
      <c r="A77" s="61"/>
      <c r="B77" s="270" t="str">
        <f>B8</f>
        <v>2023- T4</v>
      </c>
      <c r="C77" s="270" t="str">
        <f>C8</f>
        <v>2024- T4</v>
      </c>
      <c r="D77" s="271" t="str">
        <f>D65</f>
        <v>Différencen 2024- T4 / 2023- T4 (en %)</v>
      </c>
      <c r="E77" s="58"/>
      <c r="F77" s="78"/>
      <c r="G77" s="137"/>
    </row>
    <row r="78" spans="1:8" x14ac:dyDescent="0.25">
      <c r="A78" s="244" t="s">
        <v>33</v>
      </c>
      <c r="B78" s="87">
        <f>'A)NSA Nb'!BF77</f>
        <v>96.814149872616099</v>
      </c>
      <c r="C78" s="87">
        <f>'A)NSA Nb'!BJ77</f>
        <v>96.583740961130999</v>
      </c>
      <c r="D78" s="97">
        <f>C78-B78</f>
        <v>-0.23040891148509957</v>
      </c>
      <c r="E78" s="58"/>
      <c r="F78" s="99"/>
      <c r="G78" s="225"/>
      <c r="H78" s="71"/>
    </row>
    <row r="79" spans="1:8" x14ac:dyDescent="0.25">
      <c r="A79" s="244" t="s">
        <v>194</v>
      </c>
      <c r="B79" s="266">
        <f>'A)NSA Nb'!BF78</f>
        <v>16</v>
      </c>
      <c r="C79" s="266">
        <f>'A)NSA Nb'!BJ78</f>
        <v>16</v>
      </c>
      <c r="D79" s="267">
        <f t="shared" ref="D79:D81" si="2">C79-B79</f>
        <v>0</v>
      </c>
      <c r="E79" s="58"/>
      <c r="F79" s="99"/>
      <c r="G79" s="225"/>
      <c r="H79" s="71"/>
    </row>
    <row r="80" spans="1:8" x14ac:dyDescent="0.25">
      <c r="A80" s="244" t="s">
        <v>195</v>
      </c>
      <c r="B80" s="266">
        <f>'A)NSA Nb'!BF79</f>
        <v>92</v>
      </c>
      <c r="C80" s="266">
        <f>'A)NSA Nb'!BJ79</f>
        <v>92</v>
      </c>
      <c r="D80" s="267">
        <f t="shared" si="2"/>
        <v>0</v>
      </c>
      <c r="E80" s="58"/>
      <c r="F80" s="99"/>
      <c r="G80" s="225"/>
      <c r="H80" s="71"/>
    </row>
    <row r="81" spans="1:10" x14ac:dyDescent="0.25">
      <c r="A81" s="244" t="s">
        <v>196</v>
      </c>
      <c r="B81" s="266">
        <f>'A)NSA Nb'!BF80</f>
        <v>152</v>
      </c>
      <c r="C81" s="266">
        <f>'A)NSA Nb'!BJ80</f>
        <v>152</v>
      </c>
      <c r="D81" s="267">
        <f t="shared" si="2"/>
        <v>0</v>
      </c>
      <c r="E81" s="58"/>
      <c r="F81" s="99"/>
      <c r="G81" s="225"/>
      <c r="H81" s="71"/>
    </row>
    <row r="82" spans="1:10" ht="12" thickBot="1" x14ac:dyDescent="0.3">
      <c r="A82" s="88"/>
      <c r="B82" s="88"/>
      <c r="C82" s="171"/>
      <c r="D82" s="171"/>
      <c r="E82" s="172"/>
      <c r="F82" s="63"/>
      <c r="G82" s="63"/>
      <c r="H82" s="63"/>
    </row>
    <row r="83" spans="1:10" x14ac:dyDescent="0.25">
      <c r="A83" s="61"/>
      <c r="B83" s="61"/>
      <c r="C83" s="62"/>
      <c r="D83" s="62"/>
      <c r="E83" s="63"/>
      <c r="F83" s="63"/>
      <c r="G83" s="63"/>
      <c r="H83" s="63"/>
    </row>
    <row r="84" spans="1:10" x14ac:dyDescent="0.25">
      <c r="A84" s="64" t="s">
        <v>120</v>
      </c>
      <c r="B84" s="58"/>
    </row>
    <row r="85" spans="1:10" x14ac:dyDescent="0.25">
      <c r="A85" s="89" t="s">
        <v>249</v>
      </c>
      <c r="B85" s="58"/>
      <c r="I85" s="60"/>
    </row>
    <row r="86" spans="1:10" x14ac:dyDescent="0.25">
      <c r="A86" s="65"/>
      <c r="B86" s="270" t="str">
        <f>B8</f>
        <v>2023- T4</v>
      </c>
      <c r="C86" s="270" t="str">
        <f>C8</f>
        <v>2024- T4</v>
      </c>
      <c r="D86" s="270" t="str">
        <f>D59</f>
        <v>Evolution 2024- T4 / 2023- T4 (en %)</v>
      </c>
      <c r="E86" s="58"/>
      <c r="F86" s="78"/>
      <c r="G86" s="78"/>
      <c r="H86" s="71"/>
      <c r="I86" s="71"/>
    </row>
    <row r="87" spans="1:10" x14ac:dyDescent="0.25">
      <c r="A87" s="246" t="s">
        <v>0</v>
      </c>
      <c r="B87" s="66">
        <f>'A)NSA Nb'!BF86</f>
        <v>164641</v>
      </c>
      <c r="C87" s="66">
        <f>'A)NSA Nb'!BJ86</f>
        <v>158929</v>
      </c>
      <c r="D87" s="233">
        <f>(C87-B87)/B87</f>
        <v>-3.4693666826610625E-2</v>
      </c>
      <c r="E87" s="481">
        <f>C87/C44*100</f>
        <v>29.374939930060108</v>
      </c>
      <c r="F87" s="71"/>
      <c r="G87" s="71"/>
      <c r="H87" s="71"/>
      <c r="I87" s="95"/>
      <c r="J87" s="95"/>
    </row>
    <row r="88" spans="1:10" x14ac:dyDescent="0.25">
      <c r="A88" s="246" t="s">
        <v>1</v>
      </c>
      <c r="B88" s="66">
        <f>'A)NSA Nb'!BF87</f>
        <v>8923</v>
      </c>
      <c r="C88" s="66">
        <f>'A)NSA Nb'!BJ87</f>
        <v>7790</v>
      </c>
      <c r="D88" s="233">
        <f>(C88-B88)/B88</f>
        <v>-0.12697523254510815</v>
      </c>
      <c r="E88" s="58"/>
      <c r="F88" s="71"/>
      <c r="G88" s="71"/>
      <c r="H88" s="71"/>
      <c r="I88" s="95"/>
      <c r="J88" s="95"/>
    </row>
    <row r="89" spans="1:10" x14ac:dyDescent="0.25">
      <c r="A89" s="246" t="s">
        <v>2</v>
      </c>
      <c r="B89" s="66">
        <f>'A)NSA Nb'!BF88</f>
        <v>1522</v>
      </c>
      <c r="C89" s="66">
        <f>'A)NSA Nb'!BJ88</f>
        <v>1360</v>
      </c>
      <c r="D89" s="233">
        <f>(C89-B89)/B89</f>
        <v>-0.10643889618922471</v>
      </c>
      <c r="E89" s="58"/>
      <c r="F89" s="71"/>
      <c r="G89" s="71"/>
      <c r="H89" s="71"/>
      <c r="I89" s="95"/>
      <c r="J89" s="95"/>
    </row>
    <row r="90" spans="1:10" x14ac:dyDescent="0.25">
      <c r="A90" s="246" t="s">
        <v>160</v>
      </c>
      <c r="B90" s="66">
        <f>'A)NSA Nb'!BF89</f>
        <v>76640</v>
      </c>
      <c r="C90" s="66">
        <f>'A)NSA Nb'!BJ89</f>
        <v>70987</v>
      </c>
      <c r="D90" s="233">
        <f>(C90-B90)/B90</f>
        <v>-7.3760438413361162E-2</v>
      </c>
      <c r="E90" s="58"/>
      <c r="F90" s="71"/>
      <c r="G90" s="71"/>
      <c r="H90" s="71"/>
      <c r="I90" s="95"/>
      <c r="J90" s="95"/>
    </row>
    <row r="91" spans="1:10" x14ac:dyDescent="0.25">
      <c r="A91" s="242" t="s">
        <v>13</v>
      </c>
      <c r="B91" s="66">
        <f>SUM(B87:B90)</f>
        <v>251726</v>
      </c>
      <c r="C91" s="66">
        <f>SUM(C87:C90)</f>
        <v>239066</v>
      </c>
      <c r="D91" s="233">
        <f>(C91-B91)/B91</f>
        <v>-5.0292778656157888E-2</v>
      </c>
      <c r="E91" s="58"/>
      <c r="F91" s="71"/>
      <c r="G91" s="71"/>
      <c r="H91" s="71"/>
      <c r="I91" s="95"/>
      <c r="J91" s="95"/>
    </row>
    <row r="92" spans="1:10" x14ac:dyDescent="0.25">
      <c r="A92" s="65"/>
      <c r="B92" s="369"/>
      <c r="C92" s="369">
        <f>C91/C48*100</f>
        <v>21.757265056830853</v>
      </c>
      <c r="D92" s="70"/>
      <c r="E92" s="71"/>
      <c r="F92" s="71"/>
      <c r="G92" s="71"/>
      <c r="H92" s="71"/>
    </row>
    <row r="93" spans="1:10" x14ac:dyDescent="0.25">
      <c r="A93" s="64" t="s">
        <v>121</v>
      </c>
      <c r="B93" s="58"/>
    </row>
    <row r="94" spans="1:10" x14ac:dyDescent="0.25">
      <c r="A94" s="89" t="s">
        <v>61</v>
      </c>
      <c r="B94" s="58"/>
    </row>
    <row r="95" spans="1:10" x14ac:dyDescent="0.25">
      <c r="B95" s="270" t="str">
        <f>B8</f>
        <v>2023- T4</v>
      </c>
      <c r="C95" s="270" t="str">
        <f>C8</f>
        <v>2024- T4</v>
      </c>
      <c r="D95" s="270" t="str">
        <f>E8</f>
        <v>Evolution 2024- T4 / 2023- T4 (en %)</v>
      </c>
      <c r="E95" s="58"/>
      <c r="F95" s="78"/>
      <c r="G95" s="78"/>
      <c r="H95" s="71"/>
    </row>
    <row r="96" spans="1:10" x14ac:dyDescent="0.25">
      <c r="A96" s="246" t="s">
        <v>0</v>
      </c>
      <c r="B96" s="72">
        <f>'A)NSA Nb'!BF96</f>
        <v>10594.023627164561</v>
      </c>
      <c r="C96" s="72">
        <f>'A)NSA Nb'!BJ96</f>
        <v>11261.29811425228</v>
      </c>
      <c r="D96" s="233">
        <f>(C96-B96)/B96</f>
        <v>6.2985935332137102E-2</v>
      </c>
      <c r="E96" s="279">
        <f>C96/12</f>
        <v>938.44150952102336</v>
      </c>
      <c r="F96" s="71"/>
      <c r="G96" s="71"/>
      <c r="H96" s="71"/>
    </row>
    <row r="97" spans="1:8" x14ac:dyDescent="0.25">
      <c r="A97" s="246" t="s">
        <v>1</v>
      </c>
      <c r="B97" s="72">
        <f>'A)NSA Nb'!BF97</f>
        <v>8752.8499383615199</v>
      </c>
      <c r="C97" s="72">
        <f>'A)NSA Nb'!BJ97</f>
        <v>9192.9232349165595</v>
      </c>
      <c r="D97" s="233">
        <f>(C97-B97)/B97</f>
        <v>5.0277715218938014E-2</v>
      </c>
      <c r="E97" s="58"/>
      <c r="F97" s="71"/>
      <c r="G97" s="71"/>
      <c r="H97" s="71"/>
    </row>
    <row r="98" spans="1:8" x14ac:dyDescent="0.25">
      <c r="A98" s="246" t="s">
        <v>2</v>
      </c>
      <c r="B98" s="72">
        <f>'A)NSA Nb'!BF98</f>
        <v>9795.6688567673991</v>
      </c>
      <c r="C98" s="72">
        <f>'A)NSA Nb'!BJ98</f>
        <v>10340.1588235294</v>
      </c>
      <c r="D98" s="233">
        <f>(C98-B98)/B98</f>
        <v>5.5584766566076478E-2</v>
      </c>
      <c r="E98" s="58"/>
      <c r="F98" s="71"/>
      <c r="G98" s="71"/>
      <c r="H98" s="71"/>
    </row>
    <row r="99" spans="1:8" x14ac:dyDescent="0.25">
      <c r="A99" s="246" t="s">
        <v>160</v>
      </c>
      <c r="B99" s="72">
        <f>'A)NSA Nb'!BF99</f>
        <v>12584.87708768268</v>
      </c>
      <c r="C99" s="72">
        <f>'A)NSA Nb'!BJ99</f>
        <v>13329.9220984124</v>
      </c>
      <c r="D99" s="233">
        <f>(C99-B99)/B99</f>
        <v>5.9201612025192155E-2</v>
      </c>
      <c r="E99" s="58"/>
      <c r="F99" s="71"/>
      <c r="G99" s="71"/>
      <c r="H99" s="71"/>
    </row>
    <row r="100" spans="1:8" x14ac:dyDescent="0.25">
      <c r="A100" s="242" t="s">
        <v>13</v>
      </c>
      <c r="B100" s="72">
        <f>'A)NSA Nb'!BF100</f>
        <v>11130.19133529556</v>
      </c>
      <c r="C100" s="72">
        <f>'A)NSA Nb'!BJ100</f>
        <v>11803.01382284176</v>
      </c>
      <c r="D100" s="233">
        <f>(C100-B100)/B100</f>
        <v>6.0450217545908298E-2</v>
      </c>
      <c r="E100" s="121"/>
      <c r="F100" s="78"/>
      <c r="G100" s="78"/>
      <c r="H100" s="78"/>
    </row>
    <row r="101" spans="1:8" x14ac:dyDescent="0.25">
      <c r="A101" s="90"/>
      <c r="B101" s="219"/>
      <c r="C101" s="91"/>
      <c r="D101" s="91"/>
      <c r="E101" s="55"/>
      <c r="F101" s="55"/>
      <c r="G101" s="55"/>
      <c r="H101" s="55"/>
    </row>
    <row r="102" spans="1:8" x14ac:dyDescent="0.25">
      <c r="D102" s="58"/>
      <c r="E102" s="58"/>
    </row>
    <row r="103" spans="1:8" x14ac:dyDescent="0.25">
      <c r="C103" s="58"/>
      <c r="D103" s="58"/>
      <c r="E103" s="58"/>
    </row>
    <row r="104" spans="1:8" x14ac:dyDescent="0.25">
      <c r="C104" s="58"/>
      <c r="D104" s="58"/>
      <c r="E104" s="58"/>
    </row>
    <row r="105" spans="1:8" x14ac:dyDescent="0.25">
      <c r="C105" s="58"/>
      <c r="D105" s="58"/>
      <c r="E105" s="58"/>
    </row>
  </sheetData>
  <mergeCells count="2">
    <mergeCell ref="A1:E1"/>
    <mergeCell ref="A2:E2"/>
  </mergeCells>
  <pageMargins left="0.48" right="0.5" top="0.55118110236220474" bottom="1.37" header="0.27559055118110237" footer="0.1968503937007874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9"/>
  </sheetPr>
  <dimension ref="A1:J82"/>
  <sheetViews>
    <sheetView showGridLines="0" topLeftCell="A43" workbookViewId="0">
      <selection activeCell="A83" sqref="A83"/>
    </sheetView>
  </sheetViews>
  <sheetFormatPr baseColWidth="10" defaultColWidth="11.453125" defaultRowHeight="11.5" x14ac:dyDescent="0.25"/>
  <cols>
    <col min="1" max="1" width="32.7265625" style="58" customWidth="1"/>
    <col min="2" max="2" width="14" style="58" customWidth="1"/>
    <col min="3" max="3" width="11.453125" style="59"/>
    <col min="4" max="4" width="29.7265625" style="59" bestFit="1" customWidth="1"/>
    <col min="5" max="5" width="39.7265625" style="60" customWidth="1"/>
    <col min="6" max="6" width="8.453125" style="60" customWidth="1"/>
    <col min="7" max="7" width="22.81640625" style="58" bestFit="1" customWidth="1"/>
    <col min="8" max="9" width="7.453125" style="58" bestFit="1" customWidth="1"/>
    <col min="10" max="10" width="5" style="58" bestFit="1" customWidth="1"/>
    <col min="11" max="16384" width="11.453125" style="58"/>
  </cols>
  <sheetData>
    <row r="1" spans="1:9" ht="14" x14ac:dyDescent="0.3">
      <c r="A1" s="492" t="str">
        <f>'A) pour TdB'!A1:E1</f>
        <v>Les retraites du régime des Non-Salariés Agricoles en métropole</v>
      </c>
      <c r="B1" s="492"/>
      <c r="C1" s="492"/>
      <c r="D1" s="492"/>
      <c r="E1" s="492"/>
      <c r="F1" s="368"/>
    </row>
    <row r="2" spans="1:9" ht="14" x14ac:dyDescent="0.3">
      <c r="A2" s="492" t="str">
        <f>'A) pour TdB'!A2:E2</f>
        <v>Eléments démographiques et financiers de l'ensemble des retraités au 4-ème trimestre 2024</v>
      </c>
      <c r="B2" s="492"/>
      <c r="C2" s="492"/>
      <c r="D2" s="492"/>
      <c r="E2" s="492"/>
      <c r="F2" s="368"/>
    </row>
    <row r="3" spans="1:9" ht="12.5" x14ac:dyDescent="0.25">
      <c r="A3" s="57"/>
      <c r="B3" s="355" t="s">
        <v>279</v>
      </c>
      <c r="C3" s="355" t="s">
        <v>289</v>
      </c>
      <c r="D3" s="217"/>
      <c r="G3" s="112" t="s">
        <v>179</v>
      </c>
    </row>
    <row r="4" spans="1:9" x14ac:dyDescent="0.25">
      <c r="A4" s="57" t="s">
        <v>26</v>
      </c>
    </row>
    <row r="5" spans="1:9" x14ac:dyDescent="0.25">
      <c r="A5" s="90" t="s">
        <v>71</v>
      </c>
      <c r="B5" s="90"/>
      <c r="C5" s="91"/>
      <c r="D5" s="91"/>
      <c r="E5" s="78"/>
      <c r="F5" s="78"/>
    </row>
    <row r="6" spans="1:9" x14ac:dyDescent="0.25">
      <c r="A6" s="61"/>
      <c r="B6" s="90"/>
      <c r="C6" s="91"/>
      <c r="D6" s="91"/>
      <c r="E6" s="78"/>
      <c r="F6" s="78"/>
    </row>
    <row r="7" spans="1:9" x14ac:dyDescent="0.25">
      <c r="A7" s="64" t="s">
        <v>122</v>
      </c>
      <c r="B7" s="286"/>
      <c r="C7" s="286"/>
      <c r="D7" s="286"/>
      <c r="E7" s="395"/>
    </row>
    <row r="8" spans="1:9" x14ac:dyDescent="0.25">
      <c r="A8" s="65"/>
      <c r="B8" s="270" t="str">
        <f>'B)NSA RCO Nb'!BF8</f>
        <v>2023- T4</v>
      </c>
      <c r="C8" s="270" t="str">
        <f>'B)NSA RCO Nb'!BJ8</f>
        <v>2024- T4</v>
      </c>
      <c r="D8" s="270" t="str">
        <f>"% au "&amp;RIGHT(C8,2)&amp;" "&amp;LEFT(C8,4)</f>
        <v>% au T4 2024</v>
      </c>
      <c r="E8" s="270" t="str">
        <f>'A) pour TdB'!E8</f>
        <v>Evolution 2024- T4 / 2023- T4 (en %)</v>
      </c>
      <c r="F8" s="78"/>
      <c r="G8" s="81"/>
    </row>
    <row r="9" spans="1:9" x14ac:dyDescent="0.25">
      <c r="A9" s="242" t="s">
        <v>27</v>
      </c>
      <c r="B9" s="93">
        <f>'B)NSA RCO Nb'!BF9</f>
        <v>309753</v>
      </c>
      <c r="C9" s="93">
        <f>'B)NSA RCO Nb'!BJ9</f>
        <v>311360</v>
      </c>
      <c r="D9" s="275">
        <f>C9/$C$11</f>
        <v>0.49310295678064076</v>
      </c>
      <c r="E9" s="233">
        <f>(C9-B9)/B9</f>
        <v>5.1880046359518714E-3</v>
      </c>
      <c r="F9" s="71"/>
      <c r="G9" s="81"/>
      <c r="H9" s="95"/>
      <c r="I9" s="95"/>
    </row>
    <row r="10" spans="1:9" x14ac:dyDescent="0.25">
      <c r="A10" s="242" t="s">
        <v>28</v>
      </c>
      <c r="B10" s="93">
        <f>'B)NSA RCO Nb'!BF10</f>
        <v>315879</v>
      </c>
      <c r="C10" s="93">
        <f>'B)NSA RCO Nb'!BJ10</f>
        <v>320070</v>
      </c>
      <c r="D10" s="275">
        <f t="shared" ref="D10:D11" si="0">C10/$C$11</f>
        <v>0.50689704321935924</v>
      </c>
      <c r="E10" s="233">
        <f>(C10-B10)/B10</f>
        <v>1.3267738596108003E-2</v>
      </c>
      <c r="F10" s="71"/>
      <c r="G10" s="81"/>
      <c r="H10" s="95"/>
      <c r="I10" s="95"/>
    </row>
    <row r="11" spans="1:9" x14ac:dyDescent="0.25">
      <c r="A11" s="242" t="s">
        <v>13</v>
      </c>
      <c r="B11" s="93">
        <f>'B)NSA RCO Nb'!BF11</f>
        <v>625632</v>
      </c>
      <c r="C11" s="93">
        <f>'B)NSA RCO Nb'!BJ11</f>
        <v>631430</v>
      </c>
      <c r="D11" s="276">
        <f t="shared" si="0"/>
        <v>1</v>
      </c>
      <c r="E11" s="233">
        <f>(C11-B11)/B11</f>
        <v>9.2674287760216873E-3</v>
      </c>
      <c r="F11" s="71"/>
      <c r="G11" s="82"/>
    </row>
    <row r="12" spans="1:9" x14ac:dyDescent="0.25">
      <c r="A12" s="80"/>
      <c r="B12" s="59"/>
      <c r="C12" s="370">
        <f>C11/'A) pour TdB'!C11*100</f>
        <v>57.466096704820856</v>
      </c>
    </row>
    <row r="13" spans="1:9" x14ac:dyDescent="0.25">
      <c r="A13" s="64" t="s">
        <v>123</v>
      </c>
    </row>
    <row r="14" spans="1:9" x14ac:dyDescent="0.25">
      <c r="A14" s="58" t="s">
        <v>62</v>
      </c>
    </row>
    <row r="15" spans="1:9" x14ac:dyDescent="0.25">
      <c r="A15" s="65"/>
      <c r="B15" s="270" t="str">
        <f>B8</f>
        <v>2023- T4</v>
      </c>
      <c r="C15" s="270" t="str">
        <f>C8</f>
        <v>2024- T4</v>
      </c>
      <c r="D15" s="270" t="str">
        <f>E8</f>
        <v>Evolution 2024- T4 / 2023- T4 (en %)</v>
      </c>
      <c r="F15" s="78"/>
      <c r="H15" s="67"/>
      <c r="I15" s="67"/>
    </row>
    <row r="16" spans="1:9" x14ac:dyDescent="0.25">
      <c r="A16" s="242" t="s">
        <v>27</v>
      </c>
      <c r="B16" s="92">
        <f>'B)NSA RCO Nb'!BF16</f>
        <v>11504.569087051839</v>
      </c>
      <c r="C16" s="92">
        <f>'B)NSA RCO Nb'!BJ16</f>
        <v>11910.493033356999</v>
      </c>
      <c r="D16" s="233">
        <f>(C16-B16)/B16</f>
        <v>3.5283715820527264E-2</v>
      </c>
      <c r="E16" s="446">
        <f>F16/C16</f>
        <v>0.18418780218594527</v>
      </c>
      <c r="F16" s="447">
        <f>C16-C17</f>
        <v>2193.7675347650384</v>
      </c>
      <c r="H16" s="67"/>
      <c r="I16" s="67"/>
    </row>
    <row r="17" spans="1:10" x14ac:dyDescent="0.25">
      <c r="A17" s="242" t="s">
        <v>28</v>
      </c>
      <c r="B17" s="92">
        <f>'B)NSA RCO Nb'!BF17</f>
        <v>9475.9471972693209</v>
      </c>
      <c r="C17" s="92">
        <f>'B)NSA RCO Nb'!BJ17</f>
        <v>9716.7254985919608</v>
      </c>
      <c r="D17" s="233">
        <f>(C17-B17)/B17</f>
        <v>2.5409417793297209E-2</v>
      </c>
      <c r="F17" s="71"/>
      <c r="H17" s="67"/>
      <c r="I17" s="67"/>
    </row>
    <row r="18" spans="1:10" x14ac:dyDescent="0.25">
      <c r="A18" s="242" t="s">
        <v>13</v>
      </c>
      <c r="B18" s="92">
        <f>'B)NSA RCO Nb'!BF18</f>
        <v>10480.32107126072</v>
      </c>
      <c r="C18" s="92">
        <f>'B)NSA RCO Nb'!BJ18</f>
        <v>10798.52237888532</v>
      </c>
      <c r="D18" s="233">
        <f>(C18-B18)/B18</f>
        <v>3.0361790012061397E-2</v>
      </c>
      <c r="E18" s="268">
        <f>C18/12</f>
        <v>899.87686490710996</v>
      </c>
      <c r="G18" s="67"/>
      <c r="H18" s="67"/>
    </row>
    <row r="19" spans="1:10" s="286" customFormat="1" ht="12" thickBot="1" x14ac:dyDescent="0.3">
      <c r="A19" s="287"/>
      <c r="B19" s="288"/>
      <c r="C19" s="288"/>
      <c r="D19" s="288"/>
      <c r="E19" s="289"/>
      <c r="F19" s="285"/>
    </row>
    <row r="20" spans="1:10" x14ac:dyDescent="0.25">
      <c r="A20" s="77"/>
      <c r="B20" s="69"/>
      <c r="C20" s="70"/>
      <c r="D20" s="70"/>
      <c r="E20" s="78"/>
      <c r="F20" s="78"/>
    </row>
    <row r="21" spans="1:10" x14ac:dyDescent="0.25">
      <c r="A21" s="57" t="s">
        <v>124</v>
      </c>
    </row>
    <row r="22" spans="1:10" x14ac:dyDescent="0.25">
      <c r="A22" s="58" t="s">
        <v>75</v>
      </c>
    </row>
    <row r="23" spans="1:10" x14ac:dyDescent="0.25">
      <c r="A23" s="65"/>
      <c r="B23" s="270" t="str">
        <f>B8</f>
        <v>2023- T4</v>
      </c>
      <c r="C23" s="270" t="str">
        <f>C8</f>
        <v>2024- T4</v>
      </c>
      <c r="D23" s="270" t="str">
        <f>"% au "&amp;RIGHT(C23,2)&amp;" "&amp;LEFT(C23,4)</f>
        <v>% au T4 2024</v>
      </c>
      <c r="E23" s="270" t="str">
        <f>E8</f>
        <v>Evolution 2024- T4 / 2023- T4 (en %)</v>
      </c>
      <c r="F23" s="78"/>
    </row>
    <row r="24" spans="1:10" x14ac:dyDescent="0.25">
      <c r="A24" s="244" t="s">
        <v>67</v>
      </c>
      <c r="B24" s="93">
        <f>'B)NSA RCO Nb'!BF24</f>
        <v>507607</v>
      </c>
      <c r="C24" s="93">
        <f>'B)NSA RCO Nb'!BJ24</f>
        <v>513877</v>
      </c>
      <c r="D24" s="275">
        <f>C24/$C$27</f>
        <v>0.81383051169567489</v>
      </c>
      <c r="E24" s="233">
        <f>(C24-B24)/B24</f>
        <v>1.2352075522993182E-2</v>
      </c>
      <c r="F24" s="71"/>
    </row>
    <row r="25" spans="1:10" x14ac:dyDescent="0.25">
      <c r="A25" s="244" t="s">
        <v>76</v>
      </c>
      <c r="B25" s="93">
        <f>'B)NSA RCO Nb'!BF25+'B)NSA RCO Nb'!BF27</f>
        <v>28045</v>
      </c>
      <c r="C25" s="93">
        <f>'B)NSA RCO Nb'!BJ25+'B)NSA RCO Nb'!BJ27</f>
        <v>26259</v>
      </c>
      <c r="D25" s="275">
        <f t="shared" ref="D25:D27" si="1">C25/$C$27</f>
        <v>4.1586557496476252E-2</v>
      </c>
      <c r="E25" s="233">
        <f>(C25-B25)/B25</f>
        <v>-6.3683366018898194E-2</v>
      </c>
      <c r="F25" s="71"/>
      <c r="H25" s="83"/>
      <c r="I25" s="83"/>
      <c r="J25" s="95"/>
    </row>
    <row r="26" spans="1:10" x14ac:dyDescent="0.25">
      <c r="A26" s="244" t="s">
        <v>77</v>
      </c>
      <c r="B26" s="93">
        <f>'B)NSA RCO Nb'!BF26</f>
        <v>89980</v>
      </c>
      <c r="C26" s="93">
        <f>'B)NSA RCO Nb'!BJ26</f>
        <v>91294</v>
      </c>
      <c r="D26" s="275">
        <f t="shared" si="1"/>
        <v>0.14458293080784884</v>
      </c>
      <c r="E26" s="233">
        <f>(C26-B26)/B26</f>
        <v>1.4603245165592353E-2</v>
      </c>
      <c r="F26" s="71"/>
      <c r="G26" s="58" t="s">
        <v>186</v>
      </c>
      <c r="H26" s="95"/>
      <c r="I26" s="95"/>
    </row>
    <row r="27" spans="1:10" x14ac:dyDescent="0.25">
      <c r="A27" s="242" t="s">
        <v>13</v>
      </c>
      <c r="B27" s="93">
        <f>SUM(B24:B26)</f>
        <v>625632</v>
      </c>
      <c r="C27" s="93">
        <f>SUM(C24:C26)</f>
        <v>631430</v>
      </c>
      <c r="D27" s="276">
        <f t="shared" si="1"/>
        <v>1</v>
      </c>
      <c r="E27" s="233">
        <f>(C27-B27)/B27</f>
        <v>9.2674287760216873E-3</v>
      </c>
      <c r="F27" s="71"/>
      <c r="H27" s="95"/>
      <c r="I27" s="95"/>
    </row>
    <row r="28" spans="1:10" x14ac:dyDescent="0.25">
      <c r="A28" s="79"/>
      <c r="B28" s="69"/>
      <c r="C28" s="69"/>
      <c r="D28" s="69"/>
      <c r="E28" s="71"/>
      <c r="F28" s="71"/>
    </row>
    <row r="29" spans="1:10" x14ac:dyDescent="0.25">
      <c r="A29" s="64" t="s">
        <v>125</v>
      </c>
    </row>
    <row r="30" spans="1:10" x14ac:dyDescent="0.25">
      <c r="A30" s="58" t="s">
        <v>62</v>
      </c>
    </row>
    <row r="31" spans="1:10" x14ac:dyDescent="0.25">
      <c r="A31" s="58" t="s">
        <v>75</v>
      </c>
    </row>
    <row r="32" spans="1:10" x14ac:dyDescent="0.25">
      <c r="B32" s="270" t="str">
        <f>B8</f>
        <v>2023- T4</v>
      </c>
      <c r="C32" s="270" t="str">
        <f>C8</f>
        <v>2024- T4</v>
      </c>
      <c r="D32" s="270" t="str">
        <f>E8</f>
        <v>Evolution 2024- T4 / 2023- T4 (en %)</v>
      </c>
      <c r="E32" s="58"/>
      <c r="F32" s="78"/>
    </row>
    <row r="33" spans="1:9" x14ac:dyDescent="0.25">
      <c r="A33" s="244" t="s">
        <v>67</v>
      </c>
      <c r="B33" s="92">
        <f>'B)NSA RCO Nb'!BF33</f>
        <v>10078.32835244588</v>
      </c>
      <c r="C33" s="92">
        <f>'B)NSA RCO Nb'!BJ33</f>
        <v>10362.930856994961</v>
      </c>
      <c r="D33" s="233">
        <f>(C33-B33)/B33</f>
        <v>2.8239058561731738E-2</v>
      </c>
      <c r="E33" s="58"/>
      <c r="F33" s="71"/>
    </row>
    <row r="34" spans="1:9" x14ac:dyDescent="0.25">
      <c r="A34" s="244" t="s">
        <v>76</v>
      </c>
      <c r="B34" s="92">
        <f>'B)NSA RCO Nb'!BF34</f>
        <v>6542.0558042909997</v>
      </c>
      <c r="C34" s="92">
        <f>'B)NSA RCO Nb'!BJ34</f>
        <v>6408.0505201735205</v>
      </c>
      <c r="D34" s="233">
        <f>(C34-B34)/B34</f>
        <v>-2.0483665704836066E-2</v>
      </c>
      <c r="E34" s="58"/>
      <c r="F34" s="71"/>
    </row>
    <row r="35" spans="1:9" x14ac:dyDescent="0.25">
      <c r="A35" s="244" t="s">
        <v>77</v>
      </c>
      <c r="B35" s="92">
        <f>'B)NSA RCO Nb'!BF35</f>
        <v>13970.060413425201</v>
      </c>
      <c r="C35" s="92">
        <f>'B)NSA RCO Nb'!BJ35</f>
        <v>14503.123622581999</v>
      </c>
      <c r="D35" s="233">
        <f>(C35-B35)/B35</f>
        <v>3.815754501995753E-2</v>
      </c>
      <c r="E35" s="58"/>
      <c r="F35" s="71"/>
    </row>
    <row r="36" spans="1:9" ht="12" thickBot="1" x14ac:dyDescent="0.3">
      <c r="A36" s="73"/>
      <c r="B36" s="74"/>
      <c r="C36" s="220"/>
      <c r="D36" s="220"/>
      <c r="E36" s="76"/>
      <c r="F36" s="78"/>
    </row>
    <row r="37" spans="1:9" x14ac:dyDescent="0.25">
      <c r="A37" s="77"/>
      <c r="B37" s="69"/>
      <c r="C37" s="70"/>
      <c r="D37" s="70"/>
      <c r="E37" s="78"/>
      <c r="F37" s="78"/>
    </row>
    <row r="38" spans="1:9" x14ac:dyDescent="0.25">
      <c r="A38" s="64" t="s">
        <v>126</v>
      </c>
      <c r="C38" s="252"/>
      <c r="D38" s="252"/>
    </row>
    <row r="39" spans="1:9" x14ac:dyDescent="0.25">
      <c r="A39" s="80"/>
      <c r="B39" s="270" t="str">
        <f>B8</f>
        <v>2023- T4</v>
      </c>
      <c r="C39" s="270" t="str">
        <f>C8</f>
        <v>2024- T4</v>
      </c>
      <c r="D39" s="270" t="str">
        <f>"% au "&amp;RIGHT(C39,2)&amp;" "&amp;LEFT(C39,4)</f>
        <v>% au T4 2024</v>
      </c>
      <c r="E39" s="270" t="str">
        <f>E8</f>
        <v>Evolution 2024- T4 / 2023- T4 (en %)</v>
      </c>
      <c r="F39" s="78"/>
    </row>
    <row r="40" spans="1:9" x14ac:dyDescent="0.25">
      <c r="A40" s="246" t="s">
        <v>0</v>
      </c>
      <c r="B40" s="93">
        <f>'B)NSA RCO Nb'!BF41</f>
        <v>402817</v>
      </c>
      <c r="C40" s="93">
        <f>'B)NSA RCO Nb'!BJ41</f>
        <v>406414</v>
      </c>
      <c r="D40" s="275">
        <f>C40/$C$44</f>
        <v>0.64364062524745425</v>
      </c>
      <c r="E40" s="233">
        <f>(C40-B40)/B40</f>
        <v>8.9296131990457203E-3</v>
      </c>
      <c r="F40" s="247"/>
      <c r="H40" s="95"/>
      <c r="I40" s="95"/>
    </row>
    <row r="41" spans="1:9" x14ac:dyDescent="0.25">
      <c r="A41" s="246" t="s">
        <v>1</v>
      </c>
      <c r="B41" s="93">
        <f>'B)NSA RCO Nb'!BF42</f>
        <v>49898</v>
      </c>
      <c r="C41" s="93">
        <f>'B)NSA RCO Nb'!BJ42</f>
        <v>51353</v>
      </c>
      <c r="D41" s="275">
        <f t="shared" ref="D41:D44" si="2">C41/$C$44</f>
        <v>8.1328096542768E-2</v>
      </c>
      <c r="E41" s="233">
        <f>(C41-B41)/B41</f>
        <v>2.9159485350114232E-2</v>
      </c>
      <c r="F41" s="71"/>
      <c r="H41" s="95"/>
      <c r="I41" s="95"/>
    </row>
    <row r="42" spans="1:9" x14ac:dyDescent="0.25">
      <c r="A42" s="246" t="s">
        <v>139</v>
      </c>
      <c r="B42" s="93">
        <f>'B)NSA RCO Nb'!BF43</f>
        <v>3312</v>
      </c>
      <c r="C42" s="93">
        <f>'B)NSA RCO Nb'!BJ43</f>
        <v>4205</v>
      </c>
      <c r="D42" s="275">
        <f t="shared" si="2"/>
        <v>6.6594871957303264E-3</v>
      </c>
      <c r="E42" s="233">
        <f>(C42-B42)/B42</f>
        <v>0.26962560386473428</v>
      </c>
      <c r="F42" s="71"/>
      <c r="H42" s="95"/>
      <c r="I42" s="95"/>
    </row>
    <row r="43" spans="1:9" x14ac:dyDescent="0.25">
      <c r="A43" s="246" t="s">
        <v>73</v>
      </c>
      <c r="B43" s="93">
        <f>'B)NSA RCO Nb'!BF44+'B)NSA RCO Nb'!BF45</f>
        <v>169605</v>
      </c>
      <c r="C43" s="93">
        <f>'B)NSA RCO Nb'!BJ44+'B)NSA RCO Nb'!BJ45</f>
        <v>169458</v>
      </c>
      <c r="D43" s="275">
        <f t="shared" si="2"/>
        <v>0.26837179101404746</v>
      </c>
      <c r="E43" s="233">
        <f>(C43-B43)/B43</f>
        <v>-8.6671973114000179E-4</v>
      </c>
      <c r="F43" s="71"/>
      <c r="G43" s="58" t="s">
        <v>187</v>
      </c>
    </row>
    <row r="44" spans="1:9" x14ac:dyDescent="0.25">
      <c r="A44" s="242" t="s">
        <v>13</v>
      </c>
      <c r="B44" s="93">
        <f>SUM(B40:B43)</f>
        <v>625632</v>
      </c>
      <c r="C44" s="93">
        <f>SUM(C40:C43)</f>
        <v>631430</v>
      </c>
      <c r="D44" s="277">
        <f t="shared" si="2"/>
        <v>1</v>
      </c>
      <c r="E44" s="233">
        <f>(C44-B44)/B44</f>
        <v>9.2674287760216873E-3</v>
      </c>
      <c r="F44" s="71"/>
    </row>
    <row r="45" spans="1:9" x14ac:dyDescent="0.25">
      <c r="A45" s="84"/>
      <c r="B45" s="85"/>
      <c r="C45" s="254">
        <f>C40/C11</f>
        <v>0.64364062524745425</v>
      </c>
      <c r="D45" s="254"/>
      <c r="E45" s="71"/>
      <c r="F45" s="71"/>
      <c r="H45" s="83"/>
      <c r="I45" s="83"/>
    </row>
    <row r="46" spans="1:9" x14ac:dyDescent="0.25">
      <c r="A46" s="64" t="s">
        <v>127</v>
      </c>
      <c r="C46" s="221"/>
      <c r="D46" s="221"/>
      <c r="E46" s="233"/>
    </row>
    <row r="47" spans="1:9" x14ac:dyDescent="0.25">
      <c r="A47" s="58" t="s">
        <v>62</v>
      </c>
    </row>
    <row r="48" spans="1:9" x14ac:dyDescent="0.25">
      <c r="B48" s="270" t="str">
        <f>B8</f>
        <v>2023- T4</v>
      </c>
      <c r="C48" s="270" t="str">
        <f>C8</f>
        <v>2024- T4</v>
      </c>
      <c r="D48" s="270" t="str">
        <f>E8</f>
        <v>Evolution 2024- T4 / 2023- T4 (en %)</v>
      </c>
      <c r="E48" s="58"/>
      <c r="F48" s="78"/>
    </row>
    <row r="49" spans="1:9" x14ac:dyDescent="0.25">
      <c r="A49" s="246" t="s">
        <v>0</v>
      </c>
      <c r="B49" s="92">
        <f>'B)NSA RCO Nb'!BF52</f>
        <v>10346.7458324748</v>
      </c>
      <c r="C49" s="92">
        <f>'B)NSA RCO Nb'!BJ52</f>
        <v>10705.499318429</v>
      </c>
      <c r="D49" s="233">
        <f>(C49-B49)/B49</f>
        <v>3.4673074197705538E-2</v>
      </c>
      <c r="E49" s="268">
        <f>C49/12</f>
        <v>892.1249432024166</v>
      </c>
      <c r="F49" s="58"/>
      <c r="G49" s="67"/>
      <c r="H49" s="67"/>
    </row>
    <row r="50" spans="1:9" x14ac:dyDescent="0.25">
      <c r="A50" s="246" t="s">
        <v>1</v>
      </c>
      <c r="B50" s="92">
        <f>'B)NSA RCO Nb'!BF53</f>
        <v>6605.7273638221995</v>
      </c>
      <c r="C50" s="92">
        <f>'B)NSA RCO Nb'!BJ53</f>
        <v>6684.0563939789199</v>
      </c>
      <c r="D50" s="233">
        <f>(C50-B50)/B50</f>
        <v>1.1857744929908475E-2</v>
      </c>
      <c r="E50" s="58"/>
      <c r="F50" s="71"/>
      <c r="G50" s="67"/>
      <c r="H50" s="67"/>
    </row>
    <row r="51" spans="1:9" x14ac:dyDescent="0.25">
      <c r="A51" s="246" t="s">
        <v>139</v>
      </c>
      <c r="B51" s="92">
        <f>'B)NSA RCO Nb'!BF54</f>
        <v>8361.5144927536403</v>
      </c>
      <c r="C51" s="92">
        <f>'B)NSA RCO Nb'!BJ54</f>
        <v>8615.9219976218792</v>
      </c>
      <c r="D51" s="233">
        <f>(C51-B51)/B51</f>
        <v>3.0426007763153039E-2</v>
      </c>
      <c r="E51" s="58"/>
      <c r="F51" s="71"/>
      <c r="G51" s="67"/>
      <c r="H51" s="67"/>
    </row>
    <row r="52" spans="1:9" x14ac:dyDescent="0.25">
      <c r="A52" s="246" t="s">
        <v>73</v>
      </c>
      <c r="B52" s="92">
        <f>'B)NSA RCO Nb'!BF55</f>
        <v>11980.99479369576</v>
      </c>
      <c r="C52" s="92">
        <f>'B)NSA RCO Nb'!BJ55</f>
        <v>12325.538125073879</v>
      </c>
      <c r="D52" s="233">
        <f>(C52-B52)/B52</f>
        <v>2.8757489449825459E-2</v>
      </c>
      <c r="E52" s="58"/>
      <c r="F52" s="71"/>
      <c r="G52" s="67"/>
      <c r="H52" s="67"/>
    </row>
    <row r="53" spans="1:9" ht="12" thickBot="1" x14ac:dyDescent="0.3">
      <c r="A53" s="94"/>
      <c r="B53" s="94"/>
      <c r="C53" s="222"/>
      <c r="D53" s="222"/>
      <c r="E53" s="76"/>
      <c r="F53" s="78"/>
    </row>
    <row r="55" spans="1:9" x14ac:dyDescent="0.25">
      <c r="A55" s="64" t="s">
        <v>128</v>
      </c>
    </row>
    <row r="56" spans="1:9" x14ac:dyDescent="0.25">
      <c r="A56" s="89" t="s">
        <v>249</v>
      </c>
    </row>
    <row r="57" spans="1:9" x14ac:dyDescent="0.25">
      <c r="A57" s="65"/>
      <c r="B57" s="270" t="str">
        <f>B8</f>
        <v>2023- T4</v>
      </c>
      <c r="C57" s="270" t="str">
        <f>C8</f>
        <v>2024- T4</v>
      </c>
      <c r="D57" s="270" t="str">
        <f>"% au "&amp;RIGHT(C57,2)&amp;" "&amp;LEFT(C57,4)</f>
        <v>% au T4 2024</v>
      </c>
      <c r="E57" s="270" t="str">
        <f>E8</f>
        <v>Evolution 2024- T4 / 2023- T4 (en %)</v>
      </c>
      <c r="F57" s="78"/>
    </row>
    <row r="58" spans="1:9" x14ac:dyDescent="0.25">
      <c r="A58" s="246" t="s">
        <v>0</v>
      </c>
      <c r="B58" s="93">
        <f>'B)NSA RCO Nb'!BF63</f>
        <v>163331</v>
      </c>
      <c r="C58" s="93">
        <f>'B)NSA RCO Nb'!BJ63</f>
        <v>157755</v>
      </c>
      <c r="D58" s="275">
        <f>C58/$C$62</f>
        <v>0.66678642377108077</v>
      </c>
      <c r="E58" s="233">
        <f>(C58-B58)/B58</f>
        <v>-3.413926321396428E-2</v>
      </c>
      <c r="F58" s="71"/>
    </row>
    <row r="59" spans="1:9" x14ac:dyDescent="0.25">
      <c r="A59" s="246" t="s">
        <v>1</v>
      </c>
      <c r="B59" s="93">
        <f>'B)NSA RCO Nb'!BF64</f>
        <v>8548</v>
      </c>
      <c r="C59" s="93">
        <f>'B)NSA RCO Nb'!BJ64</f>
        <v>7468</v>
      </c>
      <c r="D59" s="275">
        <f t="shared" ref="D59:D62" si="3">C59/$C$62</f>
        <v>3.1565154909336826E-2</v>
      </c>
      <c r="E59" s="233">
        <f>(C59-B59)/B59</f>
        <v>-0.12634534394010294</v>
      </c>
      <c r="F59" s="71"/>
    </row>
    <row r="60" spans="1:9" x14ac:dyDescent="0.25">
      <c r="A60" s="246" t="s">
        <v>139</v>
      </c>
      <c r="B60" s="93">
        <f>'B)NSA RCO Nb'!BF65</f>
        <v>1466</v>
      </c>
      <c r="C60" s="93">
        <f>'B)NSA RCO Nb'!BJ65</f>
        <v>1315</v>
      </c>
      <c r="D60" s="275">
        <f t="shared" si="3"/>
        <v>5.5581385519252718E-3</v>
      </c>
      <c r="E60" s="233">
        <f>(C60-B60)/B60</f>
        <v>-0.10300136425648022</v>
      </c>
      <c r="F60" s="71"/>
    </row>
    <row r="61" spans="1:9" x14ac:dyDescent="0.25">
      <c r="A61" s="246" t="s">
        <v>160</v>
      </c>
      <c r="B61" s="93">
        <f>'B)NSA RCO Nb'!BF66</f>
        <v>75533</v>
      </c>
      <c r="C61" s="93">
        <f>'B)NSA RCO Nb'!BJ66</f>
        <v>70052</v>
      </c>
      <c r="D61" s="275">
        <f t="shared" si="3"/>
        <v>0.29609028276765714</v>
      </c>
      <c r="E61" s="233">
        <f>(C61-B61)/B61</f>
        <v>-7.2564309639495325E-2</v>
      </c>
      <c r="F61" s="71"/>
    </row>
    <row r="62" spans="1:9" x14ac:dyDescent="0.25">
      <c r="A62" s="242" t="s">
        <v>13</v>
      </c>
      <c r="B62" s="93">
        <f>SUM(B58:B61)</f>
        <v>248878</v>
      </c>
      <c r="C62" s="93">
        <f>SUM(C58:C61)</f>
        <v>236590</v>
      </c>
      <c r="D62" s="276">
        <f t="shared" si="3"/>
        <v>1</v>
      </c>
      <c r="E62" s="233">
        <f>(C62-B62)/B62</f>
        <v>-4.9373588665932708E-2</v>
      </c>
      <c r="F62" s="71"/>
      <c r="H62" s="103"/>
      <c r="I62" s="103"/>
    </row>
    <row r="63" spans="1:9" x14ac:dyDescent="0.25">
      <c r="A63" s="68"/>
      <c r="B63" s="70"/>
      <c r="C63" s="70"/>
      <c r="D63" s="70"/>
      <c r="E63" s="71"/>
      <c r="F63" s="71"/>
      <c r="H63" s="103"/>
      <c r="I63" s="103"/>
    </row>
    <row r="64" spans="1:9" x14ac:dyDescent="0.25">
      <c r="A64" s="65"/>
      <c r="B64" s="69"/>
      <c r="C64" s="70"/>
      <c r="D64" s="70"/>
      <c r="E64" s="71"/>
      <c r="F64" s="71"/>
    </row>
    <row r="65" spans="1:8" x14ac:dyDescent="0.25">
      <c r="A65" s="64" t="s">
        <v>129</v>
      </c>
    </row>
    <row r="66" spans="1:8" x14ac:dyDescent="0.25">
      <c r="A66" s="58" t="s">
        <v>62</v>
      </c>
    </row>
    <row r="67" spans="1:8" x14ac:dyDescent="0.25">
      <c r="B67" s="270" t="str">
        <f>B8</f>
        <v>2023- T4</v>
      </c>
      <c r="C67" s="270" t="str">
        <f>C8</f>
        <v>2024- T4</v>
      </c>
      <c r="D67" s="270" t="str">
        <f>E8</f>
        <v>Evolution 2024- T4 / 2023- T4 (en %)</v>
      </c>
      <c r="E67" s="58"/>
      <c r="F67" s="78"/>
    </row>
    <row r="68" spans="1:8" x14ac:dyDescent="0.25">
      <c r="A68" s="246" t="s">
        <v>0</v>
      </c>
      <c r="B68" s="92">
        <f>'B)NSA RCO Nb'!BF72</f>
        <v>13009.689036374</v>
      </c>
      <c r="C68" s="92">
        <f>'B)NSA RCO Nb'!BJ72</f>
        <v>13703.81038952808</v>
      </c>
      <c r="D68" s="233">
        <f>(C68-B68)/B68</f>
        <v>5.3354184808981568E-2</v>
      </c>
      <c r="E68" s="268">
        <f>C68/12</f>
        <v>1141.9841991273399</v>
      </c>
      <c r="F68" s="58"/>
      <c r="G68" s="67"/>
      <c r="H68" s="67"/>
    </row>
    <row r="69" spans="1:8" x14ac:dyDescent="0.25">
      <c r="A69" s="246" t="s">
        <v>1</v>
      </c>
      <c r="B69" s="92">
        <f>'B)NSA RCO Nb'!BF73</f>
        <v>9164.7065980346397</v>
      </c>
      <c r="C69" s="92">
        <f>'B)NSA RCO Nb'!BJ73</f>
        <v>9612.4574183181594</v>
      </c>
      <c r="D69" s="233">
        <f>(C69-B69)/B69</f>
        <v>4.8855990695822096E-2</v>
      </c>
      <c r="E69" s="58"/>
      <c r="F69" s="71"/>
      <c r="G69" s="67"/>
      <c r="H69" s="67"/>
    </row>
    <row r="70" spans="1:8" x14ac:dyDescent="0.25">
      <c r="A70" s="246" t="s">
        <v>139</v>
      </c>
      <c r="B70" s="92">
        <f>'B)NSA RCO Nb'!BF74</f>
        <v>10209.52523874488</v>
      </c>
      <c r="C70" s="92">
        <f>'B)NSA RCO Nb'!BJ74</f>
        <v>10783.05399239544</v>
      </c>
      <c r="D70" s="233">
        <f>(C70-B70)/B70</f>
        <v>5.6175849536473421E-2</v>
      </c>
      <c r="E70" s="58"/>
      <c r="F70" s="71"/>
      <c r="G70" s="67"/>
      <c r="H70" s="67"/>
    </row>
    <row r="71" spans="1:8" x14ac:dyDescent="0.25">
      <c r="A71" s="246" t="s">
        <v>160</v>
      </c>
      <c r="B71" s="92">
        <f>'B)NSA RCO Nb'!BF75</f>
        <v>14464.826539531199</v>
      </c>
      <c r="C71" s="92">
        <f>'B)NSA RCO Nb'!BJ75</f>
        <v>15259.355923974361</v>
      </c>
      <c r="D71" s="233">
        <f>(C71-B71)/B71</f>
        <v>5.4928372785651956E-2</v>
      </c>
      <c r="E71" s="58"/>
      <c r="F71" s="71"/>
      <c r="G71" s="67"/>
      <c r="H71" s="67"/>
    </row>
    <row r="72" spans="1:8" x14ac:dyDescent="0.25">
      <c r="A72" s="242" t="s">
        <v>13</v>
      </c>
      <c r="B72" s="92">
        <f>'B)NSA RCO Nb'!BF76</f>
        <v>13302.67719927032</v>
      </c>
      <c r="C72" s="92">
        <f>'B)NSA RCO Nb'!BJ76</f>
        <v>14018.92972653112</v>
      </c>
      <c r="D72" s="233">
        <f>(C72-B72)/B72</f>
        <v>5.3842735302942472E-2</v>
      </c>
      <c r="E72" s="58"/>
      <c r="F72" s="71"/>
    </row>
    <row r="73" spans="1:8" x14ac:dyDescent="0.25">
      <c r="E73" s="55"/>
      <c r="F73" s="55"/>
    </row>
    <row r="75" spans="1:8" x14ac:dyDescent="0.25">
      <c r="A75" s="57" t="s">
        <v>171</v>
      </c>
    </row>
    <row r="76" spans="1:8" x14ac:dyDescent="0.25">
      <c r="A76" s="57"/>
      <c r="B76" s="59"/>
    </row>
    <row r="77" spans="1:8" x14ac:dyDescent="0.25">
      <c r="B77" s="270" t="str">
        <f>B67</f>
        <v>2023- T4</v>
      </c>
      <c r="C77" s="270" t="str">
        <f>C67</f>
        <v>2024- T4</v>
      </c>
      <c r="D77" s="270" t="str">
        <f>D67</f>
        <v>Evolution 2024- T4 / 2023- T4 (en %)</v>
      </c>
      <c r="E77" s="58"/>
    </row>
    <row r="78" spans="1:8" x14ac:dyDescent="0.25">
      <c r="A78" s="243" t="s">
        <v>172</v>
      </c>
      <c r="B78" s="238">
        <f>'B)NSA RCO Nb'!BF81</f>
        <v>235582</v>
      </c>
      <c r="C78" s="238">
        <f>'B)NSA RCO Nb'!BJ81</f>
        <v>226297</v>
      </c>
      <c r="D78" s="233">
        <f>(C78-B78)/B78</f>
        <v>-3.941302816004618E-2</v>
      </c>
      <c r="E78" s="58"/>
    </row>
    <row r="79" spans="1:8" x14ac:dyDescent="0.25">
      <c r="A79" s="243" t="s">
        <v>258</v>
      </c>
      <c r="B79" s="92">
        <f>'B)NSA RCO Nb'!BF82*12</f>
        <v>1689.62598985302</v>
      </c>
      <c r="C79" s="92">
        <f>'B)NSA RCO Nb'!BJ82*12</f>
        <v>1699.882234332912</v>
      </c>
      <c r="D79" s="233">
        <f>(C79-B79)/B79</f>
        <v>6.0701270822569806E-3</v>
      </c>
      <c r="E79" s="58"/>
    </row>
    <row r="80" spans="1:8" x14ac:dyDescent="0.25">
      <c r="B80" s="248"/>
      <c r="C80" s="278">
        <f>C79/12</f>
        <v>141.656852861076</v>
      </c>
      <c r="D80" s="250"/>
    </row>
    <row r="82" spans="2:4" x14ac:dyDescent="0.25">
      <c r="B82" s="371"/>
      <c r="C82" s="371">
        <f>C78/C11*100</f>
        <v>35.838810319433669</v>
      </c>
      <c r="D82" s="250"/>
    </row>
  </sheetData>
  <mergeCells count="2">
    <mergeCell ref="A1:E1"/>
    <mergeCell ref="A2:E2"/>
  </mergeCells>
  <pageMargins left="0.5" right="0.49" top="0.55118110236220474" bottom="0.62992125984251968" header="0.27559055118110237" footer="0.1968503937007874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9"/>
  </sheetPr>
  <dimension ref="A1:H36"/>
  <sheetViews>
    <sheetView showGridLines="0" zoomScale="84" zoomScaleNormal="84" workbookViewId="0">
      <selection activeCell="H11" sqref="H11"/>
    </sheetView>
  </sheetViews>
  <sheetFormatPr baseColWidth="10" defaultColWidth="11.453125" defaultRowHeight="11.5" x14ac:dyDescent="0.25"/>
  <cols>
    <col min="1" max="1" width="40.54296875" style="58" customWidth="1"/>
    <col min="2" max="2" width="11.453125" style="58"/>
    <col min="3" max="3" width="11.453125" style="59"/>
    <col min="4" max="4" width="51" style="59" bestFit="1" customWidth="1"/>
    <col min="5" max="5" width="34.26953125" style="60" customWidth="1"/>
    <col min="6" max="6" width="7.7265625" style="58" customWidth="1"/>
    <col min="7" max="7" width="24.453125" style="58" customWidth="1"/>
    <col min="8" max="8" width="11" style="58" bestFit="1" customWidth="1"/>
    <col min="9" max="9" width="12" style="58" bestFit="1" customWidth="1"/>
    <col min="10" max="16384" width="11.453125" style="58"/>
  </cols>
  <sheetData>
    <row r="1" spans="1:8" ht="14" x14ac:dyDescent="0.3">
      <c r="A1" s="492" t="str">
        <f>'A) pour TdB'!A1:E1</f>
        <v>Les retraites du régime des Non-Salariés Agricoles en métropole</v>
      </c>
      <c r="B1" s="492"/>
      <c r="C1" s="492"/>
      <c r="D1" s="492"/>
      <c r="E1" s="492"/>
    </row>
    <row r="2" spans="1:8" ht="14" x14ac:dyDescent="0.3">
      <c r="A2" s="492" t="str">
        <f>'A) pour TdB'!A2:E2</f>
        <v>Eléments démographiques et financiers de l'ensemble des retraités au 4-ème trimestre 2024</v>
      </c>
      <c r="B2" s="492"/>
      <c r="C2" s="492"/>
      <c r="D2" s="492"/>
      <c r="E2" s="492"/>
    </row>
    <row r="3" spans="1:8" ht="12.5" x14ac:dyDescent="0.25">
      <c r="A3" s="57"/>
      <c r="B3" s="355" t="s">
        <v>279</v>
      </c>
      <c r="C3" s="355" t="s">
        <v>289</v>
      </c>
      <c r="D3" s="217"/>
      <c r="G3" s="112" t="s">
        <v>179</v>
      </c>
    </row>
    <row r="4" spans="1:8" x14ac:dyDescent="0.25">
      <c r="A4" s="57" t="s">
        <v>45</v>
      </c>
    </row>
    <row r="5" spans="1:8" x14ac:dyDescent="0.25">
      <c r="A5" s="90" t="s">
        <v>69</v>
      </c>
      <c r="B5" s="90"/>
      <c r="C5" s="91"/>
      <c r="D5" s="91"/>
      <c r="E5" s="78"/>
      <c r="H5" s="65"/>
    </row>
    <row r="6" spans="1:8" x14ac:dyDescent="0.25">
      <c r="A6" s="57"/>
      <c r="B6" s="286"/>
      <c r="C6" s="286"/>
      <c r="D6" s="286"/>
      <c r="E6" s="394"/>
      <c r="H6" s="65"/>
    </row>
    <row r="7" spans="1:8" x14ac:dyDescent="0.25">
      <c r="A7" s="64" t="s">
        <v>173</v>
      </c>
      <c r="H7" s="65"/>
    </row>
    <row r="8" spans="1:8" x14ac:dyDescent="0.25">
      <c r="A8" s="65"/>
      <c r="B8" s="270" t="str">
        <f>'C)NSA RCO SA Nb'!BF8</f>
        <v>2023- T4</v>
      </c>
      <c r="C8" s="270" t="str">
        <f>'C)NSA RCO SA Nb'!BJ8</f>
        <v>2024- T4</v>
      </c>
      <c r="D8" s="270" t="str">
        <f>"% au "&amp;RIGHT(C8,2)&amp;" "&amp;LEFT(C8,4)</f>
        <v>% au T4 2024</v>
      </c>
      <c r="E8" s="270" t="str">
        <f>'A) pour TdB'!E8</f>
        <v>Evolution 2024- T4 / 2023- T4 (en %)</v>
      </c>
    </row>
    <row r="9" spans="1:8" x14ac:dyDescent="0.25">
      <c r="A9" s="242" t="s">
        <v>27</v>
      </c>
      <c r="B9" s="66">
        <f>'C)NSA RCO SA Nb'!BF9</f>
        <v>385860</v>
      </c>
      <c r="C9" s="66">
        <f>'C)NSA RCO SA Nb'!BJ9</f>
        <v>379810</v>
      </c>
      <c r="D9" s="230">
        <f>C9/$C$11</f>
        <v>0.70200633970075876</v>
      </c>
      <c r="E9" s="233">
        <f>(C9-B9)/B9</f>
        <v>-1.567926190846421E-2</v>
      </c>
    </row>
    <row r="10" spans="1:8" x14ac:dyDescent="0.25">
      <c r="A10" s="242" t="s">
        <v>28</v>
      </c>
      <c r="B10" s="66">
        <f>'C)NSA RCO SA Nb'!BF10</f>
        <v>163819</v>
      </c>
      <c r="C10" s="66">
        <f>'C)NSA RCO SA Nb'!BJ10</f>
        <v>161225</v>
      </c>
      <c r="D10" s="230">
        <f t="shared" ref="D10:D11" si="0">C10/$C$11</f>
        <v>0.29799366029924129</v>
      </c>
      <c r="E10" s="233">
        <f>(C10-B10)/B10</f>
        <v>-1.5834549106025553E-2</v>
      </c>
    </row>
    <row r="11" spans="1:8" x14ac:dyDescent="0.25">
      <c r="A11" s="242" t="s">
        <v>13</v>
      </c>
      <c r="B11" s="66">
        <f>'C)NSA RCO SA Nb'!BF11</f>
        <v>549679</v>
      </c>
      <c r="C11" s="66">
        <f>'C)NSA RCO SA Nb'!BJ11</f>
        <v>541035</v>
      </c>
      <c r="D11" s="272">
        <f t="shared" si="0"/>
        <v>1</v>
      </c>
      <c r="E11" s="233">
        <f>(C11-B11)/B11</f>
        <v>-1.5725541634299289E-2</v>
      </c>
    </row>
    <row r="12" spans="1:8" x14ac:dyDescent="0.25">
      <c r="A12" s="77"/>
      <c r="B12" s="69"/>
      <c r="C12" s="70"/>
      <c r="D12" s="70"/>
      <c r="E12" s="71"/>
    </row>
    <row r="13" spans="1:8" x14ac:dyDescent="0.25">
      <c r="A13" s="64" t="s">
        <v>174</v>
      </c>
      <c r="B13" s="69"/>
      <c r="C13" s="70"/>
      <c r="D13" s="70"/>
      <c r="E13" s="71"/>
    </row>
    <row r="14" spans="1:8" x14ac:dyDescent="0.25">
      <c r="A14" s="89" t="s">
        <v>63</v>
      </c>
      <c r="B14" s="69"/>
      <c r="C14" s="70"/>
      <c r="D14" s="70"/>
      <c r="E14" s="71"/>
    </row>
    <row r="15" spans="1:8" x14ac:dyDescent="0.25">
      <c r="A15" s="89" t="s">
        <v>64</v>
      </c>
      <c r="B15" s="69"/>
      <c r="C15" s="70"/>
      <c r="D15" s="70"/>
      <c r="E15" s="71"/>
    </row>
    <row r="16" spans="1:8" x14ac:dyDescent="0.25">
      <c r="A16" s="57"/>
      <c r="B16" s="270" t="str">
        <f>B8</f>
        <v>2023- T4</v>
      </c>
      <c r="C16" s="270" t="str">
        <f>C8</f>
        <v>2024- T4</v>
      </c>
      <c r="D16" s="270" t="str">
        <f>E8</f>
        <v>Evolution 2024- T4 / 2023- T4 (en %)</v>
      </c>
      <c r="E16" s="444">
        <f>F16/C17</f>
        <v>0.26740779191694058</v>
      </c>
      <c r="F16" s="445">
        <f>C17-C18</f>
        <v>2946.6622685825996</v>
      </c>
    </row>
    <row r="17" spans="1:8" x14ac:dyDescent="0.25">
      <c r="A17" s="242" t="s">
        <v>27</v>
      </c>
      <c r="B17" s="92">
        <f>'C)NSA RCO SA Nb'!BF17</f>
        <v>10402.592764215</v>
      </c>
      <c r="C17" s="92">
        <f>'C)NSA RCO SA Nb'!BJ17</f>
        <v>11019.35828967116</v>
      </c>
      <c r="D17" s="233">
        <f>(C17-B17)/B17</f>
        <v>5.9289596299283945E-2</v>
      </c>
      <c r="E17" s="273"/>
      <c r="F17" s="67"/>
      <c r="G17" s="67"/>
      <c r="H17" s="67"/>
    </row>
    <row r="18" spans="1:8" x14ac:dyDescent="0.25">
      <c r="A18" s="242" t="s">
        <v>28</v>
      </c>
      <c r="B18" s="92">
        <f>'C)NSA RCO SA Nb'!BF18</f>
        <v>7630.9012996050396</v>
      </c>
      <c r="C18" s="92">
        <f>'C)NSA RCO SA Nb'!BJ18</f>
        <v>8072.69602108856</v>
      </c>
      <c r="D18" s="233">
        <f>(C18-B18)/B18</f>
        <v>5.7895483657531617E-2</v>
      </c>
      <c r="F18" s="67"/>
      <c r="G18" s="67"/>
      <c r="H18" s="67"/>
    </row>
    <row r="19" spans="1:8" x14ac:dyDescent="0.25">
      <c r="A19" s="242" t="s">
        <v>13</v>
      </c>
      <c r="B19" s="92">
        <f>'C)NSA RCO SA Nb'!BF19</f>
        <v>9576.5547965267197</v>
      </c>
      <c r="C19" s="92">
        <f>'C)NSA RCO SA Nb'!BJ19</f>
        <v>10141.27161459056</v>
      </c>
      <c r="D19" s="233">
        <f>(C19-B19)/B19</f>
        <v>5.8968682377158722E-2</v>
      </c>
      <c r="F19" s="67"/>
      <c r="G19" s="67"/>
      <c r="H19" s="67"/>
    </row>
    <row r="20" spans="1:8" ht="12" thickBot="1" x14ac:dyDescent="0.3">
      <c r="A20" s="73"/>
      <c r="B20" s="74"/>
      <c r="C20" s="75"/>
      <c r="D20" s="75"/>
      <c r="E20" s="76"/>
    </row>
    <row r="21" spans="1:8" x14ac:dyDescent="0.25">
      <c r="A21" s="77"/>
      <c r="B21" s="69"/>
      <c r="C21" s="70"/>
      <c r="D21" s="70"/>
      <c r="E21" s="78"/>
    </row>
    <row r="22" spans="1:8" x14ac:dyDescent="0.25">
      <c r="A22" s="64" t="s">
        <v>175</v>
      </c>
    </row>
    <row r="23" spans="1:8" x14ac:dyDescent="0.25">
      <c r="A23" s="89" t="s">
        <v>250</v>
      </c>
    </row>
    <row r="24" spans="1:8" x14ac:dyDescent="0.25">
      <c r="A24" s="65"/>
      <c r="B24" s="270" t="str">
        <f>B8</f>
        <v>2023- T4</v>
      </c>
      <c r="C24" s="270" t="str">
        <f>C8</f>
        <v>2024- T4</v>
      </c>
      <c r="D24" s="270" t="str">
        <f>"% en "&amp;C24&amp;" / pensionnés toute durée de carrière"</f>
        <v>% en 2024- T4 / pensionnés toute durée de carrière</v>
      </c>
      <c r="E24" s="270" t="str">
        <f>E8</f>
        <v>Evolution 2024- T4 / 2023- T4 (en %)</v>
      </c>
    </row>
    <row r="25" spans="1:8" x14ac:dyDescent="0.25">
      <c r="A25" s="246" t="s">
        <v>0</v>
      </c>
      <c r="B25" s="66">
        <f>'C)NSA RCO SA Nb'!BF25</f>
        <v>265134</v>
      </c>
      <c r="C25" s="66">
        <f>'C)NSA RCO SA Nb'!BJ25</f>
        <v>262245</v>
      </c>
      <c r="D25" s="230">
        <f>C25/C11</f>
        <v>0.48470986165405194</v>
      </c>
      <c r="E25" s="233">
        <f>(C25-B25)/B25</f>
        <v>-1.0896376926384394E-2</v>
      </c>
    </row>
    <row r="26" spans="1:8" x14ac:dyDescent="0.25">
      <c r="A26" s="246" t="s">
        <v>198</v>
      </c>
      <c r="B26" s="66">
        <f>'C)NSA RCO SA Nb'!BF26</f>
        <v>393290</v>
      </c>
      <c r="C26" s="66">
        <f>'C)NSA RCO SA Nb'!BJ26</f>
        <v>384034</v>
      </c>
      <c r="D26" s="230">
        <f>C26/D27</f>
        <v>0.28290443465007303</v>
      </c>
      <c r="E26" s="233">
        <f>(C26-B26)/B26</f>
        <v>-2.3534796206361716E-2</v>
      </c>
    </row>
    <row r="27" spans="1:8" x14ac:dyDescent="0.25">
      <c r="A27" s="84"/>
      <c r="B27" s="69"/>
      <c r="C27" s="70"/>
      <c r="D27" s="70">
        <v>1357469</v>
      </c>
      <c r="E27" s="71"/>
    </row>
    <row r="28" spans="1:8" x14ac:dyDescent="0.25">
      <c r="A28" s="64" t="s">
        <v>176</v>
      </c>
      <c r="B28" s="69"/>
      <c r="C28" s="70"/>
      <c r="D28" s="70"/>
      <c r="E28" s="71"/>
    </row>
    <row r="29" spans="1:8" x14ac:dyDescent="0.25">
      <c r="A29" s="89" t="s">
        <v>70</v>
      </c>
      <c r="B29" s="69"/>
      <c r="C29" s="70"/>
      <c r="D29" s="70"/>
      <c r="E29" s="71"/>
    </row>
    <row r="30" spans="1:8" x14ac:dyDescent="0.25">
      <c r="A30" s="89" t="s">
        <v>65</v>
      </c>
      <c r="B30" s="69"/>
      <c r="C30" s="70"/>
      <c r="D30" s="70"/>
      <c r="E30" s="71"/>
    </row>
    <row r="31" spans="1:8" x14ac:dyDescent="0.25">
      <c r="B31" s="270" t="str">
        <f>B8</f>
        <v>2023- T4</v>
      </c>
      <c r="C31" s="270" t="str">
        <f>C8</f>
        <v>2024- T4</v>
      </c>
      <c r="D31" s="270" t="str">
        <f>E8</f>
        <v>Evolution 2024- T4 / 2023- T4 (en %)</v>
      </c>
    </row>
    <row r="32" spans="1:8" x14ac:dyDescent="0.25">
      <c r="A32" s="242" t="s">
        <v>74</v>
      </c>
      <c r="B32" s="92">
        <f>'C)NSA RCO SA Nb'!BF32</f>
        <v>13244.278742070041</v>
      </c>
      <c r="C32" s="92">
        <f>'C)NSA RCO SA Nb'!BJ32</f>
        <v>14011.36325192092</v>
      </c>
      <c r="D32" s="233">
        <f>(C32-B32)/B32</f>
        <v>5.7918179222116464E-2</v>
      </c>
      <c r="F32" s="67"/>
      <c r="G32" s="67"/>
      <c r="H32" s="67"/>
    </row>
    <row r="33" spans="1:5" x14ac:dyDescent="0.25">
      <c r="A33" s="244" t="s">
        <v>199</v>
      </c>
      <c r="B33" s="92">
        <f>'C)NSA RCO SA Nb'!BF33</f>
        <v>13447.296661496601</v>
      </c>
      <c r="C33" s="92">
        <f>'C)NSA RCO SA Nb'!BJ33</f>
        <v>14218.772962810601</v>
      </c>
      <c r="D33" s="233">
        <f>(C33-B33)/B33</f>
        <v>5.737036377898571E-2</v>
      </c>
    </row>
    <row r="34" spans="1:5" x14ac:dyDescent="0.25">
      <c r="A34" s="77"/>
      <c r="B34" s="69"/>
      <c r="C34" s="70"/>
      <c r="D34" s="70"/>
      <c r="E34" s="55" t="s">
        <v>53</v>
      </c>
    </row>
    <row r="35" spans="1:5" x14ac:dyDescent="0.25">
      <c r="A35" s="90"/>
      <c r="B35" s="90"/>
      <c r="C35" s="91"/>
      <c r="D35" s="91"/>
      <c r="E35" s="78"/>
    </row>
    <row r="36" spans="1:5" x14ac:dyDescent="0.25">
      <c r="A36" s="90"/>
      <c r="B36" s="90"/>
      <c r="C36" s="91"/>
      <c r="D36" s="91"/>
      <c r="E36" s="78"/>
    </row>
  </sheetData>
  <mergeCells count="2">
    <mergeCell ref="A1:E1"/>
    <mergeCell ref="A2:E2"/>
  </mergeCells>
  <pageMargins left="0.59055118110236227" right="0.47244094488188981" top="0.55118110236220474" bottom="0.62992125984251968" header="0.27559055118110237"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0"/>
  <sheetViews>
    <sheetView workbookViewId="0">
      <selection activeCell="B34" sqref="B34"/>
    </sheetView>
  </sheetViews>
  <sheetFormatPr baseColWidth="10" defaultRowHeight="12.5" x14ac:dyDescent="0.25"/>
  <cols>
    <col min="2" max="2" width="11.81640625" bestFit="1" customWidth="1"/>
    <col min="3" max="3" width="6.81640625" bestFit="1" customWidth="1"/>
  </cols>
  <sheetData>
    <row r="1" spans="1:3" x14ac:dyDescent="0.25">
      <c r="A1" t="str">
        <f>'[1]pensions 1970-2010 avec diff mt'!A3</f>
        <v>Retraites NSA</v>
      </c>
      <c r="B1" t="str">
        <f>'[1]pensions 1970-2010 avec diff mt'!C4</f>
        <v>effectif n</v>
      </c>
    </row>
    <row r="2" spans="1:3" x14ac:dyDescent="0.25">
      <c r="A2">
        <f>'[1]pensions 1970-2010 avec diff mt'!A4</f>
        <v>0</v>
      </c>
      <c r="B2" t="str">
        <f>'[1]pensions 1970-2010 avec diff mt'!C4</f>
        <v>effectif n</v>
      </c>
    </row>
    <row r="3" spans="1:3" x14ac:dyDescent="0.25">
      <c r="A3">
        <f>'[1]pensions 1970-2010 avec diff mt'!A5</f>
        <v>1970</v>
      </c>
      <c r="B3" s="139">
        <f>'[1]pensions 1970-2010 avec diff mt'!C5</f>
        <v>1610880</v>
      </c>
    </row>
    <row r="4" spans="1:3" x14ac:dyDescent="0.25">
      <c r="A4">
        <f>'[1]pensions 1970-2010 avec diff mt'!A6</f>
        <v>1975</v>
      </c>
      <c r="B4" s="139">
        <f>'[1]pensions 1970-2010 avec diff mt'!C6</f>
        <v>1826053</v>
      </c>
    </row>
    <row r="5" spans="1:3" x14ac:dyDescent="0.25">
      <c r="A5">
        <f>'[1]pensions 1970-2010 avec diff mt'!A7</f>
        <v>1980</v>
      </c>
      <c r="B5" s="139">
        <f>'[1]pensions 1970-2010 avec diff mt'!C7</f>
        <v>1836375</v>
      </c>
    </row>
    <row r="6" spans="1:3" x14ac:dyDescent="0.25">
      <c r="A6">
        <f>'[1]pensions 1970-2010 avec diff mt'!A8</f>
        <v>1985</v>
      </c>
      <c r="B6" s="139">
        <f>'[1]pensions 1970-2010 avec diff mt'!C8</f>
        <v>1781700</v>
      </c>
    </row>
    <row r="7" spans="1:3" x14ac:dyDescent="0.25">
      <c r="A7">
        <f>'[1]pensions 1970-2010 avec diff mt'!A9</f>
        <v>1990</v>
      </c>
      <c r="B7" s="139">
        <f>'[1]pensions 1970-2010 avec diff mt'!C9</f>
        <v>2063717</v>
      </c>
    </row>
    <row r="8" spans="1:3" x14ac:dyDescent="0.25">
      <c r="A8">
        <f>'[1]pensions 1970-2010 avec diff mt'!A10</f>
        <v>1995</v>
      </c>
      <c r="B8" s="139">
        <f>'[1]pensions 1970-2010 avec diff mt'!C10</f>
        <v>2121526</v>
      </c>
    </row>
    <row r="9" spans="1:3" x14ac:dyDescent="0.25">
      <c r="A9">
        <f>'[1]pensions 1970-2010 avec diff mt'!A11</f>
        <v>2000</v>
      </c>
      <c r="B9" s="139">
        <f>'[1]pensions 1970-2010 avec diff mt'!C11</f>
        <v>2040033</v>
      </c>
    </row>
    <row r="10" spans="1:3" x14ac:dyDescent="0.25">
      <c r="A10">
        <f>'[1]pensions 1970-2010 avec diff mt'!A12</f>
        <v>2001</v>
      </c>
      <c r="B10" s="139">
        <f>'[1]pensions 1970-2010 avec diff mt'!C12</f>
        <v>2005802</v>
      </c>
      <c r="C10" s="141">
        <f>B10/B9-1</f>
        <v>-1.6779630525584621E-2</v>
      </c>
    </row>
    <row r="11" spans="1:3" x14ac:dyDescent="0.25">
      <c r="A11">
        <f>'[1]pensions 1970-2010 avec diff mt'!A13</f>
        <v>2002</v>
      </c>
      <c r="B11" s="139">
        <f>'[1]pensions 1970-2010 avec diff mt'!C13</f>
        <v>1968606</v>
      </c>
      <c r="C11" s="141">
        <f t="shared" ref="C11:C30" si="0">B11/B10-1</f>
        <v>-1.8544203266324444E-2</v>
      </c>
    </row>
    <row r="12" spans="1:3" x14ac:dyDescent="0.25">
      <c r="A12">
        <f>'[1]pensions 1970-2010 avec diff mt'!A14</f>
        <v>2003</v>
      </c>
      <c r="B12" s="139">
        <f>'[1]pensions 1970-2010 avec diff mt'!C14</f>
        <v>1918080</v>
      </c>
      <c r="C12" s="141">
        <f t="shared" si="0"/>
        <v>-2.5665877275594995E-2</v>
      </c>
    </row>
    <row r="13" spans="1:3" x14ac:dyDescent="0.25">
      <c r="A13">
        <f>'[1]pensions 1970-2010 avec diff mt'!A15</f>
        <v>2004</v>
      </c>
      <c r="B13" s="139">
        <f>'[1]pensions 1970-2010 avec diff mt'!C15</f>
        <v>1895279</v>
      </c>
      <c r="C13" s="141">
        <f t="shared" si="0"/>
        <v>-1.1887408241574859E-2</v>
      </c>
    </row>
    <row r="14" spans="1:3" x14ac:dyDescent="0.25">
      <c r="A14">
        <f>'[1]pensions 1970-2010 avec diff mt'!A16</f>
        <v>2005</v>
      </c>
      <c r="B14" s="139">
        <f>'[1]pensions 1970-2010 avec diff mt'!C16</f>
        <v>1863109</v>
      </c>
      <c r="C14" s="141">
        <f t="shared" si="0"/>
        <v>-1.6973754259926865E-2</v>
      </c>
    </row>
    <row r="15" spans="1:3" x14ac:dyDescent="0.25">
      <c r="A15">
        <f>'[1]pensions 1970-2010 avec diff mt'!A17</f>
        <v>2006</v>
      </c>
      <c r="B15" s="139">
        <f>'[1]pensions 1970-2010 avec diff mt'!C17</f>
        <v>1839904</v>
      </c>
      <c r="C15" s="141">
        <f t="shared" si="0"/>
        <v>-1.245498787242183E-2</v>
      </c>
    </row>
    <row r="16" spans="1:3" x14ac:dyDescent="0.25">
      <c r="A16">
        <f>'[1]pensions 1970-2010 avec diff mt'!A18</f>
        <v>2007</v>
      </c>
      <c r="B16" s="139">
        <f>'[1]pensions 1970-2010 avec diff mt'!C18</f>
        <v>1815507</v>
      </c>
      <c r="C16" s="141">
        <f t="shared" si="0"/>
        <v>-1.325993095291933E-2</v>
      </c>
    </row>
    <row r="17" spans="1:3" x14ac:dyDescent="0.25">
      <c r="A17">
        <f>'[1]pensions 1970-2010 avec diff mt'!A19</f>
        <v>2008</v>
      </c>
      <c r="B17" s="139">
        <f>'[1]pensions 1970-2010 avec diff mt'!C19</f>
        <v>1787171</v>
      </c>
      <c r="C17" s="141">
        <f t="shared" si="0"/>
        <v>-1.560776135812203E-2</v>
      </c>
    </row>
    <row r="18" spans="1:3" x14ac:dyDescent="0.25">
      <c r="A18">
        <f>'[1]pensions 1970-2010 avec diff mt'!A20</f>
        <v>2009</v>
      </c>
      <c r="B18" s="139">
        <f>'[1]pensions 1970-2010 avec diff mt'!C20</f>
        <v>1747453</v>
      </c>
      <c r="C18" s="141">
        <f t="shared" si="0"/>
        <v>-2.2223950590066655E-2</v>
      </c>
    </row>
    <row r="19" spans="1:3" x14ac:dyDescent="0.25">
      <c r="A19">
        <f>'[1]pensions 1970-2010 avec diff mt'!A21</f>
        <v>2010</v>
      </c>
      <c r="B19" s="139">
        <f>'[1]pensions 1970-2010 avec diff mt'!C21</f>
        <v>1707668</v>
      </c>
      <c r="C19" s="141">
        <f t="shared" si="0"/>
        <v>-2.2767422070865462E-2</v>
      </c>
    </row>
    <row r="20" spans="1:3" x14ac:dyDescent="0.25">
      <c r="A20">
        <v>2011</v>
      </c>
      <c r="B20" s="140">
        <f>'A)NSA Nb'!J11</f>
        <v>1662131</v>
      </c>
      <c r="C20" s="141">
        <f t="shared" si="0"/>
        <v>-2.6666190383610844E-2</v>
      </c>
    </row>
    <row r="21" spans="1:3" x14ac:dyDescent="0.25">
      <c r="A21">
        <v>2012</v>
      </c>
      <c r="B21" s="140">
        <f>'A)NSA Nb'!N11</f>
        <v>1609842</v>
      </c>
      <c r="C21" s="141">
        <f t="shared" si="0"/>
        <v>-3.145901255677197E-2</v>
      </c>
    </row>
    <row r="22" spans="1:3" x14ac:dyDescent="0.25">
      <c r="A22">
        <v>2013</v>
      </c>
      <c r="B22" s="140">
        <f>'A)NSA Nb'!R11</f>
        <v>1562430</v>
      </c>
      <c r="C22" s="141">
        <f t="shared" si="0"/>
        <v>-2.9451337460446481E-2</v>
      </c>
    </row>
    <row r="23" spans="1:3" x14ac:dyDescent="0.25">
      <c r="A23">
        <v>2014</v>
      </c>
      <c r="B23" s="140">
        <f>'A)NSA Nb'!V11</f>
        <v>1517389</v>
      </c>
      <c r="C23" s="141">
        <f>B23/B22-1</f>
        <v>-2.8827531473409995E-2</v>
      </c>
    </row>
    <row r="24" spans="1:3" x14ac:dyDescent="0.25">
      <c r="A24">
        <v>2015</v>
      </c>
      <c r="B24" s="140">
        <f>'A)NSA Nb'!Z11</f>
        <v>1469844</v>
      </c>
      <c r="C24" s="141">
        <f t="shared" si="0"/>
        <v>-3.1333428672542074E-2</v>
      </c>
    </row>
    <row r="25" spans="1:3" x14ac:dyDescent="0.25">
      <c r="A25">
        <v>2016</v>
      </c>
      <c r="B25" s="140">
        <f>'A)NSA Nb'!AD11</f>
        <v>1426811</v>
      </c>
      <c r="C25" s="141">
        <f t="shared" si="0"/>
        <v>-2.9277256634037352E-2</v>
      </c>
    </row>
    <row r="26" spans="1:3" x14ac:dyDescent="0.25">
      <c r="A26">
        <v>2017</v>
      </c>
      <c r="B26" s="140">
        <f>'A)NSA Nb'!AH11</f>
        <v>1380904</v>
      </c>
      <c r="C26" s="141">
        <f t="shared" si="0"/>
        <v>-3.2174548696358496E-2</v>
      </c>
    </row>
    <row r="27" spans="1:3" x14ac:dyDescent="0.25">
      <c r="A27">
        <v>2018</v>
      </c>
      <c r="B27" s="140">
        <f>'A)NSA Nb'!AL11</f>
        <v>1340581</v>
      </c>
      <c r="C27" s="141">
        <f t="shared" si="0"/>
        <v>-2.9200436815303599E-2</v>
      </c>
    </row>
    <row r="28" spans="1:3" x14ac:dyDescent="0.25">
      <c r="A28">
        <v>2019</v>
      </c>
      <c r="B28" s="140">
        <f>'A)NSA Nb'!AP11</f>
        <v>1300239</v>
      </c>
      <c r="C28" s="141">
        <f t="shared" si="0"/>
        <v>-3.0092922397080057E-2</v>
      </c>
    </row>
    <row r="29" spans="1:3" x14ac:dyDescent="0.25">
      <c r="A29">
        <v>2020</v>
      </c>
      <c r="B29" s="140">
        <f>'A)NSA Nb'!AT11</f>
        <v>1258098</v>
      </c>
      <c r="C29" s="141">
        <f t="shared" si="0"/>
        <v>-3.2410195356392224E-2</v>
      </c>
    </row>
    <row r="30" spans="1:3" x14ac:dyDescent="0.25">
      <c r="A30">
        <v>2021</v>
      </c>
      <c r="B30" s="140">
        <f>'A)NSA Nb'!AX11</f>
        <v>1211645</v>
      </c>
      <c r="C30" s="141">
        <f t="shared" si="0"/>
        <v>-3.6923196762096433E-2</v>
      </c>
    </row>
    <row r="31" spans="1:3" x14ac:dyDescent="0.25">
      <c r="A31">
        <v>2022</v>
      </c>
      <c r="B31" s="140">
        <f>'A)NSA Nb'!BB11</f>
        <v>1173608</v>
      </c>
      <c r="C31" s="141">
        <f t="shared" ref="C31:C32" si="1">B31/B30-1</f>
        <v>-3.139285846927109E-2</v>
      </c>
    </row>
    <row r="32" spans="1:3" x14ac:dyDescent="0.25">
      <c r="A32">
        <v>2023</v>
      </c>
      <c r="B32" s="140">
        <f>'A)NSA Nb'!BF11</f>
        <v>1135142</v>
      </c>
      <c r="C32" s="141">
        <f t="shared" si="1"/>
        <v>-3.2775850198703438E-2</v>
      </c>
    </row>
    <row r="37" spans="1:3" x14ac:dyDescent="0.25">
      <c r="B37" t="s">
        <v>132</v>
      </c>
      <c r="C37" t="s">
        <v>60</v>
      </c>
    </row>
    <row r="38" spans="1:3" x14ac:dyDescent="0.25">
      <c r="A38">
        <v>2001</v>
      </c>
      <c r="B38">
        <v>51256</v>
      </c>
      <c r="C38">
        <v>52993</v>
      </c>
    </row>
    <row r="39" spans="1:3" x14ac:dyDescent="0.25">
      <c r="A39">
        <v>2002</v>
      </c>
      <c r="B39">
        <v>49188</v>
      </c>
      <c r="C39">
        <v>51083</v>
      </c>
    </row>
    <row r="40" spans="1:3" x14ac:dyDescent="0.25">
      <c r="A40">
        <v>2003</v>
      </c>
      <c r="B40">
        <v>48453</v>
      </c>
      <c r="C40">
        <v>50114</v>
      </c>
    </row>
    <row r="41" spans="1:3" x14ac:dyDescent="0.25">
      <c r="A41">
        <v>2004</v>
      </c>
      <c r="B41">
        <v>47425</v>
      </c>
      <c r="C41">
        <v>48576</v>
      </c>
    </row>
    <row r="42" spans="1:3" x14ac:dyDescent="0.25">
      <c r="A42">
        <v>2005</v>
      </c>
      <c r="B42">
        <v>50000</v>
      </c>
      <c r="C42">
        <v>51282</v>
      </c>
    </row>
    <row r="43" spans="1:3" x14ac:dyDescent="0.25">
      <c r="A43">
        <v>2006</v>
      </c>
      <c r="B43">
        <v>54309</v>
      </c>
      <c r="C43">
        <v>55788</v>
      </c>
    </row>
    <row r="44" spans="1:3" x14ac:dyDescent="0.25">
      <c r="A44">
        <v>2007</v>
      </c>
      <c r="B44">
        <v>52850</v>
      </c>
      <c r="C44">
        <v>54784</v>
      </c>
    </row>
    <row r="45" spans="1:3" x14ac:dyDescent="0.25">
      <c r="A45">
        <v>2008</v>
      </c>
      <c r="B45">
        <v>51082</v>
      </c>
      <c r="C45">
        <v>53336</v>
      </c>
    </row>
    <row r="46" spans="1:3" x14ac:dyDescent="0.25">
      <c r="A46">
        <v>2009</v>
      </c>
      <c r="B46">
        <v>39203</v>
      </c>
      <c r="C46">
        <v>41189</v>
      </c>
    </row>
    <row r="47" spans="1:3" x14ac:dyDescent="0.25">
      <c r="A47">
        <v>2010</v>
      </c>
      <c r="B47">
        <v>38333</v>
      </c>
      <c r="C47">
        <v>40347</v>
      </c>
    </row>
    <row r="48" spans="1:3" x14ac:dyDescent="0.25">
      <c r="A48">
        <v>2011</v>
      </c>
      <c r="B48" s="138">
        <f>'A)NSA Nb'!G117+'A)NSA Nb'!H117+'A)NSA Nb'!I117+'A)NSA Nb'!J117</f>
        <v>27426</v>
      </c>
      <c r="C48" s="138">
        <f>'A)NSA Nb'!G112+'A)NSA Nb'!H112+'A)NSA Nb'!I112+'A)NSA Nb'!J112</f>
        <v>34127</v>
      </c>
    </row>
    <row r="49" spans="1:3" x14ac:dyDescent="0.25">
      <c r="A49">
        <v>2012</v>
      </c>
      <c r="B49" s="138">
        <f>'A)NSA Nb'!K117+'A)NSA Nb'!L117+'A)NSA Nb'!M117+'A)NSA Nb'!N117</f>
        <v>23246</v>
      </c>
      <c r="C49" s="138">
        <f>'A)NSA Nb'!L112+'A)NSA Nb'!M112+'A)NSA Nb'!N112+'A)NSA Nb'!O112</f>
        <v>29340</v>
      </c>
    </row>
    <row r="50" spans="1:3" x14ac:dyDescent="0.25">
      <c r="A50">
        <v>2013</v>
      </c>
      <c r="B50" s="138">
        <f>'A)NSA Nb'!O117+'A)NSA Nb'!P117+'A)NSA Nb'!Q117+'A)NSA Nb'!R117</f>
        <v>28076</v>
      </c>
      <c r="C50" s="138">
        <f>'A)NSA Nb'!P112+'A)NSA Nb'!Q112+'A)NSA Nb'!R112+'A)NSA Nb'!S112</f>
        <v>32594</v>
      </c>
    </row>
  </sheetData>
  <phoneticPr fontId="2"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63BD-3F12-4C6B-9CB5-47D88AA39B76}">
  <dimension ref="A1:L44"/>
  <sheetViews>
    <sheetView workbookViewId="0">
      <selection activeCell="M1" sqref="M1"/>
    </sheetView>
  </sheetViews>
  <sheetFormatPr baseColWidth="10" defaultRowHeight="12.5" x14ac:dyDescent="0.25"/>
  <cols>
    <col min="1" max="1" width="19.54296875" bestFit="1" customWidth="1"/>
  </cols>
  <sheetData>
    <row r="1" spans="1:12" ht="14.5" x14ac:dyDescent="0.35">
      <c r="B1" s="473"/>
      <c r="C1" s="474"/>
      <c r="D1" s="474"/>
      <c r="E1" s="474"/>
      <c r="F1" s="474"/>
      <c r="G1" s="474"/>
      <c r="H1" s="474"/>
      <c r="I1" s="474"/>
    </row>
    <row r="3" spans="1:12" x14ac:dyDescent="0.25">
      <c r="A3" s="64"/>
      <c r="E3" s="178" t="s">
        <v>252</v>
      </c>
      <c r="F3" s="178" t="s">
        <v>255</v>
      </c>
      <c r="G3" s="178" t="s">
        <v>259</v>
      </c>
      <c r="H3" s="178" t="s">
        <v>270</v>
      </c>
      <c r="I3" s="178" t="s">
        <v>280</v>
      </c>
      <c r="J3" s="178" t="s">
        <v>282</v>
      </c>
      <c r="K3" s="178" t="s">
        <v>284</v>
      </c>
      <c r="L3" s="178" t="s">
        <v>286</v>
      </c>
    </row>
    <row r="4" spans="1:12" ht="13" x14ac:dyDescent="0.3">
      <c r="A4" s="1"/>
    </row>
    <row r="6" spans="1:12" x14ac:dyDescent="0.25">
      <c r="A6" s="64" t="s">
        <v>271</v>
      </c>
    </row>
    <row r="7" spans="1:12" ht="13" x14ac:dyDescent="0.3">
      <c r="A7" s="1"/>
    </row>
    <row r="8" spans="1:12" x14ac:dyDescent="0.25">
      <c r="A8" s="485" t="s">
        <v>27</v>
      </c>
      <c r="B8" s="485"/>
      <c r="C8" s="485"/>
      <c r="D8" s="485"/>
      <c r="E8" s="479">
        <f>[2]SAS_NSA_2023_1T!$B$331</f>
        <v>163538</v>
      </c>
      <c r="F8" s="479">
        <f>[3]SAS_NSA_2023_2T!$B$331</f>
        <v>164981</v>
      </c>
      <c r="G8" s="479">
        <f>[4]SAS_NSA_2023_3T!$B$331</f>
        <v>163469</v>
      </c>
      <c r="H8" s="479">
        <f>[5]SAS_NSA_2023_4T!$B$331</f>
        <v>163173</v>
      </c>
      <c r="I8" s="479">
        <f>[6]SAS_NSA_2024_1T!$B$333</f>
        <v>162315</v>
      </c>
      <c r="J8" s="483">
        <f>[7]SAS_NSA_2024_2T!$B$331</f>
        <v>161586</v>
      </c>
      <c r="K8" s="483">
        <f>[8]SAS_NSA_2024_3T!$B$332</f>
        <v>159558</v>
      </c>
      <c r="L8" s="483">
        <f>[9]SAS_NSA_2024_4T!$B$331</f>
        <v>157637</v>
      </c>
    </row>
    <row r="9" spans="1:12" x14ac:dyDescent="0.25">
      <c r="A9" s="485" t="s">
        <v>28</v>
      </c>
      <c r="B9" s="485"/>
      <c r="C9" s="485"/>
      <c r="D9" s="485"/>
      <c r="E9" s="479">
        <f>[2]SAS_NSA_2023_1T!$C$331</f>
        <v>43273</v>
      </c>
      <c r="F9" s="479">
        <f>[3]SAS_NSA_2023_2T!$C$331</f>
        <v>43411</v>
      </c>
      <c r="G9" s="479">
        <f>[4]SAS_NSA_2023_3T!$C$331</f>
        <v>42979</v>
      </c>
      <c r="H9" s="479">
        <f>[5]SAS_NSA_2023_4T!$C$331</f>
        <v>42998</v>
      </c>
      <c r="I9" s="479">
        <f>[6]SAS_NSA_2024_1T!$C$333</f>
        <v>42724</v>
      </c>
      <c r="J9" s="483">
        <f>[7]SAS_NSA_2024_2T!$C$331</f>
        <v>42360</v>
      </c>
      <c r="K9" s="483">
        <f>[8]SAS_NSA_2024_3T!$C$332</f>
        <v>41820</v>
      </c>
      <c r="L9" s="483">
        <f>[9]SAS_NSA_2024_4T!$C$331</f>
        <v>41344</v>
      </c>
    </row>
    <row r="10" spans="1:12" x14ac:dyDescent="0.25">
      <c r="A10" s="485" t="s">
        <v>29</v>
      </c>
      <c r="B10" s="485"/>
      <c r="C10" s="485"/>
      <c r="D10" s="485"/>
      <c r="E10" s="479">
        <f>[2]SAS_NSA_2023_1T!$D$331</f>
        <v>206811</v>
      </c>
      <c r="F10" s="479">
        <f>[3]SAS_NSA_2023_2T!$D$331</f>
        <v>208392</v>
      </c>
      <c r="G10" s="479">
        <f>[4]SAS_NSA_2023_3T!$D$331</f>
        <v>206448</v>
      </c>
      <c r="H10" s="479">
        <f>[5]SAS_NSA_2023_4T!$D$331</f>
        <v>206171</v>
      </c>
      <c r="I10" s="479">
        <f>[6]SAS_NSA_2024_1T!$D$333</f>
        <v>205039</v>
      </c>
      <c r="J10" s="483">
        <f>[7]SAS_NSA_2024_2T!$D$331</f>
        <v>203946</v>
      </c>
      <c r="K10" s="483">
        <f>[8]SAS_NSA_2024_3T!$D$332</f>
        <v>201378</v>
      </c>
      <c r="L10" s="483">
        <f>[9]SAS_NSA_2024_4T!$D$331</f>
        <v>198981</v>
      </c>
    </row>
    <row r="12" spans="1:12" x14ac:dyDescent="0.25">
      <c r="A12" s="64" t="s">
        <v>272</v>
      </c>
    </row>
    <row r="13" spans="1:12" x14ac:dyDescent="0.25">
      <c r="A13" s="301"/>
    </row>
    <row r="14" spans="1:12" x14ac:dyDescent="0.25">
      <c r="A14" s="485" t="s">
        <v>27</v>
      </c>
      <c r="B14" s="485"/>
      <c r="C14" s="485"/>
      <c r="D14" s="485"/>
      <c r="E14" s="476">
        <f t="shared" ref="E14:J14" si="0">E8/E10</f>
        <v>0.79076064619386788</v>
      </c>
      <c r="F14" s="476">
        <f t="shared" si="0"/>
        <v>0.79168586126146878</v>
      </c>
      <c r="G14" s="476">
        <f t="shared" si="0"/>
        <v>0.79181682554444699</v>
      </c>
      <c r="H14" s="476">
        <f t="shared" si="0"/>
        <v>0.79144496558681876</v>
      </c>
      <c r="I14" s="476">
        <f t="shared" si="0"/>
        <v>0.79162988504625953</v>
      </c>
      <c r="J14" s="476">
        <f t="shared" si="0"/>
        <v>0.79229796122503016</v>
      </c>
      <c r="K14" s="476">
        <f t="shared" ref="K14:L14" si="1">K8/K10</f>
        <v>0.79233084050889369</v>
      </c>
      <c r="L14" s="476">
        <f t="shared" si="1"/>
        <v>0.79222136786929409</v>
      </c>
    </row>
    <row r="15" spans="1:12" x14ac:dyDescent="0.25">
      <c r="A15" s="485" t="s">
        <v>28</v>
      </c>
      <c r="B15" s="485"/>
      <c r="C15" s="485"/>
      <c r="D15" s="485"/>
      <c r="E15" s="476">
        <f t="shared" ref="E15:J15" si="2">E9/E10</f>
        <v>0.20923935380613218</v>
      </c>
      <c r="F15" s="476">
        <f t="shared" si="2"/>
        <v>0.20831413873853122</v>
      </c>
      <c r="G15" s="476">
        <f t="shared" si="2"/>
        <v>0.20818317445555298</v>
      </c>
      <c r="H15" s="476">
        <f t="shared" si="2"/>
        <v>0.20855503441318129</v>
      </c>
      <c r="I15" s="476">
        <f t="shared" si="2"/>
        <v>0.2083701149537405</v>
      </c>
      <c r="J15" s="476">
        <f t="shared" si="2"/>
        <v>0.20770203877496984</v>
      </c>
      <c r="K15" s="476">
        <f t="shared" ref="K15:L15" si="3">K9/K10</f>
        <v>0.20766915949110629</v>
      </c>
      <c r="L15" s="476">
        <f t="shared" si="3"/>
        <v>0.20777863213070594</v>
      </c>
    </row>
    <row r="16" spans="1:12" x14ac:dyDescent="0.25">
      <c r="A16" s="485" t="s">
        <v>29</v>
      </c>
      <c r="B16" s="485"/>
      <c r="C16" s="485"/>
      <c r="D16" s="485"/>
      <c r="E16" s="476">
        <f t="shared" ref="E16:J16" si="4">E10/(E8+E9)</f>
        <v>1</v>
      </c>
      <c r="F16" s="476">
        <f t="shared" si="4"/>
        <v>1</v>
      </c>
      <c r="G16" s="476">
        <f t="shared" si="4"/>
        <v>1</v>
      </c>
      <c r="H16" s="476">
        <f t="shared" si="4"/>
        <v>1</v>
      </c>
      <c r="I16" s="476">
        <f t="shared" si="4"/>
        <v>1</v>
      </c>
      <c r="J16" s="476">
        <f t="shared" si="4"/>
        <v>1</v>
      </c>
      <c r="K16" s="476">
        <f t="shared" ref="K16:L16" si="5">K10/(K8+K9)</f>
        <v>1</v>
      </c>
      <c r="L16" s="476">
        <f t="shared" si="5"/>
        <v>1</v>
      </c>
    </row>
    <row r="18" spans="1:12" x14ac:dyDescent="0.25">
      <c r="A18" s="64" t="s">
        <v>273</v>
      </c>
    </row>
    <row r="20" spans="1:12" x14ac:dyDescent="0.25">
      <c r="A20" s="485" t="s">
        <v>27</v>
      </c>
      <c r="B20" s="485"/>
      <c r="C20" s="485"/>
      <c r="D20" s="485"/>
      <c r="E20" s="480">
        <f>[2]SAS_NSA_2023_1T!$D$442</f>
        <v>118.7049873</v>
      </c>
      <c r="F20" s="480">
        <f>[3]SAS_NSA_2023_2T!$D$442</f>
        <v>120.8079886</v>
      </c>
      <c r="G20" s="480">
        <f>[4]SAS_NSA_2023_3T!$D$442</f>
        <v>120.8609452</v>
      </c>
      <c r="H20" s="480">
        <f>[5]SAS_NSA_2023_4T!$D$442</f>
        <v>121.1701104</v>
      </c>
      <c r="I20" s="480">
        <f>[6]SAS_NSA_2024_1T!$D$444</f>
        <v>122.099064</v>
      </c>
      <c r="J20" s="480">
        <f>[7]SAS_NSA_2024_2T!$D$442</f>
        <v>122.1733272</v>
      </c>
      <c r="K20" s="480">
        <f>[8]SAS_NSA_2024_3T!$D$443</f>
        <v>122.38033919999999</v>
      </c>
      <c r="L20" s="480">
        <f>[9]SAS_NSA_2024_4T!$D$442</f>
        <v>122.5169059</v>
      </c>
    </row>
    <row r="21" spans="1:12" x14ac:dyDescent="0.25">
      <c r="A21" s="485" t="s">
        <v>28</v>
      </c>
      <c r="B21" s="485"/>
      <c r="C21" s="485"/>
      <c r="D21" s="485"/>
      <c r="E21" s="480">
        <f>[2]SAS_NSA_2023_1T!$D$443</f>
        <v>109.4659224</v>
      </c>
      <c r="F21" s="480">
        <f>[3]SAS_NSA_2023_2T!$D$443</f>
        <v>110.8460889</v>
      </c>
      <c r="G21" s="480">
        <f>[4]SAS_NSA_2023_3T!$D$443</f>
        <v>110.7369379</v>
      </c>
      <c r="H21" s="480">
        <f>[5]SAS_NSA_2023_4T!$D$443</f>
        <v>110.8482454</v>
      </c>
      <c r="I21" s="480">
        <f>[6]SAS_NSA_2024_1T!$D$445</f>
        <v>111.9263637</v>
      </c>
      <c r="J21" s="480">
        <f>[7]SAS_NSA_2024_2T!$D$443</f>
        <v>111.9362459</v>
      </c>
      <c r="K21" s="480">
        <f>[8]SAS_NSA_2024_3T!$D$444</f>
        <v>112.0704289</v>
      </c>
      <c r="L21" s="480">
        <f>[9]SAS_NSA_2024_4T!$D$443</f>
        <v>112.1511385</v>
      </c>
    </row>
    <row r="22" spans="1:12" x14ac:dyDescent="0.25">
      <c r="A22" s="485" t="s">
        <v>29</v>
      </c>
      <c r="B22" s="485"/>
      <c r="C22" s="485"/>
      <c r="D22" s="485"/>
      <c r="E22" s="475">
        <f t="shared" ref="E22:J22" si="6">(E20*E8+E21*E9)/(E8+E9)</f>
        <v>116.77181133055109</v>
      </c>
      <c r="F22" s="475">
        <f t="shared" si="6"/>
        <v>118.73278404379488</v>
      </c>
      <c r="G22" s="475">
        <f t="shared" si="6"/>
        <v>118.75329722207482</v>
      </c>
      <c r="H22" s="475">
        <f t="shared" si="6"/>
        <v>119.01743348971678</v>
      </c>
      <c r="I22" s="475">
        <f t="shared" si="6"/>
        <v>119.97937726909905</v>
      </c>
      <c r="J22" s="475">
        <f t="shared" si="6"/>
        <v>120.04706454288488</v>
      </c>
      <c r="K22" s="475">
        <f t="shared" ref="K22:L22" si="7">(K20*K8+K21*K9)/(K8+K9)</f>
        <v>120.2392887935703</v>
      </c>
      <c r="L22" s="475">
        <f t="shared" si="7"/>
        <v>120.36312092864293</v>
      </c>
    </row>
    <row r="24" spans="1:12" x14ac:dyDescent="0.25">
      <c r="A24" s="64" t="s">
        <v>274</v>
      </c>
    </row>
    <row r="26" spans="1:12" x14ac:dyDescent="0.25">
      <c r="A26" s="485" t="s">
        <v>27</v>
      </c>
      <c r="B26" s="485"/>
      <c r="C26" s="485"/>
      <c r="D26" s="485"/>
      <c r="E26" s="479">
        <f>[2]SAS_NSA_2023_1T!$B$320</f>
        <v>69870</v>
      </c>
      <c r="F26" s="479">
        <f>[3]SAS_NSA_2023_2T!$B$320</f>
        <v>73889</v>
      </c>
      <c r="G26" s="479">
        <f>[4]SAS_NSA_2023_3T!$B$320</f>
        <v>72633</v>
      </c>
      <c r="H26" s="479">
        <f>[5]SAS_NSA_2023_4T!$B$320</f>
        <v>70919</v>
      </c>
      <c r="I26" s="479">
        <f>[6]SAS_NSA_2024_1T!$B$322</f>
        <v>69834</v>
      </c>
      <c r="J26" s="479">
        <f>[7]SAS_NSA_2024_2T!$B$320</f>
        <v>68612</v>
      </c>
      <c r="K26" s="479">
        <f>[8]SAS_NSA_2024_3T!$B$321</f>
        <v>68487</v>
      </c>
      <c r="L26" s="479">
        <f>[9]SAS_NSA_2024_4T!$B$320</f>
        <v>67144</v>
      </c>
    </row>
    <row r="27" spans="1:12" x14ac:dyDescent="0.25">
      <c r="A27" s="485" t="s">
        <v>28</v>
      </c>
      <c r="B27" s="485"/>
      <c r="C27" s="485"/>
      <c r="D27" s="485"/>
      <c r="E27" s="479">
        <f>[2]SAS_NSA_2023_1T!$C$320</f>
        <v>110333</v>
      </c>
      <c r="F27" s="479">
        <f>[3]SAS_NSA_2023_2T!$C$320</f>
        <v>107876</v>
      </c>
      <c r="G27" s="479">
        <f>[4]SAS_NSA_2023_3T!$C$320</f>
        <v>105501</v>
      </c>
      <c r="H27" s="479">
        <f>[5]SAS_NSA_2023_4T!$C$320</f>
        <v>102684</v>
      </c>
      <c r="I27" s="479">
        <f>[6]SAS_NSA_2024_1T!$C$322</f>
        <v>100508</v>
      </c>
      <c r="J27" s="479">
        <f>[7]SAS_NSA_2024_2T!$C$320</f>
        <v>98261</v>
      </c>
      <c r="K27" s="479">
        <f>[8]SAS_NSA_2024_3T!$C$321</f>
        <v>96896</v>
      </c>
      <c r="L27" s="479">
        <f>[9]SAS_NSA_2024_4T!$C$320</f>
        <v>94810</v>
      </c>
    </row>
    <row r="28" spans="1:12" x14ac:dyDescent="0.25">
      <c r="A28" s="485" t="s">
        <v>29</v>
      </c>
      <c r="B28" s="485"/>
      <c r="C28" s="485"/>
      <c r="D28" s="485"/>
      <c r="E28" s="479">
        <f>[2]SAS_NSA_2023_1T!$D$320</f>
        <v>180203</v>
      </c>
      <c r="F28" s="479">
        <f>[3]SAS_NSA_2023_2T!$D$320</f>
        <v>181765</v>
      </c>
      <c r="G28" s="479">
        <f>[4]SAS_NSA_2023_3T!$D$320</f>
        <v>178134</v>
      </c>
      <c r="H28" s="479">
        <f>[5]SAS_NSA_2023_4T!$D$320</f>
        <v>173603</v>
      </c>
      <c r="I28" s="479">
        <f>[6]SAS_NSA_2024_1T!$D$322</f>
        <v>170342</v>
      </c>
      <c r="J28" s="479">
        <f>[7]SAS_NSA_2024_2T!$D$320</f>
        <v>166873</v>
      </c>
      <c r="K28" s="479">
        <f>[8]SAS_NSA_2024_3T!$D$321</f>
        <v>165383</v>
      </c>
      <c r="L28" s="479">
        <f>[9]SAS_NSA_2024_4T!$D$320</f>
        <v>161954</v>
      </c>
    </row>
    <row r="30" spans="1:12" x14ac:dyDescent="0.25">
      <c r="A30" s="64" t="s">
        <v>275</v>
      </c>
    </row>
    <row r="32" spans="1:12" x14ac:dyDescent="0.25">
      <c r="A32" s="485" t="s">
        <v>27</v>
      </c>
      <c r="B32" s="485"/>
      <c r="C32" s="485"/>
      <c r="D32" s="485"/>
      <c r="E32" s="476">
        <f t="shared" ref="E32:J32" si="8">E26/E28</f>
        <v>0.38772939407224077</v>
      </c>
      <c r="F32" s="476">
        <f t="shared" si="8"/>
        <v>0.40650840370808461</v>
      </c>
      <c r="G32" s="476">
        <f t="shared" si="8"/>
        <v>0.40774360874397925</v>
      </c>
      <c r="H32" s="476">
        <f t="shared" si="8"/>
        <v>0.40851252570520097</v>
      </c>
      <c r="I32" s="476">
        <f t="shared" si="8"/>
        <v>0.40996348522384379</v>
      </c>
      <c r="J32" s="476">
        <f t="shared" si="8"/>
        <v>0.41116298023047465</v>
      </c>
      <c r="K32" s="476">
        <f t="shared" ref="K32:L32" si="9">K26/K28</f>
        <v>0.41411148667033493</v>
      </c>
      <c r="L32" s="476">
        <f t="shared" si="9"/>
        <v>0.41458685799671513</v>
      </c>
    </row>
    <row r="33" spans="1:12" x14ac:dyDescent="0.25">
      <c r="A33" s="485" t="s">
        <v>28</v>
      </c>
      <c r="B33" s="485"/>
      <c r="C33" s="485"/>
      <c r="D33" s="485"/>
      <c r="E33" s="476">
        <f t="shared" ref="E33:J33" si="10">E27/E28</f>
        <v>0.61227060592775928</v>
      </c>
      <c r="F33" s="476">
        <f t="shared" si="10"/>
        <v>0.59349159629191539</v>
      </c>
      <c r="G33" s="476">
        <f t="shared" si="10"/>
        <v>0.5922563912560207</v>
      </c>
      <c r="H33" s="476">
        <f t="shared" si="10"/>
        <v>0.59148747429479909</v>
      </c>
      <c r="I33" s="476">
        <f t="shared" si="10"/>
        <v>0.59003651477615615</v>
      </c>
      <c r="J33" s="476">
        <f t="shared" si="10"/>
        <v>0.58883701976952529</v>
      </c>
      <c r="K33" s="476">
        <f t="shared" ref="K33:L33" si="11">K27/K28</f>
        <v>0.58588851332966507</v>
      </c>
      <c r="L33" s="476">
        <f t="shared" si="11"/>
        <v>0.58541314200328487</v>
      </c>
    </row>
    <row r="34" spans="1:12" x14ac:dyDescent="0.25">
      <c r="A34" s="485" t="s">
        <v>29</v>
      </c>
      <c r="B34" s="485"/>
      <c r="C34" s="485"/>
      <c r="D34" s="485"/>
      <c r="E34" s="476">
        <f t="shared" ref="E34:J34" si="12">E28/(E26+E27)</f>
        <v>1</v>
      </c>
      <c r="F34" s="476">
        <f t="shared" si="12"/>
        <v>1</v>
      </c>
      <c r="G34" s="476">
        <f t="shared" si="12"/>
        <v>1</v>
      </c>
      <c r="H34" s="476">
        <f t="shared" si="12"/>
        <v>1</v>
      </c>
      <c r="I34" s="476">
        <f t="shared" si="12"/>
        <v>1</v>
      </c>
      <c r="J34" s="476">
        <f t="shared" si="12"/>
        <v>1</v>
      </c>
      <c r="K34" s="476">
        <f t="shared" ref="K34:L34" si="13">K28/(K26+K27)</f>
        <v>1</v>
      </c>
      <c r="L34" s="476">
        <f t="shared" si="13"/>
        <v>1</v>
      </c>
    </row>
    <row r="36" spans="1:12" x14ac:dyDescent="0.25">
      <c r="A36" s="64" t="s">
        <v>276</v>
      </c>
    </row>
    <row r="38" spans="1:12" x14ac:dyDescent="0.25">
      <c r="A38" s="485" t="s">
        <v>27</v>
      </c>
      <c r="B38" s="485"/>
      <c r="C38" s="485"/>
      <c r="D38" s="485"/>
      <c r="E38" s="480">
        <f>[2]SAS_NSA_2023_1T!$D$433</f>
        <v>27.895168900000002</v>
      </c>
      <c r="F38" s="480">
        <f>[3]SAS_NSA_2023_2T!$D$433</f>
        <v>27.6884783</v>
      </c>
      <c r="G38" s="480">
        <f>[4]SAS_NSA_2023_3T!$D$433</f>
        <v>27.881196599999999</v>
      </c>
      <c r="H38" s="480">
        <f>[5]SAS_NSA_2023_4T!$D$433</f>
        <v>27.510225599999998</v>
      </c>
      <c r="I38" s="480">
        <f>[6]SAS_NSA_2024_1T!$D$435</f>
        <v>30.8443331</v>
      </c>
      <c r="J38" s="480">
        <f>[7]SAS_NSA_2024_2T!$D$433</f>
        <v>31.063183500000001</v>
      </c>
      <c r="K38" s="480">
        <f>[8]SAS_NSA_2024_3T!$D$434</f>
        <v>31.000244599999998</v>
      </c>
      <c r="L38" s="480">
        <f>[9]SAS_NSA_2024_4T!$D$433</f>
        <v>31.0446825</v>
      </c>
    </row>
    <row r="39" spans="1:12" x14ac:dyDescent="0.25">
      <c r="A39" s="485" t="s">
        <v>28</v>
      </c>
      <c r="B39" s="485"/>
      <c r="C39" s="485"/>
      <c r="D39" s="485"/>
      <c r="E39" s="480">
        <f>[2]SAS_NSA_2023_1T!$D$434</f>
        <v>76.673722699999999</v>
      </c>
      <c r="F39" s="480">
        <f>[3]SAS_NSA_2023_2T!$D$434</f>
        <v>76.1110659</v>
      </c>
      <c r="G39" s="480">
        <f>[4]SAS_NSA_2023_3T!$D$434</f>
        <v>75.783255999999994</v>
      </c>
      <c r="H39" s="480">
        <f>[5]SAS_NSA_2023_4T!$D$434</f>
        <v>74.636179400000003</v>
      </c>
      <c r="I39" s="480">
        <f>[6]SAS_NSA_2024_1T!$D$436</f>
        <v>81.590759399999996</v>
      </c>
      <c r="J39" s="480">
        <f>[7]SAS_NSA_2024_2T!$D$434</f>
        <v>81.416474699999995</v>
      </c>
      <c r="K39" s="480">
        <f>[8]SAS_NSA_2024_3T!$D$435</f>
        <v>80.729088700000005</v>
      </c>
      <c r="L39" s="480">
        <f>[9]SAS_NSA_2024_4T!$D$434</f>
        <v>79.990070799999998</v>
      </c>
    </row>
    <row r="40" spans="1:12" x14ac:dyDescent="0.25">
      <c r="A40" s="485" t="s">
        <v>29</v>
      </c>
      <c r="B40" s="485"/>
      <c r="C40" s="485"/>
      <c r="D40" s="485"/>
      <c r="E40" s="475">
        <f t="shared" ref="E40:J40" si="14">(E38*E26+E39*E27)/(E26+E27)</f>
        <v>57.760843591405802</v>
      </c>
      <c r="F40" s="475">
        <f t="shared" si="14"/>
        <v>56.426877111309111</v>
      </c>
      <c r="G40" s="475">
        <f t="shared" si="14"/>
        <v>56.251497433975544</v>
      </c>
      <c r="H40" s="475">
        <f t="shared" si="14"/>
        <v>55.384636986895387</v>
      </c>
      <c r="I40" s="475">
        <f t="shared" si="14"/>
        <v>60.786577611397071</v>
      </c>
      <c r="J40" s="475">
        <f t="shared" si="14"/>
        <v>60.713065425795058</v>
      </c>
      <c r="K40" s="475">
        <f t="shared" ref="K40:L40" si="15">(K38*K26+K39*K27)/(K26+K27)</f>
        <v>60.135803139351687</v>
      </c>
      <c r="L40" s="475">
        <f t="shared" si="15"/>
        <v>59.69795605127382</v>
      </c>
    </row>
    <row r="42" spans="1:12" x14ac:dyDescent="0.25">
      <c r="A42" s="64" t="s">
        <v>277</v>
      </c>
    </row>
    <row r="44" spans="1:12" x14ac:dyDescent="0.25">
      <c r="A44" s="485" t="s">
        <v>269</v>
      </c>
      <c r="B44" s="485"/>
      <c r="C44" s="485"/>
      <c r="D44" s="485"/>
      <c r="E44" s="479">
        <f>[2]SAS_NSA_2023_1T!$C$425</f>
        <v>67593</v>
      </c>
      <c r="F44" s="479">
        <f>[3]SAS_NSA_2023_2T!$C$425</f>
        <v>71959</v>
      </c>
      <c r="G44" s="479">
        <f>[4]SAS_NSA_2023_3T!$C$425</f>
        <v>70875</v>
      </c>
      <c r="H44" s="479">
        <f>[5]SAS_NSA_2023_4T!$C$425</f>
        <v>69483</v>
      </c>
      <c r="I44" s="479">
        <f>[6]SAS_NSA_2024_1T!$C$427</f>
        <v>68459</v>
      </c>
      <c r="J44" s="483">
        <f>[7]SAS_NSA_2024_2T!$C$425</f>
        <v>67370</v>
      </c>
      <c r="K44" s="483">
        <f>[8]SAS_NSA_2024_3T!$C$426</f>
        <v>67956</v>
      </c>
      <c r="L44" s="483">
        <f>[9]SAS_NSA_2024_4T!$C$425</f>
        <v>66549</v>
      </c>
    </row>
  </sheetData>
  <mergeCells count="19">
    <mergeCell ref="A38:D38"/>
    <mergeCell ref="A39:D39"/>
    <mergeCell ref="A40:D40"/>
    <mergeCell ref="A44:D44"/>
    <mergeCell ref="A27:D27"/>
    <mergeCell ref="A28:D28"/>
    <mergeCell ref="A32:D32"/>
    <mergeCell ref="A33:D33"/>
    <mergeCell ref="A34:D34"/>
    <mergeCell ref="A16:D16"/>
    <mergeCell ref="A20:D20"/>
    <mergeCell ref="A21:D21"/>
    <mergeCell ref="A22:D22"/>
    <mergeCell ref="A26:D26"/>
    <mergeCell ref="A8:D8"/>
    <mergeCell ref="A14:D14"/>
    <mergeCell ref="A15:D15"/>
    <mergeCell ref="A9:D9"/>
    <mergeCell ref="A10:D10"/>
  </mergeCells>
  <phoneticPr fontId="3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sheetPr>
  <dimension ref="A1:BK170"/>
  <sheetViews>
    <sheetView zoomScaleNormal="100" workbookViewId="0">
      <pane xSplit="1" ySplit="8" topLeftCell="BB9" activePane="bottomRight" state="frozen"/>
      <selection pane="topRight" activeCell="B1" sqref="B1"/>
      <selection pane="bottomLeft" activeCell="A9" sqref="A9"/>
      <selection pane="bottomRight" activeCell="BK2" sqref="BK2"/>
    </sheetView>
  </sheetViews>
  <sheetFormatPr baseColWidth="10" defaultColWidth="11.453125" defaultRowHeight="12.5" x14ac:dyDescent="0.25"/>
  <cols>
    <col min="1" max="1" width="69.54296875" style="309" bestFit="1" customWidth="1"/>
    <col min="2" max="2" width="11.81640625" style="4" customWidth="1"/>
    <col min="3" max="3" width="13.26953125" style="35" customWidth="1"/>
    <col min="4" max="10" width="11.81640625" style="35" customWidth="1"/>
    <col min="11" max="11" width="11.81640625" style="145" customWidth="1"/>
    <col min="12" max="13" width="11.453125" style="4" customWidth="1"/>
    <col min="14" max="17" width="11.81640625" style="145" customWidth="1"/>
    <col min="18" max="18" width="11.81640625" style="175" bestFit="1" customWidth="1"/>
    <col min="19" max="23" width="11.81640625" style="177" bestFit="1" customWidth="1"/>
    <col min="24" max="27" width="11.54296875" style="177" customWidth="1"/>
    <col min="28" max="28" width="11.7265625" style="177" customWidth="1"/>
    <col min="29" max="36" width="11.453125" style="4"/>
    <col min="37" max="37" width="14.26953125" style="4" bestFit="1" customWidth="1"/>
    <col min="38" max="38" width="13.453125" style="4" bestFit="1" customWidth="1"/>
    <col min="39" max="39" width="13.26953125" style="4" bestFit="1" customWidth="1"/>
    <col min="40" max="40" width="12.26953125" style="4" bestFit="1" customWidth="1"/>
    <col min="41" max="41" width="11.1796875" style="4" customWidth="1"/>
    <col min="42" max="44" width="13.453125" style="4" bestFit="1" customWidth="1"/>
    <col min="45" max="51" width="13.26953125" style="4" customWidth="1"/>
    <col min="52" max="55" width="11.26953125" style="4" customWidth="1"/>
    <col min="56" max="16384" width="11.453125" style="4"/>
  </cols>
  <sheetData>
    <row r="1" spans="1:62" x14ac:dyDescent="0.25">
      <c r="A1" s="297" t="s">
        <v>51</v>
      </c>
      <c r="B1" s="126"/>
      <c r="C1" s="126"/>
      <c r="D1" s="126"/>
      <c r="E1" s="126"/>
      <c r="F1" s="126"/>
      <c r="G1" s="126"/>
      <c r="H1" s="126"/>
      <c r="I1" s="126"/>
      <c r="J1" s="126"/>
      <c r="K1" s="142"/>
      <c r="L1" s="142"/>
      <c r="M1" s="142"/>
      <c r="N1" s="142"/>
      <c r="O1" s="142"/>
      <c r="P1" s="142"/>
      <c r="Q1" s="142"/>
      <c r="R1" s="199"/>
      <c r="S1" s="176"/>
      <c r="T1" s="176"/>
      <c r="U1" s="176"/>
      <c r="V1" s="176"/>
      <c r="W1" s="176"/>
      <c r="X1" s="176"/>
      <c r="Y1" s="176"/>
      <c r="Z1" s="176"/>
      <c r="AA1" s="176"/>
      <c r="AB1" s="176"/>
      <c r="AC1" s="176"/>
      <c r="AD1" s="176"/>
      <c r="AE1" s="176"/>
      <c r="AF1" s="176"/>
      <c r="AG1" s="176"/>
      <c r="AH1" s="176"/>
      <c r="AI1" s="176"/>
      <c r="AJ1" s="176"/>
      <c r="AM1" s="176"/>
      <c r="AN1" s="176"/>
      <c r="AO1" s="176"/>
    </row>
    <row r="2" spans="1:62" x14ac:dyDescent="0.25">
      <c r="A2" s="297" t="s">
        <v>52</v>
      </c>
      <c r="B2" s="126"/>
      <c r="C2" s="126"/>
      <c r="D2" s="126"/>
      <c r="E2" s="126"/>
      <c r="F2" s="126"/>
      <c r="G2" s="126"/>
      <c r="H2" s="126"/>
      <c r="I2" s="126"/>
      <c r="J2" s="126"/>
      <c r="K2" s="142"/>
      <c r="L2" s="142"/>
      <c r="M2" s="142"/>
      <c r="N2" s="142"/>
      <c r="O2" s="142"/>
      <c r="P2" s="142"/>
      <c r="Q2" s="142"/>
      <c r="R2" s="199"/>
      <c r="S2" s="176"/>
      <c r="T2" s="176"/>
      <c r="U2" s="176"/>
      <c r="V2" s="176"/>
      <c r="W2" s="176"/>
      <c r="X2" s="176"/>
      <c r="Y2" s="176"/>
      <c r="Z2" s="176"/>
      <c r="AA2" s="176"/>
      <c r="AB2" s="176"/>
      <c r="AC2" s="176"/>
      <c r="AD2" s="176"/>
      <c r="AE2" s="176"/>
      <c r="AF2" s="176"/>
      <c r="AG2" s="176"/>
      <c r="AH2" s="176"/>
      <c r="AI2" s="176"/>
      <c r="AJ2" s="176"/>
      <c r="AM2" s="176"/>
      <c r="AN2" s="176"/>
      <c r="AO2" s="176"/>
    </row>
    <row r="3" spans="1:62" x14ac:dyDescent="0.25">
      <c r="A3" s="298" t="s">
        <v>85</v>
      </c>
      <c r="B3" s="126"/>
      <c r="C3" s="126"/>
      <c r="D3" s="126"/>
      <c r="E3" s="126"/>
      <c r="F3" s="126"/>
      <c r="G3" s="126"/>
      <c r="H3" s="126"/>
      <c r="I3" s="126"/>
      <c r="J3" s="126"/>
      <c r="K3" s="142"/>
      <c r="L3" s="142"/>
      <c r="M3" s="142"/>
      <c r="N3" s="142"/>
      <c r="O3" s="142"/>
      <c r="P3" s="142"/>
      <c r="Q3" s="142"/>
      <c r="R3" s="199"/>
      <c r="S3" s="176"/>
      <c r="T3" s="176"/>
      <c r="U3" s="176"/>
      <c r="V3" s="176"/>
      <c r="W3" s="176"/>
      <c r="X3" s="176"/>
      <c r="Y3" s="176"/>
      <c r="Z3" s="176"/>
      <c r="AA3" s="176"/>
      <c r="AB3" s="176"/>
      <c r="AC3" s="176"/>
      <c r="AD3" s="176"/>
      <c r="AE3" s="176"/>
      <c r="AF3" s="176"/>
      <c r="AG3" s="176"/>
      <c r="AH3" s="176"/>
      <c r="AI3" s="176"/>
      <c r="AJ3" s="176"/>
      <c r="AM3" s="176"/>
      <c r="AN3" s="176"/>
      <c r="AO3" s="176"/>
    </row>
    <row r="4" spans="1:62" x14ac:dyDescent="0.25">
      <c r="A4" s="297" t="s">
        <v>8</v>
      </c>
      <c r="B4" s="126"/>
      <c r="C4" s="126"/>
      <c r="D4" s="126"/>
      <c r="E4" s="126"/>
      <c r="F4" s="126"/>
      <c r="G4" s="126"/>
      <c r="H4" s="126"/>
      <c r="I4" s="126"/>
      <c r="J4" s="126"/>
      <c r="K4" s="142"/>
      <c r="L4" s="142"/>
      <c r="M4" s="142"/>
      <c r="N4" s="142"/>
      <c r="O4" s="142"/>
      <c r="P4" s="142"/>
      <c r="Q4" s="142"/>
      <c r="R4" s="199"/>
      <c r="S4" s="176"/>
      <c r="T4" s="176"/>
      <c r="U4" s="176"/>
      <c r="V4" s="176"/>
      <c r="W4" s="176"/>
      <c r="X4" s="176"/>
      <c r="Y4" s="176"/>
      <c r="Z4" s="176"/>
      <c r="AA4" s="176"/>
      <c r="AB4" s="176"/>
      <c r="AC4" s="176"/>
      <c r="AD4" s="176"/>
      <c r="AE4" s="176"/>
      <c r="AF4" s="176"/>
      <c r="AG4" s="176"/>
      <c r="AH4" s="176"/>
      <c r="AI4" s="176"/>
      <c r="AJ4" s="176"/>
      <c r="AM4" s="176"/>
      <c r="AN4" s="176"/>
      <c r="AO4" s="176"/>
    </row>
    <row r="5" spans="1:62" ht="13.5" thickBot="1" x14ac:dyDescent="0.35">
      <c r="A5" s="299"/>
      <c r="B5" s="11"/>
      <c r="C5" s="36"/>
      <c r="D5" s="36"/>
      <c r="E5" s="36"/>
      <c r="F5" s="36"/>
      <c r="G5" s="36"/>
      <c r="H5" s="36"/>
      <c r="I5" s="36"/>
      <c r="J5" s="36"/>
      <c r="K5" s="143"/>
      <c r="L5" s="143"/>
      <c r="M5" s="143"/>
      <c r="N5" s="143"/>
      <c r="O5" s="143"/>
      <c r="P5" s="143"/>
      <c r="Q5" s="143"/>
      <c r="R5" s="200"/>
      <c r="S5" s="36"/>
      <c r="T5" s="36"/>
      <c r="U5" s="36"/>
      <c r="V5" s="36"/>
      <c r="W5" s="36"/>
      <c r="X5" s="36"/>
      <c r="Y5" s="36"/>
      <c r="Z5" s="36"/>
      <c r="AA5" s="36"/>
      <c r="AB5" s="36"/>
      <c r="AL5" s="293"/>
      <c r="AP5" s="293"/>
      <c r="AQ5" s="293"/>
      <c r="AR5" s="293"/>
      <c r="AS5" s="293"/>
      <c r="AT5" s="293"/>
      <c r="AU5" s="293"/>
      <c r="AV5" s="293"/>
      <c r="AW5" s="293"/>
      <c r="AX5" s="293"/>
      <c r="AY5" s="293"/>
    </row>
    <row r="6" spans="1:62" ht="13" x14ac:dyDescent="0.3">
      <c r="A6" s="300"/>
      <c r="B6" s="1"/>
      <c r="C6" s="37"/>
      <c r="D6" s="37"/>
      <c r="E6" s="37"/>
      <c r="F6" s="37"/>
      <c r="G6" s="37"/>
      <c r="H6" s="37"/>
      <c r="I6" s="37"/>
      <c r="J6" s="37"/>
      <c r="K6" s="144"/>
      <c r="L6" s="144"/>
      <c r="M6" s="144"/>
      <c r="N6" s="144"/>
      <c r="O6" s="144"/>
      <c r="P6" s="144"/>
      <c r="Q6" s="144"/>
      <c r="R6" s="201"/>
      <c r="S6" s="37"/>
      <c r="T6" s="37"/>
      <c r="U6" s="37"/>
      <c r="V6" s="37"/>
      <c r="W6" s="37"/>
      <c r="X6" s="37"/>
      <c r="Y6" s="37"/>
      <c r="Z6" s="37"/>
      <c r="AA6" s="37"/>
      <c r="AB6" s="37"/>
      <c r="AX6" s="430" t="s">
        <v>251</v>
      </c>
      <c r="AY6" s="1"/>
    </row>
    <row r="7" spans="1:62" x14ac:dyDescent="0.25">
      <c r="A7" s="301" t="s">
        <v>5</v>
      </c>
      <c r="AX7" s="402"/>
      <c r="BB7" s="377" t="s">
        <v>241</v>
      </c>
      <c r="BC7" s="377"/>
    </row>
    <row r="8" spans="1:62" x14ac:dyDescent="0.25">
      <c r="A8" s="302"/>
      <c r="B8" s="2" t="s">
        <v>55</v>
      </c>
      <c r="C8" s="38" t="s">
        <v>56</v>
      </c>
      <c r="D8" s="38" t="s">
        <v>57</v>
      </c>
      <c r="E8" s="38" t="s">
        <v>58</v>
      </c>
      <c r="F8" s="38" t="s">
        <v>59</v>
      </c>
      <c r="G8" s="38" t="s">
        <v>78</v>
      </c>
      <c r="H8" s="38" t="s">
        <v>79</v>
      </c>
      <c r="I8" s="38" t="s">
        <v>103</v>
      </c>
      <c r="J8" s="38" t="s">
        <v>130</v>
      </c>
      <c r="K8" s="38" t="s">
        <v>134</v>
      </c>
      <c r="L8" s="38" t="s">
        <v>140</v>
      </c>
      <c r="M8" s="38" t="s">
        <v>141</v>
      </c>
      <c r="N8" s="38" t="s">
        <v>142</v>
      </c>
      <c r="O8" s="38" t="s">
        <v>143</v>
      </c>
      <c r="P8" s="38" t="s">
        <v>147</v>
      </c>
      <c r="Q8" s="38" t="s">
        <v>148</v>
      </c>
      <c r="R8" s="178" t="s">
        <v>150</v>
      </c>
      <c r="S8" s="178" t="s">
        <v>153</v>
      </c>
      <c r="T8" s="178" t="s">
        <v>155</v>
      </c>
      <c r="U8" s="178" t="s">
        <v>164</v>
      </c>
      <c r="V8" s="178" t="s">
        <v>157</v>
      </c>
      <c r="W8" s="178" t="s">
        <v>161</v>
      </c>
      <c r="X8" s="178" t="s">
        <v>162</v>
      </c>
      <c r="Y8" s="178" t="s">
        <v>163</v>
      </c>
      <c r="Z8" s="178" t="s">
        <v>165</v>
      </c>
      <c r="AA8" s="178" t="s">
        <v>166</v>
      </c>
      <c r="AB8" s="178" t="s">
        <v>177</v>
      </c>
      <c r="AC8" s="178" t="s">
        <v>178</v>
      </c>
      <c r="AD8" s="178" t="s">
        <v>180</v>
      </c>
      <c r="AE8" s="178" t="s">
        <v>189</v>
      </c>
      <c r="AF8" s="178" t="s">
        <v>191</v>
      </c>
      <c r="AG8" s="178" t="s">
        <v>192</v>
      </c>
      <c r="AH8" s="178" t="s">
        <v>193</v>
      </c>
      <c r="AI8" s="178" t="s">
        <v>190</v>
      </c>
      <c r="AJ8" s="178" t="s">
        <v>201</v>
      </c>
      <c r="AK8" s="178" t="s">
        <v>204</v>
      </c>
      <c r="AL8" s="178" t="s">
        <v>206</v>
      </c>
      <c r="AM8" s="178" t="s">
        <v>208</v>
      </c>
      <c r="AN8" s="178" t="s">
        <v>210</v>
      </c>
      <c r="AO8" s="178" t="s">
        <v>212</v>
      </c>
      <c r="AP8" s="178" t="s">
        <v>214</v>
      </c>
      <c r="AQ8" s="178" t="s">
        <v>216</v>
      </c>
      <c r="AR8" s="178" t="s">
        <v>218</v>
      </c>
      <c r="AS8" s="178" t="s">
        <v>220</v>
      </c>
      <c r="AT8" s="178" t="s">
        <v>222</v>
      </c>
      <c r="AU8" s="178" t="s">
        <v>225</v>
      </c>
      <c r="AV8" s="178" t="s">
        <v>227</v>
      </c>
      <c r="AW8" s="178" t="s">
        <v>229</v>
      </c>
      <c r="AX8" s="403" t="s">
        <v>231</v>
      </c>
      <c r="AY8" s="403" t="s">
        <v>234</v>
      </c>
      <c r="AZ8" s="403" t="s">
        <v>236</v>
      </c>
      <c r="BA8" s="403" t="s">
        <v>238</v>
      </c>
      <c r="BB8" s="178" t="s">
        <v>240</v>
      </c>
      <c r="BC8" s="178" t="s">
        <v>252</v>
      </c>
      <c r="BD8" s="178" t="s">
        <v>255</v>
      </c>
      <c r="BE8" s="178" t="s">
        <v>259</v>
      </c>
      <c r="BF8" s="178" t="s">
        <v>270</v>
      </c>
      <c r="BG8" s="178" t="s">
        <v>280</v>
      </c>
      <c r="BH8" s="178" t="s">
        <v>282</v>
      </c>
      <c r="BI8" s="178" t="s">
        <v>284</v>
      </c>
      <c r="BJ8" s="178" t="s">
        <v>286</v>
      </c>
    </row>
    <row r="9" spans="1:62" x14ac:dyDescent="0.25">
      <c r="A9" s="303" t="s">
        <v>27</v>
      </c>
      <c r="B9" s="3" t="e">
        <f>[10]SAS_NSA_4T2009!$B$4</f>
        <v>#REF!</v>
      </c>
      <c r="C9" s="39">
        <f>[11]SAS_NSA_1T2010!$B$4</f>
        <v>750468</v>
      </c>
      <c r="D9" s="39">
        <f>[12]SAS_NSA_2T2010!$B$4</f>
        <v>744161</v>
      </c>
      <c r="E9" s="39">
        <f>[13]SAS_NSA_3T2010!$B$4</f>
        <v>738482</v>
      </c>
      <c r="F9" s="39">
        <f>[14]SAS_NSA_2010_4T!$B$4</f>
        <v>734587</v>
      </c>
      <c r="G9" s="39">
        <f>[15]SAS_NSA_2011_1T!$B$4</f>
        <v>730465</v>
      </c>
      <c r="H9" s="39">
        <f>[16]SAS_NSA_2011_2T!$B$4</f>
        <v>724010</v>
      </c>
      <c r="I9" s="39">
        <f>[17]SAS_NSA_2011_3T!$B$4</f>
        <v>717848</v>
      </c>
      <c r="J9" s="39">
        <f>[18]SAS_NSA_2011_4T!$B$4</f>
        <v>712464</v>
      </c>
      <c r="K9" s="39">
        <f>[19]SAS_NSA_2012_1T!$B$4</f>
        <v>707972</v>
      </c>
      <c r="L9" s="39">
        <f>'[20]120919-14H22S23-PROGRAM-TdB_STO'!$B$4</f>
        <v>700346</v>
      </c>
      <c r="M9" s="39">
        <f>'[21]121105-15H12S18-PROGRAM-TdB_STO'!$B$4</f>
        <v>693121</v>
      </c>
      <c r="N9" s="39">
        <f>[22]SAS_NSA_2012_4T!$B$4</f>
        <v>687693</v>
      </c>
      <c r="O9" s="39">
        <f>[23]SAS_NSA_2013_1T!$B$4</f>
        <v>683165</v>
      </c>
      <c r="P9" s="39">
        <f>[24]SAS_NSA_2013_2T!$B$4</f>
        <v>675979</v>
      </c>
      <c r="Q9" s="39">
        <f>[25]SAS_NSA_2013_3T!$B$4</f>
        <v>671217</v>
      </c>
      <c r="R9" s="179">
        <f>[26]SAS_NSA_2013_4T!$B$4</f>
        <v>666661</v>
      </c>
      <c r="S9" s="179">
        <f>[27]SAS_NSA_2014_1T!$B$4</f>
        <v>661436</v>
      </c>
      <c r="T9" s="179">
        <f>[28]SAS_NSA_2014_2T!$B$4</f>
        <v>655922</v>
      </c>
      <c r="U9" s="179">
        <f>[29]SAS_NSA_2014_3T!$B$4</f>
        <v>650870</v>
      </c>
      <c r="V9" s="179">
        <f>[30]SAS_NSA_2014_4T!$B$4</f>
        <v>647258</v>
      </c>
      <c r="W9" s="179">
        <f>[31]SAS_NSA_2015_1T!$B$4</f>
        <v>643488</v>
      </c>
      <c r="X9" s="179">
        <f>[32]SAS_NSA_2015_2T!$B$4</f>
        <v>636243</v>
      </c>
      <c r="Y9" s="179">
        <f>[33]SAS_NSA_2015_3T!$B$4</f>
        <v>630658</v>
      </c>
      <c r="Z9" s="179">
        <f>[34]SAS_NSA_2015_4T!$B$4</f>
        <v>627469</v>
      </c>
      <c r="AA9" s="179">
        <f>[35]SAS_NSA_2016_1T!$B$4</f>
        <v>624322</v>
      </c>
      <c r="AB9" s="179">
        <f>[36]SAS_NSA_2016_2T!$B$4</f>
        <v>618846</v>
      </c>
      <c r="AC9" s="179">
        <f>[37]SAS_NSA_2016_3T!$B$4</f>
        <v>614266</v>
      </c>
      <c r="AD9" s="179">
        <f>[38]SAS_NSA_2016_4T!$B$4</f>
        <v>610896</v>
      </c>
      <c r="AE9" s="179">
        <f>[39]SAS_NSA_2017_1T!$B$4</f>
        <v>607120</v>
      </c>
      <c r="AF9" s="179">
        <f>[40]SAS_NSA_2017_2T!$B$4</f>
        <v>600974</v>
      </c>
      <c r="AG9" s="179">
        <f>[41]SAS_NSA_2017_3T!$B$4</f>
        <v>597136</v>
      </c>
      <c r="AH9" s="179">
        <f>[42]SAS_NSA_2017_4T!$B$4</f>
        <v>594751</v>
      </c>
      <c r="AI9" s="179">
        <f>[43]SAS_NSA_2018_1T!$B$4</f>
        <v>592103</v>
      </c>
      <c r="AJ9" s="179">
        <f>[44]SAS_NSA_2018_2T!$B$5</f>
        <v>586611</v>
      </c>
      <c r="AK9" s="179">
        <f>[45]SAS_NSA_2018_3T!B4</f>
        <v>582598</v>
      </c>
      <c r="AL9" s="179">
        <f>[46]SAS_NSA_2018_4T!$B$4</f>
        <v>580926</v>
      </c>
      <c r="AM9" s="179">
        <f>[47]SAS_NSA_2019_1T!$B$4</f>
        <v>578049</v>
      </c>
      <c r="AN9" s="179">
        <f>[48]SAS_NSA_2019_2T!$B$4</f>
        <v>572196</v>
      </c>
      <c r="AO9" s="179">
        <f>[49]SAS_NSA_2019_3T!$B4</f>
        <v>568287</v>
      </c>
      <c r="AP9" s="179">
        <f>[50]SAS_NSA_2019_4T!$B$4</f>
        <v>566707</v>
      </c>
      <c r="AQ9" s="179">
        <f>[51]SAS_NSA_2020_1T!$B$13</f>
        <v>564695</v>
      </c>
      <c r="AR9" s="179">
        <f>[52]SAS_NSA_2020_2T!$B$13</f>
        <v>559000</v>
      </c>
      <c r="AS9" s="179">
        <f>[53]SAS_NSA_2020_3T!$B$13</f>
        <v>554013</v>
      </c>
      <c r="AT9" s="179">
        <f>[54]SAS_NSA_2020_4T!$B$13</f>
        <v>551775</v>
      </c>
      <c r="AU9" s="179">
        <f>[55]SAS_NSA_2021_1T!$B13</f>
        <v>547085</v>
      </c>
      <c r="AV9" s="179">
        <f>[56]SAS_NSA_2021_2T!$B13</f>
        <v>540774</v>
      </c>
      <c r="AW9" s="179">
        <f>[57]SAS_NSA_2021_3T!$B13</f>
        <v>536277</v>
      </c>
      <c r="AX9" s="404">
        <f>[58]SAS_NSA_2021_4T!$B9</f>
        <v>534596</v>
      </c>
      <c r="AY9" s="179">
        <f>[59]SAS_NSA_2022_1T!$B$9</f>
        <v>532453</v>
      </c>
      <c r="AZ9" s="179">
        <f>[60]SAS_NSA_2022_2T!$B$9</f>
        <v>526957</v>
      </c>
      <c r="BA9" s="179">
        <f>[61]SAS_NSA_2022_3T!$B$9</f>
        <v>523121</v>
      </c>
      <c r="BB9" s="179">
        <f>[62]SAS_NSA_2022_4T!$B$9</f>
        <v>522583</v>
      </c>
      <c r="BC9" s="179">
        <f>[2]SAS_NSA_2023_1T!$B$9</f>
        <v>518784</v>
      </c>
      <c r="BD9" s="179">
        <f>[3]SAS_NSA_2023_2T!$B$9</f>
        <v>514818</v>
      </c>
      <c r="BE9" s="179">
        <f>[4]SAS_NSA_2023_3T!$B$9</f>
        <v>511998</v>
      </c>
      <c r="BF9" s="179">
        <f>[5]SAS_NSA_2023_4T!$B$9</f>
        <v>510130</v>
      </c>
      <c r="BG9" s="179">
        <f>[6]SAS_NSA_2024_1T!$B$9</f>
        <v>507896</v>
      </c>
      <c r="BH9" s="179">
        <f>[7]SAS_NSA_2024_2T!$B$9</f>
        <v>503160</v>
      </c>
      <c r="BI9" s="179">
        <f>[8]SAS_NSA_2024_3T!$B$9</f>
        <v>499620</v>
      </c>
      <c r="BJ9" s="179">
        <f>[9]SAS_NSA_2024_4T!$B$9</f>
        <v>498084</v>
      </c>
    </row>
    <row r="10" spans="1:62" x14ac:dyDescent="0.25">
      <c r="A10" s="303" t="s">
        <v>28</v>
      </c>
      <c r="B10" s="3">
        <f>[63]SAS_NSA_4T2009!$B$5</f>
        <v>993633</v>
      </c>
      <c r="C10" s="39">
        <f>[11]SAS_NSA_1T2010!$B$5</f>
        <v>989828</v>
      </c>
      <c r="D10" s="39">
        <f>[12]SAS_NSA_2T2010!$B$5</f>
        <v>982957</v>
      </c>
      <c r="E10" s="39">
        <f>[13]SAS_NSA_3T2010!$B$5</f>
        <v>977427</v>
      </c>
      <c r="F10" s="39">
        <f>[14]SAS_NSA_2010_4T!$B$5</f>
        <v>973081</v>
      </c>
      <c r="G10" s="39">
        <f>[15]SAS_NSA_2011_1T!$B$5</f>
        <v>968156</v>
      </c>
      <c r="H10" s="39">
        <f>[16]SAS_NSA_2011_2T!$B$5</f>
        <v>961394</v>
      </c>
      <c r="I10" s="39">
        <f>[17]SAS_NSA_2011_3T!$B$5</f>
        <v>955273</v>
      </c>
      <c r="J10" s="39">
        <f>[18]SAS_NSA_2011_4T!$B$5</f>
        <v>949667</v>
      </c>
      <c r="K10" s="39">
        <f>[19]SAS_NSA_2012_1T!$B$5</f>
        <v>944549</v>
      </c>
      <c r="L10" s="39">
        <f>'[20]120919-14H22S23-PROGRAM-TdB_STO'!$B$5</f>
        <v>936041</v>
      </c>
      <c r="M10" s="39">
        <f>'[21]121105-15H12S18-PROGRAM-TdB_STO'!$B$5</f>
        <v>928173</v>
      </c>
      <c r="N10" s="39">
        <f>[22]SAS_NSA_2012_4T!$B$5</f>
        <v>922149</v>
      </c>
      <c r="O10" s="39">
        <f>[23]SAS_NSA_2013_1T!$B$5</f>
        <v>916041</v>
      </c>
      <c r="P10" s="39">
        <f>[24]SAS_NSA_2013_2T!$B$5</f>
        <v>907346</v>
      </c>
      <c r="Q10" s="39">
        <f>[25]SAS_NSA_2013_3T!$B$5</f>
        <v>901384</v>
      </c>
      <c r="R10" s="179">
        <f>[26]SAS_NSA_2013_4T!$B$5</f>
        <v>895769</v>
      </c>
      <c r="S10" s="179">
        <f>[27]SAS_NSA_2014_1T!$B$5</f>
        <v>889185</v>
      </c>
      <c r="T10" s="179">
        <f>[28]SAS_NSA_2014_2T!$B$5</f>
        <v>881783</v>
      </c>
      <c r="U10" s="179">
        <f>[29]SAS_NSA_2014_3T!$B$5</f>
        <v>875106</v>
      </c>
      <c r="V10" s="179">
        <f>[30]SAS_NSA_2014_4T!$B$5</f>
        <v>870131</v>
      </c>
      <c r="W10" s="179">
        <f>[31]SAS_NSA_2015_1T!$B$5</f>
        <v>864009</v>
      </c>
      <c r="X10" s="179">
        <f>[32]SAS_NSA_2015_2T!$B$5</f>
        <v>854573</v>
      </c>
      <c r="Y10" s="179">
        <f>[33]SAS_NSA_2015_3T!$B$5</f>
        <v>847567</v>
      </c>
      <c r="Z10" s="179">
        <f>[34]SAS_NSA_2015_4T!$B$5</f>
        <v>842375</v>
      </c>
      <c r="AA10" s="179">
        <f>[35]SAS_NSA_2016_1T!$B$5</f>
        <v>836430</v>
      </c>
      <c r="AB10" s="179">
        <f>[36]SAS_NSA_2016_2T!$B$5</f>
        <v>828479</v>
      </c>
      <c r="AC10" s="179">
        <f>[37]SAS_NSA_2016_3T!$B$5</f>
        <v>821736</v>
      </c>
      <c r="AD10" s="179">
        <f>[38]SAS_NSA_2016_4T!$B$5</f>
        <v>815915</v>
      </c>
      <c r="AE10" s="179">
        <f>[39]SAS_NSA_2017_1T!$B$5</f>
        <v>808624</v>
      </c>
      <c r="AF10" s="179">
        <f>[40]SAS_NSA_2017_2T!$B$5</f>
        <v>798999</v>
      </c>
      <c r="AG10" s="179">
        <f>[41]SAS_NSA_2017_3T!$B$5</f>
        <v>792012</v>
      </c>
      <c r="AH10" s="179">
        <f>[42]SAS_NSA_2017_4T!$B$5</f>
        <v>786153</v>
      </c>
      <c r="AI10" s="179">
        <f>[43]SAS_NSA_2018_1T!$B$5</f>
        <v>779752</v>
      </c>
      <c r="AJ10" s="179">
        <f>[44]SAS_NSA_2018_2T!$B$6</f>
        <v>770870</v>
      </c>
      <c r="AK10" s="179">
        <f>[45]SAS_NSA_2018_3T!B5</f>
        <v>764450</v>
      </c>
      <c r="AL10" s="179">
        <f>[46]SAS_NSA_2018_4T!$B$5</f>
        <v>759655</v>
      </c>
      <c r="AM10" s="179">
        <f>[47]SAS_NSA_2019_1T!$B$5</f>
        <v>753301</v>
      </c>
      <c r="AN10" s="179">
        <f>[48]SAS_NSA_2019_2T!$B$5</f>
        <v>744585</v>
      </c>
      <c r="AO10" s="179">
        <f>[49]SAS_NSA_2019_3T!$B5</f>
        <v>738329</v>
      </c>
      <c r="AP10" s="179">
        <f>[50]SAS_NSA_2019_4T!$B$5</f>
        <v>733532</v>
      </c>
      <c r="AQ10" s="179">
        <f>[51]SAS_NSA_2020_1T!$B$14</f>
        <v>727812</v>
      </c>
      <c r="AR10" s="179">
        <f>[52]SAS_NSA_2020_2T!$B$14</f>
        <v>719197</v>
      </c>
      <c r="AS10" s="179">
        <f>[53]SAS_NSA_2020_3T!$B$14</f>
        <v>711744</v>
      </c>
      <c r="AT10" s="179">
        <f>[54]SAS_NSA_2020_4T!$B$14</f>
        <v>706323</v>
      </c>
      <c r="AU10" s="179">
        <f>[55]SAS_NSA_2021_1T!$B14</f>
        <v>697708</v>
      </c>
      <c r="AV10" s="179">
        <f>[56]SAS_NSA_2021_2T!$B14</f>
        <v>688871</v>
      </c>
      <c r="AW10" s="179">
        <f>[57]SAS_NSA_2021_3T!$B14</f>
        <v>682333</v>
      </c>
      <c r="AX10" s="404">
        <f>[58]SAS_NSA_2021_4T!$B10</f>
        <v>677049</v>
      </c>
      <c r="AY10" s="179">
        <f>[59]SAS_NSA_2022_1T!$B$10</f>
        <v>670410</v>
      </c>
      <c r="AZ10" s="179">
        <f>[60]SAS_NSA_2022_2T!$B$10</f>
        <v>661540</v>
      </c>
      <c r="BA10" s="179">
        <f>[61]SAS_NSA_2022_3T!$B$10</f>
        <v>655219</v>
      </c>
      <c r="BB10" s="179">
        <f>[62]SAS_NSA_2022_4T!$B$10</f>
        <v>651025</v>
      </c>
      <c r="BC10" s="179">
        <f>[2]SAS_NSA_2023_1T!$B$10</f>
        <v>642424</v>
      </c>
      <c r="BD10" s="179">
        <f>[3]SAS_NSA_2023_2T!$B$10</f>
        <v>635124</v>
      </c>
      <c r="BE10" s="179">
        <f>[4]SAS_NSA_2023_3T!$B$10</f>
        <v>629541</v>
      </c>
      <c r="BF10" s="179">
        <f>[5]SAS_NSA_2023_4T!$B$10</f>
        <v>625012</v>
      </c>
      <c r="BG10" s="179">
        <f>[6]SAS_NSA_2024_1T!$B$10</f>
        <v>618864</v>
      </c>
      <c r="BH10" s="179">
        <f>[7]SAS_NSA_2024_2T!$B$10</f>
        <v>611474</v>
      </c>
      <c r="BI10" s="179">
        <f>[8]SAS_NSA_2024_3T!$B$10</f>
        <v>605432</v>
      </c>
      <c r="BJ10" s="179">
        <f>[9]SAS_NSA_2024_4T!$B$10</f>
        <v>600703</v>
      </c>
    </row>
    <row r="11" spans="1:62" x14ac:dyDescent="0.25">
      <c r="A11" s="303" t="s">
        <v>13</v>
      </c>
      <c r="B11" s="3">
        <f>[63]SAS_NSA_4T2009!$B$6</f>
        <v>1747453</v>
      </c>
      <c r="C11" s="39">
        <f>[11]SAS_NSA_1T2010!$B$6</f>
        <v>1740296</v>
      </c>
      <c r="D11" s="39">
        <f>[12]SAS_NSA_2T2010!$B$6</f>
        <v>1727118</v>
      </c>
      <c r="E11" s="39">
        <f>[13]SAS_NSA_3T2010!$B$6</f>
        <v>1715909</v>
      </c>
      <c r="F11" s="39">
        <f>[14]SAS_NSA_2010_4T!$B$6</f>
        <v>1707668</v>
      </c>
      <c r="G11" s="39">
        <f>[15]SAS_NSA_2011_1T!$B$6</f>
        <v>1698621</v>
      </c>
      <c r="H11" s="39">
        <f>[16]SAS_NSA_2011_2T!$B$6</f>
        <v>1685404</v>
      </c>
      <c r="I11" s="39">
        <f>[17]SAS_NSA_2011_3T!$B$6</f>
        <v>1673121</v>
      </c>
      <c r="J11" s="39">
        <f>[18]SAS_NSA_2011_4T!$B$6</f>
        <v>1662131</v>
      </c>
      <c r="K11" s="39">
        <f>[19]SAS_NSA_2012_1T!$B$6</f>
        <v>1652521</v>
      </c>
      <c r="L11" s="39">
        <f>'[20]120919-14H22S23-PROGRAM-TdB_STO'!$B$6</f>
        <v>1636387</v>
      </c>
      <c r="M11" s="39">
        <f>'[21]121105-15H12S18-PROGRAM-TdB_STO'!$B$6</f>
        <v>1621294</v>
      </c>
      <c r="N11" s="39">
        <f>[22]SAS_NSA_2012_4T!$B$6</f>
        <v>1609842</v>
      </c>
      <c r="O11" s="39">
        <f>[23]SAS_NSA_2013_1T!$B$6</f>
        <v>1599206</v>
      </c>
      <c r="P11" s="39">
        <f>[24]SAS_NSA_2013_2T!$B$6</f>
        <v>1583325</v>
      </c>
      <c r="Q11" s="39">
        <f>[25]SAS_NSA_2013_3T!$B$6</f>
        <v>1572601</v>
      </c>
      <c r="R11" s="179">
        <f>[26]SAS_NSA_2013_4T!$B$6</f>
        <v>1562430</v>
      </c>
      <c r="S11" s="179">
        <f>[27]SAS_NSA_2014_1T!$B$6</f>
        <v>1550621</v>
      </c>
      <c r="T11" s="179">
        <f>[28]SAS_NSA_2014_2T!$B$6</f>
        <v>1537705</v>
      </c>
      <c r="U11" s="179">
        <f>[29]SAS_NSA_2014_3T!$B$6</f>
        <v>1525976</v>
      </c>
      <c r="V11" s="179">
        <f>[30]SAS_NSA_2014_4T!$B$6</f>
        <v>1517389</v>
      </c>
      <c r="W11" s="179">
        <f>[31]SAS_NSA_2015_1T!$B$6</f>
        <v>1507497</v>
      </c>
      <c r="X11" s="179">
        <f>[32]SAS_NSA_2015_2T!$B$6</f>
        <v>1490816</v>
      </c>
      <c r="Y11" s="179">
        <f>[33]SAS_NSA_2015_3T!$B$6</f>
        <v>1478225</v>
      </c>
      <c r="Z11" s="179">
        <f>[34]SAS_NSA_2015_4T!$B$6</f>
        <v>1469844</v>
      </c>
      <c r="AA11" s="179">
        <f>[35]SAS_NSA_2016_1T!$B$6</f>
        <v>1460752</v>
      </c>
      <c r="AB11" s="179">
        <f>[36]SAS_NSA_2016_2T!$B$6</f>
        <v>1447325</v>
      </c>
      <c r="AC11" s="179">
        <f>[37]SAS_NSA_2016_3T!$B$6</f>
        <v>1436002</v>
      </c>
      <c r="AD11" s="179">
        <f>[38]SAS_NSA_2016_4T!$B$6</f>
        <v>1426811</v>
      </c>
      <c r="AE11" s="179">
        <f>[39]SAS_NSA_2017_1T!$B$6</f>
        <v>1415744</v>
      </c>
      <c r="AF11" s="179">
        <f>[40]SAS_NSA_2017_2T!$B$6</f>
        <v>1399973</v>
      </c>
      <c r="AG11" s="179">
        <f>[41]SAS_NSA_2017_3T!$B$6</f>
        <v>1389148</v>
      </c>
      <c r="AH11" s="179">
        <f>[42]SAS_NSA_2017_4T!$B$6</f>
        <v>1380904</v>
      </c>
      <c r="AI11" s="179">
        <f>[43]SAS_NSA_2018_1T!$B$6</f>
        <v>1371855</v>
      </c>
      <c r="AJ11" s="179">
        <f>[44]SAS_NSA_2018_2T!$B$7</f>
        <v>1357481</v>
      </c>
      <c r="AK11" s="179">
        <f>[45]SAS_NSA_2018_3T!B6</f>
        <v>1347048</v>
      </c>
      <c r="AL11" s="179">
        <f>[46]SAS_NSA_2018_4T!$B$6</f>
        <v>1340581</v>
      </c>
      <c r="AM11" s="179">
        <f>[47]SAS_NSA_2019_1T!$B$6</f>
        <v>1331350</v>
      </c>
      <c r="AN11" s="179">
        <f>[48]SAS_NSA_2019_2T!$B$6</f>
        <v>1316781</v>
      </c>
      <c r="AO11" s="179">
        <f>[49]SAS_NSA_2019_3T!$B6</f>
        <v>1306616</v>
      </c>
      <c r="AP11" s="179">
        <f>[50]SAS_NSA_2019_4T!$B$6</f>
        <v>1300239</v>
      </c>
      <c r="AQ11" s="179">
        <f>[51]SAS_NSA_2020_1T!$B$15</f>
        <v>1292507</v>
      </c>
      <c r="AR11" s="179">
        <f>[52]SAS_NSA_2020_2T!$B$15</f>
        <v>1278197</v>
      </c>
      <c r="AS11" s="179">
        <f>[53]SAS_NSA_2020_3T!$B$15</f>
        <v>1265757</v>
      </c>
      <c r="AT11" s="179">
        <f>[54]SAS_NSA_2020_4T!$B$15</f>
        <v>1258098</v>
      </c>
      <c r="AU11" s="179">
        <f>[55]SAS_NSA_2021_1T!$B15</f>
        <v>1244793</v>
      </c>
      <c r="AV11" s="179">
        <f>[56]SAS_NSA_2021_2T!$B15</f>
        <v>1229645</v>
      </c>
      <c r="AW11" s="179">
        <f>[57]SAS_NSA_2021_3T!$B15</f>
        <v>1218610</v>
      </c>
      <c r="AX11" s="404">
        <f>[58]SAS_NSA_2021_4T!$B11</f>
        <v>1211645</v>
      </c>
      <c r="AY11" s="179">
        <f>[59]SAS_NSA_2022_1T!$B$11</f>
        <v>1202863</v>
      </c>
      <c r="AZ11" s="179">
        <f>[60]SAS_NSA_2022_2T!$B$11</f>
        <v>1188497</v>
      </c>
      <c r="BA11" s="179">
        <f>[61]SAS_NSA_2022_3T!$B$11</f>
        <v>1178340</v>
      </c>
      <c r="BB11" s="179">
        <f>[62]SAS_NSA_2022_4T!$B$11</f>
        <v>1173608</v>
      </c>
      <c r="BC11" s="179">
        <f>[2]SAS_NSA_2023_1T!$B$11</f>
        <v>1161208</v>
      </c>
      <c r="BD11" s="179">
        <f>[3]SAS_NSA_2023_2T!$B$11</f>
        <v>1149942</v>
      </c>
      <c r="BE11" s="179">
        <f>[4]SAS_NSA_2023_3T!$B$11</f>
        <v>1141539</v>
      </c>
      <c r="BF11" s="179">
        <f>[5]SAS_NSA_2023_4T!$B$11</f>
        <v>1135142</v>
      </c>
      <c r="BG11" s="179">
        <f>[6]SAS_NSA_2024_1T!$B$11</f>
        <v>1126760</v>
      </c>
      <c r="BH11" s="179">
        <f>[7]SAS_NSA_2024_2T!$B$11</f>
        <v>1114634</v>
      </c>
      <c r="BI11" s="179">
        <f>[8]SAS_NSA_2024_3T!$B$11</f>
        <v>1105052</v>
      </c>
      <c r="BJ11" s="179">
        <f>[9]SAS_NSA_2024_4T!$B$11</f>
        <v>1098787</v>
      </c>
    </row>
    <row r="12" spans="1:62" x14ac:dyDescent="0.25">
      <c r="A12" s="304"/>
      <c r="B12" s="10"/>
      <c r="C12" s="40"/>
      <c r="D12" s="40"/>
      <c r="E12" s="40"/>
      <c r="F12" s="40"/>
      <c r="G12" s="40"/>
      <c r="H12" s="40"/>
      <c r="I12" s="40"/>
      <c r="J12" s="40"/>
      <c r="K12" s="146"/>
      <c r="L12" s="146"/>
      <c r="M12" s="146"/>
      <c r="N12" s="146"/>
      <c r="O12" s="146"/>
      <c r="P12" s="40"/>
      <c r="Q12" s="40"/>
      <c r="R12" s="180"/>
      <c r="S12" s="180"/>
      <c r="T12" s="180"/>
      <c r="U12" s="180"/>
      <c r="V12" s="180"/>
      <c r="W12" s="180"/>
      <c r="X12" s="180"/>
      <c r="Y12" s="180"/>
      <c r="Z12" s="180"/>
      <c r="AA12" s="180"/>
      <c r="AB12" s="180"/>
      <c r="AC12" s="180"/>
      <c r="AD12" s="180"/>
      <c r="AE12" s="193"/>
      <c r="AF12" s="193">
        <f>AF9/AF$11</f>
        <v>0.42927542174027644</v>
      </c>
      <c r="AG12" s="193">
        <f t="shared" ref="AG12:AH12" si="0">AG9/AG$11</f>
        <v>0.42985772574268544</v>
      </c>
      <c r="AH12" s="193">
        <f t="shared" si="0"/>
        <v>0.43069684786198026</v>
      </c>
      <c r="AI12" s="180"/>
      <c r="AJ12" s="180"/>
      <c r="AM12" s="180"/>
      <c r="AN12" s="180"/>
      <c r="AO12" s="180"/>
      <c r="AP12" s="180">
        <f>AVERAGE(AM11:AP11)</f>
        <v>1313746.5</v>
      </c>
      <c r="AQ12" s="180"/>
      <c r="AR12" s="180"/>
      <c r="AS12" s="180"/>
      <c r="AT12" s="180">
        <f>AVERAGE(AQ11:AT11)</f>
        <v>1273639.75</v>
      </c>
      <c r="AU12" s="180"/>
      <c r="AV12" s="180"/>
      <c r="AW12" s="180"/>
      <c r="AX12" s="405"/>
      <c r="AY12" s="180"/>
      <c r="AZ12" s="180"/>
      <c r="BA12" s="180"/>
      <c r="BB12" s="180"/>
      <c r="BC12" s="180"/>
      <c r="BD12" s="180"/>
      <c r="BE12" s="180"/>
      <c r="BF12" s="180"/>
      <c r="BG12" s="180"/>
      <c r="BH12" s="180"/>
      <c r="BI12" s="180"/>
      <c r="BJ12" s="180"/>
    </row>
    <row r="13" spans="1:62" ht="13" x14ac:dyDescent="0.3">
      <c r="A13" s="329" t="s">
        <v>144</v>
      </c>
      <c r="B13" s="26"/>
      <c r="C13" s="41"/>
      <c r="D13" s="41"/>
      <c r="E13" s="41"/>
      <c r="F13" s="41"/>
      <c r="G13" s="41"/>
      <c r="H13" s="41"/>
      <c r="I13" s="41"/>
      <c r="J13" s="41"/>
      <c r="K13" s="147"/>
      <c r="L13" s="147"/>
      <c r="M13" s="147"/>
      <c r="N13" s="147"/>
      <c r="O13" s="147"/>
      <c r="P13" s="41"/>
      <c r="Q13" s="41"/>
      <c r="R13" s="41"/>
      <c r="S13" s="41"/>
      <c r="T13" s="41"/>
      <c r="U13" s="41"/>
      <c r="V13" s="41"/>
      <c r="W13" s="41"/>
      <c r="X13" s="41"/>
      <c r="Y13" s="41"/>
      <c r="Z13" s="41"/>
      <c r="AA13" s="41"/>
      <c r="AB13" s="41"/>
      <c r="AC13" s="41"/>
      <c r="AD13" s="41"/>
      <c r="AE13" s="193"/>
      <c r="AF13" s="193">
        <f>AF10/AF$11</f>
        <v>0.57072457825972356</v>
      </c>
      <c r="AG13" s="193">
        <f t="shared" ref="AG13:AH13" si="1">AG10/AG$11</f>
        <v>0.57014227425731456</v>
      </c>
      <c r="AH13" s="193">
        <f t="shared" si="1"/>
        <v>0.56930315213801974</v>
      </c>
      <c r="AI13" s="41"/>
      <c r="AJ13" s="41"/>
      <c r="AM13" s="41"/>
      <c r="AN13" s="41"/>
      <c r="AO13" s="41"/>
      <c r="AP13" s="41"/>
      <c r="AQ13" s="41"/>
      <c r="AR13" s="41"/>
      <c r="AS13" s="41"/>
      <c r="AT13" s="41"/>
      <c r="AU13" s="41"/>
      <c r="AV13" s="41"/>
      <c r="AW13" s="41"/>
      <c r="AX13" s="406"/>
      <c r="AY13" s="41"/>
      <c r="AZ13" s="41"/>
      <c r="BA13" s="41"/>
      <c r="BB13" s="41"/>
      <c r="BC13" s="41"/>
      <c r="BD13" s="41"/>
      <c r="BE13" s="41"/>
      <c r="BF13" s="41"/>
      <c r="BG13" s="41"/>
      <c r="BH13" s="41"/>
      <c r="BI13" s="41"/>
      <c r="BJ13" s="41"/>
    </row>
    <row r="14" spans="1:62" x14ac:dyDescent="0.25">
      <c r="A14" s="305"/>
      <c r="B14" s="2" t="str">
        <f t="shared" ref="B14:G14" si="2">B8</f>
        <v>4eme T 2009</v>
      </c>
      <c r="C14" s="114" t="str">
        <f t="shared" si="2"/>
        <v>1er T 2010</v>
      </c>
      <c r="D14" s="114" t="str">
        <f t="shared" si="2"/>
        <v>2eme T 2010</v>
      </c>
      <c r="E14" s="114" t="str">
        <f t="shared" si="2"/>
        <v>3eme T 2010</v>
      </c>
      <c r="F14" s="114" t="str">
        <f t="shared" si="2"/>
        <v>4eme T 2010</v>
      </c>
      <c r="G14" s="115" t="str">
        <f t="shared" si="2"/>
        <v>1er T 2011</v>
      </c>
      <c r="H14" s="115" t="str">
        <f t="shared" ref="H14:M14" si="3">H8</f>
        <v>2eme T 2011</v>
      </c>
      <c r="I14" s="115" t="str">
        <f t="shared" si="3"/>
        <v>3eme T 2011</v>
      </c>
      <c r="J14" s="115" t="str">
        <f t="shared" si="3"/>
        <v>4eme T 2011</v>
      </c>
      <c r="K14" s="167" t="str">
        <f t="shared" si="3"/>
        <v>1er T 2012</v>
      </c>
      <c r="L14" s="167" t="str">
        <f t="shared" si="3"/>
        <v>2eme T 2012</v>
      </c>
      <c r="M14" s="167" t="str">
        <f t="shared" si="3"/>
        <v>3eme T 2012</v>
      </c>
      <c r="N14" s="167" t="str">
        <f t="shared" ref="N14:S14" si="4">N8</f>
        <v>4eme T 2012</v>
      </c>
      <c r="O14" s="38" t="str">
        <f t="shared" si="4"/>
        <v>1er T 2013</v>
      </c>
      <c r="P14" s="38" t="str">
        <f t="shared" si="4"/>
        <v>2eme T 2013</v>
      </c>
      <c r="Q14" s="38" t="str">
        <f t="shared" si="4"/>
        <v>3ème T 2013</v>
      </c>
      <c r="R14" s="178" t="str">
        <f t="shared" si="4"/>
        <v>4ème T 2013</v>
      </c>
      <c r="S14" s="178" t="str">
        <f t="shared" si="4"/>
        <v>1er T 2014</v>
      </c>
      <c r="T14" s="178" t="str">
        <f t="shared" ref="T14:U14" si="5">T8</f>
        <v>2eme T 2014</v>
      </c>
      <c r="U14" s="178" t="str">
        <f t="shared" si="5"/>
        <v>3T 2014</v>
      </c>
      <c r="V14" s="178" t="str">
        <f t="shared" ref="V14:W14" si="6">V8</f>
        <v>4ème T 2014</v>
      </c>
      <c r="W14" s="178" t="str">
        <f t="shared" si="6"/>
        <v>1er T 2015</v>
      </c>
      <c r="X14" s="178" t="str">
        <f t="shared" ref="X14:Y14" si="7">X8</f>
        <v>2e T 2015</v>
      </c>
      <c r="Y14" s="178" t="str">
        <f t="shared" si="7"/>
        <v>3e T 2015</v>
      </c>
      <c r="Z14" s="178" t="str">
        <f t="shared" ref="Z14:AA14" si="8">Z8</f>
        <v>4e T 2015</v>
      </c>
      <c r="AA14" s="178" t="str">
        <f t="shared" si="8"/>
        <v>1er T 2016</v>
      </c>
      <c r="AB14" s="178" t="str">
        <f t="shared" ref="AB14:AH14" si="9">AB8</f>
        <v>2e T 2016</v>
      </c>
      <c r="AC14" s="178" t="str">
        <f t="shared" si="9"/>
        <v>3e T 2016</v>
      </c>
      <c r="AD14" s="178" t="str">
        <f t="shared" si="9"/>
        <v>4e T 2016</v>
      </c>
      <c r="AE14" s="178" t="str">
        <f t="shared" si="9"/>
        <v>2017 - T1</v>
      </c>
      <c r="AF14" s="178" t="str">
        <f t="shared" si="9"/>
        <v>2017 - T2</v>
      </c>
      <c r="AG14" s="178" t="str">
        <f t="shared" si="9"/>
        <v>2017- T3</v>
      </c>
      <c r="AH14" s="178" t="str">
        <f t="shared" si="9"/>
        <v>2017 - T4</v>
      </c>
      <c r="AI14" s="178" t="str">
        <f t="shared" ref="AI14:AK14" si="10">AI8</f>
        <v>2018 - T1</v>
      </c>
      <c r="AJ14" s="178" t="str">
        <f t="shared" si="10"/>
        <v>2018 - T2</v>
      </c>
      <c r="AK14" s="178" t="str">
        <f t="shared" si="10"/>
        <v>2018 - T3</v>
      </c>
      <c r="AL14" s="178" t="str">
        <f t="shared" ref="AL14:AM14" si="11">AL8</f>
        <v>2018 - T4</v>
      </c>
      <c r="AM14" s="178" t="str">
        <f t="shared" si="11"/>
        <v>2019 - T1</v>
      </c>
      <c r="AN14" s="178" t="str">
        <f t="shared" ref="AN14:AP14" si="12">AN8</f>
        <v>2019 - T2</v>
      </c>
      <c r="AO14" s="178" t="str">
        <f t="shared" si="12"/>
        <v>2019 - T3</v>
      </c>
      <c r="AP14" s="178" t="str">
        <f t="shared" si="12"/>
        <v>2019 - T4</v>
      </c>
      <c r="AQ14" s="178" t="str">
        <f t="shared" ref="AQ14:AR14" si="13">AQ8</f>
        <v>2020 - T1</v>
      </c>
      <c r="AR14" s="178" t="str">
        <f t="shared" si="13"/>
        <v>2020 - T2</v>
      </c>
      <c r="AS14" s="178" t="str">
        <f t="shared" ref="AS14:AT14" si="14">AS8</f>
        <v>2020 - T3</v>
      </c>
      <c r="AT14" s="178" t="str">
        <f t="shared" si="14"/>
        <v>2020- T4</v>
      </c>
      <c r="AU14" s="178" t="str">
        <f t="shared" ref="AU14:AV14" si="15">AU8</f>
        <v>2021- T1</v>
      </c>
      <c r="AV14" s="178" t="str">
        <f t="shared" si="15"/>
        <v>2021- T2</v>
      </c>
      <c r="AW14" s="178" t="str">
        <f t="shared" ref="AW14:AX14" si="16">AW8</f>
        <v>2021- T3</v>
      </c>
      <c r="AX14" s="403" t="str">
        <f t="shared" si="16"/>
        <v>2021- T4</v>
      </c>
      <c r="AY14" s="178" t="str">
        <f t="shared" ref="AY14:AZ14" si="17">AY8</f>
        <v>2022- T1</v>
      </c>
      <c r="AZ14" s="178" t="str">
        <f t="shared" si="17"/>
        <v>2022- T2</v>
      </c>
      <c r="BA14" s="178" t="str">
        <f t="shared" ref="BA14:BB14" si="18">BA8</f>
        <v>2022- T3</v>
      </c>
      <c r="BB14" s="178" t="str">
        <f t="shared" si="18"/>
        <v>2022- T4</v>
      </c>
      <c r="BC14" s="178" t="str">
        <f t="shared" ref="BC14:BD14" si="19">BC8</f>
        <v>2023- T1</v>
      </c>
      <c r="BD14" s="178" t="str">
        <f t="shared" si="19"/>
        <v>2023- T2</v>
      </c>
      <c r="BE14" s="178" t="str">
        <f t="shared" ref="BE14:BF14" si="20">BE8</f>
        <v>2023- T3</v>
      </c>
      <c r="BF14" s="178" t="str">
        <f t="shared" si="20"/>
        <v>2023- T4</v>
      </c>
      <c r="BG14" s="178" t="str">
        <f t="shared" ref="BG14:BH14" si="21">BG8</f>
        <v>2024- T1</v>
      </c>
      <c r="BH14" s="178" t="str">
        <f t="shared" si="21"/>
        <v>2024- T2</v>
      </c>
      <c r="BI14" s="178" t="str">
        <f t="shared" ref="BI14:BJ14" si="22">BI8</f>
        <v>2024- T3</v>
      </c>
      <c r="BJ14" s="178" t="str">
        <f t="shared" si="22"/>
        <v>2024- T4</v>
      </c>
    </row>
    <row r="15" spans="1:62" x14ac:dyDescent="0.25">
      <c r="A15" s="306" t="s">
        <v>34</v>
      </c>
      <c r="B15" s="3">
        <f>[63]SAS_NSA_4T2009!$A$36</f>
        <v>823723</v>
      </c>
      <c r="C15" s="101">
        <f>[11]SAS_NSA_1T2010!$A$36</f>
        <v>792187</v>
      </c>
      <c r="D15" s="101">
        <f>C15+[12]SAS_NSA_2T2010!$A$36</f>
        <v>795668</v>
      </c>
      <c r="E15" s="101">
        <f>D15+[13]SAS_NSA_3T2010!$A$36</f>
        <v>799054</v>
      </c>
      <c r="F15" s="101">
        <f>E15+[14]SAS_NSA_2010_4T!$A$36</f>
        <v>803054</v>
      </c>
      <c r="G15" s="116">
        <f>[15]SAS_NSA_2011_1T!$A$36</f>
        <v>770139</v>
      </c>
      <c r="H15" s="116">
        <f>[16]SAS_NSA_2011_2T!$A$36+G15</f>
        <v>773690</v>
      </c>
      <c r="I15" s="116">
        <f>[17]SAS_NSA_2011_3T!$A$36+H15</f>
        <v>776492</v>
      </c>
      <c r="J15" s="116">
        <f>[18]SAS_NSA_2011_4T!$A$36+I15</f>
        <v>779281</v>
      </c>
      <c r="K15" s="34">
        <f>[19]SAS_NSA_2012_1T!$A$36</f>
        <v>746763</v>
      </c>
      <c r="L15" s="34">
        <f>'[20]120919-14H22S23-PROGRAM-TdB_STO'!$A$36+K15</f>
        <v>749523</v>
      </c>
      <c r="M15" s="34">
        <f>'[21]121105-15H12S18-PROGRAM-TdB_STO'!$A$36+L15</f>
        <v>751633</v>
      </c>
      <c r="N15" s="34">
        <f>[22]SAS_NSA_2012_4T!$A$36+M15</f>
        <v>754467</v>
      </c>
      <c r="O15" s="39">
        <f>[23]SAS_NSA_2013_1T!$A$36</f>
        <v>720279</v>
      </c>
      <c r="P15" s="39">
        <f>[24]SAS_NSA_2013_2T!$A$36</f>
        <v>712691</v>
      </c>
      <c r="Q15" s="39">
        <f>[25]SAS_NSA_2013_3T!$A$36</f>
        <v>707122</v>
      </c>
      <c r="R15" s="179">
        <f>[26]SAS_NSA_2013_4T!$A$36</f>
        <v>701923</v>
      </c>
      <c r="S15" s="179">
        <f>[27]SAS_NSA_2014_1T!$A$36</f>
        <v>695809</v>
      </c>
      <c r="T15" s="179">
        <f>[28]SAS_NSA_2014_2T!$A$36</f>
        <v>689370</v>
      </c>
      <c r="U15" s="179">
        <f>[29]SAS_NSA_2014_3T!$A$36</f>
        <v>683552</v>
      </c>
      <c r="V15" s="179">
        <f>[30]SAS_NSA_2014_4T!$A$36</f>
        <v>678891</v>
      </c>
      <c r="W15" s="179">
        <f>[31]SAS_NSA_2015_1T!$A$36</f>
        <v>673305</v>
      </c>
      <c r="X15" s="179">
        <f>[32]SAS_NSA_2015_2T!$A$36</f>
        <v>665157</v>
      </c>
      <c r="Y15" s="179">
        <f>[33]SAS_NSA_2015_3T!$A$36</f>
        <v>658902</v>
      </c>
      <c r="Z15" s="179">
        <f>[34]SAS_NSA_2015_4T!$A$36</f>
        <v>654211</v>
      </c>
      <c r="AA15" s="179">
        <f>[35]SAS_NSA_2016_1T!$A$36</f>
        <v>649014</v>
      </c>
      <c r="AB15" s="179">
        <f>[36]SAS_NSA_2016_2T!$A$36</f>
        <v>641945</v>
      </c>
      <c r="AC15" s="179">
        <f>[37]SAS_NSA_2016_3T!$A$36</f>
        <v>636042</v>
      </c>
      <c r="AD15" s="179">
        <f>[38]SAS_NSA_2016_4T!$A$36</f>
        <v>631040</v>
      </c>
      <c r="AE15" s="179">
        <f>[39]SAS_NSA_2017_1T!$A$36</f>
        <v>624908</v>
      </c>
      <c r="AF15" s="179">
        <f>[40]SAS_NSA_2017_2T!$A$36</f>
        <v>616820</v>
      </c>
      <c r="AG15" s="179">
        <f>[41]SAS_NSA_2017_3T!$A$36</f>
        <v>611074</v>
      </c>
      <c r="AH15" s="179">
        <f>[42]SAS_NSA_2017_4T!$A$36</f>
        <v>606385</v>
      </c>
      <c r="AI15" s="179">
        <f>[43]SAS_NSA_2018_1T!$A$36</f>
        <v>601053</v>
      </c>
      <c r="AJ15" s="179">
        <f>[44]SAS_NSA_2018_2T!$A$38</f>
        <v>593951</v>
      </c>
      <c r="AK15" s="179">
        <f>[45]SAS_NSA_2018_3T!$A$36</f>
        <v>588136</v>
      </c>
      <c r="AL15" s="179">
        <f>[46]SAS_NSA_2018_4T!$A$36</f>
        <v>584171</v>
      </c>
      <c r="AM15" s="179">
        <f>[47]SAS_NSA_2019_1T!$A$36</f>
        <v>578950</v>
      </c>
      <c r="AN15" s="179">
        <f>[48]SAS_NSA_2019_2T!$A$36</f>
        <v>571661</v>
      </c>
      <c r="AO15" s="179">
        <f>[49]SAS_NSA_2019_3T!$A$36</f>
        <v>566237</v>
      </c>
      <c r="AP15" s="179">
        <f>[50]SAS_NSA_2019_4T!$A$36</f>
        <v>562139</v>
      </c>
      <c r="AQ15" s="179">
        <f>[51]SAS_NSA_2020_1T!$A$39</f>
        <v>557557</v>
      </c>
      <c r="AR15" s="179">
        <f>[52]SAS_NSA_2020_2T!$A$39</f>
        <v>550255</v>
      </c>
      <c r="AS15" s="179">
        <f>[53]SAS_NSA_2020_3T!$A$39</f>
        <v>543974</v>
      </c>
      <c r="AT15" s="179">
        <f>[54]SAS_NSA_2020_4T!$A$39</f>
        <v>539588</v>
      </c>
      <c r="AU15" s="179">
        <f>[55]SAS_NSA_2021_1T!$A$39</f>
        <v>532529</v>
      </c>
      <c r="AV15" s="179">
        <f>[56]SAS_NSA_2021_2T!$A$39</f>
        <v>525108</v>
      </c>
      <c r="AW15" s="179">
        <f>[57]SAS_NSA_2021_3T!$A$23</f>
        <v>519447</v>
      </c>
      <c r="AX15" s="404">
        <f>[58]SAS_NSA_2021_4T!$A$16</f>
        <v>515115</v>
      </c>
      <c r="AY15" s="179">
        <f>[59]SAS_NSA_2022_1T!$A$16</f>
        <v>510054</v>
      </c>
      <c r="AZ15" s="179">
        <f>[60]SAS_NSA_2022_2T!$A$16</f>
        <v>502847</v>
      </c>
      <c r="BA15" s="179">
        <f>[61]SAS_NSA_2022_3T!$A$16</f>
        <v>497455</v>
      </c>
      <c r="BB15" s="179">
        <f>[62]SAS_NSA_2022_4T!$A$16</f>
        <v>494222</v>
      </c>
      <c r="BC15" s="179">
        <f>[2]SAS_NSA_2023_1T!$A$16</f>
        <v>487125</v>
      </c>
      <c r="BD15" s="179">
        <f>[3]SAS_NSA_2023_2T!$A$16</f>
        <v>481181</v>
      </c>
      <c r="BE15" s="179">
        <f>[4]SAS_NSA_2023_3T!$A$16</f>
        <v>476546</v>
      </c>
      <c r="BF15" s="179">
        <f>[5]SAS_NSA_2023_4T!$A$16</f>
        <v>472678</v>
      </c>
      <c r="BG15" s="179">
        <f>[6]SAS_NSA_2024_1T!$A$16</f>
        <v>467844</v>
      </c>
      <c r="BH15" s="179">
        <f>[7]SAS_NSA_2024_2T!$A$16</f>
        <v>461736</v>
      </c>
      <c r="BI15" s="179">
        <f>[8]SAS_NSA_2024_3T!$A$16</f>
        <v>456582</v>
      </c>
      <c r="BJ15" s="179">
        <f>[9]SAS_NSA_2024_4T!$A$16</f>
        <v>452748</v>
      </c>
    </row>
    <row r="16" spans="1:62" x14ac:dyDescent="0.25">
      <c r="A16" s="306" t="s">
        <v>35</v>
      </c>
      <c r="B16" s="3">
        <f>[63]SAS_NSA_4T2009!$B$36</f>
        <v>997</v>
      </c>
      <c r="C16" s="101">
        <f>[11]SAS_NSA_1T2010!$B$36</f>
        <v>935</v>
      </c>
      <c r="D16" s="101">
        <f>C16+[12]SAS_NSA_2T2010!$B$36</f>
        <v>953</v>
      </c>
      <c r="E16" s="101">
        <f>D16+[13]SAS_NSA_3T2010!$B$36</f>
        <v>964</v>
      </c>
      <c r="F16" s="101">
        <f>E16+[14]SAS_NSA_2010_4T!$B$36</f>
        <v>982</v>
      </c>
      <c r="G16" s="116">
        <f>[15]SAS_NSA_2011_1T!$B$36</f>
        <v>902</v>
      </c>
      <c r="H16" s="116">
        <f>[16]SAS_NSA_2011_2T!$B$36+G16</f>
        <v>918</v>
      </c>
      <c r="I16" s="116">
        <f>[17]SAS_NSA_2011_3T!$B$36+H16</f>
        <v>923</v>
      </c>
      <c r="J16" s="116">
        <f>[18]SAS_NSA_2011_4T!$B$36+I16</f>
        <v>926</v>
      </c>
      <c r="K16" s="34">
        <f>[19]SAS_NSA_2012_1T!$B$36</f>
        <v>860</v>
      </c>
      <c r="L16" s="34">
        <f>'[20]120919-14H22S23-PROGRAM-TdB_STO'!$B$36+K16</f>
        <v>871</v>
      </c>
      <c r="M16" s="34">
        <f>'[21]121105-15H12S18-PROGRAM-TdB_STO'!$B$36+L16</f>
        <v>878</v>
      </c>
      <c r="N16" s="34">
        <f>[22]SAS_NSA_2012_4T!$B$36+M16</f>
        <v>882</v>
      </c>
      <c r="O16" s="39" t="s">
        <v>145</v>
      </c>
      <c r="P16" s="39" t="s">
        <v>145</v>
      </c>
      <c r="Q16" s="39" t="s">
        <v>145</v>
      </c>
      <c r="R16" s="179" t="s">
        <v>145</v>
      </c>
      <c r="S16" s="179" t="s">
        <v>145</v>
      </c>
      <c r="T16" s="179" t="s">
        <v>145</v>
      </c>
      <c r="U16" s="179" t="s">
        <v>145</v>
      </c>
      <c r="V16" s="179" t="s">
        <v>145</v>
      </c>
      <c r="W16" s="179" t="s">
        <v>145</v>
      </c>
      <c r="X16" s="179" t="s">
        <v>145</v>
      </c>
      <c r="Y16" s="179" t="s">
        <v>145</v>
      </c>
      <c r="Z16" s="179" t="s">
        <v>145</v>
      </c>
      <c r="AA16" s="179" t="s">
        <v>145</v>
      </c>
      <c r="AB16" s="179" t="s">
        <v>145</v>
      </c>
      <c r="AC16" s="179" t="s">
        <v>145</v>
      </c>
      <c r="AD16" s="179" t="s">
        <v>145</v>
      </c>
      <c r="AE16" s="179" t="s">
        <v>145</v>
      </c>
      <c r="AF16" s="179" t="s">
        <v>145</v>
      </c>
      <c r="AG16" s="179" t="s">
        <v>145</v>
      </c>
      <c r="AH16" s="179" t="s">
        <v>145</v>
      </c>
      <c r="AI16" s="179" t="s">
        <v>145</v>
      </c>
      <c r="AJ16" s="179" t="s">
        <v>145</v>
      </c>
      <c r="AK16" s="179" t="s">
        <v>145</v>
      </c>
      <c r="AL16" s="179" t="s">
        <v>145</v>
      </c>
      <c r="AM16" s="179" t="s">
        <v>145</v>
      </c>
      <c r="AN16" s="179" t="s">
        <v>145</v>
      </c>
      <c r="AO16" s="179"/>
      <c r="AP16" s="179"/>
      <c r="AQ16" s="179"/>
      <c r="AR16" s="179"/>
      <c r="AS16" s="179"/>
      <c r="AT16" s="179"/>
      <c r="AU16" s="179"/>
      <c r="AV16" s="179"/>
      <c r="AW16" s="179"/>
      <c r="AX16" s="404"/>
      <c r="AY16" s="179"/>
      <c r="AZ16" s="179"/>
      <c r="BA16" s="179"/>
      <c r="BB16" s="179"/>
      <c r="BC16" s="179"/>
      <c r="BD16" s="179"/>
      <c r="BE16" s="179"/>
      <c r="BF16" s="179"/>
      <c r="BG16" s="179"/>
      <c r="BH16" s="179"/>
      <c r="BI16" s="179"/>
      <c r="BJ16" s="179"/>
    </row>
    <row r="17" spans="1:62" x14ac:dyDescent="0.25">
      <c r="A17" s="306" t="s">
        <v>102</v>
      </c>
      <c r="B17" s="3">
        <f>[63]SAS_NSA_4T2009!$E$36</f>
        <v>2150</v>
      </c>
      <c r="C17" s="101">
        <f>[11]SAS_NSA_1T2010!$E$36</f>
        <v>1905</v>
      </c>
      <c r="D17" s="101">
        <f>C17+[12]SAS_NSA_2T2010!$E$36</f>
        <v>1914</v>
      </c>
      <c r="E17" s="101">
        <f>D17+[13]SAS_NSA_3T2010!$E$36</f>
        <v>1917</v>
      </c>
      <c r="F17" s="101">
        <f>E17+[14]SAS_NSA_2010_4T!$E$36</f>
        <v>1919</v>
      </c>
      <c r="G17" s="116">
        <f>[15]SAS_NSA_2011_1T!$E$36</f>
        <v>1588</v>
      </c>
      <c r="H17" s="116">
        <f>[16]SAS_NSA_2011_2T!$E$36+G17</f>
        <v>1599</v>
      </c>
      <c r="I17" s="116">
        <f>[17]SAS_NSA_2011_3T!$E$36+H17</f>
        <v>1599</v>
      </c>
      <c r="J17" s="116">
        <f>[18]SAS_NSA_2011_4T!$E$36+I17</f>
        <v>1601</v>
      </c>
      <c r="K17" s="34">
        <f>[19]SAS_NSA_2012_1T!$E$36</f>
        <v>1459</v>
      </c>
      <c r="L17" s="34">
        <f>'[20]120919-14H22S23-PROGRAM-TdB_STO'!$E$36+K17</f>
        <v>1464</v>
      </c>
      <c r="M17" s="34">
        <f>'[21]121105-15H12S18-PROGRAM-TdB_STO'!$E$36+L17</f>
        <v>1464</v>
      </c>
      <c r="N17" s="34">
        <f>[22]SAS_NSA_2012_4T!$E$36+M17</f>
        <v>1466</v>
      </c>
      <c r="O17" s="39">
        <f>[23]SAS_NSA_2013_1T!$B$36</f>
        <v>1311</v>
      </c>
      <c r="P17" s="39">
        <f>[24]SAS_NSA_2013_2T!$B$36</f>
        <v>1286</v>
      </c>
      <c r="Q17" s="39">
        <f>[25]SAS_NSA_2013_3T!$B$36</f>
        <v>1250</v>
      </c>
      <c r="R17" s="179">
        <f>[26]SAS_NSA_2013_4T!$B$36</f>
        <v>1225</v>
      </c>
      <c r="S17" s="179">
        <f>[27]SAS_NSA_2014_1T!$B$36</f>
        <v>1193</v>
      </c>
      <c r="T17" s="179">
        <f>[28]SAS_NSA_2014_2T!$B$36</f>
        <v>1170</v>
      </c>
      <c r="U17" s="179">
        <f>[29]SAS_NSA_2014_3T!$B$36</f>
        <v>1139</v>
      </c>
      <c r="V17" s="179">
        <f>[30]SAS_NSA_2014_4T!$B$36</f>
        <v>1113</v>
      </c>
      <c r="W17" s="179">
        <f>[31]SAS_NSA_2015_1T!$B$36</f>
        <v>1084</v>
      </c>
      <c r="X17" s="179">
        <f>[32]SAS_NSA_2015_2T!$B$36</f>
        <v>1048</v>
      </c>
      <c r="Y17" s="179">
        <f>[33]SAS_NSA_2015_3T!$B$36</f>
        <v>1029</v>
      </c>
      <c r="Z17" s="179">
        <f>[34]SAS_NSA_2015_4T!$B$36</f>
        <v>999</v>
      </c>
      <c r="AA17" s="179">
        <f>[35]SAS_NSA_2016_1T!$B$36</f>
        <v>973</v>
      </c>
      <c r="AB17" s="179">
        <f>[36]SAS_NSA_2016_2T!$B$36</f>
        <v>939</v>
      </c>
      <c r="AC17" s="179">
        <f>[37]SAS_NSA_2016_3T!$B$36</f>
        <v>913</v>
      </c>
      <c r="AD17" s="179">
        <f>[38]SAS_NSA_2016_4T!$B$36</f>
        <v>891</v>
      </c>
      <c r="AE17" s="179">
        <f>[39]SAS_NSA_2017_1T!$B$36</f>
        <v>856</v>
      </c>
      <c r="AF17" s="179">
        <f>[40]SAS_NSA_2017_2T!$B$36</f>
        <v>841</v>
      </c>
      <c r="AG17" s="179">
        <f>[41]SAS_NSA_2017_3T!$B$36</f>
        <v>822</v>
      </c>
      <c r="AH17" s="179">
        <f>[42]SAS_NSA_2017_4T!$B$36</f>
        <v>800</v>
      </c>
      <c r="AI17" s="179">
        <f>[43]SAS_NSA_2018_1T!$B$36</f>
        <v>775</v>
      </c>
      <c r="AJ17" s="179">
        <f>[44]SAS_NSA_2018_2T!$B$38</f>
        <v>754</v>
      </c>
      <c r="AK17" s="179">
        <f>[45]SAS_NSA_2018_3T!$B$36</f>
        <v>736</v>
      </c>
      <c r="AL17" s="179">
        <f>[46]SAS_NSA_2018_4T!$B$36</f>
        <v>713</v>
      </c>
      <c r="AM17" s="179">
        <f>[47]SAS_NSA_2019_1T!$B$36</f>
        <v>691</v>
      </c>
      <c r="AN17" s="179">
        <f>[48]SAS_NSA_2019_2T!$B$36</f>
        <v>675</v>
      </c>
      <c r="AO17" s="179">
        <f>[49]SAS_NSA_2019_3T!$B$36</f>
        <v>658</v>
      </c>
      <c r="AP17" s="179">
        <f>[50]SAS_NSA_2019_4T!$B$36</f>
        <v>639</v>
      </c>
      <c r="AQ17" s="179">
        <f>[51]SAS_NSA_2020_1T!$B$39</f>
        <v>624</v>
      </c>
      <c r="AR17" s="179">
        <f>[52]SAS_NSA_2020_2T!$B$39</f>
        <v>602</v>
      </c>
      <c r="AS17" s="179">
        <f>[53]SAS_NSA_2020_3T!$B$39</f>
        <v>584</v>
      </c>
      <c r="AT17" s="179">
        <f>[54]SAS_NSA_2020_4T!$B$39</f>
        <v>577</v>
      </c>
      <c r="AU17" s="179">
        <f>[55]SAS_NSA_2021_1T!$B$39</f>
        <v>558</v>
      </c>
      <c r="AV17" s="179">
        <f>[56]SAS_NSA_2021_2T!$B$39</f>
        <v>538</v>
      </c>
      <c r="AW17" s="179">
        <f>[57]SAS_NSA_2021_3T!$B$23</f>
        <v>524</v>
      </c>
      <c r="AX17" s="404">
        <f>[58]SAS_NSA_2021_4T!$B$16</f>
        <v>504</v>
      </c>
      <c r="AY17" s="179">
        <f>[59]SAS_NSA_2022_1T!$B$16</f>
        <v>462</v>
      </c>
      <c r="AZ17" s="179">
        <f>[60]SAS_NSA_2022_2T!$B$16</f>
        <v>444</v>
      </c>
      <c r="BA17" s="179">
        <f>[61]SAS_NSA_2022_3T!$B$16</f>
        <v>429</v>
      </c>
      <c r="BB17" s="179">
        <f>[62]SAS_NSA_2022_4T!$B$16</f>
        <v>412</v>
      </c>
      <c r="BC17" s="179">
        <f>[2]SAS_NSA_2023_1T!$B$16</f>
        <v>397</v>
      </c>
      <c r="BD17" s="179">
        <f>[3]SAS_NSA_2023_2T!$B$16</f>
        <v>378</v>
      </c>
      <c r="BE17" s="179">
        <f>[4]SAS_NSA_2023_3T!$B$16</f>
        <v>373</v>
      </c>
      <c r="BF17" s="179">
        <f>[5]SAS_NSA_2023_4T!$B$16</f>
        <v>367</v>
      </c>
      <c r="BG17" s="179">
        <f>[6]SAS_NSA_2024_1T!$B$16</f>
        <v>352</v>
      </c>
      <c r="BH17" s="179">
        <f>[7]SAS_NSA_2024_2T!$B$16</f>
        <v>343</v>
      </c>
      <c r="BI17" s="179">
        <f>[8]SAS_NSA_2024_3T!$B$16</f>
        <v>334</v>
      </c>
      <c r="BJ17" s="179">
        <f>[9]SAS_NSA_2024_4T!$B$16</f>
        <v>319</v>
      </c>
    </row>
    <row r="18" spans="1:62" x14ac:dyDescent="0.25">
      <c r="A18" s="307" t="s">
        <v>37</v>
      </c>
      <c r="B18" s="3">
        <f>[63]SAS_NSA_4T2009!$C$36</f>
        <v>46178</v>
      </c>
      <c r="C18" s="101">
        <f>[11]SAS_NSA_1T2010!$C$36</f>
        <v>37639</v>
      </c>
      <c r="D18" s="101">
        <f>C18+[12]SAS_NSA_2T2010!$C$36</f>
        <v>39076</v>
      </c>
      <c r="E18" s="101">
        <f>D18+[13]SAS_NSA_3T2010!$C$36</f>
        <v>39281</v>
      </c>
      <c r="F18" s="101">
        <f>E18+[14]SAS_NSA_2010_4T!$C$36</f>
        <v>39511</v>
      </c>
      <c r="G18" s="116">
        <f>[15]SAS_NSA_2011_1T!$C$36</f>
        <v>31415</v>
      </c>
      <c r="H18" s="116">
        <f>[16]SAS_NSA_2011_2T!$C$36+G18</f>
        <v>35694</v>
      </c>
      <c r="I18" s="116">
        <f>[17]SAS_NSA_2011_3T!$C$36+H18</f>
        <v>35873</v>
      </c>
      <c r="J18" s="116">
        <f>[18]SAS_NSA_2011_4T!$C$36+I18</f>
        <v>36062</v>
      </c>
      <c r="K18" s="34">
        <f>[19]SAS_NSA_2012_1T!$C$36</f>
        <v>29940</v>
      </c>
      <c r="L18" s="34">
        <f>'[20]120919-14H22S23-PROGRAM-TdB_STO'!$C$36+K18</f>
        <v>33740</v>
      </c>
      <c r="M18" s="34">
        <f>'[21]121105-15H12S18-PROGRAM-TdB_STO'!$C$36+L18</f>
        <v>34376</v>
      </c>
      <c r="N18" s="34">
        <f>[22]SAS_NSA_2012_4T!$C$36+M18</f>
        <v>34533</v>
      </c>
      <c r="O18" s="39">
        <f>[23]SAS_NSA_2013_1T!$C$36</f>
        <v>28496</v>
      </c>
      <c r="P18" s="39">
        <f>[24]SAS_NSA_2013_2T!$C$36</f>
        <v>27989</v>
      </c>
      <c r="Q18" s="39">
        <f>[25]SAS_NSA_2013_3T!$C$36</f>
        <v>26022</v>
      </c>
      <c r="R18" s="179">
        <f>[26]SAS_NSA_2013_4T!$C$36</f>
        <v>25511</v>
      </c>
      <c r="S18" s="179">
        <f>[27]SAS_NSA_2014_1T!$C$36</f>
        <v>24405</v>
      </c>
      <c r="T18" s="179">
        <f>[28]SAS_NSA_2014_2T!$C$36</f>
        <v>24019</v>
      </c>
      <c r="U18" s="179">
        <f>[29]SAS_NSA_2014_3T!$C$36</f>
        <v>21859</v>
      </c>
      <c r="V18" s="179">
        <f>[30]SAS_NSA_2014_4T!$C$36</f>
        <v>21785</v>
      </c>
      <c r="W18" s="179">
        <f>[31]SAS_NSA_2015_1T!$C$36</f>
        <v>21051</v>
      </c>
      <c r="X18" s="179">
        <f>[32]SAS_NSA_2015_2T!$C$36</f>
        <v>20177</v>
      </c>
      <c r="Y18" s="179">
        <f>[33]SAS_NSA_2015_3T!$C$36</f>
        <v>19493</v>
      </c>
      <c r="Z18" s="179">
        <f>[34]SAS_NSA_2015_4T!$C$36</f>
        <v>18886</v>
      </c>
      <c r="AA18" s="179">
        <f>[35]SAS_NSA_2016_1T!$C$36</f>
        <v>17598</v>
      </c>
      <c r="AB18" s="179">
        <f>[36]SAS_NSA_2016_2T!$C$36</f>
        <v>16832</v>
      </c>
      <c r="AC18" s="179">
        <f>[37]SAS_NSA_2016_3T!$C$36</f>
        <v>16220</v>
      </c>
      <c r="AD18" s="179">
        <f>[38]SAS_NSA_2016_4T!$C$36</f>
        <v>15707</v>
      </c>
      <c r="AE18" s="179">
        <f>[39]SAS_NSA_2017_1T!$C$36</f>
        <v>14893</v>
      </c>
      <c r="AF18" s="179">
        <f>[40]SAS_NSA_2017_2T!$C$36</f>
        <v>14297</v>
      </c>
      <c r="AG18" s="179">
        <f>[41]SAS_NSA_2017_3T!$C$36</f>
        <v>13795</v>
      </c>
      <c r="AH18" s="179">
        <f>[42]SAS_NSA_2017_4T!$C$36</f>
        <v>13297</v>
      </c>
      <c r="AI18" s="179">
        <f>[43]SAS_NSA_2018_1T!$C$36</f>
        <v>12389</v>
      </c>
      <c r="AJ18" s="179">
        <f>[44]SAS_NSA_2018_2T!$C$38</f>
        <v>12520</v>
      </c>
      <c r="AK18" s="179">
        <f>[45]SAS_NSA_2018_3T!$C$36</f>
        <v>12187</v>
      </c>
      <c r="AL18" s="179">
        <f>[46]SAS_NSA_2018_4T!$C$36</f>
        <v>11735</v>
      </c>
      <c r="AM18" s="179">
        <f>[47]SAS_NSA_2019_1T!$C$36</f>
        <v>12140</v>
      </c>
      <c r="AN18" s="179">
        <f>[48]SAS_NSA_2019_2T!$C$36</f>
        <v>11523</v>
      </c>
      <c r="AO18" s="179">
        <f>[49]SAS_NSA_2019_3T!$C$36</f>
        <v>11937</v>
      </c>
      <c r="AP18" s="179">
        <f>[50]SAS_NSA_2019_4T!$C$36</f>
        <v>11204</v>
      </c>
      <c r="AQ18" s="179">
        <f>[51]SAS_NSA_2020_1T!$C$39</f>
        <v>10679</v>
      </c>
      <c r="AR18" s="179">
        <f>[52]SAS_NSA_2020_2T!$C$39</f>
        <v>10098</v>
      </c>
      <c r="AS18" s="179">
        <f>[53]SAS_NSA_2020_3T!$C$39</f>
        <v>9706</v>
      </c>
      <c r="AT18" s="179">
        <f>[54]SAS_NSA_2020_4T!$C$39</f>
        <v>9324</v>
      </c>
      <c r="AU18" s="179">
        <f>[55]SAS_NSA_2021_1T!$C$39</f>
        <v>8834</v>
      </c>
      <c r="AV18" s="179">
        <f>[56]SAS_NSA_2021_2T!$C$39</f>
        <v>8372</v>
      </c>
      <c r="AW18" s="179">
        <f>[57]SAS_NSA_2021_3T!$C$23</f>
        <v>8013</v>
      </c>
      <c r="AX18" s="404">
        <f>[58]SAS_NSA_2021_4T!$C$16</f>
        <v>7671</v>
      </c>
      <c r="AY18" s="179">
        <f>[59]SAS_NSA_2022_1T!$C$16</f>
        <v>7041</v>
      </c>
      <c r="AZ18" s="179">
        <f>[60]SAS_NSA_2022_2T!$C$16</f>
        <v>6215</v>
      </c>
      <c r="BA18" s="179">
        <f>[61]SAS_NSA_2022_3T!$C$16</f>
        <v>5930</v>
      </c>
      <c r="BB18" s="179">
        <f>[62]SAS_NSA_2022_4T!$C$16</f>
        <v>5656</v>
      </c>
      <c r="BC18" s="179">
        <f>[2]SAS_NSA_2023_1T!$C$16</f>
        <v>5337</v>
      </c>
      <c r="BD18" s="179">
        <f>[3]SAS_NSA_2023_2T!$C$16</f>
        <v>5038</v>
      </c>
      <c r="BE18" s="179">
        <f>[4]SAS_NSA_2023_3T!$C$16</f>
        <v>4796</v>
      </c>
      <c r="BF18" s="179">
        <f>[5]SAS_NSA_2023_4T!$C$16</f>
        <v>4608</v>
      </c>
      <c r="BG18" s="179">
        <f>[6]SAS_NSA_2024_1T!$C$16</f>
        <v>4358</v>
      </c>
      <c r="BH18" s="179">
        <f>[7]SAS_NSA_2024_2T!$C$16</f>
        <v>4110</v>
      </c>
      <c r="BI18" s="179">
        <f>[8]SAS_NSA_2024_3T!$C$16</f>
        <v>3927</v>
      </c>
      <c r="BJ18" s="179">
        <f>[9]SAS_NSA_2024_4T!$C$16</f>
        <v>3712</v>
      </c>
    </row>
    <row r="19" spans="1:62" x14ac:dyDescent="0.25">
      <c r="A19" s="308" t="s">
        <v>38</v>
      </c>
      <c r="B19" s="3">
        <f>[63]SAS_NSA_4T2009!$D$36</f>
        <v>1115</v>
      </c>
      <c r="C19" s="101">
        <f>[11]SAS_NSA_1T2010!$D$36</f>
        <v>1265</v>
      </c>
      <c r="D19" s="101">
        <f>C19+[12]SAS_NSA_2T2010!$D$36</f>
        <v>1380</v>
      </c>
      <c r="E19" s="101">
        <f>D19+[13]SAS_NSA_3T2010!$D$36</f>
        <v>1486</v>
      </c>
      <c r="F19" s="101">
        <f>E19+[14]SAS_NSA_2010_4T!$D$36</f>
        <v>1586</v>
      </c>
      <c r="G19" s="116">
        <f>[15]SAS_NSA_2011_1T!$D$36</f>
        <v>1658</v>
      </c>
      <c r="H19" s="116">
        <f>[16]SAS_NSA_2011_2T!$D$36+G19</f>
        <v>1807</v>
      </c>
      <c r="I19" s="116">
        <f>[17]SAS_NSA_2011_3T!$D$36+H19</f>
        <v>1906</v>
      </c>
      <c r="J19" s="116">
        <f>[18]SAS_NSA_2011_4T!$D$36+I19</f>
        <v>2022</v>
      </c>
      <c r="K19" s="34">
        <f>[19]SAS_NSA_2012_1T!$D$36</f>
        <v>2034</v>
      </c>
      <c r="L19" s="34">
        <f>'[20]120919-14H22S23-PROGRAM-TdB_STO'!$D$36+K19</f>
        <v>2178</v>
      </c>
      <c r="M19" s="34">
        <f>'[21]121105-15H12S18-PROGRAM-TdB_STO'!$D$36+L19</f>
        <v>2285</v>
      </c>
      <c r="N19" s="34">
        <f>[22]SAS_NSA_2012_4T!$D$36+M19</f>
        <v>2382</v>
      </c>
      <c r="O19" s="39">
        <f>[23]SAS_NSA_2013_1T!$D$36</f>
        <v>2283</v>
      </c>
      <c r="P19" s="39">
        <f>[24]SAS_NSA_2013_2T!$D$36</f>
        <v>2342</v>
      </c>
      <c r="Q19" s="39">
        <f>[25]SAS_NSA_2013_3T!$D$36</f>
        <v>2401</v>
      </c>
      <c r="R19" s="179">
        <f>[26]SAS_NSA_2013_4T!$D$36</f>
        <v>2454</v>
      </c>
      <c r="S19" s="179">
        <f>[27]SAS_NSA_2014_1T!$D$36</f>
        <v>2497</v>
      </c>
      <c r="T19" s="179">
        <f>[28]SAS_NSA_2014_2T!$D$36</f>
        <v>2537</v>
      </c>
      <c r="U19" s="179">
        <f>[29]SAS_NSA_2014_3T!$D$36</f>
        <v>2538</v>
      </c>
      <c r="V19" s="179">
        <f>[30]SAS_NSA_2014_4T!$D$36</f>
        <v>2610</v>
      </c>
      <c r="W19" s="179">
        <f>[31]SAS_NSA_2015_1T!$D$36</f>
        <v>2660</v>
      </c>
      <c r="X19" s="179">
        <f>[32]SAS_NSA_2015_2T!$D$36</f>
        <v>2690</v>
      </c>
      <c r="Y19" s="179">
        <f>[33]SAS_NSA_2015_3T!$D$36</f>
        <v>2737</v>
      </c>
      <c r="Z19" s="179">
        <f>[34]SAS_NSA_2015_4T!$D$36</f>
        <v>2828</v>
      </c>
      <c r="AA19" s="179">
        <f>[35]SAS_NSA_2016_1T!$D$36</f>
        <v>2867</v>
      </c>
      <c r="AB19" s="179">
        <f>[36]SAS_NSA_2016_2T!$D$36</f>
        <v>2894</v>
      </c>
      <c r="AC19" s="179">
        <f>[37]SAS_NSA_2016_3T!$D$36</f>
        <v>2939</v>
      </c>
      <c r="AD19" s="179">
        <f>[38]SAS_NSA_2016_4T!$D$36</f>
        <v>2978</v>
      </c>
      <c r="AE19" s="179">
        <f>[39]SAS_NSA_2017_1T!$D$36</f>
        <v>2949</v>
      </c>
      <c r="AF19" s="179">
        <f>[40]SAS_NSA_2017_2T!$D$36</f>
        <v>2969</v>
      </c>
      <c r="AG19" s="179">
        <f>[41]SAS_NSA_2017_3T!$D$36</f>
        <v>2983</v>
      </c>
      <c r="AH19" s="179">
        <f>[42]SAS_NSA_2017_4T!$D$36</f>
        <v>3020</v>
      </c>
      <c r="AI19" s="179">
        <f>[43]SAS_NSA_2018_1T!$D$36</f>
        <v>2997</v>
      </c>
      <c r="AJ19" s="179">
        <f>[44]SAS_NSA_2018_2T!$D$38</f>
        <v>3090</v>
      </c>
      <c r="AK19" s="179">
        <f>[45]SAS_NSA_2018_3T!$D$36</f>
        <v>3109</v>
      </c>
      <c r="AL19" s="179">
        <f>[46]SAS_NSA_2018_4T!$D$36</f>
        <v>3141</v>
      </c>
      <c r="AM19" s="179">
        <f>[47]SAS_NSA_2019_1T!$D$36</f>
        <v>3250</v>
      </c>
      <c r="AN19" s="179">
        <f>[48]SAS_NSA_2019_2T!$D$36</f>
        <v>3265</v>
      </c>
      <c r="AO19" s="179">
        <f>[49]SAS_NSA_2019_3T!$D$36</f>
        <v>3368</v>
      </c>
      <c r="AP19" s="179">
        <f>[50]SAS_NSA_2019_4T!$D$36</f>
        <v>3405</v>
      </c>
      <c r="AQ19" s="179">
        <f>[51]SAS_NSA_2020_1T!$D$39</f>
        <v>3448</v>
      </c>
      <c r="AR19" s="179">
        <f>[52]SAS_NSA_2020_2T!$D$39</f>
        <v>3409</v>
      </c>
      <c r="AS19" s="179">
        <f>[53]SAS_NSA_2020_3T!$D$39</f>
        <v>3441</v>
      </c>
      <c r="AT19" s="179">
        <f>[54]SAS_NSA_2020_4T!$D$39</f>
        <v>3478</v>
      </c>
      <c r="AU19" s="179">
        <f>[55]SAS_NSA_2021_1T!$D$39</f>
        <v>3509</v>
      </c>
      <c r="AV19" s="179">
        <f>[56]SAS_NSA_2021_2T!$D$39</f>
        <v>3470</v>
      </c>
      <c r="AW19" s="179">
        <f>[57]SAS_NSA_2021_3T!$D$23</f>
        <v>3485</v>
      </c>
      <c r="AX19" s="404">
        <f>[58]SAS_NSA_2021_4T!$D$16</f>
        <v>3488</v>
      </c>
      <c r="AY19" s="179">
        <f>[59]SAS_NSA_2022_1T!$D$16</f>
        <v>3329</v>
      </c>
      <c r="AZ19" s="179">
        <f>[60]SAS_NSA_2022_2T!$D$16</f>
        <v>3031</v>
      </c>
      <c r="BA19" s="179">
        <f>[61]SAS_NSA_2022_3T!$D$16</f>
        <v>3023</v>
      </c>
      <c r="BB19" s="179">
        <f>[62]SAS_NSA_2022_4T!$D$16</f>
        <v>3039</v>
      </c>
      <c r="BC19" s="179">
        <f>[2]SAS_NSA_2023_1T!$D$16</f>
        <v>3053</v>
      </c>
      <c r="BD19" s="179">
        <f>[3]SAS_NSA_2023_2T!$D$16</f>
        <v>3028</v>
      </c>
      <c r="BE19" s="179">
        <f>[4]SAS_NSA_2023_3T!$D$16</f>
        <v>2988</v>
      </c>
      <c r="BF19" s="179">
        <f>[5]SAS_NSA_2023_4T!$D$16</f>
        <v>3019</v>
      </c>
      <c r="BG19" s="179">
        <f>[6]SAS_NSA_2024_1T!$D$16</f>
        <v>3058</v>
      </c>
      <c r="BH19" s="179">
        <f>[7]SAS_NSA_2024_2T!$D$16</f>
        <v>2992</v>
      </c>
      <c r="BI19" s="179">
        <f>[8]SAS_NSA_2024_3T!$D$16</f>
        <v>3009</v>
      </c>
      <c r="BJ19" s="179">
        <f>[9]SAS_NSA_2024_4T!$D$16</f>
        <v>2974</v>
      </c>
    </row>
    <row r="20" spans="1:62" x14ac:dyDescent="0.25">
      <c r="A20" s="304"/>
      <c r="B20" s="10"/>
      <c r="C20" s="40"/>
      <c r="D20" s="40"/>
      <c r="E20" s="40"/>
      <c r="F20" s="40"/>
      <c r="G20" s="40"/>
      <c r="H20" s="40"/>
      <c r="I20" s="40"/>
      <c r="J20" s="40"/>
      <c r="K20" s="146"/>
      <c r="L20" s="40"/>
      <c r="M20" s="146"/>
      <c r="N20" s="146"/>
      <c r="O20" s="146" t="s">
        <v>159</v>
      </c>
      <c r="P20" s="146"/>
      <c r="Q20" s="146"/>
      <c r="R20" s="180"/>
      <c r="S20" s="180"/>
      <c r="T20" s="180"/>
      <c r="U20" s="180"/>
      <c r="V20" s="180"/>
      <c r="W20" s="180"/>
      <c r="X20" s="180"/>
      <c r="Y20" s="180"/>
      <c r="Z20" s="180"/>
      <c r="AA20" s="180"/>
      <c r="AB20" s="180"/>
      <c r="AC20" s="180"/>
      <c r="AD20" s="180"/>
      <c r="AE20" s="180"/>
      <c r="AF20" s="180"/>
      <c r="AG20" s="180"/>
      <c r="AH20" s="180"/>
      <c r="AI20" s="180"/>
      <c r="AJ20" s="180"/>
      <c r="AM20" s="180"/>
      <c r="AN20" s="180"/>
      <c r="AO20" s="180"/>
      <c r="AP20" s="180"/>
      <c r="AQ20" s="180"/>
      <c r="AR20" s="180"/>
      <c r="AS20" s="180"/>
      <c r="AT20" s="180"/>
      <c r="AU20" s="180"/>
      <c r="AV20" s="180"/>
      <c r="AW20" s="180"/>
      <c r="AX20" s="405"/>
      <c r="AY20" s="180"/>
      <c r="AZ20" s="180"/>
      <c r="BA20" s="180"/>
      <c r="BB20" s="180"/>
      <c r="BC20" s="180"/>
      <c r="BD20" s="180"/>
      <c r="BE20" s="180"/>
      <c r="BF20" s="180"/>
      <c r="BG20" s="180"/>
      <c r="BH20" s="180"/>
      <c r="BI20" s="180"/>
      <c r="BJ20" s="180"/>
    </row>
    <row r="21" spans="1:62" x14ac:dyDescent="0.25">
      <c r="A21" s="301" t="s">
        <v>14</v>
      </c>
      <c r="L21" s="145"/>
      <c r="M21" s="145"/>
      <c r="R21" s="177"/>
      <c r="AC21" s="177"/>
      <c r="AD21" s="177"/>
      <c r="AE21" s="177"/>
      <c r="AF21" s="177"/>
      <c r="AG21" s="177"/>
      <c r="AH21" s="177"/>
      <c r="AI21" s="177"/>
      <c r="AJ21" s="177"/>
      <c r="AM21" s="177"/>
      <c r="AN21" s="177"/>
      <c r="AO21" s="177"/>
      <c r="AP21" s="177"/>
      <c r="AQ21" s="177"/>
      <c r="AR21" s="177"/>
      <c r="AS21" s="177"/>
      <c r="AT21" s="177"/>
      <c r="AU21" s="177"/>
      <c r="AV21" s="177"/>
      <c r="AW21" s="177"/>
      <c r="AX21" s="407"/>
      <c r="AY21" s="177"/>
      <c r="AZ21" s="177"/>
      <c r="BA21" s="177"/>
      <c r="BB21" s="177"/>
      <c r="BC21" s="177"/>
      <c r="BD21" s="177"/>
      <c r="BE21" s="177"/>
      <c r="BF21" s="177"/>
      <c r="BG21" s="177"/>
      <c r="BH21" s="177"/>
      <c r="BI21" s="177"/>
      <c r="BJ21" s="177"/>
    </row>
    <row r="22" spans="1:62" x14ac:dyDescent="0.25">
      <c r="A22" s="330" t="s">
        <v>11</v>
      </c>
      <c r="L22" s="145"/>
      <c r="M22" s="145"/>
      <c r="R22" s="177"/>
      <c r="AC22" s="177"/>
      <c r="AD22" s="177"/>
      <c r="AE22" s="177"/>
      <c r="AF22" s="177"/>
      <c r="AG22" s="177"/>
      <c r="AH22" s="177"/>
      <c r="AI22" s="177"/>
      <c r="AJ22" s="177"/>
      <c r="AM22" s="177"/>
      <c r="AN22" s="177"/>
      <c r="AO22" s="177"/>
      <c r="AP22" s="177"/>
      <c r="AQ22" s="177"/>
      <c r="AR22" s="177"/>
      <c r="AS22" s="177"/>
      <c r="AT22" s="177"/>
      <c r="AU22" s="177"/>
      <c r="AV22" s="177"/>
      <c r="AW22" s="177"/>
      <c r="AX22" s="407"/>
      <c r="AY22" s="177"/>
      <c r="AZ22" s="177"/>
      <c r="BA22" s="177"/>
      <c r="BB22" s="177"/>
      <c r="BC22" s="177"/>
      <c r="BD22" s="177"/>
      <c r="BE22" s="177"/>
      <c r="BF22" s="177"/>
      <c r="BG22" s="177"/>
      <c r="BH22" s="177"/>
      <c r="BI22" s="177"/>
      <c r="BJ22" s="177"/>
    </row>
    <row r="23" spans="1:62" x14ac:dyDescent="0.25">
      <c r="A23" s="302"/>
      <c r="B23" s="2" t="str">
        <f t="shared" ref="B23:G23" si="23">B8</f>
        <v>4eme T 2009</v>
      </c>
      <c r="C23" s="38" t="str">
        <f t="shared" si="23"/>
        <v>1er T 2010</v>
      </c>
      <c r="D23" s="38" t="str">
        <f t="shared" si="23"/>
        <v>2eme T 2010</v>
      </c>
      <c r="E23" s="38" t="str">
        <f t="shared" si="23"/>
        <v>3eme T 2010</v>
      </c>
      <c r="F23" s="38" t="str">
        <f t="shared" si="23"/>
        <v>4eme T 2010</v>
      </c>
      <c r="G23" s="38" t="str">
        <f t="shared" si="23"/>
        <v>1er T 2011</v>
      </c>
      <c r="H23" s="38" t="str">
        <f t="shared" ref="H23:M23" si="24">H8</f>
        <v>2eme T 2011</v>
      </c>
      <c r="I23" s="38" t="str">
        <f t="shared" si="24"/>
        <v>3eme T 2011</v>
      </c>
      <c r="J23" s="38" t="str">
        <f t="shared" si="24"/>
        <v>4eme T 2011</v>
      </c>
      <c r="K23" s="38" t="str">
        <f t="shared" si="24"/>
        <v>1er T 2012</v>
      </c>
      <c r="L23" s="38" t="str">
        <f t="shared" si="24"/>
        <v>2eme T 2012</v>
      </c>
      <c r="M23" s="38" t="str">
        <f t="shared" si="24"/>
        <v>3eme T 2012</v>
      </c>
      <c r="N23" s="38" t="str">
        <f t="shared" ref="N23:S23" si="25">N8</f>
        <v>4eme T 2012</v>
      </c>
      <c r="O23" s="38" t="str">
        <f t="shared" si="25"/>
        <v>1er T 2013</v>
      </c>
      <c r="P23" s="38" t="str">
        <f t="shared" si="25"/>
        <v>2eme T 2013</v>
      </c>
      <c r="Q23" s="38" t="str">
        <f t="shared" si="25"/>
        <v>3ème T 2013</v>
      </c>
      <c r="R23" s="178" t="str">
        <f t="shared" si="25"/>
        <v>4ème T 2013</v>
      </c>
      <c r="S23" s="178" t="str">
        <f t="shared" si="25"/>
        <v>1er T 2014</v>
      </c>
      <c r="T23" s="178" t="str">
        <f t="shared" ref="T23:U23" si="26">T8</f>
        <v>2eme T 2014</v>
      </c>
      <c r="U23" s="178" t="str">
        <f t="shared" si="26"/>
        <v>3T 2014</v>
      </c>
      <c r="V23" s="178" t="str">
        <f t="shared" ref="V23:W23" si="27">V8</f>
        <v>4ème T 2014</v>
      </c>
      <c r="W23" s="178" t="str">
        <f t="shared" si="27"/>
        <v>1er T 2015</v>
      </c>
      <c r="X23" s="178" t="str">
        <f t="shared" ref="X23:Y23" si="28">X8</f>
        <v>2e T 2015</v>
      </c>
      <c r="Y23" s="178" t="str">
        <f t="shared" si="28"/>
        <v>3e T 2015</v>
      </c>
      <c r="Z23" s="178" t="str">
        <f t="shared" ref="Z23:AA23" si="29">Z8</f>
        <v>4e T 2015</v>
      </c>
      <c r="AA23" s="178" t="str">
        <f t="shared" si="29"/>
        <v>1er T 2016</v>
      </c>
      <c r="AB23" s="178" t="str">
        <f t="shared" ref="AB23:AH23" si="30">AB8</f>
        <v>2e T 2016</v>
      </c>
      <c r="AC23" s="178" t="str">
        <f t="shared" si="30"/>
        <v>3e T 2016</v>
      </c>
      <c r="AD23" s="178" t="str">
        <f t="shared" si="30"/>
        <v>4e T 2016</v>
      </c>
      <c r="AE23" s="178" t="str">
        <f t="shared" si="30"/>
        <v>2017 - T1</v>
      </c>
      <c r="AF23" s="178" t="str">
        <f t="shared" si="30"/>
        <v>2017 - T2</v>
      </c>
      <c r="AG23" s="178" t="str">
        <f t="shared" si="30"/>
        <v>2017- T3</v>
      </c>
      <c r="AH23" s="178" t="str">
        <f t="shared" si="30"/>
        <v>2017 - T4</v>
      </c>
      <c r="AI23" s="178" t="str">
        <f t="shared" ref="AI23:AK23" si="31">AI8</f>
        <v>2018 - T1</v>
      </c>
      <c r="AJ23" s="178" t="str">
        <f t="shared" si="31"/>
        <v>2018 - T2</v>
      </c>
      <c r="AK23" s="178" t="str">
        <f t="shared" si="31"/>
        <v>2018 - T3</v>
      </c>
      <c r="AL23" s="178" t="str">
        <f t="shared" ref="AL23:AM23" si="32">AL8</f>
        <v>2018 - T4</v>
      </c>
      <c r="AM23" s="178" t="str">
        <f t="shared" si="32"/>
        <v>2019 - T1</v>
      </c>
      <c r="AN23" s="178" t="str">
        <f t="shared" ref="AN23:AP23" si="33">AN8</f>
        <v>2019 - T2</v>
      </c>
      <c r="AO23" s="178" t="str">
        <f t="shared" si="33"/>
        <v>2019 - T3</v>
      </c>
      <c r="AP23" s="178" t="str">
        <f t="shared" si="33"/>
        <v>2019 - T4</v>
      </c>
      <c r="AQ23" s="178" t="str">
        <f t="shared" ref="AQ23:AR23" si="34">AQ8</f>
        <v>2020 - T1</v>
      </c>
      <c r="AR23" s="178" t="str">
        <f t="shared" si="34"/>
        <v>2020 - T2</v>
      </c>
      <c r="AS23" s="178" t="str">
        <f t="shared" ref="AS23:AT23" si="35">AS8</f>
        <v>2020 - T3</v>
      </c>
      <c r="AT23" s="178" t="str">
        <f t="shared" si="35"/>
        <v>2020- T4</v>
      </c>
      <c r="AU23" s="178" t="str">
        <f t="shared" ref="AU23:AV23" si="36">AU8</f>
        <v>2021- T1</v>
      </c>
      <c r="AV23" s="178" t="str">
        <f t="shared" si="36"/>
        <v>2021- T2</v>
      </c>
      <c r="AW23" s="178" t="str">
        <f t="shared" ref="AW23:AX23" si="37">AW8</f>
        <v>2021- T3</v>
      </c>
      <c r="AX23" s="403" t="str">
        <f t="shared" si="37"/>
        <v>2021- T4</v>
      </c>
      <c r="AY23" s="178" t="str">
        <f t="shared" ref="AY23:AZ23" si="38">AY8</f>
        <v>2022- T1</v>
      </c>
      <c r="AZ23" s="178" t="str">
        <f t="shared" si="38"/>
        <v>2022- T2</v>
      </c>
      <c r="BA23" s="178" t="str">
        <f t="shared" ref="BA23:BB23" si="39">BA8</f>
        <v>2022- T3</v>
      </c>
      <c r="BB23" s="178" t="str">
        <f t="shared" si="39"/>
        <v>2022- T4</v>
      </c>
      <c r="BC23" s="178" t="str">
        <f t="shared" ref="BC23:BD23" si="40">BC8</f>
        <v>2023- T1</v>
      </c>
      <c r="BD23" s="178" t="str">
        <f t="shared" si="40"/>
        <v>2023- T2</v>
      </c>
      <c r="BE23" s="178" t="str">
        <f t="shared" ref="BE23:BF23" si="41">BE8</f>
        <v>2023- T3</v>
      </c>
      <c r="BF23" s="178" t="str">
        <f t="shared" si="41"/>
        <v>2023- T4</v>
      </c>
      <c r="BG23" s="178" t="str">
        <f t="shared" ref="BG23:BH23" si="42">BG8</f>
        <v>2024- T1</v>
      </c>
      <c r="BH23" s="178" t="str">
        <f t="shared" si="42"/>
        <v>2024- T2</v>
      </c>
      <c r="BI23" s="178" t="str">
        <f t="shared" ref="BI23:BJ23" si="43">BI8</f>
        <v>2024- T3</v>
      </c>
      <c r="BJ23" s="178" t="str">
        <f t="shared" si="43"/>
        <v>2024- T4</v>
      </c>
    </row>
    <row r="24" spans="1:62" x14ac:dyDescent="0.25">
      <c r="A24" s="303" t="s">
        <v>27</v>
      </c>
      <c r="B24" s="16">
        <f>[63]SAS_NSA_4T2009!$E$47</f>
        <v>5124.3999999999996</v>
      </c>
      <c r="C24" s="42">
        <f>[11]SAS_NSA_1T2010!$E$47</f>
        <v>5139.8</v>
      </c>
      <c r="D24" s="42">
        <f>[12]SAS_NSA_2T2010!$E$47</f>
        <v>5187.16</v>
      </c>
      <c r="E24" s="42">
        <f>[13]SAS_NSA_3T2010!$E$47</f>
        <v>5184.68</v>
      </c>
      <c r="F24" s="42">
        <f>[14]SAS_NSA_2010_4T!$E$47</f>
        <v>5188.04</v>
      </c>
      <c r="G24" s="42">
        <f>[15]SAS_NSA_2011_1T!$E$47</f>
        <v>5195.72</v>
      </c>
      <c r="H24" s="42">
        <f>[16]SAS_NSA_2011_2T!$E$47</f>
        <v>5310.68</v>
      </c>
      <c r="I24" s="42">
        <f>[17]SAS_NSA_2011_3T!$E$47</f>
        <v>5308.88</v>
      </c>
      <c r="J24" s="42">
        <f>[18]SAS_NSA_2011_4T!$E$47</f>
        <v>5313.6</v>
      </c>
      <c r="K24" s="42">
        <f>[19]SAS_NSA_2012_1T!$E$47</f>
        <v>5307.52</v>
      </c>
      <c r="L24" s="42">
        <f>'[20]120919-14H22S23-PROGRAM-TdB_STO'!$E$47</f>
        <v>5429.12</v>
      </c>
      <c r="M24" s="42">
        <f>'[21]121105-15H12S18-PROGRAM-TdB_STO'!$E$47</f>
        <v>5427.4</v>
      </c>
      <c r="N24" s="42">
        <f>[22]SAS_NSA_2012_4T!$E$47</f>
        <v>5431.04</v>
      </c>
      <c r="O24" s="42">
        <f>[23]SAS_NSA_2013_1T!$E$47</f>
        <v>5431.64</v>
      </c>
      <c r="P24" s="42">
        <f>[24]SAS_NSA_2013_2T!$E$47</f>
        <v>5501.28</v>
      </c>
      <c r="Q24" s="42">
        <f>[25]SAS_NSA_2013_3T!$E$47</f>
        <v>5498.96</v>
      </c>
      <c r="R24" s="181">
        <f>[26]SAS_NSA_2013_4T!$E$47</f>
        <v>5488.72</v>
      </c>
      <c r="S24" s="181">
        <f>[27]SAS_NSA_2014_1T!$E$47</f>
        <v>5509.56</v>
      </c>
      <c r="T24" s="181">
        <f>[28]SAS_NSA_2014_2T!$E$47</f>
        <v>5509</v>
      </c>
      <c r="U24" s="181">
        <f>[29]SAS_NSA_2014_3T!$E$47</f>
        <v>5508.68</v>
      </c>
      <c r="V24" s="181">
        <f>[30]SAS_NSA_2014_4T!$E$47</f>
        <v>5513.48</v>
      </c>
      <c r="W24" s="181">
        <f>[31]SAS_NSA_2015_1T!$E$47</f>
        <v>5515.68</v>
      </c>
      <c r="X24" s="181">
        <f>[32]SAS_NSA_2015_2T!$E$47</f>
        <v>5516.96</v>
      </c>
      <c r="Y24" s="181">
        <f>[33]SAS_NSA_2015_3T!$E$47</f>
        <v>5518.44</v>
      </c>
      <c r="Z24" s="181">
        <f>[34]SAS_NSA_2015_4T!$E$47</f>
        <v>5532.76</v>
      </c>
      <c r="AA24" s="181">
        <f>[35]SAS_NSA_2016_1T!$E$47</f>
        <v>5540.12</v>
      </c>
      <c r="AB24" s="181">
        <f>[36]SAS_NSA_2016_2T!$E$47</f>
        <v>5541.24</v>
      </c>
      <c r="AC24" s="181">
        <f>[37]SAS_NSA_2016_3T!$E$47</f>
        <v>5541.28</v>
      </c>
      <c r="AD24" s="181">
        <f>[38]SAS_NSA_2016_4T!$E$47</f>
        <v>5549.64</v>
      </c>
      <c r="AE24" s="181">
        <f>[39]SAS_NSA_2017_1T!$E$47</f>
        <v>5557.96</v>
      </c>
      <c r="AF24" s="181">
        <f>[40]SAS_NSA_2017_2T!$E$47</f>
        <v>5554.84</v>
      </c>
      <c r="AG24" s="181">
        <f>[41]SAS_NSA_2017_3T!$E$47</f>
        <v>5558.28</v>
      </c>
      <c r="AH24" s="181">
        <f>[42]SAS_NSA_2017_4T!$E$47</f>
        <v>5606.16</v>
      </c>
      <c r="AI24" s="181">
        <f>[43]SAS_NSA_2018_1T!$D$47*4</f>
        <v>5613.68</v>
      </c>
      <c r="AJ24" s="181">
        <f>[44]SAS_NSA_2018_2T!$E$49</f>
        <v>5621.48</v>
      </c>
      <c r="AK24" s="181">
        <f>4*[45]SAS_NSA_2018_3T!$D$47</f>
        <v>5620.36</v>
      </c>
      <c r="AL24" s="181">
        <f>4*[46]SAS_NSA_2018_4T!$D$47</f>
        <v>5625.36</v>
      </c>
      <c r="AM24" s="181">
        <f>[47]SAS_NSA_2019_1T!$D$47*4</f>
        <v>5654.36</v>
      </c>
      <c r="AN24" s="181">
        <f>4*[48]SAS_NSA_2019_2T!$D$47</f>
        <v>5658.6</v>
      </c>
      <c r="AO24" s="181">
        <f>4*[49]SAS_NSA_2019_3T!$D47</f>
        <v>5658.6</v>
      </c>
      <c r="AP24" s="181">
        <f>4*[50]SAS_NSA_2019_4T!$D$47</f>
        <v>5668</v>
      </c>
      <c r="AQ24" s="181">
        <f>4*[51]SAS_NSA_2020_1T!$D$48</f>
        <v>5738.12</v>
      </c>
      <c r="AR24" s="181">
        <f>4*[52]SAS_NSA_2020_2T!$D$48</f>
        <v>5735</v>
      </c>
      <c r="AS24" s="181">
        <f>4*[53]SAS_NSA_2020_3T!$D$48</f>
        <v>5737.24</v>
      </c>
      <c r="AT24" s="181">
        <f>[54]SAS_NSA_2020_4T!$E$48</f>
        <v>5747.04</v>
      </c>
      <c r="AU24" s="181">
        <f>[55]SAS_NSA_2021_1T!$E$48</f>
        <v>5774.32</v>
      </c>
      <c r="AV24" s="181">
        <f>[56]SAS_NSA_2021_2T!$E$48</f>
        <v>5775.96</v>
      </c>
      <c r="AW24" s="181">
        <f>[57]SAS_NSA_2021_3T!$E$48</f>
        <v>5781</v>
      </c>
      <c r="AX24" s="408">
        <f>[58]SAS_NSA_2021_4T!$E$32</f>
        <v>5797.5979184164398</v>
      </c>
      <c r="AY24" s="181">
        <f>[59]SAS_NSA_2022_1T!$E$32</f>
        <v>5911.3066280028397</v>
      </c>
      <c r="AZ24" s="181">
        <f>[60]SAS_NSA_2022_2T!$E$32</f>
        <v>5912.0504406440004</v>
      </c>
      <c r="BA24" s="181">
        <f>[61]SAS_NSA_2022_3T!$E$32</f>
        <v>6145.8420094815601</v>
      </c>
      <c r="BB24" s="181">
        <f>[62]SAS_NSA_2022_4T!$E$32</f>
        <v>6149.3115670106799</v>
      </c>
      <c r="BC24" s="181">
        <f>[2]SAS_NSA_2023_1T!$E$32</f>
        <v>6226.5729139158402</v>
      </c>
      <c r="BD24" s="181">
        <f>[3]SAS_NSA_2023_2T!$E$32</f>
        <v>6238.5366401330002</v>
      </c>
      <c r="BE24" s="181">
        <f>[4]SAS_NSA_2023_3T!$E$32</f>
        <v>6246.1691341338801</v>
      </c>
      <c r="BF24" s="181">
        <f>[5]SAS_NSA_2023_4T!$E$32</f>
        <v>6263.9640875151199</v>
      </c>
      <c r="BG24" s="181">
        <f>[6]SAS_NSA_2024_1T!$E$32</f>
        <v>6600.5970907430001</v>
      </c>
      <c r="BH24" s="181">
        <f>[7]SAS_NSA_2024_2T!$E$32</f>
        <v>6609.3279433977204</v>
      </c>
      <c r="BI24" s="181">
        <f>[8]SAS_NSA_2024_3T!$E$32</f>
        <v>6612.9000840638801</v>
      </c>
      <c r="BJ24" s="181">
        <f>[9]SAS_NSA_2024_4T!$E$32</f>
        <v>6627.22966407272</v>
      </c>
    </row>
    <row r="25" spans="1:62" x14ac:dyDescent="0.25">
      <c r="A25" s="303" t="s">
        <v>28</v>
      </c>
      <c r="B25" s="16">
        <f>[63]SAS_NSA_4T2009!$E$48</f>
        <v>4620.76</v>
      </c>
      <c r="C25" s="42">
        <f>[11]SAS_NSA_1T2010!$E$48</f>
        <v>4620.3999999999996</v>
      </c>
      <c r="D25" s="42">
        <f>[12]SAS_NSA_2T2010!$E$48</f>
        <v>4660.84</v>
      </c>
      <c r="E25" s="42">
        <f>[13]SAS_NSA_3T2010!$E$48</f>
        <v>4659.92</v>
      </c>
      <c r="F25" s="42">
        <f>[14]SAS_NSA_2010_4T!$E$48</f>
        <v>4656.04</v>
      </c>
      <c r="G25" s="42">
        <f>[15]SAS_NSA_2011_1T!$E$48</f>
        <v>4674.3599999999997</v>
      </c>
      <c r="H25" s="42">
        <f>[16]SAS_NSA_2011_2T!$E$48</f>
        <v>4785.32</v>
      </c>
      <c r="I25" s="42">
        <f>[17]SAS_NSA_2011_3T!$E$48</f>
        <v>4782.04</v>
      </c>
      <c r="J25" s="42">
        <f>[18]SAS_NSA_2011_4T!$E$48</f>
        <v>4779.4399999999996</v>
      </c>
      <c r="K25" s="42">
        <f>[19]SAS_NSA_2012_1T!$E$48</f>
        <v>4769.08</v>
      </c>
      <c r="L25" s="42">
        <f>'[20]120919-14H22S23-PROGRAM-TdB_STO'!$E$48</f>
        <v>4874.16</v>
      </c>
      <c r="M25" s="42">
        <f>'[21]121105-15H12S18-PROGRAM-TdB_STO'!$E$48</f>
        <v>4867.5200000000004</v>
      </c>
      <c r="N25" s="42">
        <f>[22]SAS_NSA_2012_4T!$E$48</f>
        <v>4865.28</v>
      </c>
      <c r="O25" s="42">
        <f>[23]SAS_NSA_2013_1T!$E$48</f>
        <v>4858</v>
      </c>
      <c r="P25" s="42">
        <f>[24]SAS_NSA_2013_2T!$E$48</f>
        <v>4914.6000000000004</v>
      </c>
      <c r="Q25" s="42">
        <f>[25]SAS_NSA_2013_3T!$E$48</f>
        <v>4906.5600000000004</v>
      </c>
      <c r="R25" s="181">
        <f>[26]SAS_NSA_2013_4T!$E$48</f>
        <v>4896.4399999999996</v>
      </c>
      <c r="S25" s="181">
        <f>[27]SAS_NSA_2014_1T!$E$48</f>
        <v>4901.12</v>
      </c>
      <c r="T25" s="181">
        <f>[28]SAS_NSA_2014_2T!$E$48</f>
        <v>4892.4399999999996</v>
      </c>
      <c r="U25" s="181">
        <f>[29]SAS_NSA_2014_3T!$E$48</f>
        <v>4888.08</v>
      </c>
      <c r="V25" s="181">
        <f>[30]SAS_NSA_2014_4T!$E$48</f>
        <v>4886.3999999999996</v>
      </c>
      <c r="W25" s="181">
        <f>[31]SAS_NSA_2015_1T!$E$48</f>
        <v>4879.28</v>
      </c>
      <c r="X25" s="181">
        <f>[32]SAS_NSA_2015_2T!$E$48</f>
        <v>4874.6400000000003</v>
      </c>
      <c r="Y25" s="181">
        <f>[33]SAS_NSA_2015_3T!$E$48</f>
        <v>4872.4399999999996</v>
      </c>
      <c r="Z25" s="181">
        <f>[34]SAS_NSA_2015_4T!$E$48</f>
        <v>4874.08</v>
      </c>
      <c r="AA25" s="181">
        <f>[35]SAS_NSA_2016_1T!$E$48</f>
        <v>4869.12</v>
      </c>
      <c r="AB25" s="181">
        <f>[36]SAS_NSA_2016_2T!$E$48</f>
        <v>4862.84</v>
      </c>
      <c r="AC25" s="181">
        <f>[37]SAS_NSA_2016_3T!$E$48</f>
        <v>4857.3999999999996</v>
      </c>
      <c r="AD25" s="181">
        <f>[38]SAS_NSA_2016_4T!$E$48</f>
        <v>4854.92</v>
      </c>
      <c r="AE25" s="181">
        <f>[39]SAS_NSA_2017_1T!$E$48</f>
        <v>4848.4399999999996</v>
      </c>
      <c r="AF25" s="181">
        <f>[40]SAS_NSA_2017_2T!$E$48</f>
        <v>4839.08</v>
      </c>
      <c r="AG25" s="181">
        <f>[41]SAS_NSA_2017_3T!$E$48</f>
        <v>4836.16</v>
      </c>
      <c r="AH25" s="181">
        <f>[42]SAS_NSA_2017_4T!$E$48</f>
        <v>4867.12</v>
      </c>
      <c r="AI25" s="181">
        <f>[43]SAS_NSA_2018_1T!$D$48*4</f>
        <v>4859.5600000000004</v>
      </c>
      <c r="AJ25" s="181">
        <f>[44]SAS_NSA_2018_2T!$E$50</f>
        <v>4857.16</v>
      </c>
      <c r="AK25" s="181">
        <f>4*[45]SAS_NSA_2018_3T!$D$48</f>
        <v>4851.04</v>
      </c>
      <c r="AL25" s="181">
        <f>4*[46]SAS_NSA_2018_4T!$D$48</f>
        <v>4845.6000000000004</v>
      </c>
      <c r="AM25" s="181">
        <f>[47]SAS_NSA_2019_1T!$D$48*4</f>
        <v>4858.8</v>
      </c>
      <c r="AN25" s="181">
        <f>4*[48]SAS_NSA_2019_2T!$D$48</f>
        <v>4851.04</v>
      </c>
      <c r="AO25" s="181">
        <f>4*[49]SAS_NSA_2019_3T!$D48</f>
        <v>4848.72</v>
      </c>
      <c r="AP25" s="181">
        <f>4*[50]SAS_NSA_2019_4T!$D$48</f>
        <v>4835.8</v>
      </c>
      <c r="AQ25" s="181">
        <f>4*[51]SAS_NSA_2020_1T!$D$49</f>
        <v>4885.4399999999996</v>
      </c>
      <c r="AR25" s="181">
        <f>4*[52]SAS_NSA_2020_2T!$D$49</f>
        <v>4872.04</v>
      </c>
      <c r="AS25" s="181">
        <f>4*[53]SAS_NSA_2020_3T!$D$49</f>
        <v>4863.84</v>
      </c>
      <c r="AT25" s="181">
        <f>[54]SAS_NSA_2020_4T!$E$49</f>
        <v>4857.3599999999997</v>
      </c>
      <c r="AU25" s="181">
        <f>[55]SAS_NSA_2021_1T!$E$49</f>
        <v>4867.08</v>
      </c>
      <c r="AV25" s="181">
        <f>[56]SAS_NSA_2021_2T!$E$49</f>
        <v>4856.4399999999996</v>
      </c>
      <c r="AW25" s="181">
        <f>[57]SAS_NSA_2021_3T!$E$49</f>
        <v>4849.04</v>
      </c>
      <c r="AX25" s="408">
        <f>[58]SAS_NSA_2021_4T!$E$33</f>
        <v>4846.4618970322399</v>
      </c>
      <c r="AY25" s="181">
        <f>[59]SAS_NSA_2022_1T!$E$33</f>
        <v>5041.4765883119999</v>
      </c>
      <c r="AZ25" s="181">
        <f>[60]SAS_NSA_2022_2T!$E$33</f>
        <v>5025.9411131602001</v>
      </c>
      <c r="BA25" s="181">
        <f>[61]SAS_NSA_2022_3T!$E$33</f>
        <v>5212.6032242654801</v>
      </c>
      <c r="BB25" s="181">
        <f>[62]SAS_NSA_2022_4T!$E$33</f>
        <v>5190.4562804808002</v>
      </c>
      <c r="BC25" s="181">
        <f>[2]SAS_NSA_2023_1T!$E$33</f>
        <v>5230.6053198510799</v>
      </c>
      <c r="BD25" s="181">
        <f>[3]SAS_NSA_2023_2T!$E$33</f>
        <v>5221.0578499384401</v>
      </c>
      <c r="BE25" s="181">
        <f>[4]SAS_NSA_2023_3T!$E$33</f>
        <v>5208.6883311624397</v>
      </c>
      <c r="BF25" s="181">
        <f>[5]SAS_NSA_2023_4T!$E$33</f>
        <v>5202.6998585627198</v>
      </c>
      <c r="BG25" s="181">
        <f>[6]SAS_NSA_2024_1T!$E$33</f>
        <v>5453.5225590030796</v>
      </c>
      <c r="BH25" s="181">
        <f>[7]SAS_NSA_2024_2T!$E$33</f>
        <v>5440.6070838661999</v>
      </c>
      <c r="BI25" s="181">
        <f>[8]SAS_NSA_2024_3T!$E$33</f>
        <v>5426.8725358545198</v>
      </c>
      <c r="BJ25" s="181">
        <f>[9]SAS_NSA_2024_4T!$E$33</f>
        <v>5417.0601245540802</v>
      </c>
    </row>
    <row r="26" spans="1:62" x14ac:dyDescent="0.25">
      <c r="A26" s="303" t="s">
        <v>13</v>
      </c>
      <c r="B26" s="16">
        <f>[63]SAS_NSA_4T2009!$E$46</f>
        <v>4838</v>
      </c>
      <c r="C26" s="42">
        <f>[11]SAS_NSA_1T2010!$E$46</f>
        <v>4844.3999999999996</v>
      </c>
      <c r="D26" s="42">
        <f>[12]SAS_NSA_2T2010!$E$46</f>
        <v>4887.6000000000004</v>
      </c>
      <c r="E26" s="42">
        <f>[13]SAS_NSA_3T2010!$E$46</f>
        <v>4885.76</v>
      </c>
      <c r="F26" s="42">
        <f>[14]SAS_NSA_2010_4T!$E$46</f>
        <v>4884.88</v>
      </c>
      <c r="G26" s="42">
        <f>[15]SAS_NSA_2011_1T!$E$46</f>
        <v>4898.5600000000004</v>
      </c>
      <c r="H26" s="42">
        <f>[16]SAS_NSA_2011_2T!$E$46</f>
        <v>5011</v>
      </c>
      <c r="I26" s="42">
        <f>[17]SAS_NSA_2011_3T!$E$46</f>
        <v>5008.08</v>
      </c>
      <c r="J26" s="42">
        <f>[18]SAS_NSA_2011_4T!$E$46</f>
        <v>5008.4399999999996</v>
      </c>
      <c r="K26" s="42">
        <f>[19]SAS_NSA_2012_1T!$E$46</f>
        <v>4999.76</v>
      </c>
      <c r="L26" s="42">
        <f>'[20]120919-14H22S23-PROGRAM-TdB_STO'!$E$46</f>
        <v>5111.68</v>
      </c>
      <c r="M26" s="42">
        <f>'[21]121105-15H12S18-PROGRAM-TdB_STO'!$E$46</f>
        <v>5106.88</v>
      </c>
      <c r="N26" s="42">
        <f>[22]SAS_NSA_2012_4T!$E$46</f>
        <v>5106.96</v>
      </c>
      <c r="O26" s="42">
        <f>[23]SAS_NSA_2013_1T!$E$46</f>
        <v>5103.04</v>
      </c>
      <c r="P26" s="42">
        <f>[24]SAS_NSA_2013_2T!$E$46</f>
        <v>5165.08</v>
      </c>
      <c r="Q26" s="42">
        <f>[25]SAS_NSA_2013_3T!$E$46</f>
        <v>5159.3999999999996</v>
      </c>
      <c r="R26" s="181">
        <f>[26]SAS_NSA_2013_4T!$E$46</f>
        <v>5149.16</v>
      </c>
      <c r="S26" s="181">
        <f>[27]SAS_NSA_2014_1T!$E$46</f>
        <v>5160.6400000000003</v>
      </c>
      <c r="T26" s="181">
        <f>[28]SAS_NSA_2014_2T!$E$46</f>
        <v>5155.4399999999996</v>
      </c>
      <c r="U26" s="181">
        <f>[29]SAS_NSA_2014_3T!$E$46</f>
        <v>5152.8</v>
      </c>
      <c r="V26" s="181">
        <f>[30]SAS_NSA_2014_4T!$E$46</f>
        <v>5153.88</v>
      </c>
      <c r="W26" s="181">
        <f>[31]SAS_NSA_2015_1T!$E$46</f>
        <v>5150.92</v>
      </c>
      <c r="X26" s="181">
        <f>[32]SAS_NSA_2015_2T!$E$46</f>
        <v>5148.76</v>
      </c>
      <c r="Y26" s="181">
        <f>[33]SAS_NSA_2015_3T!$E$46</f>
        <v>5148.04</v>
      </c>
      <c r="Z26" s="181">
        <f>[34]SAS_NSA_2015_4T!$E$46</f>
        <v>5155.28</v>
      </c>
      <c r="AA26" s="181">
        <f>[35]SAS_NSA_2016_1T!$E$46</f>
        <v>5155.88</v>
      </c>
      <c r="AB26" s="181">
        <f>[36]SAS_NSA_2016_2T!$E$46</f>
        <v>5152.92</v>
      </c>
      <c r="AC26" s="181">
        <f>[37]SAS_NSA_2016_3T!$E$46</f>
        <v>5149.92</v>
      </c>
      <c r="AD26" s="181">
        <f>[38]SAS_NSA_2016_4T!$E$46</f>
        <v>5152.3599999999997</v>
      </c>
      <c r="AE26" s="181">
        <f>[39]SAS_NSA_2017_1T!$E$46</f>
        <v>5152.72</v>
      </c>
      <c r="AF26" s="181">
        <f>[40]SAS_NSA_2017_2T!$E$46</f>
        <v>5146.32</v>
      </c>
      <c r="AG26" s="181">
        <f>[41]SAS_NSA_2017_3T!$E$46</f>
        <v>5146.5600000000004</v>
      </c>
      <c r="AH26" s="181">
        <f>[42]SAS_NSA_2017_4T!$E$46</f>
        <v>5185.3999999999996</v>
      </c>
      <c r="AI26" s="181">
        <f>[43]SAS_NSA_2018_1T!$D$46*4</f>
        <v>5185.04</v>
      </c>
      <c r="AJ26" s="181">
        <f>[44]SAS_NSA_2018_2T!$E$48</f>
        <v>5187.4399999999996</v>
      </c>
      <c r="AK26" s="181">
        <f>4*[45]SAS_NSA_2018_3T!$D$46</f>
        <v>5183.76</v>
      </c>
      <c r="AL26" s="181">
        <f>4*[46]SAS_NSA_2018_4T!$D$46</f>
        <v>5183.4799999999996</v>
      </c>
      <c r="AM26" s="181">
        <f>[47]SAS_NSA_2019_1T!$D$46*4</f>
        <v>5204.24</v>
      </c>
      <c r="AN26" s="181">
        <f>4*[48]SAS_NSA_2019_2T!$D$46</f>
        <v>5201.96</v>
      </c>
      <c r="AO26" s="181">
        <f>4*[49]SAS_NSA_2019_3T!$D$46</f>
        <v>5200.96</v>
      </c>
      <c r="AP26" s="181">
        <f>4*[50]SAS_NSA_2019_4T!$D$46</f>
        <v>5198.5200000000004</v>
      </c>
      <c r="AQ26" s="181">
        <f>4*[51]SAS_NSA_2020_1T!$D$47</f>
        <v>5258</v>
      </c>
      <c r="AR26" s="181">
        <f>4*[52]SAS_NSA_2020_2T!$D$47</f>
        <v>5249.44</v>
      </c>
      <c r="AS26" s="181">
        <f>4*[53]SAS_NSA_2020_3T!$D$47</f>
        <v>5246.12</v>
      </c>
      <c r="AT26" s="181">
        <f>[54]SAS_NSA_2020_4T!$E$47</f>
        <v>5247.56</v>
      </c>
      <c r="AU26" s="181">
        <f>[55]SAS_NSA_2021_1T!$E$47</f>
        <v>5265.8</v>
      </c>
      <c r="AV26" s="181">
        <f>[56]SAS_NSA_2021_2T!$E$47</f>
        <v>5260.84</v>
      </c>
      <c r="AW26" s="181">
        <f>[57]SAS_NSA_2021_3T!$E$47</f>
        <v>5259.16</v>
      </c>
      <c r="AX26" s="408">
        <f>[58]SAS_NSA_2021_4T!$E$31</f>
        <v>5266.1167937671198</v>
      </c>
      <c r="AY26" s="181">
        <f>[59]SAS_NSA_2022_1T!$E$31</f>
        <v>5426.5100119215203</v>
      </c>
      <c r="AZ26" s="181">
        <f>[60]SAS_NSA_2022_2T!$E$31</f>
        <v>5418.8247465704399</v>
      </c>
      <c r="BA26" s="181">
        <f>[61]SAS_NSA_2022_3T!$E$31</f>
        <v>5626.9117325320003</v>
      </c>
      <c r="BB26" s="181">
        <f>[62]SAS_NSA_2022_4T!$E$31</f>
        <v>5617.4134999309999</v>
      </c>
      <c r="BC26" s="181">
        <f>[2]SAS_NSA_2023_1T!$E$31</f>
        <v>5675.5656553913204</v>
      </c>
      <c r="BD26" s="181">
        <f>[3]SAS_NSA_2023_2T!$E$31</f>
        <v>5676.5725496198002</v>
      </c>
      <c r="BE26" s="181">
        <f>[4]SAS_NSA_2023_3T!$E$31</f>
        <v>5674.0140162027201</v>
      </c>
      <c r="BF26" s="181">
        <f>[5]SAS_NSA_2023_4T!$E$31</f>
        <v>5679.6288566794801</v>
      </c>
      <c r="BG26" s="181">
        <f>[6]SAS_NSA_2024_1T!$E$31</f>
        <v>5970.5745774174002</v>
      </c>
      <c r="BH26" s="181">
        <f>[7]SAS_NSA_2024_2T!$E$31</f>
        <v>5968.1825819058004</v>
      </c>
      <c r="BI26" s="181">
        <f>[8]SAS_NSA_2024_3T!$E$31</f>
        <v>5963.1030004895601</v>
      </c>
      <c r="BJ26" s="181">
        <f>[9]SAS_NSA_2024_4T!$E$31</f>
        <v>5965.6342202810802</v>
      </c>
    </row>
    <row r="27" spans="1:62" ht="13" thickBot="1" x14ac:dyDescent="0.3">
      <c r="A27" s="310"/>
      <c r="B27" s="15"/>
      <c r="C27" s="118">
        <f t="shared" ref="C27:AA27" si="44">C26-B26</f>
        <v>6.3999999999996362</v>
      </c>
      <c r="D27" s="118">
        <f t="shared" si="44"/>
        <v>43.200000000000728</v>
      </c>
      <c r="E27" s="118">
        <f t="shared" si="44"/>
        <v>-1.8400000000001455</v>
      </c>
      <c r="F27" s="118">
        <f t="shared" si="44"/>
        <v>-0.88000000000010914</v>
      </c>
      <c r="G27" s="118">
        <f t="shared" si="44"/>
        <v>13.680000000000291</v>
      </c>
      <c r="H27" s="118">
        <f t="shared" si="44"/>
        <v>112.4399999999996</v>
      </c>
      <c r="I27" s="118">
        <f t="shared" si="44"/>
        <v>-2.9200000000000728</v>
      </c>
      <c r="J27" s="118">
        <f t="shared" si="44"/>
        <v>0.35999999999967258</v>
      </c>
      <c r="K27" s="118">
        <f t="shared" si="44"/>
        <v>-8.6799999999993815</v>
      </c>
      <c r="L27" s="118">
        <f t="shared" si="44"/>
        <v>111.92000000000007</v>
      </c>
      <c r="M27" s="118">
        <f t="shared" si="44"/>
        <v>-4.8000000000001819</v>
      </c>
      <c r="N27" s="118">
        <f t="shared" si="44"/>
        <v>7.999999999992724E-2</v>
      </c>
      <c r="O27" s="118">
        <f t="shared" si="44"/>
        <v>-3.9200000000000728</v>
      </c>
      <c r="P27" s="118">
        <f t="shared" si="44"/>
        <v>62.039999999999964</v>
      </c>
      <c r="Q27" s="118">
        <f t="shared" si="44"/>
        <v>-5.680000000000291</v>
      </c>
      <c r="R27" s="182">
        <f t="shared" si="44"/>
        <v>-10.239999999999782</v>
      </c>
      <c r="S27" s="182">
        <f t="shared" si="44"/>
        <v>11.480000000000473</v>
      </c>
      <c r="T27" s="182">
        <f t="shared" si="44"/>
        <v>-5.2000000000007276</v>
      </c>
      <c r="U27" s="182">
        <f t="shared" si="44"/>
        <v>-2.6399999999994179</v>
      </c>
      <c r="V27" s="182">
        <f t="shared" si="44"/>
        <v>1.0799999999999272</v>
      </c>
      <c r="W27" s="182">
        <f t="shared" si="44"/>
        <v>-2.9600000000000364</v>
      </c>
      <c r="X27" s="182">
        <f t="shared" si="44"/>
        <v>-2.1599999999998545</v>
      </c>
      <c r="Y27" s="182">
        <f t="shared" si="44"/>
        <v>-0.72000000000025466</v>
      </c>
      <c r="Z27" s="182">
        <f t="shared" si="44"/>
        <v>7.2399999999997817</v>
      </c>
      <c r="AA27" s="182">
        <f t="shared" si="44"/>
        <v>0.6000000000003638</v>
      </c>
      <c r="AB27" s="182">
        <f t="shared" ref="AB27:AE27" si="45">AB26-AA26</f>
        <v>-2.9600000000000364</v>
      </c>
      <c r="AC27" s="182">
        <f t="shared" si="45"/>
        <v>-3</v>
      </c>
      <c r="AD27" s="182">
        <f t="shared" si="45"/>
        <v>2.4399999999995998</v>
      </c>
      <c r="AE27" s="182">
        <f t="shared" si="45"/>
        <v>0.36000000000058208</v>
      </c>
      <c r="AF27" s="256">
        <f>AF25/AF24</f>
        <v>0.87114660368255425</v>
      </c>
      <c r="AG27" s="256">
        <f t="shared" ref="AG27" si="46">AG25/AG24</f>
        <v>0.87008211173240646</v>
      </c>
      <c r="AH27" s="256">
        <f>AH25/AH24</f>
        <v>0.86817358049003235</v>
      </c>
      <c r="AI27" s="256">
        <f t="shared" ref="AI27" si="47">AI25/AI24</f>
        <v>0.86566387824029878</v>
      </c>
      <c r="AJ27" s="256">
        <f t="shared" ref="AJ27:AO27" si="48">AJ25/AJ24</f>
        <v>0.86403580551740822</v>
      </c>
      <c r="AK27" s="256">
        <f t="shared" si="48"/>
        <v>0.86311908845696717</v>
      </c>
      <c r="AL27" s="256">
        <f t="shared" si="48"/>
        <v>0.8613848713682325</v>
      </c>
      <c r="AM27" s="256">
        <f t="shared" si="48"/>
        <v>0.85930149477571294</v>
      </c>
      <c r="AN27" s="256">
        <f t="shared" si="48"/>
        <v>0.85728625455059548</v>
      </c>
      <c r="AO27" s="256">
        <f t="shared" si="48"/>
        <v>0.85687625914537169</v>
      </c>
      <c r="AP27" s="256">
        <f t="shared" ref="AP27:AQ27" si="49">AP25/AP24</f>
        <v>0.85317572335920966</v>
      </c>
      <c r="AQ27" s="256">
        <f t="shared" si="49"/>
        <v>0.85140080723303102</v>
      </c>
      <c r="AR27" s="256">
        <f t="shared" ref="AR27:AS27" si="50">AR25/AR24</f>
        <v>0.8495274629468178</v>
      </c>
      <c r="AS27" s="256">
        <f t="shared" si="50"/>
        <v>0.84776652188160162</v>
      </c>
      <c r="AT27" s="256">
        <f t="shared" ref="AT27:AU27" si="51">AT25/AT24</f>
        <v>0.84519335170800969</v>
      </c>
      <c r="AU27" s="256">
        <f t="shared" si="51"/>
        <v>0.84288366422366623</v>
      </c>
      <c r="AV27" s="256">
        <f t="shared" ref="AV27:BA27" si="52">AV25/AV24</f>
        <v>0.84080222162203333</v>
      </c>
      <c r="AW27" s="256">
        <f t="shared" si="52"/>
        <v>0.83878913682753853</v>
      </c>
      <c r="AX27" s="409">
        <f t="shared" si="52"/>
        <v>0.8359430862973688</v>
      </c>
      <c r="AY27" s="256">
        <f t="shared" si="52"/>
        <v>0.85285316860906679</v>
      </c>
      <c r="AZ27" s="256">
        <f t="shared" si="52"/>
        <v>0.85011810430574131</v>
      </c>
      <c r="BA27" s="256">
        <f t="shared" si="52"/>
        <v>0.84815119168759689</v>
      </c>
      <c r="BB27" s="256">
        <f t="shared" ref="BB27:BC27" si="53">BB25/BB24</f>
        <v>0.84407111656630518</v>
      </c>
      <c r="BC27" s="256">
        <f t="shared" si="53"/>
        <v>0.84004562255444548</v>
      </c>
      <c r="BD27" s="256">
        <f t="shared" ref="BD27:BE27" si="54">BD25/BD24</f>
        <v>0.83690425353134279</v>
      </c>
      <c r="BE27" s="256">
        <f t="shared" si="54"/>
        <v>0.83390126320758018</v>
      </c>
      <c r="BF27" s="256">
        <f t="shared" ref="BF27:BG27" si="55">BF25/BF24</f>
        <v>0.83057625903896304</v>
      </c>
      <c r="BG27" s="256">
        <f t="shared" si="55"/>
        <v>0.82621655041653219</v>
      </c>
      <c r="BH27" s="256">
        <f t="shared" ref="BH27:BI27" si="56">BH25/BH24</f>
        <v>0.82317099869450494</v>
      </c>
      <c r="BI27" s="256">
        <f t="shared" si="56"/>
        <v>0.82064940750163262</v>
      </c>
      <c r="BJ27" s="256">
        <f t="shared" ref="BJ27" si="57">BJ25/BJ24</f>
        <v>0.8173943561848831</v>
      </c>
    </row>
    <row r="28" spans="1:62" x14ac:dyDescent="0.25">
      <c r="A28" s="311"/>
      <c r="B28" s="10"/>
      <c r="C28" s="44"/>
      <c r="D28" s="44"/>
      <c r="E28" s="44"/>
      <c r="F28" s="44"/>
      <c r="G28" s="44"/>
      <c r="H28" s="44"/>
      <c r="I28" s="44"/>
      <c r="J28" s="44"/>
      <c r="K28" s="148"/>
      <c r="L28" s="148"/>
      <c r="M28" s="148"/>
      <c r="N28" s="148"/>
      <c r="O28" s="148"/>
      <c r="P28" s="44"/>
      <c r="Q28" s="44"/>
      <c r="R28" s="183"/>
      <c r="S28" s="183"/>
      <c r="T28" s="183"/>
      <c r="U28" s="183"/>
      <c r="V28" s="183">
        <f t="shared" ref="V28:AA28" si="58">(V26-U26)/U26</f>
        <v>2.0959478341870966E-4</v>
      </c>
      <c r="W28" s="183">
        <f t="shared" si="58"/>
        <v>-5.7432458652511046E-4</v>
      </c>
      <c r="X28" s="183">
        <f t="shared" si="58"/>
        <v>-4.1934256404678282E-4</v>
      </c>
      <c r="Y28" s="183">
        <f t="shared" si="58"/>
        <v>-1.3983949533484852E-4</v>
      </c>
      <c r="Z28" s="183">
        <f t="shared" si="58"/>
        <v>1.4063604789395152E-3</v>
      </c>
      <c r="AA28" s="183">
        <f t="shared" si="58"/>
        <v>1.1638553095086278E-4</v>
      </c>
      <c r="AB28" s="183">
        <f t="shared" ref="AB28:AJ28" si="59">(AB26-AA26)/AA26</f>
        <v>-5.7410180221417805E-4</v>
      </c>
      <c r="AC28" s="183">
        <f t="shared" si="59"/>
        <v>-5.8219417340071259E-4</v>
      </c>
      <c r="AD28" s="183">
        <f t="shared" si="59"/>
        <v>4.7379376767009971E-4</v>
      </c>
      <c r="AE28" s="183">
        <f t="shared" si="59"/>
        <v>6.9870894114654663E-5</v>
      </c>
      <c r="AF28" s="183">
        <f t="shared" si="59"/>
        <v>-1.2420624446895126E-3</v>
      </c>
      <c r="AG28" s="183">
        <f t="shared" si="59"/>
        <v>4.6635265587971838E-5</v>
      </c>
      <c r="AH28" s="183">
        <f t="shared" si="59"/>
        <v>7.5467885344772494E-3</v>
      </c>
      <c r="AI28" s="183">
        <f t="shared" si="59"/>
        <v>-6.9425695221134846E-5</v>
      </c>
      <c r="AJ28" s="183">
        <f t="shared" si="59"/>
        <v>4.6287010321996284E-4</v>
      </c>
      <c r="AM28" s="183"/>
      <c r="AN28" s="183"/>
      <c r="AO28" s="183"/>
      <c r="AP28" s="183"/>
      <c r="AQ28" s="183"/>
      <c r="AR28" s="183"/>
      <c r="AS28" s="183"/>
      <c r="AT28" s="183"/>
      <c r="AU28" s="183"/>
      <c r="AV28" s="183"/>
      <c r="AW28" s="183"/>
      <c r="AX28" s="410"/>
      <c r="AY28" s="183"/>
      <c r="AZ28" s="183"/>
      <c r="BA28" s="183"/>
      <c r="BB28" s="183"/>
      <c r="BC28" s="183"/>
      <c r="BD28" s="183"/>
      <c r="BE28" s="183"/>
      <c r="BF28" s="183"/>
      <c r="BG28" s="183"/>
      <c r="BH28" s="183"/>
      <c r="BI28" s="183"/>
      <c r="BJ28" s="183"/>
    </row>
    <row r="29" spans="1:62" x14ac:dyDescent="0.25">
      <c r="A29" s="301" t="s">
        <v>39</v>
      </c>
      <c r="L29" s="145"/>
      <c r="M29" s="145"/>
      <c r="P29" s="35"/>
      <c r="Q29" s="35"/>
      <c r="R29" s="177"/>
      <c r="V29" s="183">
        <f t="shared" ref="V29:AA29" si="60">(V26-R26)/R26</f>
        <v>9.1665436692591699E-4</v>
      </c>
      <c r="W29" s="183">
        <f t="shared" si="60"/>
        <v>-1.883487319402294E-3</v>
      </c>
      <c r="X29" s="183">
        <f t="shared" si="60"/>
        <v>-1.2957186971430919E-3</v>
      </c>
      <c r="Y29" s="183">
        <f t="shared" si="60"/>
        <v>-9.2376960099367687E-4</v>
      </c>
      <c r="Z29" s="183">
        <f t="shared" si="60"/>
        <v>2.7164000714018105E-4</v>
      </c>
      <c r="AA29" s="183">
        <f t="shared" si="60"/>
        <v>9.6293477670009165E-4</v>
      </c>
      <c r="AB29" s="183">
        <f t="shared" ref="AB29:AJ29" si="61">(AB26-X26)/X26</f>
        <v>8.079615286010329E-4</v>
      </c>
      <c r="AC29" s="183">
        <f t="shared" si="61"/>
        <v>3.6518752768045879E-4</v>
      </c>
      <c r="AD29" s="183">
        <f t="shared" si="61"/>
        <v>-5.6640958396053621E-4</v>
      </c>
      <c r="AE29" s="183">
        <f t="shared" si="61"/>
        <v>-6.1289246452591109E-4</v>
      </c>
      <c r="AF29" s="183">
        <f t="shared" si="61"/>
        <v>-1.2808271814816383E-3</v>
      </c>
      <c r="AG29" s="183">
        <f t="shared" si="61"/>
        <v>-6.5243731941460692E-4</v>
      </c>
      <c r="AH29" s="183">
        <f t="shared" si="61"/>
        <v>6.4125953931790415E-3</v>
      </c>
      <c r="AI29" s="183">
        <f t="shared" si="61"/>
        <v>6.2724153456814469E-3</v>
      </c>
      <c r="AJ29" s="183">
        <f t="shared" si="61"/>
        <v>7.9901755040494744E-3</v>
      </c>
      <c r="AM29" s="183"/>
      <c r="AN29" s="183"/>
      <c r="AO29" s="183"/>
      <c r="AP29" s="183"/>
      <c r="AQ29" s="183"/>
      <c r="AR29" s="183"/>
      <c r="AS29" s="183"/>
      <c r="AT29" s="183"/>
      <c r="AU29" s="183"/>
      <c r="AV29" s="183"/>
      <c r="AW29" s="183"/>
      <c r="AX29" s="410"/>
      <c r="AY29" s="183"/>
      <c r="AZ29" s="183"/>
      <c r="BA29" s="183"/>
      <c r="BB29" s="183"/>
      <c r="BC29" s="183"/>
      <c r="BD29" s="183"/>
      <c r="BE29" s="183"/>
      <c r="BF29" s="183"/>
      <c r="BG29" s="183"/>
      <c r="BH29" s="183"/>
      <c r="BI29" s="183"/>
      <c r="BJ29" s="183"/>
    </row>
    <row r="30" spans="1:62" x14ac:dyDescent="0.25">
      <c r="A30" s="302"/>
      <c r="B30" s="2" t="str">
        <f t="shared" ref="B30:G30" si="62">B8</f>
        <v>4eme T 2009</v>
      </c>
      <c r="C30" s="38" t="str">
        <f t="shared" si="62"/>
        <v>1er T 2010</v>
      </c>
      <c r="D30" s="38" t="str">
        <f t="shared" si="62"/>
        <v>2eme T 2010</v>
      </c>
      <c r="E30" s="38" t="str">
        <f t="shared" si="62"/>
        <v>3eme T 2010</v>
      </c>
      <c r="F30" s="38" t="str">
        <f t="shared" si="62"/>
        <v>4eme T 2010</v>
      </c>
      <c r="G30" s="38" t="str">
        <f t="shared" si="62"/>
        <v>1er T 2011</v>
      </c>
      <c r="H30" s="38" t="str">
        <f t="shared" ref="H30:M30" si="63">H8</f>
        <v>2eme T 2011</v>
      </c>
      <c r="I30" s="38" t="str">
        <f t="shared" si="63"/>
        <v>3eme T 2011</v>
      </c>
      <c r="J30" s="38" t="str">
        <f t="shared" si="63"/>
        <v>4eme T 2011</v>
      </c>
      <c r="K30" s="38" t="str">
        <f t="shared" si="63"/>
        <v>1er T 2012</v>
      </c>
      <c r="L30" s="38" t="str">
        <f t="shared" si="63"/>
        <v>2eme T 2012</v>
      </c>
      <c r="M30" s="38" t="str">
        <f t="shared" si="63"/>
        <v>3eme T 2012</v>
      </c>
      <c r="N30" s="38" t="str">
        <f t="shared" ref="N30:S30" si="64">N8</f>
        <v>4eme T 2012</v>
      </c>
      <c r="O30" s="38" t="str">
        <f t="shared" si="64"/>
        <v>1er T 2013</v>
      </c>
      <c r="P30" s="38" t="str">
        <f t="shared" si="64"/>
        <v>2eme T 2013</v>
      </c>
      <c r="Q30" s="38" t="str">
        <f t="shared" si="64"/>
        <v>3ème T 2013</v>
      </c>
      <c r="R30" s="178" t="str">
        <f t="shared" si="64"/>
        <v>4ème T 2013</v>
      </c>
      <c r="S30" s="178" t="str">
        <f t="shared" si="64"/>
        <v>1er T 2014</v>
      </c>
      <c r="T30" s="178" t="str">
        <f t="shared" ref="T30:U30" si="65">T8</f>
        <v>2eme T 2014</v>
      </c>
      <c r="U30" s="178" t="str">
        <f t="shared" si="65"/>
        <v>3T 2014</v>
      </c>
      <c r="V30" s="178" t="str">
        <f t="shared" ref="V30:W30" si="66">V8</f>
        <v>4ème T 2014</v>
      </c>
      <c r="W30" s="178" t="str">
        <f t="shared" si="66"/>
        <v>1er T 2015</v>
      </c>
      <c r="X30" s="178" t="str">
        <f t="shared" ref="X30:Y30" si="67">X8</f>
        <v>2e T 2015</v>
      </c>
      <c r="Y30" s="178" t="str">
        <f t="shared" si="67"/>
        <v>3e T 2015</v>
      </c>
      <c r="Z30" s="178" t="str">
        <f t="shared" ref="Z30:AA30" si="68">Z8</f>
        <v>4e T 2015</v>
      </c>
      <c r="AA30" s="178" t="str">
        <f t="shared" si="68"/>
        <v>1er T 2016</v>
      </c>
      <c r="AB30" s="178" t="str">
        <f t="shared" ref="AB30:AH30" si="69">AB8</f>
        <v>2e T 2016</v>
      </c>
      <c r="AC30" s="178" t="str">
        <f t="shared" si="69"/>
        <v>3e T 2016</v>
      </c>
      <c r="AD30" s="178" t="str">
        <f t="shared" si="69"/>
        <v>4e T 2016</v>
      </c>
      <c r="AE30" s="178" t="str">
        <f t="shared" si="69"/>
        <v>2017 - T1</v>
      </c>
      <c r="AF30" s="178" t="str">
        <f t="shared" si="69"/>
        <v>2017 - T2</v>
      </c>
      <c r="AG30" s="178" t="str">
        <f t="shared" si="69"/>
        <v>2017- T3</v>
      </c>
      <c r="AH30" s="178" t="str">
        <f t="shared" si="69"/>
        <v>2017 - T4</v>
      </c>
      <c r="AI30" s="178" t="str">
        <f t="shared" ref="AI30" si="70">AI8</f>
        <v>2018 - T1</v>
      </c>
      <c r="AJ30" s="178" t="s">
        <v>201</v>
      </c>
      <c r="AK30" s="178" t="s">
        <v>204</v>
      </c>
      <c r="AL30" s="178" t="s">
        <v>206</v>
      </c>
      <c r="AM30" s="178" t="str">
        <f t="shared" ref="AM30:AN30" si="71">AM8</f>
        <v>2019 - T1</v>
      </c>
      <c r="AN30" s="178" t="str">
        <f t="shared" si="71"/>
        <v>2019 - T2</v>
      </c>
      <c r="AO30" s="178" t="str">
        <f t="shared" ref="AO30" si="72">AO8</f>
        <v>2019 - T3</v>
      </c>
      <c r="AP30" s="178" t="s">
        <v>214</v>
      </c>
      <c r="AQ30" s="178" t="str">
        <f t="shared" ref="AQ30:AV30" si="73">AQ8</f>
        <v>2020 - T1</v>
      </c>
      <c r="AR30" s="178" t="str">
        <f t="shared" si="73"/>
        <v>2020 - T2</v>
      </c>
      <c r="AS30" s="178" t="str">
        <f t="shared" si="73"/>
        <v>2020 - T3</v>
      </c>
      <c r="AT30" s="178" t="str">
        <f t="shared" si="73"/>
        <v>2020- T4</v>
      </c>
      <c r="AU30" s="178" t="str">
        <f t="shared" si="73"/>
        <v>2021- T1</v>
      </c>
      <c r="AV30" s="178" t="str">
        <f t="shared" si="73"/>
        <v>2021- T2</v>
      </c>
      <c r="AW30" s="178" t="str">
        <f t="shared" ref="AW30:AX30" si="74">AW8</f>
        <v>2021- T3</v>
      </c>
      <c r="AX30" s="403" t="str">
        <f t="shared" si="74"/>
        <v>2021- T4</v>
      </c>
      <c r="AY30" s="178" t="str">
        <f t="shared" ref="AY30:AZ30" si="75">AY8</f>
        <v>2022- T1</v>
      </c>
      <c r="AZ30" s="178" t="str">
        <f t="shared" si="75"/>
        <v>2022- T2</v>
      </c>
      <c r="BA30" s="178" t="str">
        <f t="shared" ref="BA30:BB30" si="76">BA8</f>
        <v>2022- T3</v>
      </c>
      <c r="BB30" s="178" t="str">
        <f t="shared" si="76"/>
        <v>2022- T4</v>
      </c>
      <c r="BC30" s="178" t="str">
        <f t="shared" ref="BC30:BD30" si="77">BC8</f>
        <v>2023- T1</v>
      </c>
      <c r="BD30" s="178" t="str">
        <f t="shared" si="77"/>
        <v>2023- T2</v>
      </c>
      <c r="BE30" s="178" t="str">
        <f t="shared" ref="BE30:BF30" si="78">BE8</f>
        <v>2023- T3</v>
      </c>
      <c r="BF30" s="178" t="str">
        <f t="shared" si="78"/>
        <v>2023- T4</v>
      </c>
      <c r="BG30" s="178" t="str">
        <f t="shared" ref="BG30:BH30" si="79">BG8</f>
        <v>2024- T1</v>
      </c>
      <c r="BH30" s="178" t="str">
        <f t="shared" si="79"/>
        <v>2024- T2</v>
      </c>
      <c r="BI30" s="178" t="str">
        <f t="shared" ref="BI30:BJ30" si="80">BI8</f>
        <v>2024- T3</v>
      </c>
      <c r="BJ30" s="178" t="str">
        <f t="shared" si="80"/>
        <v>2024- T4</v>
      </c>
    </row>
    <row r="31" spans="1:62" x14ac:dyDescent="0.25">
      <c r="A31" s="307" t="s">
        <v>16</v>
      </c>
      <c r="B31" s="3">
        <f>[63]SAS_NSA_4T2009!$A$16</f>
        <v>1268387</v>
      </c>
      <c r="C31" s="39">
        <f>[11]SAS_NSA_1T2010!$A$16</f>
        <v>1262026</v>
      </c>
      <c r="D31" s="39">
        <f>[12]SAS_NSA_2T2010!$A$16</f>
        <v>1251134</v>
      </c>
      <c r="E31" s="39">
        <f>[13]SAS_NSA_3T2010!$A$16</f>
        <v>1240726</v>
      </c>
      <c r="F31" s="39">
        <f>[14]SAS_NSA_2010_4T!$A$16</f>
        <v>1233188</v>
      </c>
      <c r="G31" s="39">
        <f>[15]SAS_NSA_2011_1T!$A$16</f>
        <v>1225081</v>
      </c>
      <c r="H31" s="39">
        <f>[16]SAS_NSA_2011_2T!$A$16</f>
        <v>1213862</v>
      </c>
      <c r="I31" s="39">
        <f>[17]SAS_NSA_2011_3T!$A$16</f>
        <v>1202421</v>
      </c>
      <c r="J31" s="39">
        <f>[18]SAS_NSA_2011_4T!$A$16</f>
        <v>1192176</v>
      </c>
      <c r="K31" s="39">
        <f>[19]SAS_NSA_2012_1T!$A$16</f>
        <v>1183642</v>
      </c>
      <c r="L31" s="39">
        <f>'[20]120919-14H22S23-PROGRAM-TdB_STO'!$A$16</f>
        <v>1170601</v>
      </c>
      <c r="M31" s="39">
        <f>'[21]121105-15H12S18-PROGRAM-TdB_STO'!$A$16</f>
        <v>1157232</v>
      </c>
      <c r="N31" s="39">
        <f>[22]SAS_NSA_2012_4T!$A$16</f>
        <v>1147131</v>
      </c>
      <c r="O31" s="39">
        <f>[23]SAS_NSA_2013_1T!$A$16</f>
        <v>1139101</v>
      </c>
      <c r="P31" s="39">
        <f>[24]SAS_NSA_2013_2T!$A$16</f>
        <v>1127323</v>
      </c>
      <c r="Q31" s="39">
        <f>[25]SAS_NSA_2013_3T!$A$16</f>
        <v>1118319</v>
      </c>
      <c r="R31" s="179">
        <f>[26]SAS_NSA_2013_4T!$A$16</f>
        <v>1109085</v>
      </c>
      <c r="S31" s="179">
        <f>[27]SAS_NSA_2014_1T!$A$16</f>
        <v>1099191</v>
      </c>
      <c r="T31" s="179">
        <f>[28]SAS_NSA_2014_2T!$A$16</f>
        <v>1090063</v>
      </c>
      <c r="U31" s="179">
        <f>[29]SAS_NSA_2014_3T!$A$16</f>
        <v>1080753</v>
      </c>
      <c r="V31" s="179">
        <f>[30]SAS_NSA_2014_4T!$A$16</f>
        <v>1073439</v>
      </c>
      <c r="W31" s="179">
        <f>[31]SAS_NSA_2015_1T!$A$16</f>
        <v>1066056</v>
      </c>
      <c r="X31" s="179">
        <f>[32]SAS_NSA_2015_2T!$A$16</f>
        <v>1053290</v>
      </c>
      <c r="Y31" s="179">
        <f>[33]SAS_NSA_2015_3T!$A$16</f>
        <v>1042351</v>
      </c>
      <c r="Z31" s="179">
        <f>[34]SAS_NSA_2015_4T!$A$16</f>
        <v>1034918</v>
      </c>
      <c r="AA31" s="179">
        <f>[35]SAS_NSA_2016_1T!$A$16</f>
        <v>1028382</v>
      </c>
      <c r="AB31" s="179">
        <f>[36]SAS_NSA_2016_2T!$A$16</f>
        <v>1018636</v>
      </c>
      <c r="AC31" s="179">
        <f>[37]SAS_NSA_2016_3T!$A$16</f>
        <v>1009815</v>
      </c>
      <c r="AD31" s="179">
        <f>[38]SAS_NSA_2016_4T!$A$16</f>
        <v>1001864</v>
      </c>
      <c r="AE31" s="179">
        <f>[39]SAS_NSA_2017_1T!$A$16</f>
        <v>994111</v>
      </c>
      <c r="AF31" s="179">
        <f>[40]SAS_NSA_2017_2T!$A$16</f>
        <v>983461</v>
      </c>
      <c r="AG31" s="179">
        <f>[41]SAS_NSA_2017_3T!$A$16</f>
        <v>975800</v>
      </c>
      <c r="AH31" s="179">
        <f>[42]SAS_NSA_2017_4T!$A$16</f>
        <v>970081</v>
      </c>
      <c r="AI31" s="179">
        <f>[43]SAS_NSA_2018_1T!$A$16</f>
        <v>965003</v>
      </c>
      <c r="AJ31" s="179">
        <f>[44]SAS_NSA_2018_2T!$A$17</f>
        <v>956094</v>
      </c>
      <c r="AK31" s="336">
        <f>[45]SAS_NSA_2018_3T!$A$16</f>
        <v>948201</v>
      </c>
      <c r="AL31" s="336">
        <f>[46]SAS_NSA_2018_4T!$A$16</f>
        <v>942906</v>
      </c>
      <c r="AM31" s="179">
        <f>[47]SAS_NSA_2019_1T!$A$16</f>
        <v>936728</v>
      </c>
      <c r="AN31" s="179">
        <f>[48]SAS_NSA_2019_2T!$A$16</f>
        <v>926970</v>
      </c>
      <c r="AO31" s="179">
        <f>[49]SAS_NSA_2019_3T!$A$16</f>
        <v>919849</v>
      </c>
      <c r="AP31" s="179">
        <f>[50]SAS_NSA_2019_4T!$A$16</f>
        <v>915386</v>
      </c>
      <c r="AQ31" s="179">
        <f>[51]SAS_NSA_2020_1T!$A$23</f>
        <v>910751</v>
      </c>
      <c r="AR31" s="179">
        <f>[52]SAS_NSA_2020_2T!$A$23</f>
        <v>901283</v>
      </c>
      <c r="AS31" s="179">
        <f>[53]SAS_NSA_2020_3T!$A$23</f>
        <v>892872</v>
      </c>
      <c r="AT31" s="179">
        <f>[54]SAS_NSA_2020_4T!$A$23</f>
        <v>887247</v>
      </c>
      <c r="AU31" s="179">
        <f>[55]SAS_NSA_2021_1T!$A$23</f>
        <v>879243</v>
      </c>
      <c r="AV31" s="179">
        <f>[56]SAS_NSA_2021_2T!$A$23</f>
        <v>868978</v>
      </c>
      <c r="AW31" s="179">
        <f>[57]SAS_NSA_2021_3T!$A$31</f>
        <v>860898</v>
      </c>
      <c r="AX31" s="404">
        <f>[58]SAS_NSA_2021_4T!$A$21</f>
        <v>856423</v>
      </c>
      <c r="AY31" s="179">
        <f>[59]SAS_NSA_2022_1T!$A$21</f>
        <v>851817</v>
      </c>
      <c r="AZ31" s="179">
        <f>[60]SAS_NSA_2022_2T!$A$21</f>
        <v>842946</v>
      </c>
      <c r="BA31" s="179">
        <f>[61]SAS_NSA_2022_3T!$A$21</f>
        <v>836397</v>
      </c>
      <c r="BB31" s="179">
        <f>[62]SAS_NSA_2022_4T!$A$21</f>
        <v>833720</v>
      </c>
      <c r="BC31" s="179">
        <f>[2]SAS_NSA_2023_1T!$A$21</f>
        <v>827223</v>
      </c>
      <c r="BD31" s="179">
        <f>[3]SAS_NSA_2023_2T!$A$21</f>
        <v>820033</v>
      </c>
      <c r="BE31" s="179">
        <f>[4]SAS_NSA_2023_3T!$A$21</f>
        <v>814590</v>
      </c>
      <c r="BF31" s="179">
        <f>[5]SAS_NSA_2023_4T!$A$21</f>
        <v>809456</v>
      </c>
      <c r="BG31" s="179">
        <f>[6]SAS_NSA_2024_1T!$A$21</f>
        <v>805078</v>
      </c>
      <c r="BH31" s="179">
        <f>[7]SAS_NSA_2024_2T!$A$21</f>
        <v>797784</v>
      </c>
      <c r="BI31" s="179">
        <f>[8]SAS_NSA_2024_3T!$A$21</f>
        <v>791998</v>
      </c>
      <c r="BJ31" s="179">
        <f>[9]SAS_NSA_2024_4T!$A$21</f>
        <v>788121</v>
      </c>
    </row>
    <row r="32" spans="1:62" x14ac:dyDescent="0.25">
      <c r="A32" s="307" t="s">
        <v>17</v>
      </c>
      <c r="B32" s="3">
        <f>[63]SAS_NSA_4T2009!$B$16</f>
        <v>103133</v>
      </c>
      <c r="C32" s="39">
        <f>[11]SAS_NSA_1T2010!$B$16</f>
        <v>103033</v>
      </c>
      <c r="D32" s="39">
        <f>[12]SAS_NSA_2T2010!$B$16</f>
        <v>102638</v>
      </c>
      <c r="E32" s="39">
        <f>[13]SAS_NSA_3T2010!$B$16</f>
        <v>102566</v>
      </c>
      <c r="F32" s="39">
        <f>[14]SAS_NSA_2010_4T!$B$16</f>
        <v>102583</v>
      </c>
      <c r="G32" s="39">
        <f>[15]SAS_NSA_2011_1T!$B$16</f>
        <v>102434</v>
      </c>
      <c r="H32" s="39">
        <f>[16]SAS_NSA_2011_2T!$B$16</f>
        <v>102192</v>
      </c>
      <c r="I32" s="39">
        <f>[17]SAS_NSA_2011_3T!$B$16</f>
        <v>102212</v>
      </c>
      <c r="J32" s="39">
        <f>[18]SAS_NSA_2011_4T!$B$16</f>
        <v>102444</v>
      </c>
      <c r="K32" s="39">
        <f>[19]SAS_NSA_2012_1T!$B$16</f>
        <v>102345</v>
      </c>
      <c r="L32" s="39">
        <f>'[20]120919-14H22S23-PROGRAM-TdB_STO'!$B$16</f>
        <v>102019</v>
      </c>
      <c r="M32" s="39">
        <f>'[21]121105-15H12S18-PROGRAM-TdB_STO'!$B$16</f>
        <v>102111</v>
      </c>
      <c r="N32" s="39">
        <f>[22]SAS_NSA_2012_4T!$B$16</f>
        <v>102073</v>
      </c>
      <c r="O32" s="39">
        <f>[23]SAS_NSA_2013_1T!$B$16</f>
        <v>101784</v>
      </c>
      <c r="P32" s="39">
        <f>[24]SAS_NSA_2013_2T!$B$16</f>
        <v>101243</v>
      </c>
      <c r="Q32" s="39">
        <f>[25]SAS_NSA_2013_3T!$B$16</f>
        <v>101218</v>
      </c>
      <c r="R32" s="179">
        <f>[26]SAS_NSA_2013_4T!$B$16</f>
        <v>101387</v>
      </c>
      <c r="S32" s="179">
        <f>[27]SAS_NSA_2014_1T!$B$16</f>
        <v>101245</v>
      </c>
      <c r="T32" s="179">
        <f>[28]SAS_NSA_2014_2T!$B$16</f>
        <v>100886</v>
      </c>
      <c r="U32" s="179">
        <f>[29]SAS_NSA_2014_3T!$B$16</f>
        <v>100538</v>
      </c>
      <c r="V32" s="179">
        <f>[30]SAS_NSA_2014_4T!$B$16</f>
        <v>100625</v>
      </c>
      <c r="W32" s="179">
        <f>[31]SAS_NSA_2015_1T!$B$16</f>
        <v>100388</v>
      </c>
      <c r="X32" s="179">
        <f>[32]SAS_NSA_2015_2T!$B$16</f>
        <v>99877</v>
      </c>
      <c r="Y32" s="179">
        <f>[33]SAS_NSA_2015_3T!$B$16</f>
        <v>100012</v>
      </c>
      <c r="Z32" s="179">
        <f>[34]SAS_NSA_2015_4T!$B$16</f>
        <v>100204</v>
      </c>
      <c r="AA32" s="179">
        <f>[35]SAS_NSA_2016_1T!$B$16</f>
        <v>99990</v>
      </c>
      <c r="AB32" s="179">
        <f>[36]SAS_NSA_2016_2T!$B$16</f>
        <v>99644</v>
      </c>
      <c r="AC32" s="179">
        <f>[37]SAS_NSA_2016_3T!$B$16</f>
        <v>99454</v>
      </c>
      <c r="AD32" s="179">
        <f>[38]SAS_NSA_2016_4T!$B$16</f>
        <v>99731</v>
      </c>
      <c r="AE32" s="179">
        <f>[39]SAS_NSA_2017_1T!$B$16</f>
        <v>99377</v>
      </c>
      <c r="AF32" s="179">
        <f>[40]SAS_NSA_2017_2T!$B$16</f>
        <v>98705</v>
      </c>
      <c r="AG32" s="179">
        <f>[41]SAS_NSA_2017_3T!$B$16</f>
        <v>98408</v>
      </c>
      <c r="AH32" s="179">
        <f>[42]SAS_NSA_2017_4T!$B$16</f>
        <v>98235</v>
      </c>
      <c r="AI32" s="179">
        <f>[43]SAS_NSA_2018_1T!$B$16</f>
        <v>97652</v>
      </c>
      <c r="AJ32" s="179">
        <f>[44]SAS_NSA_2018_2T!$B$17</f>
        <v>96858</v>
      </c>
      <c r="AK32" s="336">
        <f>[45]SAS_NSA_2018_3T!$B$16</f>
        <v>96656</v>
      </c>
      <c r="AL32" s="336">
        <f>[46]SAS_NSA_2018_4T!$B$16</f>
        <v>96845</v>
      </c>
      <c r="AM32" s="179">
        <f>[47]SAS_NSA_2019_1T!$B$16</f>
        <v>96590</v>
      </c>
      <c r="AN32" s="179">
        <f>[48]SAS_NSA_2019_2T!$B$16</f>
        <v>95866</v>
      </c>
      <c r="AO32" s="179">
        <f>[49]SAS_NSA_2019_3T!$B$16</f>
        <v>95650</v>
      </c>
      <c r="AP32" s="179">
        <f>[50]SAS_NSA_2019_4T!$B$16</f>
        <v>95730</v>
      </c>
      <c r="AQ32" s="179">
        <f>[51]SAS_NSA_2020_1T!$B$23</f>
        <v>95374</v>
      </c>
      <c r="AR32" s="179">
        <f>[52]SAS_NSA_2020_2T!$B$23</f>
        <v>94874</v>
      </c>
      <c r="AS32" s="179">
        <f>[53]SAS_NSA_2020_3T!$B$23</f>
        <v>94292</v>
      </c>
      <c r="AT32" s="179">
        <f>[54]SAS_NSA_2020_4T!$B$23</f>
        <v>94275</v>
      </c>
      <c r="AU32" s="179">
        <f>[55]SAS_NSA_2021_1T!$B$23</f>
        <v>93501</v>
      </c>
      <c r="AV32" s="179">
        <f>[56]SAS_NSA_2021_2T!$B$23</f>
        <v>92942</v>
      </c>
      <c r="AW32" s="179">
        <f>[57]SAS_NSA_2021_3T!$B$31</f>
        <v>92681</v>
      </c>
      <c r="AX32" s="404">
        <f>[58]SAS_NSA_2021_4T!$B$21</f>
        <v>92476</v>
      </c>
      <c r="AY32" s="179">
        <f>[59]SAS_NSA_2022_1T!$B$21</f>
        <v>91946</v>
      </c>
      <c r="AZ32" s="179">
        <f>[60]SAS_NSA_2022_2T!$B$21</f>
        <v>91115</v>
      </c>
      <c r="BA32" s="179">
        <f>[61]SAS_NSA_2022_3T!$B$21</f>
        <v>90705</v>
      </c>
      <c r="BB32" s="179">
        <f>[62]SAS_NSA_2022_4T!$B$21</f>
        <v>90536</v>
      </c>
      <c r="BC32" s="179">
        <f>[2]SAS_NSA_2023_1T!$B$21</f>
        <v>89742</v>
      </c>
      <c r="BD32" s="179">
        <f>[3]SAS_NSA_2023_2T!$B$21</f>
        <v>89252</v>
      </c>
      <c r="BE32" s="179">
        <f>[4]SAS_NSA_2023_3T!$B$21</f>
        <v>89009</v>
      </c>
      <c r="BF32" s="179">
        <f>[5]SAS_NSA_2023_4T!$B$21</f>
        <v>89225</v>
      </c>
      <c r="BG32" s="179">
        <f>[6]SAS_NSA_2024_1T!$B$21</f>
        <v>88538</v>
      </c>
      <c r="BH32" s="179">
        <f>[7]SAS_NSA_2024_2T!$B$21</f>
        <v>87665</v>
      </c>
      <c r="BI32" s="179">
        <f>[8]SAS_NSA_2024_3T!$B$21</f>
        <v>87045</v>
      </c>
      <c r="BJ32" s="179">
        <f>[9]SAS_NSA_2024_4T!$B$21</f>
        <v>86763</v>
      </c>
    </row>
    <row r="33" spans="1:62" x14ac:dyDescent="0.25">
      <c r="A33" s="307" t="s">
        <v>18</v>
      </c>
      <c r="B33" s="3">
        <f>[63]SAS_NSA_4T2009!$C$16</f>
        <v>375585</v>
      </c>
      <c r="C33" s="39">
        <f>[11]SAS_NSA_1T2010!$C$16</f>
        <v>374893</v>
      </c>
      <c r="D33" s="39">
        <f>[12]SAS_NSA_2T2010!$C$16</f>
        <v>373016</v>
      </c>
      <c r="E33" s="39">
        <f>[13]SAS_NSA_3T2010!$C$16</f>
        <v>372292</v>
      </c>
      <c r="F33" s="39">
        <f>[14]SAS_NSA_2010_4T!$C$16</f>
        <v>371554</v>
      </c>
      <c r="G33" s="39">
        <f>[15]SAS_NSA_2011_1T!$C$16</f>
        <v>370781</v>
      </c>
      <c r="H33" s="39">
        <f>[16]SAS_NSA_2011_2T!$C$16</f>
        <v>369037</v>
      </c>
      <c r="I33" s="39">
        <f>[17]SAS_NSA_2011_3T!$C$16</f>
        <v>368173</v>
      </c>
      <c r="J33" s="39">
        <f>[18]SAS_NSA_2011_4T!$C$16</f>
        <v>367205</v>
      </c>
      <c r="K33" s="39">
        <f>[19]SAS_NSA_2012_1T!$C$16</f>
        <v>366240</v>
      </c>
      <c r="L33" s="39">
        <f>'[20]120919-14H22S23-PROGRAM-TdB_STO'!$C$16</f>
        <v>363485</v>
      </c>
      <c r="M33" s="39">
        <f>'[21]121105-15H12S18-PROGRAM-TdB_STO'!$C$16</f>
        <v>361666</v>
      </c>
      <c r="N33" s="39">
        <f>[22]SAS_NSA_2012_4T!$C$16</f>
        <v>360355</v>
      </c>
      <c r="O33" s="39">
        <f>[23]SAS_NSA_2013_1T!$C$16</f>
        <v>358046</v>
      </c>
      <c r="P33" s="39">
        <f>[24]SAS_NSA_2013_2T!$C$16</f>
        <v>354487</v>
      </c>
      <c r="Q33" s="39">
        <f>[25]SAS_NSA_2013_3T!$C$16</f>
        <v>352789</v>
      </c>
      <c r="R33" s="179">
        <f>[26]SAS_NSA_2013_4T!$C$16</f>
        <v>351687</v>
      </c>
      <c r="S33" s="179">
        <f>[27]SAS_NSA_2014_1T!$C$16</f>
        <v>349909</v>
      </c>
      <c r="T33" s="179">
        <f>[28]SAS_NSA_2014_2T!$C$16</f>
        <v>346485</v>
      </c>
      <c r="U33" s="179">
        <f>[29]SAS_NSA_2014_3T!$C$16</f>
        <v>344408</v>
      </c>
      <c r="V33" s="179">
        <f>[30]SAS_NSA_2014_4T!$C$16</f>
        <v>343064</v>
      </c>
      <c r="W33" s="179">
        <f>[31]SAS_NSA_2015_1T!$C$16</f>
        <v>340792</v>
      </c>
      <c r="X33" s="179">
        <f>[32]SAS_NSA_2015_2T!$C$16</f>
        <v>337392</v>
      </c>
      <c r="Y33" s="179">
        <f>[33]SAS_NSA_2015_3T!$C$16</f>
        <v>335610</v>
      </c>
      <c r="Z33" s="179">
        <f>[34]SAS_NSA_2015_4T!$C$16</f>
        <v>334469</v>
      </c>
      <c r="AA33" s="179">
        <f>[35]SAS_NSA_2016_1T!$C$16</f>
        <v>332126</v>
      </c>
      <c r="AB33" s="179">
        <f>[36]SAS_NSA_2016_2T!$C$16</f>
        <v>328795</v>
      </c>
      <c r="AC33" s="179">
        <f>[37]SAS_NSA_2016_3T!$C$16</f>
        <v>326475</v>
      </c>
      <c r="AD33" s="179">
        <f>[38]SAS_NSA_2016_4T!$C$16</f>
        <v>324960</v>
      </c>
      <c r="AE33" s="179">
        <f>[39]SAS_NSA_2017_1T!$C$16</f>
        <v>322001</v>
      </c>
      <c r="AF33" s="179">
        <f>[40]SAS_NSA_2017_2T!$C$16</f>
        <v>317554</v>
      </c>
      <c r="AG33" s="179">
        <f>[41]SAS_NSA_2017_3T!$C$16</f>
        <v>314687</v>
      </c>
      <c r="AH33" s="179">
        <f>[42]SAS_NSA_2017_4T!$C$16</f>
        <v>312336</v>
      </c>
      <c r="AI33" s="179">
        <f>[43]SAS_NSA_2018_1T!$C$16</f>
        <v>308948</v>
      </c>
      <c r="AJ33" s="179">
        <f>[44]SAS_NSA_2018_2T!$C$17</f>
        <v>304278</v>
      </c>
      <c r="AK33" s="336">
        <f>[45]SAS_NSA_2018_3T!$C$16</f>
        <v>301943</v>
      </c>
      <c r="AL33" s="336">
        <f>[46]SAS_NSA_2018_4T!$C$16</f>
        <v>300579</v>
      </c>
      <c r="AM33" s="179">
        <f>[47]SAS_NSA_2019_1T!$C$16</f>
        <v>297784</v>
      </c>
      <c r="AN33" s="179">
        <f>[48]SAS_NSA_2019_2T!$C$16</f>
        <v>293696</v>
      </c>
      <c r="AO33" s="179">
        <f>[49]SAS_NSA_2019_3T!$C$16</f>
        <v>290869</v>
      </c>
      <c r="AP33" s="179">
        <f>[50]SAS_NSA_2019_4T!$C$16</f>
        <v>288876</v>
      </c>
      <c r="AQ33" s="179">
        <f>[51]SAS_NSA_2020_1T!$C$23</f>
        <v>286137</v>
      </c>
      <c r="AR33" s="179">
        <f>[52]SAS_NSA_2020_2T!$C$23</f>
        <v>281796</v>
      </c>
      <c r="AS33" s="179">
        <f>[53]SAS_NSA_2020_3T!$C$23</f>
        <v>278349</v>
      </c>
      <c r="AT33" s="179">
        <f>[54]SAS_NSA_2020_4T!$C$23</f>
        <v>276332</v>
      </c>
      <c r="AU33" s="179">
        <f>[55]SAS_NSA_2021_1T!$C$23</f>
        <v>271808</v>
      </c>
      <c r="AV33" s="179">
        <f>[56]SAS_NSA_2021_2T!$C$23</f>
        <v>267490</v>
      </c>
      <c r="AW33" s="179">
        <f>[57]SAS_NSA_2021_3T!$C$31</f>
        <v>264789</v>
      </c>
      <c r="AX33" s="404">
        <f>[58]SAS_NSA_2021_4T!$C$21</f>
        <v>262509</v>
      </c>
      <c r="AY33" s="179">
        <f>[59]SAS_NSA_2022_1T!$C$21</f>
        <v>258856</v>
      </c>
      <c r="AZ33" s="179">
        <f>[60]SAS_NSA_2022_2T!$C$21</f>
        <v>254193</v>
      </c>
      <c r="BA33" s="179">
        <f>[61]SAS_NSA_2022_3T!$C$21</f>
        <v>250990</v>
      </c>
      <c r="BB33" s="179">
        <f>[62]SAS_NSA_2022_4T!$C$21</f>
        <v>249098</v>
      </c>
      <c r="BC33" s="179">
        <f>[2]SAS_NSA_2023_1T!$C$21</f>
        <v>243999</v>
      </c>
      <c r="BD33" s="179">
        <f>[3]SAS_NSA_2023_2T!$C$21</f>
        <v>240418</v>
      </c>
      <c r="BE33" s="179">
        <f>[4]SAS_NSA_2023_3T!$C$21</f>
        <v>237698</v>
      </c>
      <c r="BF33" s="179">
        <f>[5]SAS_NSA_2023_4T!$C$21</f>
        <v>236222</v>
      </c>
      <c r="BG33" s="179">
        <f>[6]SAS_NSA_2024_1T!$C$21</f>
        <v>232899</v>
      </c>
      <c r="BH33" s="179">
        <f>[7]SAS_NSA_2024_2T!$C$21</f>
        <v>228946</v>
      </c>
      <c r="BI33" s="179">
        <f>[8]SAS_NSA_2024_3T!$C$21</f>
        <v>225769</v>
      </c>
      <c r="BJ33" s="179">
        <f>[9]SAS_NSA_2024_4T!$C$21</f>
        <v>223661</v>
      </c>
    </row>
    <row r="34" spans="1:62" x14ac:dyDescent="0.25">
      <c r="A34" s="312" t="s">
        <v>4</v>
      </c>
      <c r="B34" s="3">
        <f>[63]SAS_NSA_4T2009!$D$16</f>
        <v>348</v>
      </c>
      <c r="C34" s="39">
        <f>[11]SAS_NSA_1T2010!$D$16</f>
        <v>344</v>
      </c>
      <c r="D34" s="39">
        <f>[12]SAS_NSA_2T2010!$D$16</f>
        <v>330</v>
      </c>
      <c r="E34" s="39">
        <f>[13]SAS_NSA_3T2010!$D$16</f>
        <v>325</v>
      </c>
      <c r="F34" s="39">
        <f>[14]SAS_NSA_2010_4T!$D$16</f>
        <v>343</v>
      </c>
      <c r="G34" s="39">
        <f>[15]SAS_NSA_2011_1T!$D$16</f>
        <v>325</v>
      </c>
      <c r="H34" s="39">
        <f>[16]SAS_NSA_2011_2T!$D$16</f>
        <v>313</v>
      </c>
      <c r="I34" s="39">
        <f>[17]SAS_NSA_2011_3T!$D$16</f>
        <v>315</v>
      </c>
      <c r="J34" s="39">
        <f>[18]SAS_NSA_2011_4T!$D$16</f>
        <v>306</v>
      </c>
      <c r="K34" s="39">
        <f>[19]SAS_NSA_2012_1T!$D$16</f>
        <v>294</v>
      </c>
      <c r="L34" s="39">
        <f>'[20]120919-14H22S23-PROGRAM-TdB_STO'!$D$16</f>
        <v>282</v>
      </c>
      <c r="M34" s="39">
        <f>'[21]121105-15H12S18-PROGRAM-TdB_STO'!$D$16</f>
        <v>285</v>
      </c>
      <c r="N34" s="39">
        <f>[22]SAS_NSA_2012_4T!$D$16</f>
        <v>283</v>
      </c>
      <c r="O34" s="39">
        <f>[23]SAS_NSA_2013_1T!$D$16</f>
        <v>275</v>
      </c>
      <c r="P34" s="39">
        <f>[24]SAS_NSA_2013_2T!$D$16</f>
        <v>272</v>
      </c>
      <c r="Q34" s="39">
        <f>[25]SAS_NSA_2013_3T!$D$16</f>
        <v>275</v>
      </c>
      <c r="R34" s="179">
        <f>[26]SAS_NSA_2013_4T!$D$16</f>
        <v>271</v>
      </c>
      <c r="S34" s="179">
        <f>[27]SAS_NSA_2014_1T!$D$16</f>
        <v>276</v>
      </c>
      <c r="T34" s="179">
        <f>[28]SAS_NSA_2014_2T!$D$16</f>
        <v>271</v>
      </c>
      <c r="U34" s="179">
        <f>[29]SAS_NSA_2014_3T!$D$16</f>
        <v>277</v>
      </c>
      <c r="V34" s="179">
        <f>[30]SAS_NSA_2014_4T!$D$16</f>
        <v>261</v>
      </c>
      <c r="W34" s="179">
        <f>[31]SAS_NSA_2015_1T!$D$16</f>
        <v>261</v>
      </c>
      <c r="X34" s="179">
        <f>[32]SAS_NSA_2015_2T!$D$16</f>
        <v>257</v>
      </c>
      <c r="Y34" s="179">
        <f>[33]SAS_NSA_2015_3T!$D$16</f>
        <v>252</v>
      </c>
      <c r="Z34" s="179">
        <f>[34]SAS_NSA_2015_4T!$D$16</f>
        <v>253</v>
      </c>
      <c r="AA34" s="179">
        <f>[35]SAS_NSA_2016_1T!$D$16</f>
        <v>254</v>
      </c>
      <c r="AB34" s="179">
        <f>[36]SAS_NSA_2016_2T!$D$16</f>
        <v>250</v>
      </c>
      <c r="AC34" s="179">
        <f>[37]SAS_NSA_2016_3T!$D$16</f>
        <v>258</v>
      </c>
      <c r="AD34" s="179">
        <f>[38]SAS_NSA_2016_4T!$D$16</f>
        <v>256</v>
      </c>
      <c r="AE34" s="179">
        <f>[39]SAS_NSA_2017_1T!$D$16</f>
        <v>255</v>
      </c>
      <c r="AF34" s="179">
        <f>[40]SAS_NSA_2017_2T!$D$16</f>
        <v>253</v>
      </c>
      <c r="AG34" s="179">
        <f>[41]SAS_NSA_2017_3T!$D$16</f>
        <v>253</v>
      </c>
      <c r="AH34" s="179">
        <f>[42]SAS_NSA_2017_4T!$D$16</f>
        <v>252</v>
      </c>
      <c r="AI34" s="179">
        <f>[43]SAS_NSA_2018_1T!$D$16</f>
        <v>252</v>
      </c>
      <c r="AJ34" s="179">
        <f>[44]SAS_NSA_2018_2T!$D$17</f>
        <v>251</v>
      </c>
      <c r="AK34" s="3">
        <f>[45]SAS_NSA_2018_3T!$D$16</f>
        <v>248</v>
      </c>
      <c r="AL34" s="3">
        <f>[46]SAS_NSA_2018_4T!$D$16</f>
        <v>251</v>
      </c>
      <c r="AM34" s="179">
        <f>[47]SAS_NSA_2019_1T!$D$16</f>
        <v>248</v>
      </c>
      <c r="AN34" s="179">
        <f>[48]SAS_NSA_2019_2T!$D$16</f>
        <v>249</v>
      </c>
      <c r="AO34" s="179">
        <f>[49]SAS_NSA_2019_3T!$D$16</f>
        <v>248</v>
      </c>
      <c r="AP34" s="179">
        <f>[50]SAS_NSA_2019_4T!$D$16</f>
        <v>247</v>
      </c>
      <c r="AQ34" s="179">
        <f>[51]SAS_NSA_2020_1T!$D$23</f>
        <v>245</v>
      </c>
      <c r="AR34" s="179">
        <f>[52]SAS_NSA_2020_2T!$D$23</f>
        <v>244</v>
      </c>
      <c r="AS34" s="179">
        <f>[53]SAS_NSA_2020_3T!$D$23</f>
        <v>244</v>
      </c>
      <c r="AT34" s="179">
        <f>[54]SAS_NSA_2020_4T!$D$23</f>
        <v>244</v>
      </c>
      <c r="AU34" s="179">
        <f>[55]SAS_NSA_2021_1T!$D$23</f>
        <v>241</v>
      </c>
      <c r="AV34" s="179">
        <f>[56]SAS_NSA_2021_2T!$D$23</f>
        <v>235</v>
      </c>
      <c r="AW34" s="179">
        <f>[57]SAS_NSA_2021_3T!$D$31</f>
        <v>242</v>
      </c>
      <c r="AX34" s="404">
        <f>[58]SAS_NSA_2021_4T!$D$21</f>
        <v>237</v>
      </c>
      <c r="AY34" s="179">
        <f>[59]SAS_NSA_2022_1T!$D$21</f>
        <v>244</v>
      </c>
      <c r="AZ34" s="179">
        <f>[60]SAS_NSA_2022_2T!$D$21</f>
        <v>243</v>
      </c>
      <c r="BA34" s="179">
        <f>[61]SAS_NSA_2022_3T!$D$21</f>
        <v>248</v>
      </c>
      <c r="BB34" s="179">
        <f>[62]SAS_NSA_2022_4T!$D$21</f>
        <v>254</v>
      </c>
      <c r="BC34" s="179">
        <f>[2]SAS_NSA_2023_1T!$D$21</f>
        <v>244</v>
      </c>
      <c r="BD34" s="179">
        <f>[3]SAS_NSA_2023_2T!$D$21</f>
        <v>239</v>
      </c>
      <c r="BE34" s="179">
        <f>[4]SAS_NSA_2023_3T!$D$21</f>
        <v>242</v>
      </c>
      <c r="BF34" s="179">
        <f>[5]SAS_NSA_2023_4T!$D$21</f>
        <v>239</v>
      </c>
      <c r="BG34" s="179">
        <f>[6]SAS_NSA_2024_1T!$D$21</f>
        <v>245</v>
      </c>
      <c r="BH34" s="179">
        <f>[7]SAS_NSA_2024_2T!$D$21</f>
        <v>239</v>
      </c>
      <c r="BI34" s="179">
        <f>[8]SAS_NSA_2024_3T!$D$21</f>
        <v>240</v>
      </c>
      <c r="BJ34" s="179">
        <f>[9]SAS_NSA_2024_4T!$D$21</f>
        <v>242</v>
      </c>
    </row>
    <row r="35" spans="1:62" ht="17.25" customHeight="1" x14ac:dyDescent="0.25">
      <c r="A35" s="313" t="s">
        <v>29</v>
      </c>
      <c r="B35" s="10"/>
      <c r="C35" s="40"/>
      <c r="D35" s="40"/>
      <c r="E35" s="40"/>
      <c r="F35" s="40"/>
      <c r="G35" s="40"/>
      <c r="H35" s="40"/>
      <c r="I35" s="40"/>
      <c r="J35" s="40"/>
      <c r="K35" s="146"/>
      <c r="L35" s="146"/>
      <c r="M35" s="146"/>
      <c r="N35" s="146"/>
      <c r="O35" s="180">
        <f t="shared" ref="O35:R35" si="81">SUM(O31:O34)</f>
        <v>1599206</v>
      </c>
      <c r="P35" s="180">
        <f t="shared" si="81"/>
        <v>1583325</v>
      </c>
      <c r="Q35" s="180">
        <f t="shared" si="81"/>
        <v>1572601</v>
      </c>
      <c r="R35" s="180">
        <f t="shared" si="81"/>
        <v>1562430</v>
      </c>
      <c r="S35" s="180">
        <f t="shared" ref="S35:X35" si="82">SUM(S31:S34)</f>
        <v>1550621</v>
      </c>
      <c r="T35" s="180">
        <f t="shared" si="82"/>
        <v>1537705</v>
      </c>
      <c r="U35" s="180">
        <f t="shared" si="82"/>
        <v>1525976</v>
      </c>
      <c r="V35" s="180">
        <f t="shared" si="82"/>
        <v>1517389</v>
      </c>
      <c r="W35" s="180">
        <f t="shared" si="82"/>
        <v>1507497</v>
      </c>
      <c r="X35" s="180">
        <f t="shared" si="82"/>
        <v>1490816</v>
      </c>
      <c r="Y35" s="180">
        <f t="shared" ref="Y35:Z35" si="83">SUM(Y31:Y34)</f>
        <v>1478225</v>
      </c>
      <c r="Z35" s="180">
        <f t="shared" si="83"/>
        <v>1469844</v>
      </c>
      <c r="AA35" s="180">
        <f t="shared" ref="AA35" si="84">SUM(AA31:AA34)</f>
        <v>1460752</v>
      </c>
      <c r="AB35" s="180">
        <f t="shared" ref="AB35:AH35" si="85">SUM(AB31:AB34)</f>
        <v>1447325</v>
      </c>
      <c r="AC35" s="180">
        <f t="shared" si="85"/>
        <v>1436002</v>
      </c>
      <c r="AD35" s="180">
        <f t="shared" si="85"/>
        <v>1426811</v>
      </c>
      <c r="AE35" s="180">
        <f t="shared" si="85"/>
        <v>1415744</v>
      </c>
      <c r="AF35" s="180">
        <f t="shared" si="85"/>
        <v>1399973</v>
      </c>
      <c r="AG35" s="180">
        <f t="shared" si="85"/>
        <v>1389148</v>
      </c>
      <c r="AH35" s="180">
        <f t="shared" si="85"/>
        <v>1380904</v>
      </c>
      <c r="AI35" s="180">
        <f t="shared" ref="AI35:AJ35" si="86">SUM(AI31:AI34)</f>
        <v>1371855</v>
      </c>
      <c r="AJ35" s="180">
        <f t="shared" si="86"/>
        <v>1357481</v>
      </c>
      <c r="AK35" s="133">
        <f>SUM(AK31:AK34)</f>
        <v>1347048</v>
      </c>
      <c r="AL35" s="133">
        <f>AL11</f>
        <v>1340581</v>
      </c>
      <c r="AM35" s="180">
        <f t="shared" ref="AM35:AR35" si="87">SUM(AM31:AM34)</f>
        <v>1331350</v>
      </c>
      <c r="AN35" s="180">
        <f t="shared" si="87"/>
        <v>1316781</v>
      </c>
      <c r="AO35" s="180">
        <f t="shared" si="87"/>
        <v>1306616</v>
      </c>
      <c r="AP35" s="180">
        <f t="shared" si="87"/>
        <v>1300239</v>
      </c>
      <c r="AQ35" s="180">
        <f t="shared" si="87"/>
        <v>1292507</v>
      </c>
      <c r="AR35" s="180">
        <f t="shared" si="87"/>
        <v>1278197</v>
      </c>
      <c r="AS35" s="180">
        <f t="shared" ref="AS35:AT35" si="88">SUM(AS31:AS34)</f>
        <v>1265757</v>
      </c>
      <c r="AT35" s="180">
        <f t="shared" si="88"/>
        <v>1258098</v>
      </c>
      <c r="AU35" s="180">
        <f t="shared" ref="AU35" si="89">SUM(AU31:AU34)</f>
        <v>1244793</v>
      </c>
      <c r="AV35" s="180">
        <f t="shared" ref="AV35:BA35" si="90">SUM(AV31:AV34)</f>
        <v>1229645</v>
      </c>
      <c r="AW35" s="180">
        <f t="shared" si="90"/>
        <v>1218610</v>
      </c>
      <c r="AX35" s="405">
        <f t="shared" si="90"/>
        <v>1211645</v>
      </c>
      <c r="AY35" s="180">
        <f t="shared" si="90"/>
        <v>1202863</v>
      </c>
      <c r="AZ35" s="180">
        <f t="shared" si="90"/>
        <v>1188497</v>
      </c>
      <c r="BA35" s="180">
        <f t="shared" si="90"/>
        <v>1178340</v>
      </c>
      <c r="BB35" s="180">
        <f t="shared" ref="BB35:BC35" si="91">SUM(BB31:BB34)</f>
        <v>1173608</v>
      </c>
      <c r="BC35" s="180">
        <f t="shared" si="91"/>
        <v>1161208</v>
      </c>
      <c r="BD35" s="180">
        <f t="shared" ref="BD35:BE35" si="92">SUM(BD31:BD34)</f>
        <v>1149942</v>
      </c>
      <c r="BE35" s="180">
        <f t="shared" si="92"/>
        <v>1141539</v>
      </c>
      <c r="BF35" s="180">
        <f t="shared" ref="BF35:BG35" si="93">SUM(BF31:BF34)</f>
        <v>1135142</v>
      </c>
      <c r="BG35" s="180">
        <f t="shared" si="93"/>
        <v>1126760</v>
      </c>
      <c r="BH35" s="180">
        <f t="shared" ref="BH35:BI35" si="94">SUM(BH31:BH34)</f>
        <v>1114634</v>
      </c>
      <c r="BI35" s="180">
        <f t="shared" si="94"/>
        <v>1105052</v>
      </c>
      <c r="BJ35" s="180">
        <f t="shared" ref="BJ35" si="95">SUM(BJ31:BJ34)</f>
        <v>1098787</v>
      </c>
    </row>
    <row r="36" spans="1:62" ht="17.25" customHeight="1" x14ac:dyDescent="0.25">
      <c r="A36" s="324"/>
      <c r="B36" s="10"/>
      <c r="C36" s="40"/>
      <c r="D36" s="40"/>
      <c r="E36" s="40"/>
      <c r="F36" s="40"/>
      <c r="G36" s="40"/>
      <c r="H36" s="40"/>
      <c r="I36" s="40"/>
      <c r="J36" s="40"/>
      <c r="K36" s="146"/>
      <c r="L36" s="146"/>
      <c r="M36" s="146"/>
      <c r="N36" s="146"/>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33"/>
      <c r="AL36" s="133"/>
      <c r="AM36" s="180"/>
      <c r="AN36" s="180"/>
      <c r="AO36" s="180"/>
      <c r="AP36" s="180"/>
      <c r="AQ36" s="180"/>
      <c r="AR36" s="180"/>
      <c r="AS36" s="180"/>
      <c r="AT36" s="180"/>
      <c r="AU36" s="180"/>
      <c r="AV36" s="180"/>
      <c r="AW36" s="180"/>
      <c r="AX36" s="405"/>
      <c r="AY36" s="180"/>
      <c r="AZ36" s="180"/>
      <c r="BA36" s="180"/>
      <c r="BB36" s="180"/>
      <c r="BC36" s="180"/>
      <c r="BD36" s="180"/>
      <c r="BE36" s="180"/>
      <c r="BF36" s="180"/>
      <c r="BG36" s="180"/>
      <c r="BH36" s="180"/>
      <c r="BI36" s="180"/>
      <c r="BJ36" s="180"/>
    </row>
    <row r="37" spans="1:62" ht="30.75" customHeight="1" x14ac:dyDescent="0.25">
      <c r="A37" s="332" t="s">
        <v>40</v>
      </c>
      <c r="L37" s="145"/>
      <c r="M37" s="145"/>
      <c r="R37" s="177"/>
      <c r="AC37" s="177"/>
      <c r="AD37" s="177"/>
      <c r="AE37" s="177"/>
      <c r="AF37" s="177"/>
      <c r="AG37" s="197">
        <f>(AG35-AC35)/AC35</f>
        <v>-3.262808826171551E-2</v>
      </c>
      <c r="AH37" s="198"/>
      <c r="AI37" s="177"/>
      <c r="AJ37" s="177"/>
      <c r="AM37" s="177"/>
      <c r="AN37" s="177"/>
      <c r="AO37" s="177"/>
      <c r="AP37" s="177"/>
      <c r="AQ37" s="177"/>
      <c r="AR37" s="177"/>
      <c r="AS37" s="177"/>
      <c r="AT37" s="177"/>
      <c r="AU37" s="177"/>
      <c r="AV37" s="177"/>
      <c r="AW37" s="177"/>
      <c r="AX37" s="407"/>
      <c r="AY37" s="177"/>
      <c r="AZ37" s="177"/>
      <c r="BA37" s="177"/>
      <c r="BB37" s="177"/>
      <c r="BC37" s="177"/>
      <c r="BD37" s="177"/>
      <c r="BE37" s="177"/>
      <c r="BF37" s="177"/>
      <c r="BG37" s="177"/>
      <c r="BH37" s="177"/>
      <c r="BI37" s="177"/>
      <c r="BJ37" s="177"/>
    </row>
    <row r="38" spans="1:62" ht="21.75" customHeight="1" x14ac:dyDescent="0.25">
      <c r="A38" s="330" t="s">
        <v>11</v>
      </c>
      <c r="L38" s="145"/>
      <c r="M38" s="145"/>
      <c r="R38" s="177"/>
      <c r="AC38" s="177"/>
      <c r="AD38" s="177"/>
      <c r="AE38" s="177"/>
      <c r="AF38" s="177"/>
      <c r="AG38" s="177"/>
      <c r="AH38" s="177"/>
      <c r="AI38" s="177"/>
      <c r="AJ38" s="177"/>
      <c r="AM38" s="177"/>
      <c r="AN38" s="177"/>
      <c r="AO38" s="177"/>
      <c r="AP38" s="177"/>
      <c r="AQ38" s="177"/>
      <c r="AR38" s="177"/>
      <c r="AS38" s="177"/>
      <c r="AT38" s="177"/>
      <c r="AU38" s="177"/>
      <c r="AV38" s="177"/>
      <c r="AW38" s="177"/>
      <c r="AX38" s="407"/>
      <c r="AY38" s="177"/>
      <c r="AZ38" s="177"/>
      <c r="BA38" s="177"/>
      <c r="BB38" s="177"/>
      <c r="BC38" s="177"/>
      <c r="BD38" s="177"/>
      <c r="BE38" s="177"/>
      <c r="BF38" s="177"/>
      <c r="BG38" s="177"/>
      <c r="BH38" s="177"/>
      <c r="BI38" s="177"/>
      <c r="BJ38" s="177"/>
    </row>
    <row r="39" spans="1:62" x14ac:dyDescent="0.25">
      <c r="B39" s="2" t="str">
        <f t="shared" ref="B39:G39" si="96">B8</f>
        <v>4eme T 2009</v>
      </c>
      <c r="C39" s="38" t="str">
        <f t="shared" si="96"/>
        <v>1er T 2010</v>
      </c>
      <c r="D39" s="38" t="str">
        <f t="shared" si="96"/>
        <v>2eme T 2010</v>
      </c>
      <c r="E39" s="38" t="str">
        <f t="shared" si="96"/>
        <v>3eme T 2010</v>
      </c>
      <c r="F39" s="38" t="str">
        <f t="shared" si="96"/>
        <v>4eme T 2010</v>
      </c>
      <c r="G39" s="38" t="str">
        <f t="shared" si="96"/>
        <v>1er T 2011</v>
      </c>
      <c r="H39" s="38" t="str">
        <f t="shared" ref="H39:M39" si="97">H8</f>
        <v>2eme T 2011</v>
      </c>
      <c r="I39" s="38" t="str">
        <f t="shared" si="97"/>
        <v>3eme T 2011</v>
      </c>
      <c r="J39" s="38" t="str">
        <f t="shared" si="97"/>
        <v>4eme T 2011</v>
      </c>
      <c r="K39" s="38" t="str">
        <f t="shared" si="97"/>
        <v>1er T 2012</v>
      </c>
      <c r="L39" s="38" t="str">
        <f t="shared" si="97"/>
        <v>2eme T 2012</v>
      </c>
      <c r="M39" s="38" t="str">
        <f t="shared" si="97"/>
        <v>3eme T 2012</v>
      </c>
      <c r="N39" s="38" t="str">
        <f t="shared" ref="N39:S39" si="98">N8</f>
        <v>4eme T 2012</v>
      </c>
      <c r="O39" s="38" t="str">
        <f t="shared" si="98"/>
        <v>1er T 2013</v>
      </c>
      <c r="P39" s="38" t="str">
        <f t="shared" si="98"/>
        <v>2eme T 2013</v>
      </c>
      <c r="Q39" s="38" t="str">
        <f t="shared" si="98"/>
        <v>3ème T 2013</v>
      </c>
      <c r="R39" s="178" t="str">
        <f t="shared" si="98"/>
        <v>4ème T 2013</v>
      </c>
      <c r="S39" s="178" t="str">
        <f t="shared" si="98"/>
        <v>1er T 2014</v>
      </c>
      <c r="T39" s="178" t="str">
        <f t="shared" ref="T39:U39" si="99">T8</f>
        <v>2eme T 2014</v>
      </c>
      <c r="U39" s="178" t="str">
        <f t="shared" si="99"/>
        <v>3T 2014</v>
      </c>
      <c r="V39" s="178" t="str">
        <f t="shared" ref="V39:W39" si="100">V8</f>
        <v>4ème T 2014</v>
      </c>
      <c r="W39" s="178" t="str">
        <f t="shared" si="100"/>
        <v>1er T 2015</v>
      </c>
      <c r="X39" s="178" t="str">
        <f t="shared" ref="X39:Y39" si="101">X8</f>
        <v>2e T 2015</v>
      </c>
      <c r="Y39" s="178" t="str">
        <f t="shared" si="101"/>
        <v>3e T 2015</v>
      </c>
      <c r="Z39" s="178" t="str">
        <f t="shared" ref="Z39:AA39" si="102">Z8</f>
        <v>4e T 2015</v>
      </c>
      <c r="AA39" s="178" t="str">
        <f t="shared" si="102"/>
        <v>1er T 2016</v>
      </c>
      <c r="AB39" s="178" t="str">
        <f t="shared" ref="AB39:AH39" si="103">AB8</f>
        <v>2e T 2016</v>
      </c>
      <c r="AC39" s="178" t="str">
        <f t="shared" si="103"/>
        <v>3e T 2016</v>
      </c>
      <c r="AD39" s="178" t="str">
        <f t="shared" si="103"/>
        <v>4e T 2016</v>
      </c>
      <c r="AE39" s="178" t="str">
        <f t="shared" si="103"/>
        <v>2017 - T1</v>
      </c>
      <c r="AF39" s="178" t="str">
        <f t="shared" si="103"/>
        <v>2017 - T2</v>
      </c>
      <c r="AG39" s="178" t="str">
        <f t="shared" si="103"/>
        <v>2017- T3</v>
      </c>
      <c r="AH39" s="178" t="str">
        <f t="shared" si="103"/>
        <v>2017 - T4</v>
      </c>
      <c r="AI39" s="178" t="str">
        <f t="shared" ref="AI39" si="104">AI8</f>
        <v>2018 - T1</v>
      </c>
      <c r="AJ39" s="178" t="s">
        <v>202</v>
      </c>
      <c r="AK39" s="178" t="s">
        <v>204</v>
      </c>
      <c r="AL39" s="178" t="s">
        <v>206</v>
      </c>
      <c r="AM39" s="178" t="str">
        <f t="shared" ref="AM39:AN39" si="105">AM8</f>
        <v>2019 - T1</v>
      </c>
      <c r="AN39" s="178" t="str">
        <f t="shared" si="105"/>
        <v>2019 - T2</v>
      </c>
      <c r="AO39" s="178" t="str">
        <f t="shared" ref="AO39" si="106">AO8</f>
        <v>2019 - T3</v>
      </c>
      <c r="AP39" s="178" t="s">
        <v>214</v>
      </c>
      <c r="AQ39" s="178" t="str">
        <f t="shared" ref="AQ39:AV39" si="107">AQ8</f>
        <v>2020 - T1</v>
      </c>
      <c r="AR39" s="178" t="str">
        <f t="shared" si="107"/>
        <v>2020 - T2</v>
      </c>
      <c r="AS39" s="178" t="str">
        <f t="shared" si="107"/>
        <v>2020 - T3</v>
      </c>
      <c r="AT39" s="178" t="str">
        <f t="shared" si="107"/>
        <v>2020- T4</v>
      </c>
      <c r="AU39" s="178" t="str">
        <f t="shared" si="107"/>
        <v>2021- T1</v>
      </c>
      <c r="AV39" s="178" t="str">
        <f t="shared" si="107"/>
        <v>2021- T2</v>
      </c>
      <c r="AW39" s="178" t="str">
        <f t="shared" ref="AW39:AX39" si="108">AW8</f>
        <v>2021- T3</v>
      </c>
      <c r="AX39" s="403" t="str">
        <f t="shared" si="108"/>
        <v>2021- T4</v>
      </c>
      <c r="AY39" s="178" t="str">
        <f t="shared" ref="AY39:AZ39" si="109">AY8</f>
        <v>2022- T1</v>
      </c>
      <c r="AZ39" s="178" t="str">
        <f t="shared" si="109"/>
        <v>2022- T2</v>
      </c>
      <c r="BA39" s="178" t="str">
        <f t="shared" ref="BA39:BB39" si="110">BA8</f>
        <v>2022- T3</v>
      </c>
      <c r="BB39" s="178" t="str">
        <f t="shared" si="110"/>
        <v>2022- T4</v>
      </c>
      <c r="BC39" s="178" t="str">
        <f t="shared" ref="BC39:BD39" si="111">BC8</f>
        <v>2023- T1</v>
      </c>
      <c r="BD39" s="178" t="str">
        <f t="shared" si="111"/>
        <v>2023- T2</v>
      </c>
      <c r="BE39" s="178" t="str">
        <f t="shared" ref="BE39:BF39" si="112">BE8</f>
        <v>2023- T3</v>
      </c>
      <c r="BF39" s="178" t="str">
        <f t="shared" si="112"/>
        <v>2023- T4</v>
      </c>
      <c r="BG39" s="178" t="str">
        <f t="shared" ref="BG39:BH39" si="113">BG8</f>
        <v>2024- T1</v>
      </c>
      <c r="BH39" s="178" t="str">
        <f t="shared" si="113"/>
        <v>2024- T2</v>
      </c>
      <c r="BI39" s="178" t="str">
        <f t="shared" ref="BI39:BJ39" si="114">BI8</f>
        <v>2024- T3</v>
      </c>
      <c r="BJ39" s="178" t="str">
        <f t="shared" si="114"/>
        <v>2024- T4</v>
      </c>
    </row>
    <row r="40" spans="1:62" x14ac:dyDescent="0.25">
      <c r="A40" s="307" t="s">
        <v>16</v>
      </c>
      <c r="B40" s="21">
        <f>[63]SAS_NSA_4T2009!$E$74</f>
        <v>4422.32</v>
      </c>
      <c r="C40" s="45">
        <f>[11]SAS_NSA_1T2010!$E$74</f>
        <v>4429.32</v>
      </c>
      <c r="D40" s="45">
        <f>[12]SAS_NSA_2T2010!$E$74</f>
        <v>4470.8</v>
      </c>
      <c r="E40" s="45">
        <f>[13]SAS_NSA_3T2010!$E$74</f>
        <v>4462.8</v>
      </c>
      <c r="F40" s="45">
        <f>[14]SAS_NSA_2010_4T!$E$74</f>
        <v>4459.24</v>
      </c>
      <c r="G40" s="45">
        <f>[15]SAS_NSA_2011_1T!$E$74</f>
        <v>4475.16</v>
      </c>
      <c r="H40" s="45">
        <f>[16]SAS_NSA_2011_2T!$E$74</f>
        <v>4575.6000000000004</v>
      </c>
      <c r="I40" s="45">
        <f>[17]SAS_NSA_2011_3T!$E$74</f>
        <v>4568.3599999999997</v>
      </c>
      <c r="J40" s="45">
        <f>[18]SAS_NSA_2011_4T!$E$74</f>
        <v>4565.92</v>
      </c>
      <c r="K40" s="45">
        <f>[19]SAS_NSA_2012_1T!$E$74</f>
        <v>4553.28</v>
      </c>
      <c r="L40" s="45">
        <f>'[20]120919-14H22S23-PROGRAM-TdB_STO'!$E$74</f>
        <v>4653.12</v>
      </c>
      <c r="M40" s="45">
        <f>'[21]121105-15H12S18-PROGRAM-TdB_STO'!$E$74</f>
        <v>4646.88</v>
      </c>
      <c r="N40" s="45">
        <f>[22]SAS_NSA_2012_4T!$E$74</f>
        <v>4643.92</v>
      </c>
      <c r="O40" s="45">
        <f>[23]SAS_NSA_2013_1T!$E$74</f>
        <v>4638.84</v>
      </c>
      <c r="P40" s="45">
        <f>[24]SAS_NSA_2013_2T!$E$74</f>
        <v>4693.68</v>
      </c>
      <c r="Q40" s="45">
        <f>[25]SAS_NSA_2013_3T!$E$74</f>
        <v>4685.88</v>
      </c>
      <c r="R40" s="184">
        <f>[26]SAS_NSA_2013_4T!$E$74</f>
        <v>4671.3599999999997</v>
      </c>
      <c r="S40" s="184">
        <f>[27]SAS_NSA_2014_1T!$E$74</f>
        <v>4683.28</v>
      </c>
      <c r="T40" s="184">
        <f>[28]SAS_NSA_2014_2T!$E$74</f>
        <v>4679.72</v>
      </c>
      <c r="U40" s="184">
        <f>[29]SAS_NSA_2014_3T!$E$74</f>
        <v>4673.6400000000003</v>
      </c>
      <c r="V40" s="184">
        <f>[30]SAS_NSA_2014_4T!$E$74</f>
        <v>4673.3999999999996</v>
      </c>
      <c r="W40" s="184">
        <f>[31]SAS_NSA_2015_1T!$E$74</f>
        <v>4670.4399999999996</v>
      </c>
      <c r="X40" s="184">
        <f>[32]SAS_NSA_2015_2T!$E$74</f>
        <v>4666.76</v>
      </c>
      <c r="Y40" s="184">
        <f>[33]SAS_NSA_2015_3T!$E$74</f>
        <v>4663.3599999999997</v>
      </c>
      <c r="Z40" s="184">
        <f>[34]SAS_NSA_2015_4T!$E$74</f>
        <v>4669.6400000000003</v>
      </c>
      <c r="AA40" s="184">
        <f>[35]SAS_NSA_2016_1T!$E$74</f>
        <v>4670.68</v>
      </c>
      <c r="AB40" s="184">
        <f>[36]SAS_NSA_2016_2T!$E$74</f>
        <v>4668.6000000000004</v>
      </c>
      <c r="AC40" s="184">
        <f>[37]SAS_NSA_2016_3T!$E$74</f>
        <v>4664.08</v>
      </c>
      <c r="AD40" s="184">
        <f>[38]SAS_NSA_2016_4T!$E$74</f>
        <v>4667.16</v>
      </c>
      <c r="AE40" s="184">
        <f>[39]SAS_NSA_2017_1T!$E$74</f>
        <v>4669.4799999999996</v>
      </c>
      <c r="AF40" s="184">
        <f>[40]SAS_NSA_2017_2T!$E$74</f>
        <v>4665.24</v>
      </c>
      <c r="AG40" s="184">
        <f>[41]SAS_NSA_2017_3T!$E$74</f>
        <v>4665.08</v>
      </c>
      <c r="AH40" s="184">
        <f>[42]SAS_NSA_2017_4T!$E$74</f>
        <v>4702.28</v>
      </c>
      <c r="AI40" s="184">
        <f>[43]SAS_NSA_2018_1T!$D$74*4</f>
        <v>4705.4399999999996</v>
      </c>
      <c r="AJ40" s="184">
        <f>[44]SAS_NSA_2018_2T!$E$76</f>
        <v>4710.5600000000004</v>
      </c>
      <c r="AK40" s="292">
        <f>4*[45]SAS_NSA_2018_3T!$D$74</f>
        <v>4704.88</v>
      </c>
      <c r="AL40" s="292">
        <f>4*[46]SAS_NSA_2018_4T!$D$74</f>
        <v>4704.68</v>
      </c>
      <c r="AM40" s="184">
        <f>4*[47]SAS_NSA_2019_1T!$D$74</f>
        <v>4726.68</v>
      </c>
      <c r="AN40" s="184">
        <f>4*[48]SAS_NSA_2019_2T!$D$74</f>
        <v>4725.96</v>
      </c>
      <c r="AO40" s="184">
        <f>4*[49]SAS_NSA_2019_3T!$D$74</f>
        <v>4721.24</v>
      </c>
      <c r="AP40" s="184">
        <f>4*[50]SAS_NSA_2019_4T!$D$74</f>
        <v>4725.72</v>
      </c>
      <c r="AQ40" s="184">
        <f>4*[51]SAS_NSA_2020_1T!$D$71</f>
        <v>4785.32</v>
      </c>
      <c r="AR40" s="184">
        <f>4*[52]SAS_NSA_2020_2T!$D$71</f>
        <v>4779.88</v>
      </c>
      <c r="AS40" s="184">
        <f>4*[53]SAS_NSA_2020_3T!$D$71</f>
        <v>4777.84</v>
      </c>
      <c r="AT40" s="184">
        <f>[54]SAS_NSA_2020_4T!$E$71</f>
        <v>4781.4399999999996</v>
      </c>
      <c r="AU40" s="184">
        <f>[55]SAS_NSA_2021_1T!$E$71</f>
        <v>4803.12</v>
      </c>
      <c r="AV40" s="184">
        <f>[56]SAS_NSA_2021_2T!$E$71</f>
        <v>4804.08</v>
      </c>
      <c r="AW40" s="184">
        <f>[57]SAS_NSA_2021_3T!$E$71</f>
        <v>4804.24</v>
      </c>
      <c r="AX40" s="411">
        <f>[58]SAS_NSA_2021_4T!$E$39</f>
        <v>4815.6630348114004</v>
      </c>
      <c r="AY40" s="184">
        <f>[59]SAS_NSA_2022_1T!$E$39</f>
        <v>5016.5044485447597</v>
      </c>
      <c r="AZ40" s="184">
        <f>[60]SAS_NSA_2022_2T!$E$39</f>
        <v>5010.6117647616802</v>
      </c>
      <c r="BA40" s="184">
        <f>[61]SAS_NSA_2022_3T!$E$39</f>
        <v>5204.8255183336796</v>
      </c>
      <c r="BB40" s="184">
        <f>[62]SAS_NSA_2022_4T!$E$39</f>
        <v>5207.3204029036397</v>
      </c>
      <c r="BC40" s="184">
        <f>[2]SAS_NSA_2023_1T!$E$39</f>
        <v>5266.0406674362002</v>
      </c>
      <c r="BD40" s="184">
        <f>[3]SAS_NSA_2023_2T!$E$39</f>
        <v>5272.0309634061996</v>
      </c>
      <c r="BE40" s="184">
        <f>[4]SAS_NSA_2023_3T!$E$39</f>
        <v>5272.9490102509599</v>
      </c>
      <c r="BF40" s="184">
        <f>[5]SAS_NSA_2023_4T!$E$39</f>
        <v>5283.0105397076404</v>
      </c>
      <c r="BG40" s="184">
        <f>[6]SAS_NSA_2024_1T!$E$39</f>
        <v>5559.6062432006802</v>
      </c>
      <c r="BH40" s="184">
        <f>[7]SAS_NSA_2024_2T!$E$39</f>
        <v>5562.9594579183604</v>
      </c>
      <c r="BI40" s="184">
        <f>[8]SAS_NSA_2024_3T!$E$39</f>
        <v>5561.7863669300004</v>
      </c>
      <c r="BJ40" s="184">
        <f>[9]SAS_NSA_2024_4T!$E$39</f>
        <v>5566.7695239061604</v>
      </c>
    </row>
    <row r="41" spans="1:62" x14ac:dyDescent="0.25">
      <c r="A41" s="307" t="s">
        <v>17</v>
      </c>
      <c r="B41" s="21">
        <f>[63]SAS_NSA_4T2009!$E$75</f>
        <v>1480.44</v>
      </c>
      <c r="C41" s="45">
        <f>[11]SAS_NSA_1T2010!$E$75</f>
        <v>1456.32</v>
      </c>
      <c r="D41" s="45">
        <f>[12]SAS_NSA_2T2010!$E$75</f>
        <v>1437.6</v>
      </c>
      <c r="E41" s="45">
        <f>[13]SAS_NSA_3T2010!$E$75</f>
        <v>1413.8</v>
      </c>
      <c r="F41" s="45">
        <f>[14]SAS_NSA_2010_4T!$E$75</f>
        <v>1391.48</v>
      </c>
      <c r="G41" s="45">
        <f>[15]SAS_NSA_2011_1T!$E$75</f>
        <v>1365.16</v>
      </c>
      <c r="H41" s="45">
        <f>[16]SAS_NSA_2011_2T!$E$75</f>
        <v>1376.56</v>
      </c>
      <c r="I41" s="45">
        <f>[17]SAS_NSA_2011_3T!$E$75</f>
        <v>1350.12</v>
      </c>
      <c r="J41" s="45">
        <f>[18]SAS_NSA_2011_4T!$E$75</f>
        <v>1331.84</v>
      </c>
      <c r="K41" s="45">
        <f>[19]SAS_NSA_2012_1T!$E$75</f>
        <v>1310.52</v>
      </c>
      <c r="L41" s="45">
        <f>'[20]120919-14H22S23-PROGRAM-TdB_STO'!$E$75</f>
        <v>1322.56</v>
      </c>
      <c r="M41" s="45">
        <f>'[21]121105-15H12S18-PROGRAM-TdB_STO'!$E$75</f>
        <v>1300.3599999999999</v>
      </c>
      <c r="N41" s="45">
        <f>[22]SAS_NSA_2012_4T!$E$75</f>
        <v>1282.96</v>
      </c>
      <c r="O41" s="45">
        <f>[23]SAS_NSA_2013_1T!$E$75</f>
        <v>1264.72</v>
      </c>
      <c r="P41" s="45">
        <f>[24]SAS_NSA_2013_2T!$E$75</f>
        <v>1259.96</v>
      </c>
      <c r="Q41" s="45">
        <f>[25]SAS_NSA_2013_3T!$E$75</f>
        <v>1240.5999999999999</v>
      </c>
      <c r="R41" s="184">
        <f>[26]SAS_NSA_2013_4T!$E$75</f>
        <v>1222.96</v>
      </c>
      <c r="S41" s="184">
        <f>[27]SAS_NSA_2014_1T!$E$75</f>
        <v>1205.96</v>
      </c>
      <c r="T41" s="184">
        <f>[28]SAS_NSA_2014_2T!$E$75</f>
        <v>1192.3599999999999</v>
      </c>
      <c r="U41" s="184">
        <f>[29]SAS_NSA_2014_3T!$E$75</f>
        <v>1180.52</v>
      </c>
      <c r="V41" s="184">
        <f>[30]SAS_NSA_2014_4T!$E$75</f>
        <v>1166.8800000000001</v>
      </c>
      <c r="W41" s="184">
        <f>[31]SAS_NSA_2015_1T!$E$75</f>
        <v>1149.8399999999999</v>
      </c>
      <c r="X41" s="184">
        <f>[32]SAS_NSA_2015_2T!$E$75</f>
        <v>1132</v>
      </c>
      <c r="Y41" s="184">
        <f>[33]SAS_NSA_2015_3T!$E$75</f>
        <v>1121.44</v>
      </c>
      <c r="Z41" s="184">
        <f>[34]SAS_NSA_2015_4T!$E$75</f>
        <v>1108.56</v>
      </c>
      <c r="AA41" s="184">
        <f>[35]SAS_NSA_2016_1T!$E$75</f>
        <v>1095.44</v>
      </c>
      <c r="AB41" s="184">
        <f>[36]SAS_NSA_2016_2T!$E$75</f>
        <v>1080.5999999999999</v>
      </c>
      <c r="AC41" s="184">
        <f>[37]SAS_NSA_2016_3T!$E$75</f>
        <v>1069.32</v>
      </c>
      <c r="AD41" s="184">
        <f>[38]SAS_NSA_2016_4T!$E$75</f>
        <v>1060.2</v>
      </c>
      <c r="AE41" s="184">
        <f>[39]SAS_NSA_2017_1T!$E$75</f>
        <v>1046.3599999999999</v>
      </c>
      <c r="AF41" s="184">
        <f>[40]SAS_NSA_2017_2T!$E$75</f>
        <v>1033.8800000000001</v>
      </c>
      <c r="AG41" s="184">
        <f>[41]SAS_NSA_2017_3T!$E$75</f>
        <v>1024.6400000000001</v>
      </c>
      <c r="AH41" s="184">
        <f>[42]SAS_NSA_2017_4T!$E$75</f>
        <v>1020.76</v>
      </c>
      <c r="AI41" s="184">
        <f>[43]SAS_NSA_2018_1T!$D$75*4</f>
        <v>1011.72</v>
      </c>
      <c r="AJ41" s="184">
        <f>[44]SAS_NSA_2018_2T!$E$77</f>
        <v>1005.92</v>
      </c>
      <c r="AK41" s="292">
        <f>4*[45]SAS_NSA_2018_3T!$D$75</f>
        <v>995.32</v>
      </c>
      <c r="AL41" s="292">
        <f>4*[46]SAS_NSA_2018_4T!$D$75</f>
        <v>988</v>
      </c>
      <c r="AM41" s="184">
        <f>4*[47]SAS_NSA_2019_1T!$D$75</f>
        <v>981.4</v>
      </c>
      <c r="AN41" s="184">
        <f>4*[48]SAS_NSA_2019_2T!$D$75</f>
        <v>972.96</v>
      </c>
      <c r="AO41" s="184">
        <f>4*[49]SAS_NSA_2019_3T!$D$75</f>
        <v>966.28</v>
      </c>
      <c r="AP41" s="184">
        <f>4*[50]SAS_NSA_2019_4T!$D$75</f>
        <v>957.36</v>
      </c>
      <c r="AQ41" s="184">
        <f>4*[51]SAS_NSA_2020_1T!$D$72</f>
        <v>959.72</v>
      </c>
      <c r="AR41" s="184">
        <f>4*[52]SAS_NSA_2020_2T!$D$72</f>
        <v>948.92</v>
      </c>
      <c r="AS41" s="184">
        <f>4*[53]SAS_NSA_2020_3T!$D$72</f>
        <v>943.6</v>
      </c>
      <c r="AT41" s="184">
        <f>[54]SAS_NSA_2020_4T!$E$72</f>
        <v>938.08</v>
      </c>
      <c r="AU41" s="184">
        <f>[55]SAS_NSA_2021_1T!$E$72</f>
        <v>932.24</v>
      </c>
      <c r="AV41" s="184">
        <f>[56]SAS_NSA_2021_2T!$E$72</f>
        <v>924.64</v>
      </c>
      <c r="AW41" s="184">
        <f>[57]SAS_NSA_2021_3T!$E$72</f>
        <v>919.36</v>
      </c>
      <c r="AX41" s="411">
        <f>[58]SAS_NSA_2021_4T!$E$40</f>
        <v>913.298873340044</v>
      </c>
      <c r="AY41" s="184">
        <f>[59]SAS_NSA_2022_1T!$E$40</f>
        <v>915.72163197770794</v>
      </c>
      <c r="AZ41" s="184">
        <f>[60]SAS_NSA_2022_2T!$E$40</f>
        <v>908.898379744056</v>
      </c>
      <c r="BA41" s="184">
        <f>[61]SAS_NSA_2022_3T!$E$40</f>
        <v>939.33256093658804</v>
      </c>
      <c r="BB41" s="184">
        <f>[62]SAS_NSA_2022_4T!$E$40</f>
        <v>930.98236341320398</v>
      </c>
      <c r="BC41" s="184">
        <f>[2]SAS_NSA_2023_1T!$E$40</f>
        <v>936.53911181496005</v>
      </c>
      <c r="BD41" s="184">
        <f>[3]SAS_NSA_2023_2T!$E$40</f>
        <v>931.12662599802798</v>
      </c>
      <c r="BE41" s="184">
        <f>[4]SAS_NSA_2023_3T!$E$40</f>
        <v>927.61710070615595</v>
      </c>
      <c r="BF41" s="184">
        <f>[5]SAS_NSA_2023_4T!$E$40</f>
        <v>925.98449786312801</v>
      </c>
      <c r="BG41" s="184">
        <f>[6]SAS_NSA_2024_1T!$E$40</f>
        <v>969.700978951416</v>
      </c>
      <c r="BH41" s="184">
        <f>[7]SAS_NSA_2024_2T!$E$40</f>
        <v>964.827948395936</v>
      </c>
      <c r="BI41" s="184">
        <f>[8]SAS_NSA_2024_3T!$E$40</f>
        <v>962.01973184922804</v>
      </c>
      <c r="BJ41" s="184">
        <f>[9]SAS_NSA_2024_4T!$E$40</f>
        <v>962.25300509886404</v>
      </c>
    </row>
    <row r="42" spans="1:62" x14ac:dyDescent="0.25">
      <c r="A42" s="307" t="s">
        <v>18</v>
      </c>
      <c r="B42" s="21">
        <f>[63]SAS_NSA_4T2009!$E$76</f>
        <v>7163.96</v>
      </c>
      <c r="C42" s="45">
        <f>[11]SAS_NSA_1T2010!$E$76</f>
        <v>7174</v>
      </c>
      <c r="D42" s="45">
        <f>[12]SAS_NSA_2T2010!$E$76</f>
        <v>7236.08</v>
      </c>
      <c r="E42" s="45">
        <f>[13]SAS_NSA_3T2010!$E$76</f>
        <v>7252.68</v>
      </c>
      <c r="F42" s="45">
        <f>[14]SAS_NSA_2010_4T!$E$76</f>
        <v>7262.88</v>
      </c>
      <c r="G42" s="45">
        <f>[15]SAS_NSA_2011_1T!$E$76</f>
        <v>7275.96</v>
      </c>
      <c r="H42" s="45">
        <f>[16]SAS_NSA_2011_2T!$E$76</f>
        <v>7450.4</v>
      </c>
      <c r="I42" s="45">
        <f>[17]SAS_NSA_2011_3T!$E$76</f>
        <v>7460.44</v>
      </c>
      <c r="J42" s="45">
        <f>[18]SAS_NSA_2011_4T!$E$76</f>
        <v>7471.04</v>
      </c>
      <c r="K42" s="45">
        <f>[19]SAS_NSA_2012_1T!$E$76</f>
        <v>7474.4</v>
      </c>
      <c r="L42" s="45">
        <f>'[20]120919-14H22S23-PROGRAM-TdB_STO'!$E$76</f>
        <v>7653.68</v>
      </c>
      <c r="M42" s="45">
        <f>'[21]121105-15H12S18-PROGRAM-TdB_STO'!$E$76</f>
        <v>7654.24</v>
      </c>
      <c r="N42" s="45">
        <f>[22]SAS_NSA_2012_4T!$E$76</f>
        <v>7664.32</v>
      </c>
      <c r="O42" s="45">
        <f>[23]SAS_NSA_2013_1T!$E$76</f>
        <v>7672.28</v>
      </c>
      <c r="P42" s="45">
        <f>[24]SAS_NSA_2013_2T!$E$76</f>
        <v>7779.84</v>
      </c>
      <c r="Q42" s="45">
        <f>[25]SAS_NSA_2013_3T!$E$76</f>
        <v>7785</v>
      </c>
      <c r="R42" s="184">
        <f>[26]SAS_NSA_2013_4T!$E$76</f>
        <v>7788</v>
      </c>
      <c r="S42" s="184">
        <f>[27]SAS_NSA_2014_1T!$E$76</f>
        <v>7805.12</v>
      </c>
      <c r="T42" s="184">
        <f>[28]SAS_NSA_2014_2T!$E$76</f>
        <v>7806.2</v>
      </c>
      <c r="U42" s="184">
        <f>[29]SAS_NSA_2014_3T!$E$76</f>
        <v>7815.92</v>
      </c>
      <c r="V42" s="184">
        <f>[30]SAS_NSA_2014_4T!$E$76</f>
        <v>7826.88</v>
      </c>
      <c r="W42" s="184">
        <f>[31]SAS_NSA_2015_1T!$E$76</f>
        <v>7833.04</v>
      </c>
      <c r="X42" s="184">
        <f>[32]SAS_NSA_2015_2T!$E$76</f>
        <v>7842.92</v>
      </c>
      <c r="Y42" s="184">
        <f>[33]SAS_NSA_2015_3T!$E$76</f>
        <v>7853.44</v>
      </c>
      <c r="Z42" s="184">
        <f>[34]SAS_NSA_2015_4T!$E$76</f>
        <v>7870.44</v>
      </c>
      <c r="AA42" s="184">
        <f>[35]SAS_NSA_2016_1T!$E$76</f>
        <v>7881.36</v>
      </c>
      <c r="AB42" s="184">
        <f>[36]SAS_NSA_2016_2T!$E$76</f>
        <v>7887.8</v>
      </c>
      <c r="AC42" s="184">
        <f>[37]SAS_NSA_2016_3T!$E$76</f>
        <v>7896.08</v>
      </c>
      <c r="AD42" s="184">
        <f>[38]SAS_NSA_2016_4T!$E$76</f>
        <v>7904.6</v>
      </c>
      <c r="AE42" s="184">
        <f>[39]SAS_NSA_2017_1T!$E$76</f>
        <v>7912.56</v>
      </c>
      <c r="AF42" s="184">
        <f>[40]SAS_NSA_2017_2T!$E$76</f>
        <v>7915.32</v>
      </c>
      <c r="AG42" s="184">
        <f>[41]SAS_NSA_2017_3T!$E$76</f>
        <v>7929.04</v>
      </c>
      <c r="AH42" s="184">
        <f>[42]SAS_NSA_2017_4T!$E$76</f>
        <v>7996.12</v>
      </c>
      <c r="AI42" s="184">
        <f>[43]SAS_NSA_2018_1T!$D$76*4</f>
        <v>8003.08</v>
      </c>
      <c r="AJ42" s="184">
        <f>[44]SAS_NSA_2018_2T!$E$78</f>
        <v>8017.8</v>
      </c>
      <c r="AK42" s="292">
        <f>4*[45]SAS_NSA_2018_3T!$D$76</f>
        <v>8029.72</v>
      </c>
      <c r="AL42" s="292">
        <f>4*[46]SAS_NSA_2018_4T!$D$76</f>
        <v>8037.76</v>
      </c>
      <c r="AM42" s="184">
        <f>4*[47]SAS_NSA_2019_1T!$D$76</f>
        <v>8076.64</v>
      </c>
      <c r="AN42" s="184">
        <f>4*[48]SAS_NSA_2019_2T!$D$76</f>
        <v>8085.12</v>
      </c>
      <c r="AO42" s="184">
        <f>4*[49]SAS_NSA_2019_3T!$D$76</f>
        <v>8110.88</v>
      </c>
      <c r="AP42" s="184">
        <f>4*[50]SAS_NSA_2019_4T!$D$76</f>
        <v>8102.84</v>
      </c>
      <c r="AQ42" s="184">
        <f>4*[51]SAS_NSA_2020_1T!$D$73</f>
        <v>8197.0400000000009</v>
      </c>
      <c r="AR42" s="184">
        <f>4*[52]SAS_NSA_2020_2T!$D$73</f>
        <v>8200.36</v>
      </c>
      <c r="AS42" s="184">
        <f>4*[53]SAS_NSA_2020_3T!$D$73</f>
        <v>8207.08</v>
      </c>
      <c r="AT42" s="184">
        <f>[54]SAS_NSA_2020_4T!$E$73</f>
        <v>8215.6</v>
      </c>
      <c r="AU42" s="184">
        <f>[55]SAS_NSA_2021_1T!$E$73</f>
        <v>8254.64</v>
      </c>
      <c r="AV42" s="184">
        <f>[56]SAS_NSA_2021_2T!$E$73</f>
        <v>8252.6</v>
      </c>
      <c r="AW42" s="184">
        <f>[57]SAS_NSA_2021_3T!$E$73</f>
        <v>8258.0400000000009</v>
      </c>
      <c r="AX42" s="411">
        <f>[58]SAS_NSA_2021_4T!$E$41</f>
        <v>8269.9493949562402</v>
      </c>
      <c r="AY42" s="184">
        <f>[59]SAS_NSA_2022_1T!$E$41</f>
        <v>8379.3419082713608</v>
      </c>
      <c r="AZ42" s="184">
        <f>[60]SAS_NSA_2022_2T!$E$41</f>
        <v>8389.5722304167593</v>
      </c>
      <c r="BA42" s="184">
        <f>[61]SAS_NSA_2022_3T!$E$41</f>
        <v>8727.9068833652</v>
      </c>
      <c r="BB42" s="184">
        <f>[62]SAS_NSA_2022_4T!$E$41</f>
        <v>8695.8804757527596</v>
      </c>
      <c r="BC42" s="184">
        <f>[2]SAS_NSA_2023_1T!$E$41</f>
        <v>8809.3729960987603</v>
      </c>
      <c r="BD42" s="184">
        <f>[3]SAS_NSA_2023_2T!$E$41</f>
        <v>8818.9328542555595</v>
      </c>
      <c r="BE42" s="184">
        <f>[4]SAS_NSA_2023_3T!$E$41</f>
        <v>8826.5508048607207</v>
      </c>
      <c r="BF42" s="184">
        <f>[5]SAS_NSA_2023_4T!$E$41</f>
        <v>8835.4711103398404</v>
      </c>
      <c r="BG42" s="184">
        <f>[6]SAS_NSA_2024_1T!$E$41</f>
        <v>9293.9813337683609</v>
      </c>
      <c r="BH42" s="184">
        <f>[7]SAS_NSA_2024_2T!$E$41</f>
        <v>9296.7829576868007</v>
      </c>
      <c r="BI42" s="184">
        <f>[8]SAS_NSA_2024_3T!$E$41</f>
        <v>9300.6343779340805</v>
      </c>
      <c r="BJ42" s="184">
        <f>[9]SAS_NSA_2024_4T!$E$41</f>
        <v>9313.1276503484805</v>
      </c>
    </row>
    <row r="43" spans="1:62" ht="13" thickBot="1" x14ac:dyDescent="0.3">
      <c r="A43" s="310" t="s">
        <v>13</v>
      </c>
      <c r="B43" s="15"/>
      <c r="C43" s="43"/>
      <c r="D43" s="43"/>
      <c r="E43" s="43"/>
      <c r="F43" s="43"/>
      <c r="G43" s="43"/>
      <c r="H43" s="43"/>
      <c r="I43" s="43"/>
      <c r="J43" s="43"/>
      <c r="K43" s="149"/>
      <c r="L43" s="149"/>
      <c r="M43" s="149"/>
      <c r="N43" s="149"/>
      <c r="O43" s="149"/>
      <c r="P43" s="43"/>
      <c r="Q43" s="43"/>
      <c r="R43" s="185"/>
      <c r="S43" s="185"/>
      <c r="T43" s="185"/>
      <c r="U43" s="185"/>
      <c r="V43" s="185"/>
      <c r="W43" s="185"/>
      <c r="X43" s="185"/>
      <c r="Y43" s="185"/>
      <c r="Z43" s="185"/>
      <c r="AA43" s="185"/>
      <c r="AB43" s="185"/>
      <c r="AC43" s="185"/>
      <c r="AD43" s="185"/>
      <c r="AE43" s="185"/>
      <c r="AF43" s="185"/>
      <c r="AG43" s="185"/>
      <c r="AH43" s="185"/>
      <c r="AI43" s="185"/>
      <c r="AJ43" s="185"/>
      <c r="AM43" s="185"/>
      <c r="AN43" s="185"/>
      <c r="AO43" s="185"/>
      <c r="AP43" s="185"/>
      <c r="AQ43" s="185"/>
      <c r="AR43" s="185"/>
      <c r="AS43" s="185"/>
      <c r="AT43" s="185"/>
      <c r="AU43" s="185"/>
      <c r="AV43" s="185"/>
      <c r="AW43" s="359">
        <f>[57]SAS_NSA_2021_3T!$E$70</f>
        <v>5259.16</v>
      </c>
      <c r="AX43" s="412">
        <f>[58]SAS_NSA_2021_4T!$E$38</f>
        <v>5266.1167937671198</v>
      </c>
      <c r="AY43" s="359">
        <f>[59]SAS_NSA_2022_1T!$E$38</f>
        <v>5426.5100119215203</v>
      </c>
      <c r="AZ43" s="359">
        <f>[60]SAS_NSA_2022_2T!$E$38</f>
        <v>5418.8247465704399</v>
      </c>
      <c r="BA43" s="359">
        <f>[61]SAS_NSA_2022_3T!$E$38</f>
        <v>5626.9117325320003</v>
      </c>
      <c r="BB43" s="359">
        <f>[62]SAS_NSA_2022_4T!$E$38</f>
        <v>5617.4134999309999</v>
      </c>
      <c r="BC43" s="359">
        <f>[2]SAS_NSA_2023_1T!$E$38</f>
        <v>5675.5656553913204</v>
      </c>
      <c r="BD43" s="359">
        <f>[3]SAS_NSA_2023_2T!$E$38</f>
        <v>5676.5725496198002</v>
      </c>
      <c r="BE43" s="359">
        <f>[4]SAS_NSA_2023_3T!$E$38</f>
        <v>5674.0140162027201</v>
      </c>
      <c r="BF43" s="359">
        <f>[5]SAS_NSA_2023_4T!$E$38</f>
        <v>5679.6288566794801</v>
      </c>
      <c r="BG43" s="359">
        <f>[6]SAS_NSA_2024_1T!$E$38</f>
        <v>5970.5745774174002</v>
      </c>
      <c r="BH43" s="359">
        <f>[7]SAS_NSA_2024_2T!$E$38</f>
        <v>5968.1825819058004</v>
      </c>
      <c r="BI43" s="359">
        <f>[8]SAS_NSA_2024_3T!$E$38</f>
        <v>5963.1030004895601</v>
      </c>
      <c r="BJ43" s="359">
        <f>[9]SAS_NSA_2024_4T!$E$38</f>
        <v>5965.6342202810802</v>
      </c>
    </row>
    <row r="44" spans="1:62" x14ac:dyDescent="0.25">
      <c r="A44" s="311"/>
      <c r="B44" s="10"/>
      <c r="C44" s="44"/>
      <c r="D44" s="44"/>
      <c r="E44" s="44"/>
      <c r="F44" s="44"/>
      <c r="G44" s="44"/>
      <c r="H44" s="44"/>
      <c r="I44" s="44"/>
      <c r="J44" s="44"/>
      <c r="K44" s="148"/>
      <c r="L44" s="148"/>
      <c r="M44" s="148"/>
      <c r="N44" s="148"/>
      <c r="O44" s="148"/>
      <c r="P44" s="44"/>
      <c r="Q44" s="44"/>
      <c r="R44" s="183"/>
      <c r="S44" s="183"/>
      <c r="T44" s="183"/>
      <c r="U44" s="183"/>
      <c r="V44" s="183"/>
      <c r="W44" s="183"/>
      <c r="X44" s="183"/>
      <c r="Y44" s="183"/>
      <c r="Z44" s="183"/>
      <c r="AA44" s="183"/>
      <c r="AB44" s="183"/>
      <c r="AC44" s="183"/>
      <c r="AD44" s="183"/>
      <c r="AE44" s="183"/>
      <c r="AF44" s="183"/>
      <c r="AG44" s="183"/>
      <c r="AH44" s="183"/>
      <c r="AI44" s="183"/>
      <c r="AJ44" s="183"/>
      <c r="AM44" s="183"/>
      <c r="AN44" s="183"/>
      <c r="AO44" s="183"/>
      <c r="AP44" s="183"/>
      <c r="AQ44" s="183"/>
      <c r="AR44" s="183"/>
      <c r="AS44" s="183"/>
      <c r="AT44" s="183"/>
      <c r="AU44" s="183"/>
      <c r="AV44" s="183"/>
      <c r="AW44" s="183"/>
      <c r="AX44" s="410"/>
      <c r="AY44" s="183"/>
      <c r="AZ44" s="183"/>
      <c r="BA44" s="183"/>
      <c r="BB44" s="183"/>
      <c r="BC44" s="183"/>
      <c r="BD44" s="183"/>
      <c r="BE44" s="183"/>
      <c r="BF44" s="183"/>
      <c r="BG44" s="183"/>
      <c r="BH44" s="183"/>
      <c r="BI44" s="183"/>
      <c r="BJ44" s="183"/>
    </row>
    <row r="45" spans="1:62" x14ac:dyDescent="0.25">
      <c r="A45" s="301" t="s">
        <v>10</v>
      </c>
      <c r="L45" s="145"/>
      <c r="M45" s="145"/>
      <c r="P45" s="35"/>
      <c r="Q45" s="35"/>
      <c r="R45" s="177"/>
      <c r="AC45" s="177"/>
      <c r="AD45" s="177"/>
      <c r="AE45" s="177"/>
      <c r="AF45" s="177"/>
      <c r="AG45" s="177"/>
      <c r="AH45" s="177"/>
      <c r="AI45" s="177"/>
      <c r="AJ45" s="177"/>
      <c r="AM45" s="177"/>
      <c r="AN45" s="177"/>
      <c r="AO45" s="177"/>
      <c r="AP45" s="177"/>
      <c r="AQ45" s="177"/>
      <c r="AR45" s="177"/>
      <c r="AS45" s="177"/>
      <c r="AT45" s="177"/>
      <c r="AU45" s="177"/>
      <c r="AV45" s="177"/>
      <c r="AW45" s="177"/>
      <c r="AX45" s="407"/>
      <c r="AY45" s="177"/>
      <c r="AZ45" s="177"/>
      <c r="BA45" s="177"/>
      <c r="BB45" s="177"/>
      <c r="BC45" s="177"/>
      <c r="BD45" s="177"/>
      <c r="BE45" s="177"/>
      <c r="BF45" s="177"/>
      <c r="BG45" s="177"/>
      <c r="BH45" s="177"/>
      <c r="BI45" s="177"/>
      <c r="BJ45" s="177"/>
    </row>
    <row r="46" spans="1:62" x14ac:dyDescent="0.25">
      <c r="A46" s="314"/>
      <c r="B46" s="2" t="str">
        <f t="shared" ref="B46:G46" si="115">B8</f>
        <v>4eme T 2009</v>
      </c>
      <c r="C46" s="38" t="str">
        <f t="shared" si="115"/>
        <v>1er T 2010</v>
      </c>
      <c r="D46" s="38" t="str">
        <f t="shared" si="115"/>
        <v>2eme T 2010</v>
      </c>
      <c r="E46" s="38" t="str">
        <f t="shared" si="115"/>
        <v>3eme T 2010</v>
      </c>
      <c r="F46" s="38" t="str">
        <f t="shared" si="115"/>
        <v>4eme T 2010</v>
      </c>
      <c r="G46" s="38" t="str">
        <f t="shared" si="115"/>
        <v>1er T 2011</v>
      </c>
      <c r="H46" s="38" t="str">
        <f t="shared" ref="H46:M46" si="116">H8</f>
        <v>2eme T 2011</v>
      </c>
      <c r="I46" s="38" t="str">
        <f t="shared" si="116"/>
        <v>3eme T 2011</v>
      </c>
      <c r="J46" s="38" t="str">
        <f t="shared" si="116"/>
        <v>4eme T 2011</v>
      </c>
      <c r="K46" s="38" t="str">
        <f t="shared" si="116"/>
        <v>1er T 2012</v>
      </c>
      <c r="L46" s="38" t="str">
        <f t="shared" si="116"/>
        <v>2eme T 2012</v>
      </c>
      <c r="M46" s="38" t="str">
        <f t="shared" si="116"/>
        <v>3eme T 2012</v>
      </c>
      <c r="N46" s="38" t="str">
        <f t="shared" ref="N46:S46" si="117">N8</f>
        <v>4eme T 2012</v>
      </c>
      <c r="O46" s="38" t="str">
        <f t="shared" si="117"/>
        <v>1er T 2013</v>
      </c>
      <c r="P46" s="38" t="str">
        <f t="shared" si="117"/>
        <v>2eme T 2013</v>
      </c>
      <c r="Q46" s="38" t="str">
        <f t="shared" si="117"/>
        <v>3ème T 2013</v>
      </c>
      <c r="R46" s="178" t="str">
        <f t="shared" si="117"/>
        <v>4ème T 2013</v>
      </c>
      <c r="S46" s="178" t="str">
        <f t="shared" si="117"/>
        <v>1er T 2014</v>
      </c>
      <c r="T46" s="178" t="str">
        <f t="shared" ref="T46:U46" si="118">T8</f>
        <v>2eme T 2014</v>
      </c>
      <c r="U46" s="178" t="str">
        <f t="shared" si="118"/>
        <v>3T 2014</v>
      </c>
      <c r="V46" s="178" t="str">
        <f t="shared" ref="V46:W46" si="119">V8</f>
        <v>4ème T 2014</v>
      </c>
      <c r="W46" s="178" t="str">
        <f t="shared" si="119"/>
        <v>1er T 2015</v>
      </c>
      <c r="X46" s="178" t="str">
        <f t="shared" ref="X46:Y46" si="120">X8</f>
        <v>2e T 2015</v>
      </c>
      <c r="Y46" s="178" t="str">
        <f t="shared" si="120"/>
        <v>3e T 2015</v>
      </c>
      <c r="Z46" s="178" t="str">
        <f t="shared" ref="Z46:AA46" si="121">Z8</f>
        <v>4e T 2015</v>
      </c>
      <c r="AA46" s="178" t="str">
        <f t="shared" si="121"/>
        <v>1er T 2016</v>
      </c>
      <c r="AB46" s="178" t="str">
        <f t="shared" ref="AB46:AH46" si="122">AB8</f>
        <v>2e T 2016</v>
      </c>
      <c r="AC46" s="178" t="str">
        <f t="shared" si="122"/>
        <v>3e T 2016</v>
      </c>
      <c r="AD46" s="178" t="str">
        <f t="shared" si="122"/>
        <v>4e T 2016</v>
      </c>
      <c r="AE46" s="178" t="str">
        <f t="shared" si="122"/>
        <v>2017 - T1</v>
      </c>
      <c r="AF46" s="178" t="str">
        <f t="shared" si="122"/>
        <v>2017 - T2</v>
      </c>
      <c r="AG46" s="178" t="str">
        <f t="shared" si="122"/>
        <v>2017- T3</v>
      </c>
      <c r="AH46" s="178" t="str">
        <f t="shared" si="122"/>
        <v>2017 - T4</v>
      </c>
      <c r="AI46" s="178" t="str">
        <f t="shared" ref="AI46" si="123">AI8</f>
        <v>2018 - T1</v>
      </c>
      <c r="AJ46" s="178" t="s">
        <v>201</v>
      </c>
      <c r="AK46" s="178" t="s">
        <v>204</v>
      </c>
      <c r="AL46" s="178" t="s">
        <v>206</v>
      </c>
      <c r="AM46" s="178" t="str">
        <f t="shared" ref="AM46:AN46" si="124">AM8</f>
        <v>2019 - T1</v>
      </c>
      <c r="AN46" s="178" t="str">
        <f t="shared" si="124"/>
        <v>2019 - T2</v>
      </c>
      <c r="AO46" s="178" t="str">
        <f t="shared" ref="AO46" si="125">AO8</f>
        <v>2019 - T3</v>
      </c>
      <c r="AP46" s="178" t="s">
        <v>214</v>
      </c>
      <c r="AQ46" s="178" t="str">
        <f t="shared" ref="AQ46:AV46" si="126">AQ8</f>
        <v>2020 - T1</v>
      </c>
      <c r="AR46" s="178" t="str">
        <f t="shared" si="126"/>
        <v>2020 - T2</v>
      </c>
      <c r="AS46" s="178" t="str">
        <f t="shared" si="126"/>
        <v>2020 - T3</v>
      </c>
      <c r="AT46" s="178" t="str">
        <f t="shared" si="126"/>
        <v>2020- T4</v>
      </c>
      <c r="AU46" s="178" t="str">
        <f t="shared" si="126"/>
        <v>2021- T1</v>
      </c>
      <c r="AV46" s="178" t="str">
        <f t="shared" si="126"/>
        <v>2021- T2</v>
      </c>
      <c r="AW46" s="178" t="str">
        <f t="shared" ref="AW46:AX46" si="127">AW8</f>
        <v>2021- T3</v>
      </c>
      <c r="AX46" s="403" t="str">
        <f t="shared" si="127"/>
        <v>2021- T4</v>
      </c>
      <c r="AY46" s="178" t="str">
        <f t="shared" ref="AY46:AZ46" si="128">AY8</f>
        <v>2022- T1</v>
      </c>
      <c r="AZ46" s="178" t="str">
        <f t="shared" si="128"/>
        <v>2022- T2</v>
      </c>
      <c r="BA46" s="178" t="str">
        <f t="shared" ref="BA46:BB46" si="129">BA8</f>
        <v>2022- T3</v>
      </c>
      <c r="BB46" s="178" t="str">
        <f t="shared" si="129"/>
        <v>2022- T4</v>
      </c>
      <c r="BC46" s="178" t="str">
        <f t="shared" ref="BC46:BD46" si="130">BC8</f>
        <v>2023- T1</v>
      </c>
      <c r="BD46" s="178" t="str">
        <f t="shared" si="130"/>
        <v>2023- T2</v>
      </c>
      <c r="BE46" s="178" t="str">
        <f t="shared" ref="BE46:BF46" si="131">BE8</f>
        <v>2023- T3</v>
      </c>
      <c r="BF46" s="178" t="str">
        <f t="shared" si="131"/>
        <v>2023- T4</v>
      </c>
      <c r="BG46" s="178" t="str">
        <f t="shared" ref="BG46:BH46" si="132">BG8</f>
        <v>2024- T1</v>
      </c>
      <c r="BH46" s="178" t="str">
        <f t="shared" si="132"/>
        <v>2024- T2</v>
      </c>
      <c r="BI46" s="178" t="str">
        <f t="shared" ref="BI46:BJ46" si="133">BI8</f>
        <v>2024- T3</v>
      </c>
      <c r="BJ46" s="178" t="str">
        <f t="shared" si="133"/>
        <v>2024- T4</v>
      </c>
    </row>
    <row r="47" spans="1:62" x14ac:dyDescent="0.25">
      <c r="A47" s="312" t="s">
        <v>0</v>
      </c>
      <c r="B47" s="9">
        <f>[63]SAS_NSA_4T2009!$A$26</f>
        <v>758398</v>
      </c>
      <c r="C47" s="46">
        <f>[11]SAS_NSA_1T2010!$A$26</f>
        <v>756420</v>
      </c>
      <c r="D47" s="46">
        <f>[12]SAS_NSA_2T2010!$A$26</f>
        <v>750429</v>
      </c>
      <c r="E47" s="46">
        <f>[13]SAS_NSA_3T2010!$A$26</f>
        <v>744739</v>
      </c>
      <c r="F47" s="46">
        <f>[14]SAS_NSA_2010_4T!$A$26</f>
        <v>741421</v>
      </c>
      <c r="G47" s="46">
        <f>[15]SAS_NSA_2011_1T!$A$26</f>
        <v>738173</v>
      </c>
      <c r="H47" s="46">
        <f>[16]SAS_NSA_2011_2T!$A$26</f>
        <v>732084</v>
      </c>
      <c r="I47" s="46">
        <f>[17]SAS_NSA_2011_3T!$A$26</f>
        <v>725904</v>
      </c>
      <c r="J47" s="46">
        <f>[18]SAS_NSA_2011_4T!$A$26</f>
        <v>720700</v>
      </c>
      <c r="K47" s="46">
        <f>[19]SAS_NSA_2012_1T!$A$26</f>
        <v>716995</v>
      </c>
      <c r="L47" s="46">
        <f>'[20]120919-14H22S23-PROGRAM-TdB_STO'!$A$26</f>
        <v>709755</v>
      </c>
      <c r="M47" s="46">
        <f>'[21]121105-15H12S18-PROGRAM-TdB_STO'!$A$26</f>
        <v>702259</v>
      </c>
      <c r="N47" s="46">
        <f>[22]SAS_NSA_2012_4T!$A$26</f>
        <v>697136</v>
      </c>
      <c r="O47" s="46">
        <f>[23]SAS_NSA_2013_1T!$A$26</f>
        <v>693738</v>
      </c>
      <c r="P47" s="46">
        <f>[24]SAS_NSA_2013_2T!$A$26</f>
        <v>687370</v>
      </c>
      <c r="Q47" s="46">
        <f>[25]SAS_NSA_2013_3T!$A$26</f>
        <v>682749</v>
      </c>
      <c r="R47" s="186">
        <f>[26]SAS_NSA_2013_4T!$A$26</f>
        <v>678312</v>
      </c>
      <c r="S47" s="186">
        <f>[27]SAS_NSA_2014_1T!$A$26</f>
        <v>673834</v>
      </c>
      <c r="T47" s="186">
        <f>[28]SAS_NSA_2014_2T!$A$26</f>
        <v>669307</v>
      </c>
      <c r="U47" s="186">
        <f>[29]SAS_NSA_2014_3T!$A$26</f>
        <v>664589</v>
      </c>
      <c r="V47" s="186">
        <f>[30]SAS_NSA_2014_4T!$A$26</f>
        <v>661570</v>
      </c>
      <c r="W47" s="186">
        <f>[31]SAS_NSA_2015_1T!$A$26</f>
        <v>658677</v>
      </c>
      <c r="X47" s="186">
        <f>[32]SAS_NSA_2015_2T!$A$26</f>
        <v>651978</v>
      </c>
      <c r="Y47" s="186">
        <f>[33]SAS_NSA_2015_3T!$A$26</f>
        <v>646220</v>
      </c>
      <c r="Z47" s="186">
        <f>[34]SAS_NSA_2015_4T!$A$26</f>
        <v>643295</v>
      </c>
      <c r="AA47" s="186">
        <f>[35]SAS_NSA_2016_1T!$A$26</f>
        <v>641284</v>
      </c>
      <c r="AB47" s="186">
        <f>[36]SAS_NSA_2016_2T!$A$26</f>
        <v>636568</v>
      </c>
      <c r="AC47" s="186">
        <f>[37]SAS_NSA_2016_3T!$A$26</f>
        <v>632180</v>
      </c>
      <c r="AD47" s="186">
        <f>[38]SAS_NSA_2016_4T!$A$26</f>
        <v>628889</v>
      </c>
      <c r="AE47" s="186">
        <f>[39]SAS_NSA_2017_1T!$A$26</f>
        <v>626145</v>
      </c>
      <c r="AF47" s="186">
        <f>[40]SAS_NSA_2017_2T!$A$26</f>
        <v>620757</v>
      </c>
      <c r="AG47" s="186">
        <f>[41]SAS_NSA_2017_3T!$A$26</f>
        <v>617080</v>
      </c>
      <c r="AH47" s="186">
        <f>[42]SAS_NSA_2017_4T!$A$26</f>
        <v>615366</v>
      </c>
      <c r="AI47" s="186">
        <f>[43]SAS_NSA_2018_1T!$A$26</f>
        <v>614170</v>
      </c>
      <c r="AJ47" s="186">
        <f>[44]SAS_NSA_2018_2T!$A$27</f>
        <v>609797</v>
      </c>
      <c r="AK47" s="290">
        <f>[45]SAS_NSA_2018_3T!$C$59</f>
        <v>605976</v>
      </c>
      <c r="AL47" s="290">
        <f>[46]SAS_NSA_2018_4T!$A$26</f>
        <v>604386</v>
      </c>
      <c r="AM47" s="186">
        <f>[47]SAS_NSA_2019_1T!$A$26</f>
        <v>602437</v>
      </c>
      <c r="AN47" s="186">
        <f>[48]SAS_NSA_2019_2T!$A$26</f>
        <v>597415</v>
      </c>
      <c r="AO47" s="186">
        <f>[49]SAS_NSA_2019_3T!$C59</f>
        <v>593973</v>
      </c>
      <c r="AP47" s="186">
        <f>[50]SAS_NSA_2019_4T!$C$59</f>
        <v>593042</v>
      </c>
      <c r="AQ47" s="186">
        <f>[51]SAS_NSA_2020_1T!$A$31</f>
        <v>592045</v>
      </c>
      <c r="AR47" s="186">
        <f>[52]SAS_NSA_2020_2T!$A$31</f>
        <v>587157</v>
      </c>
      <c r="AS47" s="186">
        <f>[53]SAS_NSA_2020_3T!$A$31</f>
        <v>582781</v>
      </c>
      <c r="AT47" s="186">
        <f>[54]SAS_NSA_2020_4T!$A$31</f>
        <v>580915</v>
      </c>
      <c r="AU47" s="186">
        <f>[55]SAS_NSA_2021_1T!$A$31</f>
        <v>578005</v>
      </c>
      <c r="AV47" s="337">
        <f>[56]SAS_NSA_2021_2T!$A$31</f>
        <v>572340</v>
      </c>
      <c r="AW47" s="337">
        <f>[57]SAS_NSA_2021_3T!$A$39</f>
        <v>568154</v>
      </c>
      <c r="AX47" s="413">
        <f>[58]SAS_NSA_2021_4T!$A$26</f>
        <v>567206</v>
      </c>
      <c r="AY47" s="337">
        <f>[59]SAS_NSA_2022_1T!$A$26</f>
        <v>566290</v>
      </c>
      <c r="AZ47" s="337">
        <f>[60]SAS_NSA_2022_2T!$A$26</f>
        <v>561614</v>
      </c>
      <c r="BA47" s="337">
        <f>[61]SAS_NSA_2022_3T!$A$26</f>
        <v>558387</v>
      </c>
      <c r="BB47" s="337">
        <f>[62]SAS_NSA_2022_4T!$A$26</f>
        <v>558826</v>
      </c>
      <c r="BC47" s="337">
        <f>[2]SAS_NSA_2023_1T!$A$26</f>
        <v>556758</v>
      </c>
      <c r="BD47" s="337">
        <f>[3]SAS_NSA_2023_2T!$A$26</f>
        <v>553522</v>
      </c>
      <c r="BE47" s="337">
        <f>[4]SAS_NSA_2023_3T!$A$26</f>
        <v>551199</v>
      </c>
      <c r="BF47" s="337">
        <f>[5]SAS_NSA_2023_4T!$A$26</f>
        <v>549680</v>
      </c>
      <c r="BG47" s="337">
        <f>[6]SAS_NSA_2024_1T!$A$26</f>
        <v>548730</v>
      </c>
      <c r="BH47" s="337">
        <f>[7]SAS_NSA_2024_2T!$A$26</f>
        <v>544847</v>
      </c>
      <c r="BI47" s="337">
        <f>[8]SAS_NSA_2024_3T!$A$26</f>
        <v>541924</v>
      </c>
      <c r="BJ47" s="337">
        <f>[9]SAS_NSA_2024_4T!$A$26</f>
        <v>541036</v>
      </c>
    </row>
    <row r="48" spans="1:62" x14ac:dyDescent="0.25">
      <c r="A48" s="312" t="s">
        <v>1</v>
      </c>
      <c r="B48" s="9">
        <f>[63]SAS_NSA_4T2009!$B$26</f>
        <v>208342</v>
      </c>
      <c r="C48" s="46">
        <f>[11]SAS_NSA_1T2010!$B$26</f>
        <v>206102</v>
      </c>
      <c r="D48" s="46">
        <f>[12]SAS_NSA_2T2010!$B$26</f>
        <v>203698</v>
      </c>
      <c r="E48" s="46">
        <f>[13]SAS_NSA_3T2010!$B$26</f>
        <v>201227</v>
      </c>
      <c r="F48" s="46">
        <f>[14]SAS_NSA_2010_4T!$B$26</f>
        <v>199099</v>
      </c>
      <c r="G48" s="46">
        <f>[15]SAS_NSA_2011_1T!$B$26</f>
        <v>196505</v>
      </c>
      <c r="H48" s="46">
        <f>[16]SAS_NSA_2011_2T!$B$26</f>
        <v>194011</v>
      </c>
      <c r="I48" s="46">
        <f>[17]SAS_NSA_2011_3T!$B$26</f>
        <v>191364</v>
      </c>
      <c r="J48" s="46">
        <f>[18]SAS_NSA_2011_4T!$B$26</f>
        <v>188630</v>
      </c>
      <c r="K48" s="46">
        <f>[19]SAS_NSA_2012_1T!$B$26</f>
        <v>186206</v>
      </c>
      <c r="L48" s="46">
        <f>'[20]120919-14H22S23-PROGRAM-TdB_STO'!$B$26</f>
        <v>183461</v>
      </c>
      <c r="M48" s="46">
        <f>'[21]121105-15H12S18-PROGRAM-TdB_STO'!$B$26</f>
        <v>180510</v>
      </c>
      <c r="N48" s="46">
        <f>[22]SAS_NSA_2012_4T!$B$26</f>
        <v>178078</v>
      </c>
      <c r="O48" s="46">
        <f>[23]SAS_NSA_2013_1T!$B$26</f>
        <v>176067</v>
      </c>
      <c r="P48" s="46">
        <f>[24]SAS_NSA_2013_2T!$B$26</f>
        <v>173783</v>
      </c>
      <c r="Q48" s="46">
        <f>[25]SAS_NSA_2013_3T!$B$26</f>
        <v>171713</v>
      </c>
      <c r="R48" s="186">
        <f>[26]SAS_NSA_2013_4T!$B$26</f>
        <v>169447</v>
      </c>
      <c r="S48" s="186">
        <f>[27]SAS_NSA_2014_1T!$B$26</f>
        <v>166890</v>
      </c>
      <c r="T48" s="186">
        <f>[28]SAS_NSA_2014_2T!$B$26</f>
        <v>165055</v>
      </c>
      <c r="U48" s="186">
        <f>[29]SAS_NSA_2014_3T!$B$26</f>
        <v>163136</v>
      </c>
      <c r="V48" s="186">
        <f>[30]SAS_NSA_2014_4T!$B$26</f>
        <v>161273</v>
      </c>
      <c r="W48" s="186">
        <f>[31]SAS_NSA_2015_1T!$B$26</f>
        <v>159408</v>
      </c>
      <c r="X48" s="186">
        <f>[32]SAS_NSA_2015_2T!$B$26</f>
        <v>156804</v>
      </c>
      <c r="Y48" s="186">
        <f>[33]SAS_NSA_2015_3T!$B$26</f>
        <v>154470</v>
      </c>
      <c r="Z48" s="186">
        <f>[34]SAS_NSA_2015_4T!$B$26</f>
        <v>152421</v>
      </c>
      <c r="AA48" s="186">
        <f>[35]SAS_NSA_2016_1T!$B$26</f>
        <v>150676</v>
      </c>
      <c r="AB48" s="186">
        <f>[36]SAS_NSA_2016_2T!$B$26</f>
        <v>148630</v>
      </c>
      <c r="AC48" s="186">
        <f>[37]SAS_NSA_2016_3T!$B$26</f>
        <v>146805</v>
      </c>
      <c r="AD48" s="186">
        <f>[38]SAS_NSA_2016_4T!$B$26</f>
        <v>144717</v>
      </c>
      <c r="AE48" s="186">
        <f>[39]SAS_NSA_2017_1T!$B$26</f>
        <v>142769</v>
      </c>
      <c r="AF48" s="186">
        <f>[40]SAS_NSA_2017_2T!$B$26</f>
        <v>140724</v>
      </c>
      <c r="AG48" s="186">
        <f>[41]SAS_NSA_2017_3T!$B$26</f>
        <v>139063</v>
      </c>
      <c r="AH48" s="186">
        <f>[42]SAS_NSA_2017_4T!$B$26</f>
        <v>137488</v>
      </c>
      <c r="AI48" s="186">
        <f>[43]SAS_NSA_2018_1T!$B$26</f>
        <v>136051</v>
      </c>
      <c r="AJ48" s="186">
        <f>[44]SAS_NSA_2018_2T!$B$28</f>
        <v>134543</v>
      </c>
      <c r="AK48" s="290">
        <f>[45]SAS_NSA_2018_3T!$C$60</f>
        <v>132908</v>
      </c>
      <c r="AL48" s="290">
        <f>[46]SAS_NSA_2018_4T!$B$26</f>
        <v>131235</v>
      </c>
      <c r="AM48" s="186">
        <f>[47]SAS_NSA_2019_1T!$B$26</f>
        <v>129644</v>
      </c>
      <c r="AN48" s="186">
        <f>[48]SAS_NSA_2019_2T!$B$26</f>
        <v>127951</v>
      </c>
      <c r="AO48" s="186">
        <f>[49]SAS_NSA_2019_3T!$C60</f>
        <v>126640</v>
      </c>
      <c r="AP48" s="186">
        <f>[50]SAS_NSA_2019_4T!$C$60</f>
        <v>125115</v>
      </c>
      <c r="AQ48" s="186">
        <f>[51]SAS_NSA_2020_1T!$B$31</f>
        <v>123885</v>
      </c>
      <c r="AR48" s="186">
        <f>[52]SAS_NSA_2020_2T!$B$31</f>
        <v>122299</v>
      </c>
      <c r="AS48" s="186">
        <f>[53]SAS_NSA_2020_3T!$B$31</f>
        <v>120881</v>
      </c>
      <c r="AT48" s="186">
        <f>[54]SAS_NSA_2020_4T!$B$31</f>
        <v>119265</v>
      </c>
      <c r="AU48" s="186">
        <f>[55]SAS_NSA_2021_1T!$B$31</f>
        <v>117571</v>
      </c>
      <c r="AV48" s="337">
        <f>[56]SAS_NSA_2021_2T!$B$31</f>
        <v>115983</v>
      </c>
      <c r="AW48" s="337">
        <f>[57]SAS_NSA_2021_3T!$B$39</f>
        <v>114514</v>
      </c>
      <c r="AX48" s="413">
        <f>[58]SAS_NSA_2021_4T!$B$26</f>
        <v>113252</v>
      </c>
      <c r="AY48" s="337">
        <f>[59]SAS_NSA_2022_1T!$B$26</f>
        <v>111990</v>
      </c>
      <c r="AZ48" s="337">
        <f>[60]SAS_NSA_2022_2T!$B$26</f>
        <v>110628</v>
      </c>
      <c r="BA48" s="337">
        <f>[61]SAS_NSA_2022_3T!$B$26</f>
        <v>109559</v>
      </c>
      <c r="BB48" s="337">
        <f>[62]SAS_NSA_2022_4T!$B$26</f>
        <v>108466</v>
      </c>
      <c r="BC48" s="337">
        <f>[2]SAS_NSA_2023_1T!$B$26</f>
        <v>107083</v>
      </c>
      <c r="BD48" s="337">
        <f>[3]SAS_NSA_2023_2T!$B$26</f>
        <v>105740</v>
      </c>
      <c r="BE48" s="337">
        <f>[4]SAS_NSA_2023_3T!$B$26</f>
        <v>104699</v>
      </c>
      <c r="BF48" s="337">
        <f>[5]SAS_NSA_2023_4T!$B$26</f>
        <v>103221</v>
      </c>
      <c r="BG48" s="337">
        <f>[6]SAS_NSA_2024_1T!$B$26</f>
        <v>102100</v>
      </c>
      <c r="BH48" s="337">
        <f>[7]SAS_NSA_2024_2T!$B$26</f>
        <v>100986</v>
      </c>
      <c r="BI48" s="337">
        <f>[8]SAS_NSA_2024_3T!$B$26</f>
        <v>100057</v>
      </c>
      <c r="BJ48" s="337">
        <f>[9]SAS_NSA_2024_4T!$B$26</f>
        <v>98966</v>
      </c>
    </row>
    <row r="49" spans="1:62" x14ac:dyDescent="0.25">
      <c r="A49" s="312" t="s">
        <v>2</v>
      </c>
      <c r="B49" s="9">
        <f>[63]SAS_NSA_4T2009!$C$26</f>
        <v>301651</v>
      </c>
      <c r="C49" s="46">
        <f>[11]SAS_NSA_1T2010!$C$26</f>
        <v>299508</v>
      </c>
      <c r="D49" s="46">
        <f>[12]SAS_NSA_2T2010!$C$26</f>
        <v>297011</v>
      </c>
      <c r="E49" s="46">
        <f>[13]SAS_NSA_3T2010!$C$26</f>
        <v>294763</v>
      </c>
      <c r="F49" s="46">
        <f>[14]SAS_NSA_2010_4T!$C$26</f>
        <v>292671</v>
      </c>
      <c r="G49" s="46">
        <f>[15]SAS_NSA_2011_1T!$C$26</f>
        <v>290406</v>
      </c>
      <c r="H49" s="46">
        <f>[16]SAS_NSA_2011_2T!$C$26</f>
        <v>287769</v>
      </c>
      <c r="I49" s="46">
        <f>[17]SAS_NSA_2011_3T!$C$26</f>
        <v>285155</v>
      </c>
      <c r="J49" s="46">
        <f>[18]SAS_NSA_2011_4T!$C$26</f>
        <v>282848</v>
      </c>
      <c r="K49" s="46">
        <f>[19]SAS_NSA_2012_1T!$C$26</f>
        <v>280442</v>
      </c>
      <c r="L49" s="46">
        <f>'[20]120919-14H22S23-PROGRAM-TdB_STO'!$C$26</f>
        <v>277386</v>
      </c>
      <c r="M49" s="46">
        <f>'[21]121105-15H12S18-PROGRAM-TdB_STO'!$C$26</f>
        <v>274464</v>
      </c>
      <c r="N49" s="46">
        <f>[22]SAS_NSA_2012_4T!$C$26</f>
        <v>271918</v>
      </c>
      <c r="O49" s="46">
        <f>[23]SAS_NSA_2013_1T!$C$26</f>
        <v>269297</v>
      </c>
      <c r="P49" s="46">
        <f>[24]SAS_NSA_2013_2T!$C$26</f>
        <v>266171</v>
      </c>
      <c r="Q49" s="46">
        <f>[25]SAS_NSA_2013_3T!$C$26</f>
        <v>263858</v>
      </c>
      <c r="R49" s="186">
        <f>[26]SAS_NSA_2013_4T!$C$26</f>
        <v>261327</v>
      </c>
      <c r="S49" s="186">
        <f>[27]SAS_NSA_2014_1T!$C$26</f>
        <v>258468</v>
      </c>
      <c r="T49" s="186">
        <f>[28]SAS_NSA_2014_2T!$C$26</f>
        <v>255702</v>
      </c>
      <c r="U49" s="186">
        <f>[29]SAS_NSA_2014_3T!$C$26</f>
        <v>253029</v>
      </c>
      <c r="V49" s="186">
        <f>[30]SAS_NSA_2014_4T!$C$26</f>
        <v>250597</v>
      </c>
      <c r="W49" s="186">
        <f>[31]SAS_NSA_2015_1T!$C$26</f>
        <v>247972</v>
      </c>
      <c r="X49" s="186">
        <f>[32]SAS_NSA_2015_2T!$C$26</f>
        <v>244510</v>
      </c>
      <c r="Y49" s="186">
        <f>[33]SAS_NSA_2015_3T!$C$26</f>
        <v>241664</v>
      </c>
      <c r="Z49" s="186">
        <f>[34]SAS_NSA_2015_4T!$C$26</f>
        <v>239203</v>
      </c>
      <c r="AA49" s="186">
        <f>[35]SAS_NSA_2016_1T!$C$26</f>
        <v>236423</v>
      </c>
      <c r="AB49" s="186">
        <f>[36]SAS_NSA_2016_2T!$C$26</f>
        <v>233439</v>
      </c>
      <c r="AC49" s="186">
        <f>[37]SAS_NSA_2016_3T!$C$26</f>
        <v>230831</v>
      </c>
      <c r="AD49" s="186">
        <f>[38]SAS_NSA_2016_4T!$C$26</f>
        <v>228259</v>
      </c>
      <c r="AE49" s="186">
        <f>[39]SAS_NSA_2017_1T!$C$26</f>
        <v>225199</v>
      </c>
      <c r="AF49" s="186">
        <f>[40]SAS_NSA_2017_2T!$C$26</f>
        <v>221981</v>
      </c>
      <c r="AG49" s="186">
        <f>[41]SAS_NSA_2017_3T!$C$26</f>
        <v>219658</v>
      </c>
      <c r="AH49" s="186">
        <f>[42]SAS_NSA_2017_4T!$C$26</f>
        <v>217229</v>
      </c>
      <c r="AI49" s="186">
        <f>[43]SAS_NSA_2018_1T!$C$26</f>
        <v>214782</v>
      </c>
      <c r="AJ49" s="186">
        <f>[44]SAS_NSA_2018_2T!$C$28</f>
        <v>211754</v>
      </c>
      <c r="AK49" s="290">
        <f>[45]SAS_NSA_2018_3T!$C$61</f>
        <v>209318</v>
      </c>
      <c r="AL49" s="290">
        <f>[46]SAS_NSA_2018_4T!$C$26</f>
        <v>207285</v>
      </c>
      <c r="AM49" s="186">
        <f>[47]SAS_NSA_2019_1T!$C$26</f>
        <v>204647</v>
      </c>
      <c r="AN49" s="186">
        <f>[48]SAS_NSA_2019_2T!$C$26</f>
        <v>201604</v>
      </c>
      <c r="AO49" s="186">
        <f>[49]SAS_NSA_2019_3T!$C61</f>
        <v>199236</v>
      </c>
      <c r="AP49" s="186">
        <f>[50]SAS_NSA_2019_4T!$C$61</f>
        <v>197227</v>
      </c>
      <c r="AQ49" s="186">
        <f>[51]SAS_NSA_2020_1T!$C$31</f>
        <v>194823</v>
      </c>
      <c r="AR49" s="186">
        <f>[52]SAS_NSA_2020_2T!$C$31</f>
        <v>191829</v>
      </c>
      <c r="AS49" s="186">
        <f>[53]SAS_NSA_2020_3T!$C$31</f>
        <v>189213</v>
      </c>
      <c r="AT49" s="186">
        <f>[54]SAS_NSA_2020_4T!$C$31</f>
        <v>187070</v>
      </c>
      <c r="AU49" s="186">
        <f>[55]SAS_NSA_2021_1T!$C$31</f>
        <v>183668</v>
      </c>
      <c r="AV49" s="337">
        <f>[56]SAS_NSA_2021_2T!$C$31</f>
        <v>180656</v>
      </c>
      <c r="AW49" s="337">
        <f>[57]SAS_NSA_2021_3T!$C$39</f>
        <v>178231</v>
      </c>
      <c r="AX49" s="413">
        <f>[58]SAS_NSA_2021_4T!$C$26</f>
        <v>175965</v>
      </c>
      <c r="AY49" s="337">
        <f>[59]SAS_NSA_2022_1T!$C$26</f>
        <v>173538</v>
      </c>
      <c r="AZ49" s="337">
        <f>[60]SAS_NSA_2022_2T!$C$26</f>
        <v>170704</v>
      </c>
      <c r="BA49" s="337">
        <f>[61]SAS_NSA_2022_3T!$C$26</f>
        <v>168451</v>
      </c>
      <c r="BB49" s="337">
        <f>[62]SAS_NSA_2022_4T!$C$26</f>
        <v>166428</v>
      </c>
      <c r="BC49" s="337">
        <f>[2]SAS_NSA_2023_1T!$C$26</f>
        <v>163382</v>
      </c>
      <c r="BD49" s="337">
        <f>[3]SAS_NSA_2023_2T!$C$26</f>
        <v>160771</v>
      </c>
      <c r="BE49" s="337">
        <f>[4]SAS_NSA_2023_3T!$C$26</f>
        <v>158692</v>
      </c>
      <c r="BF49" s="337">
        <f>[5]SAS_NSA_2023_4T!$C$26</f>
        <v>156555</v>
      </c>
      <c r="BG49" s="337">
        <f>[6]SAS_NSA_2024_1T!$C$26</f>
        <v>154248</v>
      </c>
      <c r="BH49" s="337">
        <f>[7]SAS_NSA_2024_2T!$C$26</f>
        <v>151951</v>
      </c>
      <c r="BI49" s="337">
        <f>[8]SAS_NSA_2024_3T!$C$26</f>
        <v>150017</v>
      </c>
      <c r="BJ49" s="337">
        <f>[9]SAS_NSA_2024_4T!$C$26</f>
        <v>148119</v>
      </c>
    </row>
    <row r="50" spans="1:62" x14ac:dyDescent="0.25">
      <c r="A50" s="312" t="s">
        <v>3</v>
      </c>
      <c r="B50" s="9">
        <f>[63]SAS_NSA_4T2009!$D$26</f>
        <v>478718</v>
      </c>
      <c r="C50" s="46">
        <f>[11]SAS_NSA_1T2010!$D$26</f>
        <v>477926</v>
      </c>
      <c r="D50" s="46">
        <f>[12]SAS_NSA_2T2010!$D$26</f>
        <v>475654</v>
      </c>
      <c r="E50" s="46">
        <f>[13]SAS_NSA_3T2010!$D$26</f>
        <v>474858</v>
      </c>
      <c r="F50" s="46">
        <f>[14]SAS_NSA_2010_4T!$D$26</f>
        <v>474137</v>
      </c>
      <c r="G50" s="46">
        <f>[15]SAS_NSA_2011_1T!$D$26</f>
        <v>473215</v>
      </c>
      <c r="H50" s="46">
        <f>[16]SAS_NSA_2011_2T!$D$26</f>
        <v>471229</v>
      </c>
      <c r="I50" s="46">
        <f>[17]SAS_NSA_2011_3T!$D$26</f>
        <v>470385</v>
      </c>
      <c r="J50" s="46">
        <f>[18]SAS_NSA_2011_4T!$D$26</f>
        <v>469649</v>
      </c>
      <c r="K50" s="46">
        <f>[19]SAS_NSA_2012_1T!$D$26</f>
        <v>468585</v>
      </c>
      <c r="L50" s="46">
        <f>'[20]120919-14H22S23-PROGRAM-TdB_STO'!$D$26</f>
        <v>465504</v>
      </c>
      <c r="M50" s="46">
        <f>'[21]121105-15H12S18-PROGRAM-TdB_STO'!$D$26</f>
        <v>463777</v>
      </c>
      <c r="N50" s="46">
        <f>[22]SAS_NSA_2012_4T!$D$26</f>
        <v>462428</v>
      </c>
      <c r="O50" s="46">
        <f>[23]SAS_NSA_2013_1T!$D$26</f>
        <v>459830</v>
      </c>
      <c r="P50" s="46">
        <f>[24]SAS_NSA_2013_2T!$D$26</f>
        <v>455730</v>
      </c>
      <c r="Q50" s="46">
        <f>[25]SAS_NSA_2013_3T!$D$26</f>
        <v>454007</v>
      </c>
      <c r="R50" s="186">
        <f>[26]SAS_NSA_2013_4T!$D$26</f>
        <v>453074</v>
      </c>
      <c r="S50" s="186">
        <f>[27]SAS_NSA_2014_1T!$D$26</f>
        <v>451154</v>
      </c>
      <c r="T50" s="186">
        <f>[28]SAS_NSA_2014_2T!$D$26</f>
        <v>447371</v>
      </c>
      <c r="U50" s="186">
        <f>[29]SAS_NSA_2014_3T!$D$26</f>
        <v>444946</v>
      </c>
      <c r="V50" s="186">
        <f>[30]SAS_NSA_2014_4T!$D$26</f>
        <v>443689</v>
      </c>
      <c r="W50" s="186">
        <f>[31]SAS_NSA_2015_1T!$D$26</f>
        <v>441180</v>
      </c>
      <c r="X50" s="186">
        <f>[32]SAS_NSA_2015_2T!$D$26</f>
        <v>437269</v>
      </c>
      <c r="Y50" s="186">
        <f>[33]SAS_NSA_2015_3T!$D$26</f>
        <v>435622</v>
      </c>
      <c r="Z50" s="186">
        <f>[34]SAS_NSA_2015_4T!$D$26</f>
        <v>434673</v>
      </c>
      <c r="AA50" s="186">
        <f>[35]SAS_NSA_2016_1T!$D$26</f>
        <v>432116</v>
      </c>
      <c r="AB50" s="186">
        <f>[36]SAS_NSA_2016_2T!$D$26</f>
        <v>428439</v>
      </c>
      <c r="AC50" s="186">
        <f>[37]SAS_NSA_2016_3T!$D$26</f>
        <v>425929</v>
      </c>
      <c r="AD50" s="186">
        <f>[38]SAS_NSA_2016_4T!$D$26</f>
        <v>424691</v>
      </c>
      <c r="AE50" s="186">
        <f>[39]SAS_NSA_2017_1T!$D$26</f>
        <v>421378</v>
      </c>
      <c r="AF50" s="186">
        <f>[40]SAS_NSA_2017_2T!$D$26</f>
        <v>416259</v>
      </c>
      <c r="AG50" s="186">
        <f>[41]SAS_NSA_2017_3T!$D$26</f>
        <v>413095</v>
      </c>
      <c r="AH50" s="186">
        <f>[42]SAS_NSA_2017_4T!$D$26</f>
        <v>410571</v>
      </c>
      <c r="AI50" s="186">
        <f>[43]SAS_NSA_2018_1T!$D$26</f>
        <v>406600</v>
      </c>
      <c r="AJ50" s="186">
        <f>[44]SAS_NSA_2018_2T!$D$28</f>
        <v>401136</v>
      </c>
      <c r="AK50" s="290">
        <f>[45]SAS_NSA_2018_3T!$C$62</f>
        <v>398597</v>
      </c>
      <c r="AL50" s="290">
        <f>[46]SAS_NSA_2018_4T!$D$26</f>
        <v>397424</v>
      </c>
      <c r="AM50" s="186">
        <f>[47]SAS_NSA_2019_1T!$D$26</f>
        <v>394374</v>
      </c>
      <c r="AN50" s="186">
        <f>[48]SAS_NSA_2019_2T!$D$26</f>
        <v>389562</v>
      </c>
      <c r="AO50" s="186">
        <f>[49]SAS_NSA_2019_3T!$C62</f>
        <v>386519</v>
      </c>
      <c r="AP50" s="186">
        <f>AP35-AP47-AP48-AP49-AP51</f>
        <v>384608</v>
      </c>
      <c r="AQ50" s="186">
        <f>[51]SAS_NSA_2020_1T!$D$31</f>
        <v>381511</v>
      </c>
      <c r="AR50" s="186">
        <f>[52]SAS_NSA_2020_2T!$D$31</f>
        <v>376670</v>
      </c>
      <c r="AS50" s="186">
        <f>[53]SAS_NSA_2020_3T!$D$31</f>
        <v>372641</v>
      </c>
      <c r="AT50" s="186">
        <f>[54]SAS_NSA_2020_4T!$D$31</f>
        <v>370607</v>
      </c>
      <c r="AU50" s="186">
        <f>[55]SAS_NSA_2021_1T!$D$31</f>
        <v>365309</v>
      </c>
      <c r="AV50" s="337">
        <f>[56]SAS_NSA_2021_2T!$D$31</f>
        <v>360432</v>
      </c>
      <c r="AW50" s="337">
        <f>[57]SAS_NSA_2021_3T!$D$39</f>
        <v>357470</v>
      </c>
      <c r="AX50" s="413">
        <f>[58]SAS_NSA_2021_4T!$D$26</f>
        <v>354985</v>
      </c>
      <c r="AY50" s="337">
        <f>[59]SAS_NSA_2022_1T!$D$26</f>
        <v>350802</v>
      </c>
      <c r="AZ50" s="337">
        <f>[60]SAS_NSA_2022_2T!$D$26</f>
        <v>345308</v>
      </c>
      <c r="BA50" s="337">
        <f>[61]SAS_NSA_2022_3T!$D$26</f>
        <v>341695</v>
      </c>
      <c r="BB50" s="337">
        <f>[62]SAS_NSA_2022_4T!$D$26</f>
        <v>339634</v>
      </c>
      <c r="BC50" s="337">
        <f>[2]SAS_NSA_2023_1T!$D$26</f>
        <v>333742</v>
      </c>
      <c r="BD50" s="337">
        <f>[3]SAS_NSA_2023_2T!$D$26</f>
        <v>329671</v>
      </c>
      <c r="BE50" s="337">
        <f>[4]SAS_NSA_2023_3T!$D$26</f>
        <v>326708</v>
      </c>
      <c r="BF50" s="337">
        <f>[5]SAS_NSA_2023_4T!$D$26</f>
        <v>325448</v>
      </c>
      <c r="BG50" s="337">
        <f>[6]SAS_NSA_2024_1T!$D$26</f>
        <v>321438</v>
      </c>
      <c r="BH50" s="337">
        <f>[7]SAS_NSA_2024_2T!$D$26</f>
        <v>316612</v>
      </c>
      <c r="BI50" s="337">
        <f>[8]SAS_NSA_2024_3T!$D$26</f>
        <v>312815</v>
      </c>
      <c r="BJ50" s="337">
        <f>[9]SAS_NSA_2024_4T!$D$26</f>
        <v>310425</v>
      </c>
    </row>
    <row r="51" spans="1:62" x14ac:dyDescent="0.25">
      <c r="A51" s="312" t="s">
        <v>4</v>
      </c>
      <c r="B51" s="9">
        <f>[63]SAS_NSA_4T2009!$E$26</f>
        <v>344</v>
      </c>
      <c r="C51" s="46">
        <f>[11]SAS_NSA_1T2010!$E$26</f>
        <v>340</v>
      </c>
      <c r="D51" s="46">
        <f>[12]SAS_NSA_2T2010!$E$26</f>
        <v>326</v>
      </c>
      <c r="E51" s="46">
        <f>[13]SAS_NSA_3T2010!$E$26</f>
        <v>322</v>
      </c>
      <c r="F51" s="46">
        <f>[14]SAS_NSA_2010_4T!$E$26</f>
        <v>340</v>
      </c>
      <c r="G51" s="46">
        <f>[15]SAS_NSA_2011_1T!$E$26</f>
        <v>322</v>
      </c>
      <c r="H51" s="46">
        <f>[16]SAS_NSA_2011_2T!$E$26</f>
        <v>311</v>
      </c>
      <c r="I51" s="46">
        <f>[17]SAS_NSA_2011_3T!$E$26</f>
        <v>313</v>
      </c>
      <c r="J51" s="46">
        <f>[18]SAS_NSA_2011_4T!$E$26</f>
        <v>304</v>
      </c>
      <c r="K51" s="46">
        <f>[19]SAS_NSA_2012_1T!$E$26</f>
        <v>293</v>
      </c>
      <c r="L51" s="46">
        <f>'[20]120919-14H22S23-PROGRAM-TdB_STO'!$E$26</f>
        <v>281</v>
      </c>
      <c r="M51" s="46">
        <f>'[21]121105-15H12S18-PROGRAM-TdB_STO'!$E$26</f>
        <v>284</v>
      </c>
      <c r="N51" s="46">
        <f>[22]SAS_NSA_2012_4T!$E$26</f>
        <v>282</v>
      </c>
      <c r="O51" s="46">
        <f>[23]SAS_NSA_2013_1T!$E$26</f>
        <v>274</v>
      </c>
      <c r="P51" s="46">
        <f>[24]SAS_NSA_2013_2T!$E$26</f>
        <v>271</v>
      </c>
      <c r="Q51" s="46">
        <f>[25]SAS_NSA_2013_3T!$E$26</f>
        <v>274</v>
      </c>
      <c r="R51" s="186">
        <f>[26]SAS_NSA_2013_4T!$E$26</f>
        <v>270</v>
      </c>
      <c r="S51" s="186">
        <f>[27]SAS_NSA_2014_1T!$E$26</f>
        <v>275</v>
      </c>
      <c r="T51" s="186">
        <f>[28]SAS_NSA_2014_2T!$E$26</f>
        <v>270</v>
      </c>
      <c r="U51" s="186">
        <f>[29]SAS_NSA_2014_3T!$E$26</f>
        <v>276</v>
      </c>
      <c r="V51" s="186">
        <f>[30]SAS_NSA_2014_4T!$E$26</f>
        <v>260</v>
      </c>
      <c r="W51" s="186">
        <f>[31]SAS_NSA_2015_1T!$E$26</f>
        <v>260</v>
      </c>
      <c r="X51" s="186">
        <f>[32]SAS_NSA_2015_2T!$E$26</f>
        <v>255</v>
      </c>
      <c r="Y51" s="186">
        <f>[33]SAS_NSA_2015_3T!$E$26</f>
        <v>249</v>
      </c>
      <c r="Z51" s="186">
        <f>[34]SAS_NSA_2015_4T!$E$26</f>
        <v>252</v>
      </c>
      <c r="AA51" s="186">
        <f>[35]SAS_NSA_2016_1T!$E$26</f>
        <v>253</v>
      </c>
      <c r="AB51" s="186">
        <f>[36]SAS_NSA_2016_2T!$E$26</f>
        <v>249</v>
      </c>
      <c r="AC51" s="186">
        <f>[37]SAS_NSA_2016_3T!$E$26</f>
        <v>257</v>
      </c>
      <c r="AD51" s="186">
        <f>[38]SAS_NSA_2016_4T!$E$26</f>
        <v>255</v>
      </c>
      <c r="AE51" s="186">
        <f>[39]SAS_NSA_2017_1T!$E$26</f>
        <v>253</v>
      </c>
      <c r="AF51" s="186">
        <f>[40]SAS_NSA_2017_2T!$E$26</f>
        <v>252</v>
      </c>
      <c r="AG51" s="186">
        <f>[41]SAS_NSA_2017_3T!$E$26</f>
        <v>252</v>
      </c>
      <c r="AH51" s="186">
        <f>[42]SAS_NSA_2017_4T!$E$26</f>
        <v>250</v>
      </c>
      <c r="AI51" s="186">
        <f>[43]SAS_NSA_2018_1T!$E$26</f>
        <v>252</v>
      </c>
      <c r="AJ51" s="186">
        <f>[44]SAS_NSA_2018_2T!$E$28</f>
        <v>251</v>
      </c>
      <c r="AK51" s="133">
        <f>[45]SAS_NSA_2018_3T!$C$63</f>
        <v>248</v>
      </c>
      <c r="AL51" s="133">
        <f>[46]SAS_NSA_2018_4T!$E$26</f>
        <v>251</v>
      </c>
      <c r="AM51" s="186">
        <f>[47]SAS_NSA_2019_1T!$E$26</f>
        <v>248</v>
      </c>
      <c r="AN51" s="186">
        <f>[48]SAS_NSA_2019_2T!$E$26</f>
        <v>249</v>
      </c>
      <c r="AO51" s="186">
        <f>[49]SAS_NSA_2019_3T!$C63</f>
        <v>248</v>
      </c>
      <c r="AP51" s="186">
        <v>247</v>
      </c>
      <c r="AQ51" s="186">
        <f>[51]SAS_NSA_2020_1T!$E$31</f>
        <v>243</v>
      </c>
      <c r="AR51" s="186">
        <f>[52]SAS_NSA_2020_2T!$E$31</f>
        <v>242</v>
      </c>
      <c r="AS51" s="186">
        <f>[53]SAS_NSA_2020_3T!$E$31</f>
        <v>241</v>
      </c>
      <c r="AT51" s="186">
        <f>[54]SAS_NSA_2020_4T!$E$31</f>
        <v>241</v>
      </c>
      <c r="AU51" s="186">
        <f>[55]SAS_NSA_2021_1T!$E$31</f>
        <v>240</v>
      </c>
      <c r="AV51" s="337">
        <f>[56]SAS_NSA_2021_2T!$E$31</f>
        <v>234</v>
      </c>
      <c r="AW51" s="337">
        <f>[57]SAS_NSA_2021_3T!$E$39</f>
        <v>241</v>
      </c>
      <c r="AX51" s="413">
        <f>[58]SAS_NSA_2021_4T!$E$26</f>
        <v>237</v>
      </c>
      <c r="AY51" s="337">
        <f>[59]SAS_NSA_2022_1T!$E$26</f>
        <v>243</v>
      </c>
      <c r="AZ51" s="337">
        <f>[60]SAS_NSA_2022_2T!$E$26</f>
        <v>243</v>
      </c>
      <c r="BA51" s="337">
        <f>[61]SAS_NSA_2022_3T!$E$26</f>
        <v>248</v>
      </c>
      <c r="BB51" s="337">
        <f>[62]SAS_NSA_2022_4T!$E$26</f>
        <v>254</v>
      </c>
      <c r="BC51" s="337">
        <f>[2]SAS_NSA_2023_1T!$E$26</f>
        <v>243</v>
      </c>
      <c r="BD51" s="337">
        <f>[3]SAS_NSA_2023_2T!$E$26</f>
        <v>238</v>
      </c>
      <c r="BE51" s="337">
        <f>[4]SAS_NSA_2023_3T!$E$26</f>
        <v>241</v>
      </c>
      <c r="BF51" s="337">
        <f>[5]SAS_NSA_2023_4T!$E$26</f>
        <v>238</v>
      </c>
      <c r="BG51" s="337">
        <f>[6]SAS_NSA_2024_1T!$E$26</f>
        <v>244</v>
      </c>
      <c r="BH51" s="337">
        <f>[7]SAS_NSA_2024_2T!$E$26</f>
        <v>238</v>
      </c>
      <c r="BI51" s="337">
        <f>[8]SAS_NSA_2024_3T!$E$26</f>
        <v>239</v>
      </c>
      <c r="BJ51" s="337">
        <f>[9]SAS_NSA_2024_4T!$E$26</f>
        <v>241</v>
      </c>
    </row>
    <row r="52" spans="1:62" x14ac:dyDescent="0.25">
      <c r="A52" s="315"/>
      <c r="B52" s="13"/>
      <c r="C52" s="47"/>
      <c r="D52" s="47"/>
      <c r="E52" s="47"/>
      <c r="F52" s="47"/>
      <c r="G52" s="47"/>
      <c r="H52" s="47"/>
      <c r="I52" s="47"/>
      <c r="J52" s="47"/>
      <c r="K52" s="150"/>
      <c r="L52" s="150"/>
      <c r="M52" s="150"/>
      <c r="N52" s="150"/>
      <c r="O52" s="150"/>
      <c r="P52" s="150"/>
      <c r="Q52" s="150"/>
      <c r="R52" s="187"/>
      <c r="S52" s="187"/>
      <c r="T52" s="187"/>
      <c r="U52" s="187"/>
      <c r="V52" s="187"/>
      <c r="W52" s="187"/>
      <c r="X52" s="187"/>
      <c r="Y52" s="187"/>
      <c r="Z52" s="187"/>
      <c r="AA52" s="187"/>
      <c r="AB52" s="187">
        <f t="shared" ref="AB52:AE52" si="134">SUM(AB47:AB51)</f>
        <v>1447325</v>
      </c>
      <c r="AC52" s="187">
        <f t="shared" si="134"/>
        <v>1436002</v>
      </c>
      <c r="AD52" s="187">
        <f t="shared" si="134"/>
        <v>1426811</v>
      </c>
      <c r="AE52" s="187">
        <f t="shared" si="134"/>
        <v>1415744</v>
      </c>
      <c r="AF52" s="187">
        <f>SUM(AF47:AF51)</f>
        <v>1399973</v>
      </c>
      <c r="AG52" s="187">
        <f t="shared" ref="AG52:AH52" si="135">SUM(AG47:AG51)</f>
        <v>1389148</v>
      </c>
      <c r="AH52" s="187">
        <f t="shared" si="135"/>
        <v>1380904</v>
      </c>
      <c r="AI52" s="187"/>
      <c r="AJ52" s="187"/>
      <c r="AL52" s="187">
        <f t="shared" ref="AL52:AQ52" si="136">SUM(AL47:AL51)</f>
        <v>1340581</v>
      </c>
      <c r="AM52" s="187">
        <f t="shared" si="136"/>
        <v>1331350</v>
      </c>
      <c r="AN52" s="187">
        <f t="shared" si="136"/>
        <v>1316781</v>
      </c>
      <c r="AO52" s="187">
        <f t="shared" si="136"/>
        <v>1306616</v>
      </c>
      <c r="AP52" s="187">
        <f t="shared" si="136"/>
        <v>1300239</v>
      </c>
      <c r="AQ52" s="187">
        <f t="shared" si="136"/>
        <v>1292507</v>
      </c>
      <c r="AR52" s="187">
        <f t="shared" ref="AR52:AS52" si="137">SUM(AR47:AR51)</f>
        <v>1278197</v>
      </c>
      <c r="AS52" s="187">
        <f t="shared" si="137"/>
        <v>1265757</v>
      </c>
      <c r="AT52" s="187">
        <f t="shared" ref="AT52" si="138">SUM(AT47:AT51)</f>
        <v>1258098</v>
      </c>
      <c r="AU52" s="187">
        <f t="shared" ref="AU52:AZ52" si="139">SUM(AU47:AU51)</f>
        <v>1244793</v>
      </c>
      <c r="AV52" s="358">
        <f t="shared" si="139"/>
        <v>1229645</v>
      </c>
      <c r="AW52" s="358">
        <f t="shared" si="139"/>
        <v>1218610</v>
      </c>
      <c r="AX52" s="414">
        <f t="shared" si="139"/>
        <v>1211645</v>
      </c>
      <c r="AY52" s="358">
        <f t="shared" si="139"/>
        <v>1202863</v>
      </c>
      <c r="AZ52" s="358">
        <f t="shared" si="139"/>
        <v>1188497</v>
      </c>
      <c r="BA52" s="358">
        <f t="shared" ref="BA52:BB52" si="140">SUM(BA47:BA51)</f>
        <v>1178340</v>
      </c>
      <c r="BB52" s="358">
        <f t="shared" si="140"/>
        <v>1173608</v>
      </c>
      <c r="BC52" s="358">
        <f t="shared" ref="BC52:BD52" si="141">SUM(BC47:BC51)</f>
        <v>1161208</v>
      </c>
      <c r="BD52" s="358">
        <f t="shared" si="141"/>
        <v>1149942</v>
      </c>
      <c r="BE52" s="358">
        <f t="shared" ref="BE52:BF52" si="142">SUM(BE47:BE51)</f>
        <v>1141539</v>
      </c>
      <c r="BF52" s="358">
        <f t="shared" si="142"/>
        <v>1135142</v>
      </c>
      <c r="BG52" s="358">
        <f t="shared" ref="BG52:BH52" si="143">SUM(BG47:BG51)</f>
        <v>1126760</v>
      </c>
      <c r="BH52" s="358">
        <f t="shared" si="143"/>
        <v>1114634</v>
      </c>
      <c r="BI52" s="358">
        <f t="shared" ref="BI52:BJ52" si="144">SUM(BI47:BI51)</f>
        <v>1105052</v>
      </c>
      <c r="BJ52" s="358">
        <f t="shared" si="144"/>
        <v>1098787</v>
      </c>
    </row>
    <row r="53" spans="1:62" x14ac:dyDescent="0.25">
      <c r="A53" s="301" t="s">
        <v>15</v>
      </c>
      <c r="L53" s="145"/>
      <c r="M53" s="145"/>
      <c r="R53" s="177"/>
      <c r="AC53" s="177"/>
      <c r="AD53" s="177"/>
      <c r="AE53" s="177"/>
      <c r="AF53" s="197">
        <f>(AF52-AB52)/AB52</f>
        <v>-3.2716908779990672E-2</v>
      </c>
      <c r="AG53" s="197">
        <f t="shared" ref="AG53:AH53" si="145">(AG52-AC52)/AC52</f>
        <v>-3.262808826171551E-2</v>
      </c>
      <c r="AH53" s="197">
        <f t="shared" si="145"/>
        <v>-3.2174548696358524E-2</v>
      </c>
      <c r="AI53" s="177"/>
      <c r="AJ53" s="177"/>
      <c r="AM53" s="177"/>
      <c r="AN53" s="177"/>
      <c r="AO53" s="177"/>
      <c r="AP53" s="177"/>
      <c r="AQ53" s="177"/>
      <c r="AR53" s="177"/>
      <c r="AS53" s="177"/>
      <c r="AT53" s="177"/>
      <c r="AU53" s="177"/>
      <c r="AV53" s="177"/>
      <c r="AW53" s="177"/>
      <c r="AX53" s="407"/>
      <c r="AY53" s="177"/>
      <c r="AZ53" s="177"/>
      <c r="BA53" s="177"/>
      <c r="BB53" s="177"/>
      <c r="BC53" s="177"/>
      <c r="BD53" s="177"/>
      <c r="BE53" s="177"/>
      <c r="BF53" s="177"/>
      <c r="BG53" s="177"/>
      <c r="BH53" s="177"/>
      <c r="BI53" s="177"/>
      <c r="BJ53" s="177"/>
    </row>
    <row r="54" spans="1:62" x14ac:dyDescent="0.25">
      <c r="A54" s="309" t="s">
        <v>6</v>
      </c>
      <c r="L54" s="145"/>
      <c r="M54" s="145"/>
      <c r="R54" s="177"/>
      <c r="AC54" s="177"/>
      <c r="AD54" s="177"/>
      <c r="AE54" s="177"/>
      <c r="AF54" s="177"/>
      <c r="AG54" s="177"/>
      <c r="AH54" s="177"/>
      <c r="AI54" s="177"/>
      <c r="AJ54" s="177"/>
      <c r="AM54" s="177"/>
      <c r="AN54" s="177"/>
      <c r="AO54" s="177"/>
      <c r="AP54" s="177"/>
      <c r="AQ54" s="177"/>
      <c r="AR54" s="177"/>
      <c r="AS54" s="177"/>
      <c r="AT54" s="177"/>
      <c r="AU54" s="177"/>
      <c r="AV54" s="177"/>
      <c r="AW54" s="177"/>
      <c r="AX54" s="407"/>
      <c r="AY54" s="177"/>
      <c r="AZ54" s="177"/>
      <c r="BA54" s="177"/>
      <c r="BB54" s="177"/>
      <c r="BC54" s="177"/>
      <c r="BD54" s="177"/>
      <c r="BE54" s="177"/>
      <c r="BF54" s="177"/>
      <c r="BG54" s="177"/>
      <c r="BH54" s="177"/>
      <c r="BI54" s="177"/>
      <c r="BJ54" s="177"/>
    </row>
    <row r="55" spans="1:62" x14ac:dyDescent="0.25">
      <c r="B55" s="2" t="str">
        <f t="shared" ref="B55:G55" si="146">B8</f>
        <v>4eme T 2009</v>
      </c>
      <c r="C55" s="38" t="str">
        <f t="shared" si="146"/>
        <v>1er T 2010</v>
      </c>
      <c r="D55" s="38" t="str">
        <f t="shared" si="146"/>
        <v>2eme T 2010</v>
      </c>
      <c r="E55" s="38" t="str">
        <f t="shared" si="146"/>
        <v>3eme T 2010</v>
      </c>
      <c r="F55" s="38" t="str">
        <f t="shared" si="146"/>
        <v>4eme T 2010</v>
      </c>
      <c r="G55" s="38" t="str">
        <f t="shared" si="146"/>
        <v>1er T 2011</v>
      </c>
      <c r="H55" s="38" t="str">
        <f t="shared" ref="H55:M55" si="147">H8</f>
        <v>2eme T 2011</v>
      </c>
      <c r="I55" s="38" t="str">
        <f t="shared" si="147"/>
        <v>3eme T 2011</v>
      </c>
      <c r="J55" s="38" t="str">
        <f t="shared" si="147"/>
        <v>4eme T 2011</v>
      </c>
      <c r="K55" s="38" t="str">
        <f t="shared" si="147"/>
        <v>1er T 2012</v>
      </c>
      <c r="L55" s="38" t="str">
        <f t="shared" si="147"/>
        <v>2eme T 2012</v>
      </c>
      <c r="M55" s="38" t="str">
        <f t="shared" si="147"/>
        <v>3eme T 2012</v>
      </c>
      <c r="N55" s="38" t="str">
        <f t="shared" ref="N55:S55" si="148">N8</f>
        <v>4eme T 2012</v>
      </c>
      <c r="O55" s="38" t="str">
        <f t="shared" si="148"/>
        <v>1er T 2013</v>
      </c>
      <c r="P55" s="38" t="str">
        <f t="shared" si="148"/>
        <v>2eme T 2013</v>
      </c>
      <c r="Q55" s="38" t="str">
        <f t="shared" si="148"/>
        <v>3ème T 2013</v>
      </c>
      <c r="R55" s="178" t="str">
        <f t="shared" si="148"/>
        <v>4ème T 2013</v>
      </c>
      <c r="S55" s="178" t="str">
        <f t="shared" si="148"/>
        <v>1er T 2014</v>
      </c>
      <c r="T55" s="178" t="str">
        <f t="shared" ref="T55:U55" si="149">T8</f>
        <v>2eme T 2014</v>
      </c>
      <c r="U55" s="178" t="str">
        <f t="shared" si="149"/>
        <v>3T 2014</v>
      </c>
      <c r="V55" s="178" t="str">
        <f t="shared" ref="V55:W55" si="150">V8</f>
        <v>4ème T 2014</v>
      </c>
      <c r="W55" s="178" t="str">
        <f t="shared" si="150"/>
        <v>1er T 2015</v>
      </c>
      <c r="X55" s="178" t="str">
        <f t="shared" ref="X55:Y55" si="151">X8</f>
        <v>2e T 2015</v>
      </c>
      <c r="Y55" s="178" t="str">
        <f t="shared" si="151"/>
        <v>3e T 2015</v>
      </c>
      <c r="Z55" s="178" t="str">
        <f t="shared" ref="Z55:AA55" si="152">Z8</f>
        <v>4e T 2015</v>
      </c>
      <c r="AA55" s="178" t="str">
        <f t="shared" si="152"/>
        <v>1er T 2016</v>
      </c>
      <c r="AB55" s="178" t="str">
        <f t="shared" ref="AB55:AH55" si="153">AB8</f>
        <v>2e T 2016</v>
      </c>
      <c r="AC55" s="178" t="str">
        <f t="shared" si="153"/>
        <v>3e T 2016</v>
      </c>
      <c r="AD55" s="178" t="str">
        <f t="shared" si="153"/>
        <v>4e T 2016</v>
      </c>
      <c r="AE55" s="178" t="str">
        <f t="shared" si="153"/>
        <v>2017 - T1</v>
      </c>
      <c r="AF55" s="178" t="str">
        <f t="shared" si="153"/>
        <v>2017 - T2</v>
      </c>
      <c r="AG55" s="178" t="str">
        <f t="shared" si="153"/>
        <v>2017- T3</v>
      </c>
      <c r="AH55" s="178" t="str">
        <f t="shared" si="153"/>
        <v>2017 - T4</v>
      </c>
      <c r="AI55" s="178" t="str">
        <f t="shared" ref="AI55" si="154">AI8</f>
        <v>2018 - T1</v>
      </c>
      <c r="AJ55" s="178" t="s">
        <v>201</v>
      </c>
      <c r="AK55" s="178" t="s">
        <v>204</v>
      </c>
      <c r="AL55" s="178" t="s">
        <v>206</v>
      </c>
      <c r="AM55" s="178" t="str">
        <f t="shared" ref="AM55:AN55" si="155">AM8</f>
        <v>2019 - T1</v>
      </c>
      <c r="AN55" s="178" t="str">
        <f t="shared" si="155"/>
        <v>2019 - T2</v>
      </c>
      <c r="AO55" s="178" t="str">
        <f t="shared" ref="AO55" si="156">AO8</f>
        <v>2019 - T3</v>
      </c>
      <c r="AP55" s="178" t="s">
        <v>214</v>
      </c>
      <c r="AQ55" s="178" t="str">
        <f t="shared" ref="AQ55:AV55" si="157">AQ8</f>
        <v>2020 - T1</v>
      </c>
      <c r="AR55" s="178" t="str">
        <f t="shared" si="157"/>
        <v>2020 - T2</v>
      </c>
      <c r="AS55" s="178" t="str">
        <f t="shared" si="157"/>
        <v>2020 - T3</v>
      </c>
      <c r="AT55" s="178" t="str">
        <f t="shared" si="157"/>
        <v>2020- T4</v>
      </c>
      <c r="AU55" s="178" t="str">
        <f t="shared" si="157"/>
        <v>2021- T1</v>
      </c>
      <c r="AV55" s="178" t="str">
        <f t="shared" si="157"/>
        <v>2021- T2</v>
      </c>
      <c r="AW55" s="178" t="str">
        <f t="shared" ref="AW55:AX55" si="158">AW8</f>
        <v>2021- T3</v>
      </c>
      <c r="AX55" s="403" t="str">
        <f t="shared" si="158"/>
        <v>2021- T4</v>
      </c>
      <c r="AY55" s="178" t="str">
        <f t="shared" ref="AY55:AZ55" si="159">AY8</f>
        <v>2022- T1</v>
      </c>
      <c r="AZ55" s="178" t="str">
        <f t="shared" si="159"/>
        <v>2022- T2</v>
      </c>
      <c r="BA55" s="178" t="str">
        <f t="shared" ref="BA55:BB55" si="160">BA8</f>
        <v>2022- T3</v>
      </c>
      <c r="BB55" s="178" t="str">
        <f t="shared" si="160"/>
        <v>2022- T4</v>
      </c>
      <c r="BC55" s="178" t="str">
        <f t="shared" ref="BC55:BD55" si="161">BC8</f>
        <v>2023- T1</v>
      </c>
      <c r="BD55" s="178" t="str">
        <f t="shared" si="161"/>
        <v>2023- T2</v>
      </c>
      <c r="BE55" s="178" t="str">
        <f t="shared" ref="BE55:BF55" si="162">BE8</f>
        <v>2023- T3</v>
      </c>
      <c r="BF55" s="178" t="str">
        <f t="shared" si="162"/>
        <v>2023- T4</v>
      </c>
      <c r="BG55" s="178" t="str">
        <f t="shared" ref="BG55:BH55" si="163">BG8</f>
        <v>2024- T1</v>
      </c>
      <c r="BH55" s="178" t="str">
        <f t="shared" si="163"/>
        <v>2024- T2</v>
      </c>
      <c r="BI55" s="178" t="str">
        <f t="shared" ref="BI55:BJ55" si="164">BI8</f>
        <v>2024- T3</v>
      </c>
      <c r="BJ55" s="178" t="str">
        <f t="shared" si="164"/>
        <v>2024- T4</v>
      </c>
    </row>
    <row r="56" spans="1:62" x14ac:dyDescent="0.25">
      <c r="A56" s="312" t="s">
        <v>0</v>
      </c>
      <c r="B56" s="16">
        <f>[63]SAS_NSA_4T2009!$E$59</f>
        <v>6006.04</v>
      </c>
      <c r="C56" s="42">
        <f>[11]SAS_NSA_1T2010!$E$59</f>
        <v>6012.32</v>
      </c>
      <c r="D56" s="42">
        <f>[12]SAS_NSA_2T2010!$E$59</f>
        <v>6067</v>
      </c>
      <c r="E56" s="42">
        <f>[13]SAS_NSA_3T2010!$E$59</f>
        <v>6059.68</v>
      </c>
      <c r="F56" s="42">
        <f>[14]SAS_NSA_2010_4T!$E$59</f>
        <v>6055.36</v>
      </c>
      <c r="G56" s="42">
        <f>[15]SAS_NSA_2011_1T!$E$59</f>
        <v>6069.04</v>
      </c>
      <c r="H56" s="42">
        <f>[16]SAS_NSA_2011_2T!$E$59</f>
        <v>6205.72</v>
      </c>
      <c r="I56" s="42">
        <f>[17]SAS_NSA_2011_3T!$E$59</f>
        <v>6198.08</v>
      </c>
      <c r="J56" s="42">
        <f>[18]SAS_NSA_2011_4T!$E$59</f>
        <v>6196.4</v>
      </c>
      <c r="K56" s="42">
        <f>[19]SAS_NSA_2012_1T!$E$59</f>
        <v>6176.88</v>
      </c>
      <c r="L56" s="42">
        <f>'[20]120919-14H22S23-PROGRAM-TdB_STO'!$E$59</f>
        <v>6315.36</v>
      </c>
      <c r="M56" s="42">
        <f>'[21]121105-15H12S18-PROGRAM-TdB_STO'!$E$59</f>
        <v>6310.76</v>
      </c>
      <c r="N56" s="42">
        <f>[22]SAS_NSA_2012_4T!$E$59</f>
        <v>6307.28</v>
      </c>
      <c r="O56" s="42">
        <f>[23]SAS_NSA_2013_1T!$E$59</f>
        <v>6298.16</v>
      </c>
      <c r="P56" s="42">
        <f>[24]SAS_NSA_2013_2T!$E$59</f>
        <v>6374.08</v>
      </c>
      <c r="Q56" s="42">
        <f>[25]SAS_NSA_2013_3T!$E$59</f>
        <v>6364.36</v>
      </c>
      <c r="R56" s="181">
        <f>[26]SAS_NSA_2013_4T!$E$59</f>
        <v>6340.88</v>
      </c>
      <c r="S56" s="181">
        <f>[27]SAS_NSA_2014_1T!$E$59</f>
        <v>6357.72</v>
      </c>
      <c r="T56" s="181">
        <f>[28]SAS_NSA_2014_2T!$E$59</f>
        <v>6351.68</v>
      </c>
      <c r="U56" s="181">
        <f>[29]SAS_NSA_2014_3T!$E$59</f>
        <v>6343.28</v>
      </c>
      <c r="V56" s="181">
        <f>[30]SAS_NSA_2014_4T!$E$59</f>
        <v>6339.16</v>
      </c>
      <c r="W56" s="181">
        <f>[31]SAS_NSA_2015_1T!$E$59</f>
        <v>6332.28</v>
      </c>
      <c r="X56" s="181">
        <f>[32]SAS_NSA_2015_2T!$E$59</f>
        <v>6326.24</v>
      </c>
      <c r="Y56" s="181">
        <f>[33]SAS_NSA_2015_3T!$E$59</f>
        <v>6321.12</v>
      </c>
      <c r="Z56" s="181">
        <f>[34]SAS_NSA_2015_4T!$E$59</f>
        <v>6325.56</v>
      </c>
      <c r="AA56" s="181">
        <f>[35]SAS_NSA_2016_1T!$E$59</f>
        <v>6320.48</v>
      </c>
      <c r="AB56" s="181">
        <f>[36]SAS_NSA_2016_2T!$E$59</f>
        <v>6315.16</v>
      </c>
      <c r="AC56" s="181">
        <f>[37]SAS_NSA_2016_3T!$E$59</f>
        <v>6306.68</v>
      </c>
      <c r="AD56" s="181">
        <f>[38]SAS_NSA_2016_4T!$E$59</f>
        <v>6305.72</v>
      </c>
      <c r="AE56" s="181">
        <f>[39]SAS_NSA_2017_1T!$E$59</f>
        <v>6301.92</v>
      </c>
      <c r="AF56" s="181">
        <f>[40]SAS_NSA_2017_2T!$E$59</f>
        <v>6292.6</v>
      </c>
      <c r="AG56" s="181">
        <f>[41]SAS_NSA_2017_3T!$E$59</f>
        <v>6290.16</v>
      </c>
      <c r="AH56" s="181">
        <f>[42]SAS_NSA_2017_4T!$E$59</f>
        <v>6333.52</v>
      </c>
      <c r="AI56" s="181">
        <f>[43]SAS_NSA_2018_1T!$D$59*4</f>
        <v>6329.84</v>
      </c>
      <c r="AJ56" s="181">
        <f>[44]SAS_NSA_2018_2T!$E$61</f>
        <v>6330.48</v>
      </c>
      <c r="AK56" s="293">
        <f>4*[45]SAS_NSA_2018_3T!$D$59</f>
        <v>6320.44</v>
      </c>
      <c r="AL56" s="293">
        <f>4*[46]SAS_NSA_2018_4T!$D$59</f>
        <v>6315.56</v>
      </c>
      <c r="AM56" s="181">
        <f>4*[47]SAS_NSA_2019_1T!$D$59</f>
        <v>6335.44</v>
      </c>
      <c r="AN56" s="181">
        <f>4*[48]SAS_NSA_2019_2T!$D$59</f>
        <v>6330.68</v>
      </c>
      <c r="AO56" s="181">
        <f>4*[49]SAS_NSA_2019_3T!$D59</f>
        <v>6320.28</v>
      </c>
      <c r="AP56" s="181">
        <f>4*[50]SAS_NSA_2019_4T!$D$59</f>
        <v>6318.92</v>
      </c>
      <c r="AQ56" s="181">
        <f>4*[51]SAS_NSA_2020_1T!$D$58</f>
        <v>6385.56</v>
      </c>
      <c r="AR56" s="181">
        <f>4*[52]SAS_NSA_2020_2T!$D$58</f>
        <v>6374.16</v>
      </c>
      <c r="AS56" s="181">
        <f>4*[53]SAS_NSA_2020_3T!$D$58</f>
        <v>6367.96</v>
      </c>
      <c r="AT56" s="181">
        <f>[54]SAS_NSA_2020_4T!$E$58</f>
        <v>6366.48</v>
      </c>
      <c r="AU56" s="181">
        <f>[55]SAS_NSA_2021_1T!$E58</f>
        <v>6383.28</v>
      </c>
      <c r="AV56" s="181">
        <f>[56]SAS_NSA_2021_2T!$E58</f>
        <v>6379.68</v>
      </c>
      <c r="AW56" s="181">
        <f>[57]SAS_NSA_2021_3T!$E$58</f>
        <v>6375.56</v>
      </c>
      <c r="AX56" s="408">
        <f>[58]SAS_NSA_2021_4T!$E$48</f>
        <v>6381.1932024336802</v>
      </c>
      <c r="AY56" s="181">
        <f>[59]SAS_NSA_2022_1T!$E$48</f>
        <v>6558.3301206096003</v>
      </c>
      <c r="AZ56" s="181">
        <f>[60]SAS_NSA_2022_2T!$E$48</f>
        <v>6550.7758189358001</v>
      </c>
      <c r="BA56" s="181">
        <f>[61]SAS_NSA_2022_3T!$E$48</f>
        <v>6800.6125142598403</v>
      </c>
      <c r="BB56" s="181">
        <f>[62]SAS_NSA_2022_4T!$E$48</f>
        <v>6791.7016300331197</v>
      </c>
      <c r="BC56" s="181">
        <f>[2]SAS_NSA_2023_1T!$E$48</f>
        <v>6856.1004603444799</v>
      </c>
      <c r="BD56" s="181">
        <f>[3]SAS_NSA_2023_2T!$E$48</f>
        <v>6856.1776550886798</v>
      </c>
      <c r="BE56" s="181">
        <f>[4]SAS_NSA_2023_3T!$E$48</f>
        <v>6852.2732230523197</v>
      </c>
      <c r="BF56" s="181">
        <f>[5]SAS_NSA_2023_4T!$E$48</f>
        <v>6855.8761097365596</v>
      </c>
      <c r="BG56" s="181">
        <f>[6]SAS_NSA_2024_1T!$E$48</f>
        <v>7204.3067738232003</v>
      </c>
      <c r="BH56" s="181">
        <f>[7]SAS_NSA_2024_2T!$E$48</f>
        <v>7204.1052846028397</v>
      </c>
      <c r="BI56" s="181">
        <f>[8]SAS_NSA_2024_3T!$E$48</f>
        <v>7196.8671400417597</v>
      </c>
      <c r="BJ56" s="181">
        <f>[9]SAS_NSA_2024_4T!$E$48</f>
        <v>7195.5909551305203</v>
      </c>
    </row>
    <row r="57" spans="1:62" x14ac:dyDescent="0.25">
      <c r="A57" s="312" t="s">
        <v>1</v>
      </c>
      <c r="B57" s="16">
        <f>[63]SAS_NSA_4T2009!$E$60</f>
        <v>4005.44</v>
      </c>
      <c r="C57" s="42">
        <f>[11]SAS_NSA_1T2010!$E$60</f>
        <v>4000.8</v>
      </c>
      <c r="D57" s="42">
        <f>[12]SAS_NSA_2T2010!$E$60</f>
        <v>4040</v>
      </c>
      <c r="E57" s="42">
        <f>[13]SAS_NSA_3T2010!$E$60</f>
        <v>4022.48</v>
      </c>
      <c r="F57" s="42">
        <f>[14]SAS_NSA_2010_4T!$E$60</f>
        <v>4004.76</v>
      </c>
      <c r="G57" s="42">
        <f>[15]SAS_NSA_2011_1T!$E$60</f>
        <v>4022.16</v>
      </c>
      <c r="H57" s="42">
        <f>[16]SAS_NSA_2011_2T!$E$60</f>
        <v>4101.5600000000004</v>
      </c>
      <c r="I57" s="42">
        <f>[17]SAS_NSA_2011_3T!$E$60</f>
        <v>4086.84</v>
      </c>
      <c r="J57" s="42">
        <f>[18]SAS_NSA_2011_4T!$E$60</f>
        <v>4074.4</v>
      </c>
      <c r="K57" s="42">
        <f>[19]SAS_NSA_2012_1T!$E$60</f>
        <v>4050.96</v>
      </c>
      <c r="L57" s="42">
        <f>'[20]120919-14H22S23-PROGRAM-TdB_STO'!$E$60</f>
        <v>4118.8</v>
      </c>
      <c r="M57" s="42">
        <f>'[21]121105-15H12S18-PROGRAM-TdB_STO'!$E$60</f>
        <v>4105.72</v>
      </c>
      <c r="N57" s="42">
        <f>[22]SAS_NSA_2012_4T!$E$60</f>
        <v>4090.56</v>
      </c>
      <c r="O57" s="42">
        <f>[23]SAS_NSA_2013_1T!$E$60</f>
        <v>4068.16</v>
      </c>
      <c r="P57" s="42">
        <f>[24]SAS_NSA_2013_2T!$E$60</f>
        <v>4099.72</v>
      </c>
      <c r="Q57" s="42">
        <f>[25]SAS_NSA_2013_3T!$E$60</f>
        <v>4078.72</v>
      </c>
      <c r="R57" s="181">
        <f>[26]SAS_NSA_2013_4T!$E$60</f>
        <v>4059.8</v>
      </c>
      <c r="S57" s="181">
        <f>[27]SAS_NSA_2014_1T!$E$60</f>
        <v>4044.4</v>
      </c>
      <c r="T57" s="181">
        <f>[28]SAS_NSA_2014_2T!$E$60</f>
        <v>4027.44</v>
      </c>
      <c r="U57" s="181">
        <f>[29]SAS_NSA_2014_3T!$E$60</f>
        <v>4005.44</v>
      </c>
      <c r="V57" s="181">
        <f>[30]SAS_NSA_2014_4T!$E$60</f>
        <v>3986.6</v>
      </c>
      <c r="W57" s="181">
        <f>[31]SAS_NSA_2015_1T!$E$60</f>
        <v>3959.6</v>
      </c>
      <c r="X57" s="181">
        <f>[32]SAS_NSA_2015_2T!$E$60</f>
        <v>3939.12</v>
      </c>
      <c r="Y57" s="181">
        <f>[33]SAS_NSA_2015_3T!$E$60</f>
        <v>3921.08</v>
      </c>
      <c r="Z57" s="181">
        <f>[34]SAS_NSA_2015_4T!$E$60</f>
        <v>3907.08</v>
      </c>
      <c r="AA57" s="181">
        <f>[35]SAS_NSA_2016_1T!$E$60</f>
        <v>3883.4</v>
      </c>
      <c r="AB57" s="181">
        <f>[36]SAS_NSA_2016_2T!$E$60</f>
        <v>3861.6</v>
      </c>
      <c r="AC57" s="181">
        <f>[37]SAS_NSA_2016_3T!$E$60</f>
        <v>3841.76</v>
      </c>
      <c r="AD57" s="181">
        <f>[38]SAS_NSA_2016_4T!$E$60</f>
        <v>3826.56</v>
      </c>
      <c r="AE57" s="181">
        <f>[39]SAS_NSA_2017_1T!$E$60</f>
        <v>3801.92</v>
      </c>
      <c r="AF57" s="181">
        <f>[40]SAS_NSA_2017_2T!$E$60</f>
        <v>3777.28</v>
      </c>
      <c r="AG57" s="181">
        <f>[41]SAS_NSA_2017_3T!$E$60</f>
        <v>3758.84</v>
      </c>
      <c r="AH57" s="181">
        <f>[42]SAS_NSA_2017_4T!$E$60</f>
        <v>3767.24</v>
      </c>
      <c r="AI57" s="181">
        <f>[43]SAS_NSA_2018_1T!$D$60*4</f>
        <v>3744.56</v>
      </c>
      <c r="AJ57" s="181">
        <f>[44]SAS_NSA_2018_2T!$E$62</f>
        <v>3726.64</v>
      </c>
      <c r="AK57" s="293">
        <f>4*[45]SAS_NSA_2018_3T!$D$60</f>
        <v>3697.48</v>
      </c>
      <c r="AL57" s="293">
        <f>4*[46]SAS_NSA_2018_4T!$D$60</f>
        <v>3670.6</v>
      </c>
      <c r="AM57" s="181">
        <f>4*[47]SAS_NSA_2019_1T!$D$60</f>
        <v>3658.64</v>
      </c>
      <c r="AN57" s="181">
        <f>4*[48]SAS_NSA_2019_2T!$D$60</f>
        <v>3635.32</v>
      </c>
      <c r="AO57" s="181">
        <f>4*[49]SAS_NSA_2019_3T!$D60</f>
        <v>3610.36</v>
      </c>
      <c r="AP57" s="181">
        <f>4*[50]SAS_NSA_2019_4T!$D$60</f>
        <v>3587.88</v>
      </c>
      <c r="AQ57" s="181">
        <f>4*[51]SAS_NSA_2020_1T!$D$59</f>
        <v>3603.8</v>
      </c>
      <c r="AR57" s="181">
        <f>4*[52]SAS_NSA_2020_2T!$D$59</f>
        <v>3579.84</v>
      </c>
      <c r="AS57" s="181">
        <f>4*[53]SAS_NSA_2020_3T!$D$59</f>
        <v>3556.32</v>
      </c>
      <c r="AT57" s="181">
        <f>[54]SAS_NSA_2020_4T!$E$59</f>
        <v>3530.04</v>
      </c>
      <c r="AU57" s="181">
        <f>[55]SAS_NSA_2021_1T!$E59</f>
        <v>3515.04</v>
      </c>
      <c r="AV57" s="181">
        <f>[56]SAS_NSA_2021_2T!$E59</f>
        <v>3500.64</v>
      </c>
      <c r="AW57" s="181">
        <f>[57]SAS_NSA_2021_3T!$E$59</f>
        <v>3480.44</v>
      </c>
      <c r="AX57" s="408">
        <f>[58]SAS_NSA_2021_4T!$E$49</f>
        <v>3456.9981192551199</v>
      </c>
      <c r="AY57" s="181">
        <f>[59]SAS_NSA_2022_1T!$E$49</f>
        <v>3926.9064121224042</v>
      </c>
      <c r="AZ57" s="181">
        <f>[60]SAS_NSA_2022_2T!$E$49</f>
        <v>3893.3599811982522</v>
      </c>
      <c r="BA57" s="181">
        <f>[61]SAS_NSA_2022_3T!$E$49</f>
        <v>4013.7459451072</v>
      </c>
      <c r="BB57" s="181">
        <f>[62]SAS_NSA_2022_4T!$E$49</f>
        <v>3979.873546793036</v>
      </c>
      <c r="BC57" s="181">
        <f>[2]SAS_NSA_2023_1T!$E$49</f>
        <v>3979.7101687476079</v>
      </c>
      <c r="BD57" s="181">
        <f>[3]SAS_NSA_2023_2T!$E$49</f>
        <v>3951.050245410956</v>
      </c>
      <c r="BE57" s="181">
        <f>[4]SAS_NSA_2023_3T!$E$49</f>
        <v>3917.246850495228</v>
      </c>
      <c r="BF57" s="181">
        <f>[5]SAS_NSA_2023_4T!$E$49</f>
        <v>3888.7605429127798</v>
      </c>
      <c r="BG57" s="181">
        <f>[6]SAS_NSA_2024_1T!$E$49</f>
        <v>4041.3129352308001</v>
      </c>
      <c r="BH57" s="181">
        <f>[7]SAS_NSA_2024_2T!$E$49</f>
        <v>4017.0607807022802</v>
      </c>
      <c r="BI57" s="181">
        <f>[8]SAS_NSA_2024_3T!$E$49</f>
        <v>3989.1273973834918</v>
      </c>
      <c r="BJ57" s="181">
        <f>[9]SAS_NSA_2024_4T!$E$49</f>
        <v>3945.7748721783241</v>
      </c>
    </row>
    <row r="58" spans="1:62" x14ac:dyDescent="0.25">
      <c r="A58" s="312" t="s">
        <v>2</v>
      </c>
      <c r="B58" s="16">
        <f>[63]SAS_NSA_4T2009!$E$61</f>
        <v>727.4</v>
      </c>
      <c r="C58" s="42">
        <f>[11]SAS_NSA_1T2010!$E$61</f>
        <v>724.44</v>
      </c>
      <c r="D58" s="42">
        <f>[12]SAS_NSA_2T2010!$E$61</f>
        <v>730.96</v>
      </c>
      <c r="E58" s="42">
        <f>[13]SAS_NSA_3T2010!$E$61</f>
        <v>727.12</v>
      </c>
      <c r="F58" s="42">
        <f>[14]SAS_NSA_2010_4T!$E$61</f>
        <v>723.2</v>
      </c>
      <c r="G58" s="42">
        <f>[15]SAS_NSA_2011_1T!$E$61</f>
        <v>727.28</v>
      </c>
      <c r="H58" s="42">
        <f>[16]SAS_NSA_2011_2T!$E$61</f>
        <v>746.84</v>
      </c>
      <c r="I58" s="42">
        <f>[17]SAS_NSA_2011_3T!$E$61</f>
        <v>741.4</v>
      </c>
      <c r="J58" s="42">
        <f>[18]SAS_NSA_2011_4T!$E$61</f>
        <v>738.36</v>
      </c>
      <c r="K58" s="42">
        <f>[19]SAS_NSA_2012_1T!$E$61</f>
        <v>734.68</v>
      </c>
      <c r="L58" s="42">
        <f>'[20]120919-14H22S23-PROGRAM-TdB_STO'!$E$61</f>
        <v>751.32</v>
      </c>
      <c r="M58" s="42">
        <f>'[21]121105-15H12S18-PROGRAM-TdB_STO'!$E$61</f>
        <v>744.56</v>
      </c>
      <c r="N58" s="42">
        <f>[22]SAS_NSA_2012_4T!$E$61</f>
        <v>741.24</v>
      </c>
      <c r="O58" s="42">
        <f>[23]SAS_NSA_2013_1T!$E$61</f>
        <v>735.88</v>
      </c>
      <c r="P58" s="42">
        <f>[24]SAS_NSA_2013_2T!$E$61</f>
        <v>741.4</v>
      </c>
      <c r="Q58" s="42">
        <f>[25]SAS_NSA_2013_3T!$E$61</f>
        <v>737.4</v>
      </c>
      <c r="R58" s="181">
        <f>[26]SAS_NSA_2013_4T!$E$61</f>
        <v>734</v>
      </c>
      <c r="S58" s="181">
        <f>[27]SAS_NSA_2014_1T!$E$61</f>
        <v>729.8</v>
      </c>
      <c r="T58" s="181">
        <f>[28]SAS_NSA_2014_2T!$E$61</f>
        <v>724.08</v>
      </c>
      <c r="U58" s="181">
        <f>[29]SAS_NSA_2014_3T!$E$61</f>
        <v>718.52</v>
      </c>
      <c r="V58" s="181">
        <f>[30]SAS_NSA_2014_4T!$E$61</f>
        <v>717.52</v>
      </c>
      <c r="W58" s="181">
        <f>[31]SAS_NSA_2015_1T!$E$61</f>
        <v>712.68</v>
      </c>
      <c r="X58" s="181">
        <f>[32]SAS_NSA_2015_2T!$E$61</f>
        <v>708.28</v>
      </c>
      <c r="Y58" s="181">
        <f>[33]SAS_NSA_2015_3T!$E$61</f>
        <v>704.84</v>
      </c>
      <c r="Z58" s="181">
        <f>[34]SAS_NSA_2015_4T!$E$61</f>
        <v>702.2</v>
      </c>
      <c r="AA58" s="181">
        <f>[35]SAS_NSA_2016_1T!$E$61</f>
        <v>697.04</v>
      </c>
      <c r="AB58" s="181">
        <f>[36]SAS_NSA_2016_2T!$E$61</f>
        <v>692.4</v>
      </c>
      <c r="AC58" s="181">
        <f>[37]SAS_NSA_2016_3T!$E$61</f>
        <v>688.4</v>
      </c>
      <c r="AD58" s="181">
        <f>[38]SAS_NSA_2016_4T!$E$61</f>
        <v>685.48</v>
      </c>
      <c r="AE58" s="181">
        <f>[39]SAS_NSA_2017_1T!$E$61</f>
        <v>680.48</v>
      </c>
      <c r="AF58" s="181">
        <f>[40]SAS_NSA_2017_2T!$E$61</f>
        <v>677</v>
      </c>
      <c r="AG58" s="181">
        <f>[41]SAS_NSA_2017_3T!$E$61</f>
        <v>673.56</v>
      </c>
      <c r="AH58" s="181">
        <f>[42]SAS_NSA_2017_4T!$E$61</f>
        <v>673.56</v>
      </c>
      <c r="AI58" s="181">
        <f>[43]SAS_NSA_2018_1T!$D$61*4</f>
        <v>668.96</v>
      </c>
      <c r="AJ58" s="181">
        <f>[44]SAS_NSA_2018_2T!$E$63</f>
        <v>670.96</v>
      </c>
      <c r="AK58" s="293">
        <f>4*[45]SAS_NSA_2018_3T!$D$61</f>
        <v>667.48</v>
      </c>
      <c r="AL58" s="293">
        <f>4*[46]SAS_NSA_2018_4T!$D$61</f>
        <v>663</v>
      </c>
      <c r="AM58" s="181">
        <f>4*[47]SAS_NSA_2019_1T!$D$61</f>
        <v>667.88</v>
      </c>
      <c r="AN58" s="181">
        <f>4*[48]SAS_NSA_2019_2T!$D$61</f>
        <v>663.36</v>
      </c>
      <c r="AO58" s="181">
        <f>4*[49]SAS_NSA_2019_3T!$D61</f>
        <v>661.04</v>
      </c>
      <c r="AP58" s="181">
        <f>4*[50]SAS_NSA_2019_4T!$D$61</f>
        <v>657.56</v>
      </c>
      <c r="AQ58" s="181">
        <f>4*[51]SAS_NSA_2020_1T!$D$60</f>
        <v>673.2</v>
      </c>
      <c r="AR58" s="181">
        <f>4*[52]SAS_NSA_2020_2T!$D$60</f>
        <v>665.36</v>
      </c>
      <c r="AS58" s="181">
        <f>4*[53]SAS_NSA_2020_3T!$D$60</f>
        <v>660.76</v>
      </c>
      <c r="AT58" s="181">
        <f>[54]SAS_NSA_2020_4T!$E$60</f>
        <v>657.32</v>
      </c>
      <c r="AU58" s="181">
        <f>[55]SAS_NSA_2021_1T!$E60</f>
        <v>654.84</v>
      </c>
      <c r="AV58" s="181">
        <f>[56]SAS_NSA_2021_2T!$E60</f>
        <v>649.88</v>
      </c>
      <c r="AW58" s="181">
        <f>[57]SAS_NSA_2021_3T!$E$60</f>
        <v>646.4</v>
      </c>
      <c r="AX58" s="408">
        <f>[58]SAS_NSA_2021_4T!$E$50</f>
        <v>644.85337425056002</v>
      </c>
      <c r="AY58" s="181">
        <f>[59]SAS_NSA_2022_1T!$E$50</f>
        <v>688.87655224473997</v>
      </c>
      <c r="AZ58" s="181">
        <f>[60]SAS_NSA_2022_2T!$E$50</f>
        <v>669.395327584592</v>
      </c>
      <c r="BA58" s="181">
        <f>[61]SAS_NSA_2022_3T!$E$50</f>
        <v>691.54021050632002</v>
      </c>
      <c r="BB58" s="181">
        <f>[62]SAS_NSA_2022_4T!$E$50</f>
        <v>687.65025115966</v>
      </c>
      <c r="BC58" s="181">
        <f>[2]SAS_NSA_2023_1T!$E$50</f>
        <v>690.67344015864796</v>
      </c>
      <c r="BD58" s="181">
        <f>[3]SAS_NSA_2023_2T!$E$50</f>
        <v>688.38865218229603</v>
      </c>
      <c r="BE58" s="181">
        <f>[4]SAS_NSA_2023_3T!$E$50</f>
        <v>683.30249792049995</v>
      </c>
      <c r="BF58" s="181">
        <f>[5]SAS_NSA_2023_4T!$E$50</f>
        <v>680.96252435246402</v>
      </c>
      <c r="BG58" s="181">
        <f>[6]SAS_NSA_2024_1T!$E$50</f>
        <v>714.76821741610797</v>
      </c>
      <c r="BH58" s="181">
        <f>[7]SAS_NSA_2024_2T!$E$50</f>
        <v>708.24018269047201</v>
      </c>
      <c r="BI58" s="181">
        <f>[8]SAS_NSA_2024_3T!$E$50</f>
        <v>705.45550533936</v>
      </c>
      <c r="BJ58" s="181">
        <f>[9]SAS_NSA_2024_4T!$E$50</f>
        <v>702.17862664479196</v>
      </c>
    </row>
    <row r="59" spans="1:62" x14ac:dyDescent="0.25">
      <c r="A59" s="312" t="s">
        <v>3</v>
      </c>
      <c r="B59" s="16">
        <f>[63]SAS_NSA_4T2009!$E$62</f>
        <v>5939.16</v>
      </c>
      <c r="C59" s="42">
        <f>[11]SAS_NSA_1T2010!$E$62</f>
        <v>5940.68</v>
      </c>
      <c r="D59" s="42">
        <f>[12]SAS_NSA_2T2010!$E$62</f>
        <v>5984.48</v>
      </c>
      <c r="E59" s="42">
        <f>[13]SAS_NSA_3T2010!$E$62</f>
        <v>5991.08</v>
      </c>
      <c r="F59" s="42">
        <f>[14]SAS_NSA_2010_4T!$E$62</f>
        <v>5992</v>
      </c>
      <c r="G59" s="42">
        <f>[15]SAS_NSA_2011_1T!$E$62</f>
        <v>5995.64</v>
      </c>
      <c r="H59" s="42">
        <f>[16]SAS_NSA_2011_2T!$E$62</f>
        <v>6132.68</v>
      </c>
      <c r="I59" s="42">
        <f>[17]SAS_NSA_2011_3T!$E$62</f>
        <v>6132.2</v>
      </c>
      <c r="J59" s="42">
        <f>[18]SAS_NSA_2011_4T!$E$62</f>
        <v>6131.36</v>
      </c>
      <c r="K59" s="42">
        <f>[19]SAS_NSA_2012_1T!$E$62</f>
        <v>6127.76</v>
      </c>
      <c r="L59" s="42">
        <f>'[20]120919-14H22S23-PROGRAM-TdB_STO'!$E$62</f>
        <v>6265.48</v>
      </c>
      <c r="M59" s="42">
        <f>'[21]121105-15H12S18-PROGRAM-TdB_STO'!$E$62</f>
        <v>6254.76</v>
      </c>
      <c r="N59" s="42">
        <f>[22]SAS_NSA_2012_4T!$E$62</f>
        <v>6255.12</v>
      </c>
      <c r="O59" s="42">
        <f>[23]SAS_NSA_2013_1T!$E$62</f>
        <v>6253.52</v>
      </c>
      <c r="P59" s="42">
        <f>[24]SAS_NSA_2013_2T!$E$62</f>
        <v>6331.12</v>
      </c>
      <c r="Q59" s="42">
        <f>[25]SAS_NSA_2013_3T!$E$62</f>
        <v>6325.8</v>
      </c>
      <c r="R59" s="181">
        <f>[26]SAS_NSA_2013_4T!$E$62</f>
        <v>6318.76</v>
      </c>
      <c r="S59" s="181">
        <f>[27]SAS_NSA_2014_1T!$E$62</f>
        <v>6323.88</v>
      </c>
      <c r="T59" s="181">
        <f>[28]SAS_NSA_2014_2T!$E$62</f>
        <v>6314.56</v>
      </c>
      <c r="U59" s="181">
        <f>[29]SAS_NSA_2014_3T!$E$62</f>
        <v>6316.44</v>
      </c>
      <c r="V59" s="181">
        <f>[30]SAS_NSA_2014_4T!$E$62</f>
        <v>6316.36</v>
      </c>
      <c r="W59" s="181">
        <f>[31]SAS_NSA_2015_1T!$E$62</f>
        <v>6312.16</v>
      </c>
      <c r="X59" s="181">
        <f>[32]SAS_NSA_2015_2T!$E$62</f>
        <v>6309.88</v>
      </c>
      <c r="Y59" s="181">
        <f>[33]SAS_NSA_2015_3T!$E$62</f>
        <v>6307.8</v>
      </c>
      <c r="Z59" s="181">
        <f>[34]SAS_NSA_2015_4T!$E$62</f>
        <v>6311.6</v>
      </c>
      <c r="AA59" s="181">
        <f>[35]SAS_NSA_2016_1T!$E$62</f>
        <v>6311</v>
      </c>
      <c r="AB59" s="181">
        <f>[36]SAS_NSA_2016_2T!$E$62</f>
        <v>6304.56</v>
      </c>
      <c r="AC59" s="181">
        <f>[37]SAS_NSA_2016_3T!$E$62</f>
        <v>6301.92</v>
      </c>
      <c r="AD59" s="181">
        <f>[38]SAS_NSA_2016_4T!$E$62</f>
        <v>6297.24</v>
      </c>
      <c r="AE59" s="181">
        <f>[39]SAS_NSA_2017_1T!$E$62</f>
        <v>6293.12</v>
      </c>
      <c r="AF59" s="181">
        <f>[40]SAS_NSA_2017_2T!$E$62</f>
        <v>6283.4</v>
      </c>
      <c r="AG59" s="181">
        <f>[41]SAS_NSA_2017_3T!$E$62</f>
        <v>6284.2</v>
      </c>
      <c r="AH59" s="181">
        <f>[42]SAS_NSA_2017_4T!$E$62</f>
        <v>6327.16</v>
      </c>
      <c r="AI59" s="181">
        <f>[43]SAS_NSA_2018_1T!$D$62*4</f>
        <v>6323.84</v>
      </c>
      <c r="AJ59" s="181">
        <f>[44]SAS_NSA_2018_2T!$E$64</f>
        <v>6324.4</v>
      </c>
      <c r="AK59" s="293">
        <f>4*[45]SAS_NSA_2018_3T!$D$62</f>
        <v>6323.4</v>
      </c>
      <c r="AL59" s="293">
        <f>4*[46]SAS_NSA_2018_4T!$D$62</f>
        <v>6319.64</v>
      </c>
      <c r="AM59" s="181">
        <f>4*[47]SAS_NSA_2019_1T!$D$62</f>
        <v>6338.64</v>
      </c>
      <c r="AN59" s="181">
        <f>4*[48]SAS_NSA_2019_2T!$D$62</f>
        <v>6334.76</v>
      </c>
      <c r="AO59" s="181">
        <f>4*[49]SAS_NSA_2019_3T!$D62</f>
        <v>6342.6</v>
      </c>
      <c r="AP59" s="181">
        <f>4*[50]SAS_NSA_2019_4T!$D$62</f>
        <v>6324.04</v>
      </c>
      <c r="AQ59" s="181">
        <f>4*[51]SAS_NSA_2020_1T!$D$61</f>
        <v>6387.2</v>
      </c>
      <c r="AR59" s="181">
        <f>4*[52]SAS_NSA_2020_2T!$D$61</f>
        <v>6373.44</v>
      </c>
      <c r="AS59" s="181">
        <f>4*[53]SAS_NSA_2020_3T!$D$61</f>
        <v>6368.64</v>
      </c>
      <c r="AT59" s="181">
        <f>[54]SAS_NSA_2020_4T!$E$61</f>
        <v>6364.04</v>
      </c>
      <c r="AU59" s="181">
        <f>[55]SAS_NSA_2021_1T!$E61</f>
        <v>6380.08</v>
      </c>
      <c r="AV59" s="181">
        <f>[56]SAS_NSA_2021_2T!$E61</f>
        <v>6362.52</v>
      </c>
      <c r="AW59" s="181">
        <f>[57]SAS_NSA_2021_3T!$E$61</f>
        <v>6355.12</v>
      </c>
      <c r="AX59" s="408">
        <f>[58]SAS_NSA_2021_4T!$E$51</f>
        <v>6353.23747119572</v>
      </c>
      <c r="AY59" s="181">
        <f>[59]SAS_NSA_2022_1T!$E$51</f>
        <v>6422.6984147798003</v>
      </c>
      <c r="AZ59" s="181">
        <f>[60]SAS_NSA_2022_2T!$E$51</f>
        <v>6415.4685092728796</v>
      </c>
      <c r="BA59" s="181">
        <f>[61]SAS_NSA_2022_3T!$E$51</f>
        <v>6660.3026450566804</v>
      </c>
      <c r="BB59" s="181">
        <f>[62]SAS_NSA_2022_4T!$E$51</f>
        <v>6625.1900693099196</v>
      </c>
      <c r="BC59" s="181">
        <f>[2]SAS_NSA_2023_1T!$E$51</f>
        <v>6691.8197529828403</v>
      </c>
      <c r="BD59" s="181">
        <f>[3]SAS_NSA_2023_2T!$E$51</f>
        <v>6683.3345021718396</v>
      </c>
      <c r="BE59" s="181">
        <f>[4]SAS_NSA_2023_3T!$E$51</f>
        <v>6674.5587531297197</v>
      </c>
      <c r="BF59" s="181">
        <f>[5]SAS_NSA_2023_4T!$E$51</f>
        <v>6666.9053086984804</v>
      </c>
      <c r="BG59" s="181">
        <f>[6]SAS_NSA_2024_1T!$E$51</f>
        <v>7000.8863765753204</v>
      </c>
      <c r="BH59" s="181">
        <f>[7]SAS_NSA_2024_2T!$E$51</f>
        <v>6989.7095498591198</v>
      </c>
      <c r="BI59" s="181">
        <f>[8]SAS_NSA_2024_3T!$E$51</f>
        <v>6979.9409746975198</v>
      </c>
      <c r="BJ59" s="181">
        <f>[9]SAS_NSA_2024_4T!$E$51</f>
        <v>6979.0582717242396</v>
      </c>
    </row>
    <row r="60" spans="1:62" x14ac:dyDescent="0.25">
      <c r="A60" s="315" t="s">
        <v>13</v>
      </c>
      <c r="B60" s="360"/>
      <c r="C60" s="361"/>
      <c r="D60" s="361"/>
      <c r="E60" s="361"/>
      <c r="F60" s="361"/>
      <c r="G60" s="361"/>
      <c r="H60" s="361"/>
      <c r="I60" s="361"/>
      <c r="J60" s="361"/>
      <c r="K60" s="361"/>
      <c r="L60" s="361"/>
      <c r="M60" s="361"/>
      <c r="N60" s="361"/>
      <c r="O60" s="361"/>
      <c r="P60" s="361"/>
      <c r="Q60" s="361"/>
      <c r="R60" s="362"/>
      <c r="S60" s="362"/>
      <c r="T60" s="362"/>
      <c r="U60" s="362"/>
      <c r="V60" s="362"/>
      <c r="W60" s="362"/>
      <c r="X60" s="362"/>
      <c r="Y60" s="362"/>
      <c r="Z60" s="362"/>
      <c r="AA60" s="362"/>
      <c r="AB60" s="362"/>
      <c r="AC60" s="362"/>
      <c r="AD60" s="362"/>
      <c r="AE60" s="362"/>
      <c r="AF60" s="362"/>
      <c r="AG60" s="362"/>
      <c r="AH60" s="362"/>
      <c r="AI60" s="362"/>
      <c r="AJ60" s="362"/>
      <c r="AK60" s="293"/>
      <c r="AL60" s="293"/>
      <c r="AM60" s="362"/>
      <c r="AN60" s="362"/>
      <c r="AO60" s="362"/>
      <c r="AP60" s="362"/>
      <c r="AQ60" s="362"/>
      <c r="AR60" s="362"/>
      <c r="AS60" s="362"/>
      <c r="AT60" s="362"/>
      <c r="AU60" s="362"/>
      <c r="AV60" s="362"/>
      <c r="AW60" s="362">
        <f>[57]SAS_NSA_2021_3T!$E$57</f>
        <v>5259.16</v>
      </c>
      <c r="AX60" s="415">
        <f>[58]SAS_NSA_2021_4T!$E$47</f>
        <v>5266.1167937671198</v>
      </c>
      <c r="AY60" s="362">
        <f>[59]SAS_NSA_2022_1T!$E$47</f>
        <v>5426.5100119215203</v>
      </c>
      <c r="AZ60" s="362">
        <f>[60]SAS_NSA_2022_2T!$E$47</f>
        <v>5418.8247465704399</v>
      </c>
      <c r="BA60" s="362">
        <f>[61]SAS_NSA_2022_3T!$E$47</f>
        <v>5626.9117325320003</v>
      </c>
      <c r="BB60" s="362">
        <f>[62]SAS_NSA_2022_4T!$E$47</f>
        <v>5617.4134999309999</v>
      </c>
      <c r="BC60" s="362">
        <f>[2]SAS_NSA_2023_1T!$E$47</f>
        <v>5675.5656553913204</v>
      </c>
      <c r="BD60" s="362">
        <f>[3]SAS_NSA_2023_2T!$E$47</f>
        <v>5676.5725496198002</v>
      </c>
      <c r="BE60" s="362">
        <f>[4]SAS_NSA_2023_3T!$E$47</f>
        <v>5674.0140162027201</v>
      </c>
      <c r="BF60" s="362">
        <f>[5]SAS_NSA_2023_4T!$E$47</f>
        <v>5679.6288566794801</v>
      </c>
      <c r="BG60" s="362">
        <f>[6]SAS_NSA_2024_1T!$E$47</f>
        <v>5970.5745774174002</v>
      </c>
      <c r="BH60" s="362">
        <f>[7]SAS_NSA_2024_2T!$E$47</f>
        <v>5968.1825819058004</v>
      </c>
      <c r="BI60" s="362">
        <f>[8]SAS_NSA_2024_3T!$E$47</f>
        <v>5963.1030004895601</v>
      </c>
      <c r="BJ60" s="362">
        <f>[9]SAS_NSA_2024_4T!$E$47</f>
        <v>5965.6342202810802</v>
      </c>
    </row>
    <row r="61" spans="1:62" ht="13" thickBot="1" x14ac:dyDescent="0.3">
      <c r="A61" s="310"/>
      <c r="B61" s="15"/>
      <c r="C61" s="43"/>
      <c r="D61" s="43"/>
      <c r="E61" s="43"/>
      <c r="F61" s="43"/>
      <c r="G61" s="43"/>
      <c r="H61" s="43"/>
      <c r="I61" s="43"/>
      <c r="J61" s="43"/>
      <c r="K61" s="149"/>
      <c r="L61" s="149"/>
      <c r="M61" s="149"/>
      <c r="N61" s="149"/>
      <c r="O61" s="149"/>
      <c r="P61" s="43"/>
      <c r="Q61" s="43"/>
      <c r="R61" s="185"/>
      <c r="S61" s="185"/>
      <c r="T61" s="185"/>
      <c r="U61" s="185"/>
      <c r="V61" s="185"/>
      <c r="W61" s="185"/>
      <c r="X61" s="185"/>
      <c r="Y61" s="185"/>
      <c r="Z61" s="185"/>
      <c r="AA61" s="185"/>
      <c r="AB61" s="185"/>
      <c r="AC61" s="185"/>
      <c r="AD61" s="185"/>
      <c r="AE61" s="185"/>
      <c r="AF61" s="185"/>
      <c r="AG61" s="185"/>
      <c r="AH61" s="185"/>
      <c r="AI61" s="185"/>
      <c r="AJ61" s="185"/>
      <c r="AM61" s="185"/>
      <c r="AN61" s="185"/>
      <c r="AO61" s="185"/>
      <c r="AP61" s="185"/>
      <c r="AQ61" s="185"/>
      <c r="AR61" s="185"/>
      <c r="AS61" s="185"/>
      <c r="AT61" s="185"/>
      <c r="AU61" s="185"/>
      <c r="AV61" s="185"/>
      <c r="AW61" s="185"/>
      <c r="AX61" s="416"/>
      <c r="AY61" s="185"/>
      <c r="AZ61" s="185"/>
      <c r="BA61" s="185"/>
      <c r="BB61" s="185"/>
      <c r="BC61" s="185"/>
      <c r="BD61" s="185"/>
      <c r="BE61" s="185"/>
      <c r="BF61" s="185"/>
      <c r="BG61" s="185"/>
      <c r="BH61" s="185"/>
      <c r="BI61" s="185"/>
      <c r="BJ61" s="185"/>
    </row>
    <row r="62" spans="1:62" x14ac:dyDescent="0.25">
      <c r="A62" s="311"/>
      <c r="B62" s="10"/>
      <c r="C62" s="44"/>
      <c r="D62" s="44"/>
      <c r="E62" s="44"/>
      <c r="F62" s="44"/>
      <c r="G62" s="44"/>
      <c r="H62" s="44"/>
      <c r="I62" s="44"/>
      <c r="J62" s="44"/>
      <c r="K62" s="148"/>
      <c r="L62" s="148"/>
      <c r="M62" s="148"/>
      <c r="N62" s="148"/>
      <c r="O62" s="148"/>
      <c r="P62" s="44"/>
      <c r="Q62" s="44"/>
      <c r="R62" s="183"/>
      <c r="S62" s="183"/>
      <c r="T62" s="183"/>
      <c r="U62" s="183"/>
      <c r="V62" s="183"/>
      <c r="W62" s="183"/>
      <c r="X62" s="183"/>
      <c r="Y62" s="183"/>
      <c r="Z62" s="183"/>
      <c r="AA62" s="183"/>
      <c r="AB62" s="183"/>
      <c r="AC62" s="183"/>
      <c r="AD62" s="183"/>
      <c r="AE62" s="183"/>
      <c r="AF62" s="183"/>
      <c r="AG62" s="183"/>
      <c r="AH62" s="183"/>
      <c r="AI62" s="183"/>
      <c r="AJ62" s="183"/>
      <c r="AM62" s="183"/>
      <c r="AN62" s="183"/>
      <c r="AO62" s="183"/>
      <c r="AP62" s="183"/>
      <c r="AQ62" s="183"/>
      <c r="AR62" s="183"/>
      <c r="AS62" s="183"/>
      <c r="AT62" s="183"/>
      <c r="AU62" s="183"/>
      <c r="AV62" s="183"/>
      <c r="AW62" s="183"/>
      <c r="AX62" s="410"/>
      <c r="AY62" s="183"/>
      <c r="AZ62" s="183"/>
      <c r="BA62" s="183"/>
      <c r="BB62" s="183"/>
      <c r="BC62" s="183"/>
      <c r="BD62" s="183"/>
      <c r="BE62" s="183"/>
      <c r="BF62" s="183"/>
      <c r="BG62" s="183"/>
      <c r="BH62" s="183"/>
      <c r="BI62" s="183"/>
      <c r="BJ62" s="183"/>
    </row>
    <row r="63" spans="1:62" ht="13" x14ac:dyDescent="0.3">
      <c r="A63" s="305" t="s">
        <v>31</v>
      </c>
      <c r="B63" s="26"/>
      <c r="C63" s="41"/>
      <c r="D63" s="41"/>
      <c r="E63" s="41"/>
      <c r="F63" s="41"/>
      <c r="G63" s="41"/>
      <c r="H63" s="41"/>
      <c r="I63" s="41"/>
      <c r="J63" s="41"/>
      <c r="K63" s="147"/>
      <c r="L63" s="147"/>
      <c r="M63" s="147"/>
      <c r="N63" s="147"/>
      <c r="O63" s="147"/>
      <c r="P63" s="41"/>
      <c r="Q63" s="41"/>
      <c r="R63" s="41"/>
      <c r="S63" s="41"/>
      <c r="T63" s="41"/>
      <c r="U63" s="41"/>
      <c r="V63" s="41"/>
      <c r="W63" s="41"/>
      <c r="X63" s="41"/>
      <c r="Y63" s="41"/>
      <c r="Z63" s="41"/>
      <c r="AA63" s="41"/>
      <c r="AB63" s="41"/>
      <c r="AC63" s="41"/>
      <c r="AD63" s="41"/>
      <c r="AE63" s="41"/>
      <c r="AF63" s="41"/>
      <c r="AG63" s="41"/>
      <c r="AH63" s="41"/>
      <c r="AI63" s="41"/>
      <c r="AJ63" s="41"/>
      <c r="AM63" s="41"/>
      <c r="AN63" s="41"/>
      <c r="AO63" s="41"/>
      <c r="AP63" s="41"/>
      <c r="AQ63" s="41"/>
      <c r="AR63" s="41"/>
      <c r="AS63" s="41"/>
      <c r="AT63" s="41"/>
      <c r="AU63" s="41"/>
      <c r="AV63" s="41"/>
      <c r="AW63" s="41"/>
      <c r="AX63" s="406"/>
      <c r="AY63" s="41"/>
      <c r="AZ63" s="41"/>
      <c r="BA63" s="41"/>
      <c r="BB63" s="41"/>
      <c r="BC63" s="41"/>
      <c r="BD63" s="41"/>
      <c r="BE63" s="41"/>
      <c r="BF63" s="41"/>
      <c r="BG63" s="41"/>
      <c r="BH63" s="41"/>
      <c r="BI63" s="41"/>
      <c r="BJ63" s="41"/>
    </row>
    <row r="64" spans="1:62" x14ac:dyDescent="0.25">
      <c r="A64" s="305"/>
      <c r="B64" s="2" t="str">
        <f t="shared" ref="B64:G64" si="165">B8</f>
        <v>4eme T 2009</v>
      </c>
      <c r="C64" s="38" t="str">
        <f t="shared" si="165"/>
        <v>1er T 2010</v>
      </c>
      <c r="D64" s="38" t="str">
        <f t="shared" si="165"/>
        <v>2eme T 2010</v>
      </c>
      <c r="E64" s="38" t="str">
        <f t="shared" si="165"/>
        <v>3eme T 2010</v>
      </c>
      <c r="F64" s="38" t="str">
        <f t="shared" si="165"/>
        <v>4eme T 2010</v>
      </c>
      <c r="G64" s="38" t="str">
        <f t="shared" si="165"/>
        <v>1er T 2011</v>
      </c>
      <c r="H64" s="38" t="str">
        <f t="shared" ref="H64:M64" si="166">H8</f>
        <v>2eme T 2011</v>
      </c>
      <c r="I64" s="38" t="str">
        <f t="shared" si="166"/>
        <v>3eme T 2011</v>
      </c>
      <c r="J64" s="38" t="str">
        <f t="shared" si="166"/>
        <v>4eme T 2011</v>
      </c>
      <c r="K64" s="38" t="str">
        <f t="shared" si="166"/>
        <v>1er T 2012</v>
      </c>
      <c r="L64" s="38" t="str">
        <f t="shared" si="166"/>
        <v>2eme T 2012</v>
      </c>
      <c r="M64" s="38" t="str">
        <f t="shared" si="166"/>
        <v>3eme T 2012</v>
      </c>
      <c r="N64" s="38" t="str">
        <f t="shared" ref="N64:S64" si="167">N8</f>
        <v>4eme T 2012</v>
      </c>
      <c r="O64" s="38" t="str">
        <f t="shared" si="167"/>
        <v>1er T 2013</v>
      </c>
      <c r="P64" s="38" t="str">
        <f t="shared" si="167"/>
        <v>2eme T 2013</v>
      </c>
      <c r="Q64" s="38" t="str">
        <f t="shared" si="167"/>
        <v>3ème T 2013</v>
      </c>
      <c r="R64" s="178" t="str">
        <f t="shared" si="167"/>
        <v>4ème T 2013</v>
      </c>
      <c r="S64" s="178" t="str">
        <f t="shared" si="167"/>
        <v>1er T 2014</v>
      </c>
      <c r="T64" s="178" t="str">
        <f t="shared" ref="T64:U64" si="168">T8</f>
        <v>2eme T 2014</v>
      </c>
      <c r="U64" s="178" t="str">
        <f t="shared" si="168"/>
        <v>3T 2014</v>
      </c>
      <c r="V64" s="178" t="str">
        <f t="shared" ref="V64:W64" si="169">V8</f>
        <v>4ème T 2014</v>
      </c>
      <c r="W64" s="178" t="str">
        <f t="shared" si="169"/>
        <v>1er T 2015</v>
      </c>
      <c r="X64" s="178" t="str">
        <f t="shared" ref="X64:Y64" si="170">X8</f>
        <v>2e T 2015</v>
      </c>
      <c r="Y64" s="178" t="str">
        <f t="shared" si="170"/>
        <v>3e T 2015</v>
      </c>
      <c r="Z64" s="178" t="str">
        <f t="shared" ref="Z64:AA64" si="171">Z8</f>
        <v>4e T 2015</v>
      </c>
      <c r="AA64" s="178" t="str">
        <f t="shared" si="171"/>
        <v>1er T 2016</v>
      </c>
      <c r="AB64" s="178" t="str">
        <f t="shared" ref="AB64:AH64" si="172">AB8</f>
        <v>2e T 2016</v>
      </c>
      <c r="AC64" s="178" t="str">
        <f t="shared" si="172"/>
        <v>3e T 2016</v>
      </c>
      <c r="AD64" s="178" t="str">
        <f t="shared" si="172"/>
        <v>4e T 2016</v>
      </c>
      <c r="AE64" s="178" t="str">
        <f t="shared" si="172"/>
        <v>2017 - T1</v>
      </c>
      <c r="AF64" s="178" t="str">
        <f t="shared" si="172"/>
        <v>2017 - T2</v>
      </c>
      <c r="AG64" s="178" t="str">
        <f t="shared" si="172"/>
        <v>2017- T3</v>
      </c>
      <c r="AH64" s="178" t="str">
        <f t="shared" si="172"/>
        <v>2017 - T4</v>
      </c>
      <c r="AI64" s="178" t="str">
        <f t="shared" ref="AI64:AJ64" si="173">AI8</f>
        <v>2018 - T1</v>
      </c>
      <c r="AJ64" s="178" t="str">
        <f t="shared" si="173"/>
        <v>2018 - T2</v>
      </c>
      <c r="AK64" s="178" t="s">
        <v>204</v>
      </c>
      <c r="AL64" s="178" t="s">
        <v>206</v>
      </c>
      <c r="AM64" s="178" t="str">
        <f t="shared" ref="AM64:AN64" si="174">AM8</f>
        <v>2019 - T1</v>
      </c>
      <c r="AN64" s="178" t="str">
        <f t="shared" si="174"/>
        <v>2019 - T2</v>
      </c>
      <c r="AO64" s="178" t="str">
        <f t="shared" ref="AO64" si="175">AO8</f>
        <v>2019 - T3</v>
      </c>
      <c r="AP64" s="178" t="s">
        <v>214</v>
      </c>
      <c r="AQ64" s="178" t="str">
        <f t="shared" ref="AQ64:AV64" si="176">AQ8</f>
        <v>2020 - T1</v>
      </c>
      <c r="AR64" s="178" t="str">
        <f t="shared" si="176"/>
        <v>2020 - T2</v>
      </c>
      <c r="AS64" s="178" t="str">
        <f t="shared" si="176"/>
        <v>2020 - T3</v>
      </c>
      <c r="AT64" s="178" t="str">
        <f t="shared" si="176"/>
        <v>2020- T4</v>
      </c>
      <c r="AU64" s="178" t="str">
        <f t="shared" si="176"/>
        <v>2021- T1</v>
      </c>
      <c r="AV64" s="178" t="str">
        <f t="shared" si="176"/>
        <v>2021- T2</v>
      </c>
      <c r="AW64" s="178" t="str">
        <f t="shared" ref="AW64:AX64" si="177">AW8</f>
        <v>2021- T3</v>
      </c>
      <c r="AX64" s="403" t="str">
        <f t="shared" si="177"/>
        <v>2021- T4</v>
      </c>
      <c r="AY64" s="178" t="str">
        <f t="shared" ref="AY64:AZ64" si="178">AY8</f>
        <v>2022- T1</v>
      </c>
      <c r="AZ64" s="178" t="str">
        <f t="shared" si="178"/>
        <v>2022- T2</v>
      </c>
      <c r="BA64" s="178" t="str">
        <f t="shared" ref="BA64:BB64" si="179">BA8</f>
        <v>2022- T3</v>
      </c>
      <c r="BB64" s="178" t="str">
        <f t="shared" si="179"/>
        <v>2022- T4</v>
      </c>
      <c r="BC64" s="178" t="str">
        <f t="shared" ref="BC64:BD64" si="180">BC8</f>
        <v>2023- T1</v>
      </c>
      <c r="BD64" s="178" t="str">
        <f t="shared" si="180"/>
        <v>2023- T2</v>
      </c>
      <c r="BE64" s="178" t="str">
        <f t="shared" ref="BE64:BF64" si="181">BE8</f>
        <v>2023- T3</v>
      </c>
      <c r="BF64" s="178" t="str">
        <f t="shared" si="181"/>
        <v>2023- T4</v>
      </c>
      <c r="BG64" s="178" t="str">
        <f t="shared" ref="BG64:BH64" si="182">BG8</f>
        <v>2024- T1</v>
      </c>
      <c r="BH64" s="178" t="str">
        <f t="shared" si="182"/>
        <v>2024- T2</v>
      </c>
      <c r="BI64" s="178" t="str">
        <f t="shared" ref="BI64:BJ64" si="183">BI8</f>
        <v>2024- T3</v>
      </c>
      <c r="BJ64" s="178" t="str">
        <f t="shared" si="183"/>
        <v>2024- T4</v>
      </c>
    </row>
    <row r="65" spans="1:62" x14ac:dyDescent="0.25">
      <c r="A65" s="306" t="s">
        <v>16</v>
      </c>
      <c r="B65" s="29">
        <f>[63]SAS_NSA_4T2009!$F$131</f>
        <v>75.078500000000005</v>
      </c>
      <c r="C65" s="48">
        <f>[11]SAS_NSA_1T2010!$F$131</f>
        <v>75.120500000000007</v>
      </c>
      <c r="D65" s="48">
        <f>[12]SAS_NSA_2T2010!$F$131</f>
        <v>75.190299999999993</v>
      </c>
      <c r="E65" s="48">
        <f>[13]SAS_NSA_3T2010!$F$131</f>
        <v>75.267899999999997</v>
      </c>
      <c r="F65" s="48">
        <f>[14]SAS_NSA_2010_4T!$F$131</f>
        <v>75.3279</v>
      </c>
      <c r="G65" s="48">
        <f>[15]SAS_NSA_2011_1T!$F$131</f>
        <v>75.381</v>
      </c>
      <c r="H65" s="48">
        <f>[16]SAS_NSA_2011_2T!$F$131</f>
        <v>75.445499999999996</v>
      </c>
      <c r="I65" s="48">
        <f>[17]SAS_NSA_2011_3T!$F$131</f>
        <v>75.540800000000004</v>
      </c>
      <c r="J65" s="48">
        <f>[18]SAS_NSA_2011_4T!$F$131</f>
        <v>75.631500000000003</v>
      </c>
      <c r="K65" s="48">
        <f>[19]SAS_NSA_2012_1T!$F$131</f>
        <v>75.688000000000002</v>
      </c>
      <c r="L65" s="48">
        <f>'[20]120919-14H22S23-PROGRAM-TdB_STO'!$F$131</f>
        <v>75.758799999999994</v>
      </c>
      <c r="M65" s="48">
        <f>'[21]121105-15H12S18-PROGRAM-TdB_STO'!$F$131</f>
        <v>75.868799999999993</v>
      </c>
      <c r="N65" s="48">
        <f>[22]SAS_NSA_2012_4T!$F$131</f>
        <v>75.948800000000006</v>
      </c>
      <c r="O65" s="48">
        <f>[23]SAS_NSA_2013_1T!$F$131</f>
        <v>75.996799999999993</v>
      </c>
      <c r="P65" s="48">
        <f>[24]SAS_NSA_2013_2T!$F$131</f>
        <v>76.051400000000001</v>
      </c>
      <c r="Q65" s="48">
        <f>[25]SAS_NSA_2013_3T!$F$131</f>
        <v>76.117000000000004</v>
      </c>
      <c r="R65" s="188">
        <f>[26]SAS_NSA_2013_4T!$F$131</f>
        <v>76.176100000000005</v>
      </c>
      <c r="S65" s="188">
        <f>[27]SAS_NSA_2014_1T!$F$131</f>
        <v>76.243799999999993</v>
      </c>
      <c r="T65" s="188">
        <f>[28]SAS_NSA_2014_2T!$F$131</f>
        <v>76.313000000000002</v>
      </c>
      <c r="U65" s="188">
        <f>[29]SAS_NSA_2014_3T!$F$131</f>
        <v>76.382300000000001</v>
      </c>
      <c r="V65" s="188">
        <f>[30]SAS_NSA_2014_4T!$F$131</f>
        <v>76.423299999999998</v>
      </c>
      <c r="W65" s="188">
        <f>[31]SAS_NSA_2015_1T!$F$131</f>
        <v>76.5</v>
      </c>
      <c r="X65" s="188">
        <f>[32]SAS_NSA_2015_2T!$F$131</f>
        <v>76.499499999999998</v>
      </c>
      <c r="Y65" s="188">
        <f>[33]SAS_NSA_2015_3T!$F$131</f>
        <v>76.564499999999995</v>
      </c>
      <c r="Z65" s="188">
        <f>[34]SAS_NSA_2015_4T!$F$131</f>
        <v>76.594800000000006</v>
      </c>
      <c r="AA65" s="188">
        <f>[35]SAS_NSA_2016_1T!$F$131</f>
        <v>76.599500000000006</v>
      </c>
      <c r="AB65" s="188">
        <f>[36]SAS_NSA_2016_2T!$F$131</f>
        <v>76.629199999999997</v>
      </c>
      <c r="AC65" s="188">
        <f>[37]SAS_NSA_2016_3T!$F$131</f>
        <v>76.671199999999999</v>
      </c>
      <c r="AD65" s="188">
        <f>[38]SAS_NSA_2016_4T!$F$131</f>
        <v>76.719099999999997</v>
      </c>
      <c r="AE65" s="188">
        <f>[39]SAS_NSA_2017_1T!$F$131</f>
        <v>76.721999999999994</v>
      </c>
      <c r="AF65" s="188">
        <f>[40]SAS_NSA_2017_2T!$F$131</f>
        <v>76.739000000000004</v>
      </c>
      <c r="AG65" s="188">
        <f>[41]SAS_NSA_2017_3T!$F$131</f>
        <v>76.767600000000002</v>
      </c>
      <c r="AH65" s="188">
        <f>[42]SAS_NSA_2017_4T!$F$131</f>
        <v>76.771000000000001</v>
      </c>
      <c r="AI65" s="188">
        <f>[43]SAS_NSA_2018_1T!$F$195</f>
        <v>76.739599999999996</v>
      </c>
      <c r="AJ65" s="188">
        <f>[44]SAS_NSA_2018_2T!$F$133</f>
        <v>76.7667</v>
      </c>
      <c r="AK65" s="291">
        <f>[45]SAS_NSA_2018_3T!$F$195</f>
        <v>76.780799999999999</v>
      </c>
      <c r="AL65" s="291">
        <f>[46]SAS_NSA_2018_4T!$F$195</f>
        <v>76.774600000000007</v>
      </c>
      <c r="AM65" s="188">
        <f>[47]SAS_NSA_2019_1T!$F$195</f>
        <v>76.746200000000002</v>
      </c>
      <c r="AN65" s="188">
        <f>[48]SAS_NSA_2019_2T!$F$195</f>
        <v>76.757599999999996</v>
      </c>
      <c r="AO65" s="188">
        <f>[49]SAS_NSA_2019_3T!$F195</f>
        <v>76.779399999999995</v>
      </c>
      <c r="AP65" s="188">
        <f>[50]SAS_NSA_2019_4T!$F$195</f>
        <v>76.7637</v>
      </c>
      <c r="AQ65" s="188">
        <f>[51]SAS_NSA_2020_1T!$F$180</f>
        <v>76.741</v>
      </c>
      <c r="AR65" s="188">
        <f>[52]SAS_NSA_2020_2T!$F$180</f>
        <v>76.756</v>
      </c>
      <c r="AS65" s="188">
        <f>[53]SAS_NSA_2020_3T!$F$180</f>
        <v>76.787199999999999</v>
      </c>
      <c r="AT65" s="188">
        <f>[54]SAS_NSA_2020_4T!$F$180</f>
        <v>76.775999999999996</v>
      </c>
      <c r="AU65" s="188">
        <f>[55]SAS_NSA_2021_1T!$F180</f>
        <v>76.722399999999993</v>
      </c>
      <c r="AV65" s="188">
        <f>[56]SAS_NSA_2021_2T!$F$180</f>
        <v>76.729699999999994</v>
      </c>
      <c r="AW65" s="188">
        <f>[57]SAS_NSA_2021_3T!$F$180</f>
        <v>76.753399999999999</v>
      </c>
      <c r="AX65" s="417">
        <f>[58]SAS_NSA_2021_4T!$F$58</f>
        <v>76.740308923670298</v>
      </c>
      <c r="AY65" s="188">
        <f>[59]SAS_NSA_2022_1T!$F$58</f>
        <v>76.690658290725906</v>
      </c>
      <c r="AZ65" s="188">
        <f>[60]SAS_NSA_2022_2T!$F$58</f>
        <v>76.687895550853497</v>
      </c>
      <c r="BA65" s="188">
        <f>[61]SAS_NSA_2022_3T!$F$58</f>
        <v>76.706214027433305</v>
      </c>
      <c r="BB65" s="188">
        <f>[62]SAS_NSA_2022_4T!$F$58</f>
        <v>76.693484536132004</v>
      </c>
      <c r="BC65" s="188">
        <f>[2]SAS_NSA_2023_1T!$F$58</f>
        <v>76.608638476089197</v>
      </c>
      <c r="BD65" s="188">
        <f>[3]SAS_NSA_2023_2T!$F$58</f>
        <v>76.602483071078296</v>
      </c>
      <c r="BE65" s="188">
        <f>[4]SAS_NSA_2023_3T!$F$58</f>
        <v>76.610405374887094</v>
      </c>
      <c r="BF65" s="188">
        <f>[5]SAS_NSA_2023_4T!$F$58</f>
        <v>76.622702428962299</v>
      </c>
      <c r="BG65" s="188">
        <f>[6]SAS_NSA_2024_1T!$F$58</f>
        <v>76.590800369584798</v>
      </c>
      <c r="BH65" s="188">
        <f>[7]SAS_NSA_2024_2T!$F$58</f>
        <v>76.611849451289004</v>
      </c>
      <c r="BI65" s="188">
        <f>[8]SAS_NSA_2024_3T!$F$58</f>
        <v>76.644850422009696</v>
      </c>
      <c r="BJ65" s="188">
        <f>[9]SAS_NSA_2024_4T!$F$58</f>
        <v>76.640478757817604</v>
      </c>
    </row>
    <row r="66" spans="1:62" x14ac:dyDescent="0.25">
      <c r="A66" s="306" t="s">
        <v>17</v>
      </c>
      <c r="B66" s="29">
        <f>[63]SAS_NSA_4T2009!$F$132</f>
        <v>78.016000000000005</v>
      </c>
      <c r="C66" s="48">
        <f>[11]SAS_NSA_1T2010!$F$132</f>
        <v>78.110100000000003</v>
      </c>
      <c r="D66" s="48">
        <f>[12]SAS_NSA_2T2010!$F$132</f>
        <v>78.184600000000003</v>
      </c>
      <c r="E66" s="48">
        <f>[13]SAS_NSA_3T2010!$F$132</f>
        <v>78.251099999999994</v>
      </c>
      <c r="F66" s="48">
        <f>[14]SAS_NSA_2010_4T!$F$132</f>
        <v>78.319299999999998</v>
      </c>
      <c r="G66" s="48">
        <f>[15]SAS_NSA_2011_1T!$F$132</f>
        <v>78.415999999999997</v>
      </c>
      <c r="H66" s="48">
        <f>[16]SAS_NSA_2011_2T!$F$132</f>
        <v>78.495699999999999</v>
      </c>
      <c r="I66" s="48">
        <f>[17]SAS_NSA_2011_3T!$F$132</f>
        <v>78.579499999999996</v>
      </c>
      <c r="J66" s="48">
        <f>[18]SAS_NSA_2011_4T!$F$132</f>
        <v>78.639399999999995</v>
      </c>
      <c r="K66" s="48">
        <f>[19]SAS_NSA_2012_1T!$F$132</f>
        <v>78.753100000000003</v>
      </c>
      <c r="L66" s="48">
        <f>'[20]120919-14H22S23-PROGRAM-TdB_STO'!$F$132</f>
        <v>78.819800000000001</v>
      </c>
      <c r="M66" s="48">
        <f>'[21]121105-15H12S18-PROGRAM-TdB_STO'!$F$132</f>
        <v>78.875699999999995</v>
      </c>
      <c r="N66" s="48">
        <f>[22]SAS_NSA_2012_4T!$F$132</f>
        <v>78.9375</v>
      </c>
      <c r="O66" s="48">
        <f>[23]SAS_NSA_2013_1T!$F$132</f>
        <v>79.049899999999994</v>
      </c>
      <c r="P66" s="48">
        <f>[24]SAS_NSA_2013_2T!$F$132</f>
        <v>79.123599999999996</v>
      </c>
      <c r="Q66" s="48">
        <f>[25]SAS_NSA_2013_3T!$F$132</f>
        <v>79.196299999999994</v>
      </c>
      <c r="R66" s="188">
        <f>[26]SAS_NSA_2013_4T!$F$132</f>
        <v>79.258399999999995</v>
      </c>
      <c r="S66" s="188">
        <f>[27]SAS_NSA_2014_1T!$F$132</f>
        <v>79.342399999999998</v>
      </c>
      <c r="T66" s="188">
        <f>[28]SAS_NSA_2014_2T!$F$132</f>
        <v>79.425399999999996</v>
      </c>
      <c r="U66" s="188">
        <f>[29]SAS_NSA_2014_3T!$F$132</f>
        <v>79.5214</v>
      </c>
      <c r="V66" s="188">
        <f>[30]SAS_NSA_2014_4T!$F$132</f>
        <v>79.607699999999994</v>
      </c>
      <c r="W66" s="188">
        <f>[31]SAS_NSA_2015_1T!$F$132</f>
        <v>79.7</v>
      </c>
      <c r="X66" s="188">
        <f>[32]SAS_NSA_2015_2T!$F$132</f>
        <v>79.731099999999998</v>
      </c>
      <c r="Y66" s="188">
        <f>[33]SAS_NSA_2015_3T!$F$132</f>
        <v>79.794300000000007</v>
      </c>
      <c r="Z66" s="188">
        <f>[34]SAS_NSA_2015_4T!$F$132</f>
        <v>79.862200000000001</v>
      </c>
      <c r="AA66" s="188">
        <f>[35]SAS_NSA_2016_1T!$F$132</f>
        <v>79.959500000000006</v>
      </c>
      <c r="AB66" s="188">
        <f>[36]SAS_NSA_2016_2T!$F$132</f>
        <v>80.043800000000005</v>
      </c>
      <c r="AC66" s="188">
        <f>[37]SAS_NSA_2016_3T!$F$132</f>
        <v>80.116399999999999</v>
      </c>
      <c r="AD66" s="188">
        <f>[38]SAS_NSA_2016_4T!$F$132</f>
        <v>80.168099999999995</v>
      </c>
      <c r="AE66" s="188">
        <f>[39]SAS_NSA_2017_1T!$F$132</f>
        <v>80.240200000000002</v>
      </c>
      <c r="AF66" s="188">
        <f>[40]SAS_NSA_2017_2T!$F$132</f>
        <v>80.298299999999998</v>
      </c>
      <c r="AG66" s="188">
        <f>[41]SAS_NSA_2017_3T!$F$132</f>
        <v>80.394099999999995</v>
      </c>
      <c r="AH66" s="188">
        <f>[42]SAS_NSA_2017_4T!$F$132</f>
        <v>80.466300000000004</v>
      </c>
      <c r="AI66" s="188">
        <f>[43]SAS_NSA_2018_1T!$F$196</f>
        <v>80.552099999999996</v>
      </c>
      <c r="AJ66" s="188">
        <f>[44]SAS_NSA_2018_2T!$F$134</f>
        <v>80.633799999999994</v>
      </c>
      <c r="AK66" s="291">
        <f>[45]SAS_NSA_2018_3T!$F$196</f>
        <v>80.686599999999999</v>
      </c>
      <c r="AL66" s="291">
        <f>[46]SAS_NSA_2018_4T!$F$196</f>
        <v>80.734800000000007</v>
      </c>
      <c r="AM66" s="188">
        <f>[47]SAS_NSA_2019_1T!$F$196</f>
        <v>80.801500000000004</v>
      </c>
      <c r="AN66" s="188">
        <f>[48]SAS_NSA_2019_2T!$F$196</f>
        <v>80.843599999999995</v>
      </c>
      <c r="AO66" s="188">
        <f>[49]SAS_NSA_2019_3T!$F196</f>
        <v>80.901700000000005</v>
      </c>
      <c r="AP66" s="188">
        <f>[50]SAS_NSA_2019_4T!$F$196</f>
        <v>80.9572</v>
      </c>
      <c r="AQ66" s="188">
        <f>[51]SAS_NSA_2020_1T!$F$181</f>
        <v>81.037000000000006</v>
      </c>
      <c r="AR66" s="188">
        <f>[52]SAS_NSA_2020_2T!$F$181</f>
        <v>81.102000000000004</v>
      </c>
      <c r="AS66" s="188">
        <f>[53]SAS_NSA_2020_3T!$F$181</f>
        <v>81.1631</v>
      </c>
      <c r="AT66" s="188">
        <f>[54]SAS_NSA_2020_4T!$F$181</f>
        <v>81.224599999999995</v>
      </c>
      <c r="AU66" s="188">
        <f>[55]SAS_NSA_2021_1T!$F181</f>
        <v>81.250100000000003</v>
      </c>
      <c r="AV66" s="188">
        <f>[56]SAS_NSA_2021_2T!$F$181</f>
        <v>81.313699999999997</v>
      </c>
      <c r="AW66" s="188">
        <f>[57]SAS_NSA_2021_3T!$F$181</f>
        <v>81.379099999999994</v>
      </c>
      <c r="AX66" s="417">
        <f>[58]SAS_NSA_2021_4T!$F$59</f>
        <v>81.424039741550104</v>
      </c>
      <c r="AY66" s="188">
        <f>[59]SAS_NSA_2022_1T!$F$59</f>
        <v>81.480928328833897</v>
      </c>
      <c r="AZ66" s="188">
        <f>[60]SAS_NSA_2022_2T!$F$59</f>
        <v>81.511572472126105</v>
      </c>
      <c r="BA66" s="188">
        <f>[61]SAS_NSA_2022_3T!$F$59</f>
        <v>81.580434086971906</v>
      </c>
      <c r="BB66" s="188">
        <f>[62]SAS_NSA_2022_4T!$F$59</f>
        <v>81.637515618607395</v>
      </c>
      <c r="BC66" s="188">
        <f>[2]SAS_NSA_2023_1T!$F$59</f>
        <v>81.648439765351398</v>
      </c>
      <c r="BD66" s="188">
        <f>[3]SAS_NSA_2023_2T!$F$59</f>
        <v>81.6847694446937</v>
      </c>
      <c r="BE66" s="188">
        <f>[4]SAS_NSA_2023_3T!$F$59</f>
        <v>81.752766158413195</v>
      </c>
      <c r="BF66" s="188">
        <f>[5]SAS_NSA_2023_4T!$F$59</f>
        <v>81.764035491144099</v>
      </c>
      <c r="BG66" s="188">
        <f>[6]SAS_NSA_2024_1T!$F$59</f>
        <v>81.811252289118499</v>
      </c>
      <c r="BH66" s="188">
        <f>[7]SAS_NSA_2024_2T!$F$59</f>
        <v>81.859196255280295</v>
      </c>
      <c r="BI66" s="188">
        <f>[8]SAS_NSA_2024_3T!$F$59</f>
        <v>81.910010808821895</v>
      </c>
      <c r="BJ66" s="188">
        <f>[9]SAS_NSA_2024_4T!$F$59</f>
        <v>81.938755969822097</v>
      </c>
    </row>
    <row r="67" spans="1:62" x14ac:dyDescent="0.25">
      <c r="A67" s="306" t="s">
        <v>18</v>
      </c>
      <c r="B67" s="29">
        <f>[63]SAS_NSA_4T2009!$F$133</f>
        <v>81.729900000000001</v>
      </c>
      <c r="C67" s="48">
        <f>[11]SAS_NSA_1T2010!$F$133</f>
        <v>81.840999999999994</v>
      </c>
      <c r="D67" s="48">
        <f>[12]SAS_NSA_2T2010!$F$133</f>
        <v>81.9298</v>
      </c>
      <c r="E67" s="48">
        <f>[13]SAS_NSA_3T2010!$F$133</f>
        <v>82.028400000000005</v>
      </c>
      <c r="F67" s="48">
        <f>[14]SAS_NSA_2010_4T!$F$133</f>
        <v>82.131299999999996</v>
      </c>
      <c r="G67" s="48">
        <f>[15]SAS_NSA_2011_1T!$F$133</f>
        <v>82.237700000000004</v>
      </c>
      <c r="H67" s="48">
        <f>[16]SAS_NSA_2011_2T!$F$133</f>
        <v>82.325699999999998</v>
      </c>
      <c r="I67" s="48">
        <f>[17]SAS_NSA_2011_3T!$F$133</f>
        <v>82.431299999999993</v>
      </c>
      <c r="J67" s="48">
        <f>[18]SAS_NSA_2011_4T!$F$133</f>
        <v>82.538200000000003</v>
      </c>
      <c r="K67" s="48">
        <f>[19]SAS_NSA_2012_1T!$F$133</f>
        <v>82.652900000000002</v>
      </c>
      <c r="L67" s="48">
        <f>'[20]120919-14H22S23-PROGRAM-TdB_STO'!$F$133</f>
        <v>82.7376</v>
      </c>
      <c r="M67" s="48">
        <f>'[21]121105-15H12S18-PROGRAM-TdB_STO'!$F$133</f>
        <v>82.838999999999999</v>
      </c>
      <c r="N67" s="48">
        <f>[22]SAS_NSA_2012_4T!$F$133</f>
        <v>82.947999999999993</v>
      </c>
      <c r="O67" s="48">
        <f>[23]SAS_NSA_2013_1T!$F$133</f>
        <v>83.058099999999996</v>
      </c>
      <c r="P67" s="48">
        <f>[24]SAS_NSA_2013_2T!$F$133</f>
        <v>83.141800000000003</v>
      </c>
      <c r="Q67" s="48">
        <f>[25]SAS_NSA_2013_3T!$F$133</f>
        <v>83.242800000000003</v>
      </c>
      <c r="R67" s="188">
        <f>[26]SAS_NSA_2013_4T!$F$133</f>
        <v>83.345500000000001</v>
      </c>
      <c r="S67" s="188">
        <f>[27]SAS_NSA_2014_1T!$F$133</f>
        <v>83.457499999999996</v>
      </c>
      <c r="T67" s="188">
        <f>[28]SAS_NSA_2014_2T!$F$133</f>
        <v>83.565299999999993</v>
      </c>
      <c r="U67" s="188">
        <f>[29]SAS_NSA_2014_3T!$F$133</f>
        <v>83.671099999999996</v>
      </c>
      <c r="V67" s="188">
        <f>[30]SAS_NSA_2014_4T!$F$133</f>
        <v>83.774199999999993</v>
      </c>
      <c r="W67" s="188">
        <f>[31]SAS_NSA_2015_1T!$F$133</f>
        <v>83.9</v>
      </c>
      <c r="X67" s="188">
        <f>[32]SAS_NSA_2015_2T!$F$133</f>
        <v>83.944699999999997</v>
      </c>
      <c r="Y67" s="188">
        <f>[33]SAS_NSA_2015_3T!$F$133</f>
        <v>84.037899999999993</v>
      </c>
      <c r="Z67" s="188">
        <f>[34]SAS_NSA_2015_4T!$F$133</f>
        <v>84.131399999999999</v>
      </c>
      <c r="AA67" s="188">
        <f>[35]SAS_NSA_2016_1T!$F$133</f>
        <v>84.220799999999997</v>
      </c>
      <c r="AB67" s="188">
        <f>[36]SAS_NSA_2016_2T!$F$133</f>
        <v>84.300200000000004</v>
      </c>
      <c r="AC67" s="188">
        <f>[37]SAS_NSA_2016_3T!$F$133</f>
        <v>84.391800000000003</v>
      </c>
      <c r="AD67" s="188">
        <f>[38]SAS_NSA_2016_4T!$F$133</f>
        <v>84.48</v>
      </c>
      <c r="AE67" s="188">
        <f>[39]SAS_NSA_2017_1T!$F$133</f>
        <v>84.558199999999999</v>
      </c>
      <c r="AF67" s="188">
        <f>[40]SAS_NSA_2017_2T!$F$133</f>
        <v>84.617400000000004</v>
      </c>
      <c r="AG67" s="188">
        <f>[41]SAS_NSA_2017_3T!$F$133</f>
        <v>84.704800000000006</v>
      </c>
      <c r="AH67" s="188">
        <f>[42]SAS_NSA_2017_4T!$F$133</f>
        <v>84.786799999999999</v>
      </c>
      <c r="AI67" s="188">
        <f>[43]SAS_NSA_2018_1T!$F$197</f>
        <v>84.863900000000001</v>
      </c>
      <c r="AJ67" s="188">
        <f>[44]SAS_NSA_2018_2T!$F$135</f>
        <v>84.937799999999996</v>
      </c>
      <c r="AK67" s="291">
        <f>[45]SAS_NSA_2018_3T!$F$197</f>
        <v>84.995999999999995</v>
      </c>
      <c r="AL67" s="291">
        <f>[46]SAS_NSA_2018_4T!$F$197</f>
        <v>85.065899999999999</v>
      </c>
      <c r="AM67" s="188">
        <f>[47]SAS_NSA_2019_1T!$F$197</f>
        <v>85.129199999999997</v>
      </c>
      <c r="AN67" s="188">
        <f>[48]SAS_NSA_2019_2T!$F$197</f>
        <v>85.1845</v>
      </c>
      <c r="AO67" s="188">
        <f>[49]SAS_NSA_2019_3T!$F197</f>
        <v>85.253200000000007</v>
      </c>
      <c r="AP67" s="188">
        <f>[50]SAS_NSA_2019_4T!$F$197</f>
        <v>85.317800000000005</v>
      </c>
      <c r="AQ67" s="188">
        <f>[51]SAS_NSA_2020_1T!$F$182</f>
        <v>85.387</v>
      </c>
      <c r="AR67" s="188">
        <f>[52]SAS_NSA_2020_2T!$F$182</f>
        <v>85.432000000000002</v>
      </c>
      <c r="AS67" s="188">
        <f>[53]SAS_NSA_2020_3T!$F$182</f>
        <v>85.502499999999998</v>
      </c>
      <c r="AT67" s="188">
        <f>[54]SAS_NSA_2020_4T!$F$182</f>
        <v>85.558899999999994</v>
      </c>
      <c r="AU67" s="188">
        <f>[55]SAS_NSA_2021_1T!$F182</f>
        <v>85.584500000000006</v>
      </c>
      <c r="AV67" s="188">
        <f>[56]SAS_NSA_2021_2T!$F$182</f>
        <v>85.617599999999996</v>
      </c>
      <c r="AW67" s="188">
        <f>[57]SAS_NSA_2021_3T!$F$182</f>
        <v>85.679599999999994</v>
      </c>
      <c r="AX67" s="417">
        <f>[58]SAS_NSA_2021_4T!$F$60</f>
        <v>85.742366012424597</v>
      </c>
      <c r="AY67" s="188">
        <f>[59]SAS_NSA_2022_1T!$F$60</f>
        <v>85.788917472015598</v>
      </c>
      <c r="AZ67" s="188">
        <f>[60]SAS_NSA_2022_2T!$F$60</f>
        <v>85.808527543414598</v>
      </c>
      <c r="BA67" s="188">
        <f>[61]SAS_NSA_2022_3T!$F$60</f>
        <v>85.862515933715798</v>
      </c>
      <c r="BB67" s="188">
        <f>[62]SAS_NSA_2022_4T!$F$60</f>
        <v>85.931760068400493</v>
      </c>
      <c r="BC67" s="188">
        <f>[2]SAS_NSA_2023_1T!$F$60</f>
        <v>85.919130905156905</v>
      </c>
      <c r="BD67" s="188">
        <f>[3]SAS_NSA_2023_2T!$F$60</f>
        <v>85.937482845522396</v>
      </c>
      <c r="BE67" s="188">
        <f>[4]SAS_NSA_2023_3T!$F$60</f>
        <v>85.979124516810202</v>
      </c>
      <c r="BF67" s="188">
        <f>[5]SAS_NSA_2023_4T!$F$60</f>
        <v>86.026466492565405</v>
      </c>
      <c r="BG67" s="188">
        <f>[6]SAS_NSA_2024_1T!$F$60</f>
        <v>86.052710209758999</v>
      </c>
      <c r="BH67" s="188">
        <f>[7]SAS_NSA_2024_2T!$F$60</f>
        <v>86.069450570566403</v>
      </c>
      <c r="BI67" s="188">
        <f>[8]SAS_NSA_2024_3T!$F$60</f>
        <v>86.111233148505804</v>
      </c>
      <c r="BJ67" s="188">
        <f>[9]SAS_NSA_2024_4T!$F$60</f>
        <v>86.151298408114599</v>
      </c>
    </row>
    <row r="68" spans="1:62" x14ac:dyDescent="0.25">
      <c r="A68" s="307" t="s">
        <v>29</v>
      </c>
      <c r="B68" s="29">
        <f>[63]SAS_NSA_4T2009!$F$130</f>
        <v>76.682199999999995</v>
      </c>
      <c r="C68" s="48">
        <f>[11]SAS_NSA_1T2010!$F$130</f>
        <v>76.746099999999998</v>
      </c>
      <c r="D68" s="48">
        <f>[12]SAS_NSA_2T2010!$F$130</f>
        <v>76.8249</v>
      </c>
      <c r="E68" s="48">
        <f>[13]SAS_NSA_3T2010!$F$130</f>
        <v>76.913899999999998</v>
      </c>
      <c r="F68" s="48">
        <f>[14]SAS_NSA_2010_4T!$F$130</f>
        <v>76.988699999999994</v>
      </c>
      <c r="G68" s="48">
        <f>[15]SAS_NSA_2011_1T!$F$130</f>
        <v>77.061999999999998</v>
      </c>
      <c r="H68" s="48">
        <f>[16]SAS_NSA_2011_2T!$F$130</f>
        <v>77.137699999999995</v>
      </c>
      <c r="I68" s="48">
        <f>[17]SAS_NSA_2011_3T!$F$130</f>
        <v>77.243499999999997</v>
      </c>
      <c r="J68" s="48">
        <f>[18]SAS_NSA_2011_4T!$F$130</f>
        <v>77.343299999999999</v>
      </c>
      <c r="K68" s="48">
        <f>[19]SAS_NSA_2012_1T!$F$130</f>
        <v>77.421999999999997</v>
      </c>
      <c r="L68" s="48">
        <f>'[20]120919-14H22S23-PROGRAM-TdB_STO'!$F$130</f>
        <v>77.500799999999998</v>
      </c>
      <c r="M68" s="48">
        <f>'[21]121105-15H12S18-PROGRAM-TdB_STO'!$F$130</f>
        <v>77.613500000000002</v>
      </c>
      <c r="N68" s="48">
        <f>[22]SAS_NSA_2012_4T!$F$130</f>
        <v>77.705399999999997</v>
      </c>
      <c r="O68" s="48">
        <f>[23]SAS_NSA_2013_1T!$F$130</f>
        <v>77.772599999999997</v>
      </c>
      <c r="P68" s="48">
        <f>[24]SAS_NSA_2013_2T!$F$130</f>
        <v>77.835700000000003</v>
      </c>
      <c r="Q68" s="48">
        <f>[25]SAS_NSA_2013_3T!$F$130</f>
        <v>77.914100000000005</v>
      </c>
      <c r="R68" s="188">
        <f>[26]SAS_NSA_2013_4T!$F$130</f>
        <v>77.990200000000002</v>
      </c>
      <c r="S68" s="188">
        <f>[27]SAS_NSA_2014_1T!$F$130</f>
        <v>78.074399999999997</v>
      </c>
      <c r="T68" s="188">
        <f>[28]SAS_NSA_2014_2T!$F$130</f>
        <v>78.151600000000002</v>
      </c>
      <c r="U68" s="188">
        <f>[29]SAS_NSA_2014_3T!$F$130</f>
        <v>78.234399999999994</v>
      </c>
      <c r="V68" s="188">
        <f>[30]SAS_NSA_2014_4T!$F$130</f>
        <v>78.296499999999995</v>
      </c>
      <c r="W68" s="188">
        <f>[31]SAS_NSA_2015_1T!$F$130</f>
        <v>78.3</v>
      </c>
      <c r="X68" s="188">
        <f>[32]SAS_NSA_2015_2T!$F$130</f>
        <v>78.4011</v>
      </c>
      <c r="Y68" s="188">
        <f>[33]SAS_NSA_2015_3T!$F$130</f>
        <v>78.479900000000001</v>
      </c>
      <c r="Z68" s="188">
        <f>[34]SAS_NSA_2015_4T!$F$130</f>
        <v>78.532700000000006</v>
      </c>
      <c r="AA68" s="188">
        <f>[35]SAS_NSA_2016_1T!$F$130</f>
        <v>78.562600000000003</v>
      </c>
      <c r="AB68" s="188">
        <f>[36]SAS_NSA_2016_2T!$F$130</f>
        <v>78.607100000000003</v>
      </c>
      <c r="AC68" s="188">
        <f>[37]SAS_NSA_2016_3T!$F$130</f>
        <v>78.665300000000002</v>
      </c>
      <c r="AD68" s="188">
        <f>[38]SAS_NSA_2016_4T!$F$130</f>
        <v>78.727900000000005</v>
      </c>
      <c r="AE68" s="188">
        <f>[39]SAS_NSA_2017_1T!$F$130</f>
        <v>78.751400000000004</v>
      </c>
      <c r="AF68" s="188">
        <f>[40]SAS_NSA_2017_2T!$F$130</f>
        <v>78.777299999999997</v>
      </c>
      <c r="AG68" s="188">
        <f>[41]SAS_NSA_2017_3T!$F$130</f>
        <v>78.822699999999998</v>
      </c>
      <c r="AH68" s="188">
        <f>[42]SAS_NSA_2017_4T!$F$130</f>
        <v>78.846999999999994</v>
      </c>
      <c r="AI68" s="188">
        <f>[43]SAS_NSA_2018_1T!$F$194</f>
        <v>78.840800000000002</v>
      </c>
      <c r="AJ68" s="188">
        <f>[44]SAS_NSA_2018_2T!$F$132</f>
        <v>78.874399999999994</v>
      </c>
      <c r="AK68" s="291">
        <f>[45]SAS_NSA_2018_3T!$F$194</f>
        <v>78.902900000000002</v>
      </c>
      <c r="AL68" s="291">
        <f>[46]SAS_NSA_2018_4T!$F$194</f>
        <v>78.919799999999995</v>
      </c>
      <c r="AM68" s="188">
        <f>[47]SAS_NSA_2019_1T!$F$194</f>
        <v>78.915599999999998</v>
      </c>
      <c r="AN68" s="188">
        <f>[48]SAS_NSA_2019_2T!$F$194</f>
        <v>78.934700000000007</v>
      </c>
      <c r="AO68" s="188">
        <f>[49]SAS_NSA_2019_3T!$F$194</f>
        <v>78.967600000000004</v>
      </c>
      <c r="AP68" s="188">
        <f>[50]SAS_NSA_2019_4T!$F$194</f>
        <v>78.972999999999999</v>
      </c>
      <c r="AQ68" s="188">
        <f>[51]SAS_NSA_2020_1T!$F$179</f>
        <v>78.971999999999994</v>
      </c>
      <c r="AR68" s="188">
        <f>[52]SAS_NSA_2020_2T!$F$179</f>
        <v>78.991</v>
      </c>
      <c r="AS68" s="188">
        <f>[53]SAS_NSA_2020_3T!$F$179</f>
        <v>79.029899999999998</v>
      </c>
      <c r="AT68" s="188">
        <f>[54]SAS_NSA_2020_4T!$F$179</f>
        <v>79.038499999999999</v>
      </c>
      <c r="AU68" s="188">
        <f>[55]SAS_NSA_2021_1T!$F$179</f>
        <v>78.997600000000006</v>
      </c>
      <c r="AV68" s="188">
        <f>[56]SAS_NSA_2021_2T!$F$179</f>
        <v>79.009900000000002</v>
      </c>
      <c r="AW68" s="188">
        <f>[57]SAS_NSA_2021_3T!$F$179</f>
        <v>79.044899999999998</v>
      </c>
      <c r="AX68" s="417">
        <f>[58]SAS_NSA_2021_4T!$F$57</f>
        <v>79.048020864283103</v>
      </c>
      <c r="AY68" s="188">
        <f>[59]SAS_NSA_2022_1T!$F$57</f>
        <v>79.014596804631594</v>
      </c>
      <c r="AZ68" s="188">
        <f>[60]SAS_NSA_2022_2T!$F$57</f>
        <v>79.008520011846898</v>
      </c>
      <c r="BA68" s="188">
        <f>[61]SAS_NSA_2022_3T!$F$57</f>
        <v>79.031848220249003</v>
      </c>
      <c r="BB68" s="188">
        <f>[62]SAS_NSA_2022_4T!$F$57</f>
        <v>79.036179092472295</v>
      </c>
      <c r="BC68" s="188">
        <f>[2]SAS_NSA_2023_1T!$F$57</f>
        <v>78.954773782796707</v>
      </c>
      <c r="BD68" s="188">
        <f>[3]SAS_NSA_2023_2T!$F$57</f>
        <v>78.948696632183797</v>
      </c>
      <c r="BE68" s="188">
        <f>[4]SAS_NSA_2023_3T!$F$57</f>
        <v>78.962198301236199</v>
      </c>
      <c r="BF68" s="188">
        <f>[5]SAS_NSA_2023_4T!$F$57</f>
        <v>78.9835756086689</v>
      </c>
      <c r="BG68" s="188">
        <f>[6]SAS_NSA_2024_1T!$F$57</f>
        <v>78.956549830398998</v>
      </c>
      <c r="BH68" s="188">
        <f>[7]SAS_NSA_2024_2T!$F$57</f>
        <v>78.967200892849206</v>
      </c>
      <c r="BI68" s="188">
        <f>[8]SAS_NSA_2024_3T!$F$57</f>
        <v>78.993866357541194</v>
      </c>
      <c r="BJ68" s="188">
        <f>[9]SAS_NSA_2024_4T!$F$57</f>
        <v>78.994558545013803</v>
      </c>
    </row>
    <row r="69" spans="1:62" ht="13.5" thickBot="1" x14ac:dyDescent="0.35">
      <c r="A69" s="299"/>
      <c r="B69" s="11"/>
      <c r="C69" s="36"/>
      <c r="D69" s="36"/>
      <c r="E69" s="36"/>
      <c r="F69" s="36"/>
      <c r="G69" s="36"/>
      <c r="H69" s="36"/>
      <c r="I69" s="36"/>
      <c r="J69" s="36"/>
      <c r="K69" s="143"/>
      <c r="L69" s="143"/>
      <c r="M69" s="143"/>
      <c r="N69" s="143"/>
      <c r="O69" s="143"/>
      <c r="P69" s="143"/>
      <c r="Q69" s="143"/>
      <c r="R69" s="36"/>
      <c r="S69" s="36"/>
      <c r="T69" s="36"/>
      <c r="U69" s="36"/>
      <c r="V69" s="36"/>
      <c r="W69" s="36"/>
      <c r="X69" s="36"/>
      <c r="Y69" s="36"/>
      <c r="Z69" s="36"/>
      <c r="AA69" s="36"/>
      <c r="AB69" s="36"/>
      <c r="AC69" s="36"/>
      <c r="AD69" s="36"/>
      <c r="AE69" s="36"/>
      <c r="AF69" s="36"/>
      <c r="AG69" s="36"/>
      <c r="AH69" s="36"/>
      <c r="AI69" s="36"/>
      <c r="AJ69" s="36"/>
      <c r="AM69" s="36"/>
      <c r="AN69" s="36"/>
      <c r="AO69" s="36"/>
      <c r="AP69" s="36"/>
      <c r="AQ69" s="36"/>
      <c r="AR69" s="36"/>
      <c r="AS69" s="36"/>
      <c r="AT69" s="36"/>
      <c r="AU69" s="36"/>
      <c r="AV69" s="36"/>
      <c r="AW69" s="36"/>
      <c r="AX69" s="418"/>
      <c r="AY69" s="36"/>
      <c r="AZ69" s="36"/>
      <c r="BA69" s="36"/>
      <c r="BB69" s="36"/>
      <c r="BC69" s="36"/>
      <c r="BD69" s="36"/>
      <c r="BE69" s="36"/>
      <c r="BF69" s="36"/>
      <c r="BG69" s="36"/>
      <c r="BH69" s="36"/>
      <c r="BI69" s="36"/>
      <c r="BJ69" s="36"/>
    </row>
    <row r="70" spans="1:62" ht="13" x14ac:dyDescent="0.3">
      <c r="A70" s="305"/>
      <c r="B70" s="26"/>
      <c r="C70" s="41"/>
      <c r="D70" s="41"/>
      <c r="E70" s="41"/>
      <c r="F70" s="41"/>
      <c r="G70" s="41"/>
      <c r="H70" s="41"/>
      <c r="I70" s="41"/>
      <c r="J70" s="41"/>
      <c r="K70" s="147"/>
      <c r="L70" s="147"/>
      <c r="M70" s="147"/>
      <c r="N70" s="147"/>
      <c r="O70" s="147"/>
      <c r="P70" s="147"/>
      <c r="Q70" s="147"/>
      <c r="R70" s="41"/>
      <c r="S70" s="41"/>
      <c r="T70" s="41"/>
      <c r="U70" s="41"/>
      <c r="V70" s="41"/>
      <c r="W70" s="41"/>
      <c r="X70" s="41"/>
      <c r="Y70" s="41"/>
      <c r="Z70" s="41"/>
      <c r="AA70" s="41"/>
      <c r="AB70" s="41"/>
      <c r="AC70" s="41"/>
      <c r="AD70" s="41"/>
      <c r="AE70" s="41"/>
      <c r="AF70" s="41"/>
      <c r="AG70" s="41"/>
      <c r="AH70" s="41"/>
      <c r="AI70" s="41"/>
      <c r="AJ70" s="41"/>
      <c r="AM70" s="41"/>
      <c r="AN70" s="41"/>
      <c r="AO70" s="41"/>
      <c r="AP70" s="41"/>
      <c r="AQ70" s="41"/>
      <c r="AR70" s="41"/>
      <c r="AS70" s="41"/>
      <c r="AT70" s="41"/>
      <c r="AU70" s="41"/>
      <c r="AV70" s="41"/>
      <c r="AW70" s="41"/>
      <c r="AX70" s="406"/>
      <c r="AY70" s="41"/>
      <c r="AZ70" s="41"/>
      <c r="BA70" s="41"/>
      <c r="BB70" s="41"/>
      <c r="BC70" s="41"/>
      <c r="BD70" s="41"/>
      <c r="BE70" s="41"/>
      <c r="BF70" s="41"/>
      <c r="BG70" s="41"/>
      <c r="BH70" s="41"/>
      <c r="BI70" s="41"/>
      <c r="BJ70" s="41"/>
    </row>
    <row r="71" spans="1:62" ht="13" x14ac:dyDescent="0.3">
      <c r="A71" s="380" t="s">
        <v>245</v>
      </c>
      <c r="B71" s="26"/>
      <c r="C71" s="41"/>
      <c r="D71" s="41"/>
      <c r="E71" s="41"/>
      <c r="F71" s="41"/>
      <c r="G71" s="41"/>
      <c r="H71" s="41"/>
      <c r="I71" s="41"/>
      <c r="J71" s="41"/>
      <c r="K71" s="147"/>
      <c r="L71" s="147"/>
      <c r="M71" s="147"/>
      <c r="N71" s="147"/>
      <c r="O71" s="147"/>
      <c r="P71" s="147"/>
      <c r="Q71" s="147"/>
      <c r="R71" s="41"/>
      <c r="S71" s="41"/>
      <c r="T71" s="41"/>
      <c r="U71" s="41"/>
      <c r="V71" s="41"/>
      <c r="W71" s="41"/>
      <c r="X71" s="41"/>
      <c r="Y71" s="41"/>
      <c r="Z71" s="41"/>
      <c r="AA71" s="41"/>
      <c r="AB71" s="41"/>
      <c r="AC71" s="41"/>
      <c r="AD71" s="41"/>
      <c r="AE71" s="41"/>
      <c r="AF71" s="41"/>
      <c r="AG71" s="41"/>
      <c r="AH71" s="41"/>
      <c r="AI71" s="41"/>
      <c r="AJ71" s="41"/>
      <c r="AM71" s="41"/>
      <c r="AN71" s="41"/>
      <c r="AO71" s="41"/>
      <c r="AP71" s="41"/>
      <c r="AQ71" s="41"/>
      <c r="AR71" s="41"/>
      <c r="AS71" s="41"/>
      <c r="AT71" s="41"/>
      <c r="AU71" s="41"/>
      <c r="AV71" s="41"/>
      <c r="AW71" s="41"/>
      <c r="AX71" s="406"/>
      <c r="AY71" s="41"/>
      <c r="AZ71" s="41"/>
      <c r="BA71" s="41"/>
      <c r="BB71" s="377" t="s">
        <v>241</v>
      </c>
      <c r="BC71" s="377"/>
      <c r="BD71" s="377"/>
      <c r="BE71" s="377"/>
      <c r="BF71" s="377"/>
      <c r="BG71" s="377"/>
      <c r="BH71" s="377"/>
      <c r="BI71" s="377"/>
      <c r="BJ71" s="377"/>
    </row>
    <row r="72" spans="1:62" x14ac:dyDescent="0.25">
      <c r="A72" s="305"/>
      <c r="B72" s="27" t="str">
        <f t="shared" ref="B72:G72" si="184">B8</f>
        <v>4eme T 2009</v>
      </c>
      <c r="C72" s="49" t="str">
        <f t="shared" si="184"/>
        <v>1er T 2010</v>
      </c>
      <c r="D72" s="49" t="str">
        <f t="shared" si="184"/>
        <v>2eme T 2010</v>
      </c>
      <c r="E72" s="49" t="str">
        <f t="shared" si="184"/>
        <v>3eme T 2010</v>
      </c>
      <c r="F72" s="49" t="str">
        <f t="shared" si="184"/>
        <v>4eme T 2010</v>
      </c>
      <c r="G72" s="49" t="str">
        <f t="shared" si="184"/>
        <v>1er T 2011</v>
      </c>
      <c r="H72" s="49" t="str">
        <f t="shared" ref="H72:M72" si="185">H8</f>
        <v>2eme T 2011</v>
      </c>
      <c r="I72" s="49" t="str">
        <f t="shared" si="185"/>
        <v>3eme T 2011</v>
      </c>
      <c r="J72" s="49" t="str">
        <f t="shared" si="185"/>
        <v>4eme T 2011</v>
      </c>
      <c r="K72" s="49" t="str">
        <f t="shared" si="185"/>
        <v>1er T 2012</v>
      </c>
      <c r="L72" s="49" t="str">
        <f t="shared" si="185"/>
        <v>2eme T 2012</v>
      </c>
      <c r="M72" s="49" t="str">
        <f t="shared" si="185"/>
        <v>3eme T 2012</v>
      </c>
      <c r="N72" s="49" t="str">
        <f t="shared" ref="N72:S72" si="186">N8</f>
        <v>4eme T 2012</v>
      </c>
      <c r="O72" s="49" t="str">
        <f t="shared" si="186"/>
        <v>1er T 2013</v>
      </c>
      <c r="P72" s="49" t="str">
        <f t="shared" si="186"/>
        <v>2eme T 2013</v>
      </c>
      <c r="Q72" s="49" t="str">
        <f t="shared" si="186"/>
        <v>3ème T 2013</v>
      </c>
      <c r="R72" s="189" t="str">
        <f t="shared" si="186"/>
        <v>4ème T 2013</v>
      </c>
      <c r="S72" s="189" t="str">
        <f t="shared" si="186"/>
        <v>1er T 2014</v>
      </c>
      <c r="T72" s="189" t="str">
        <f t="shared" ref="T72:U72" si="187">T8</f>
        <v>2eme T 2014</v>
      </c>
      <c r="U72" s="189" t="str">
        <f t="shared" si="187"/>
        <v>3T 2014</v>
      </c>
      <c r="V72" s="189" t="str">
        <f t="shared" ref="V72:W72" si="188">V8</f>
        <v>4ème T 2014</v>
      </c>
      <c r="W72" s="189" t="str">
        <f t="shared" si="188"/>
        <v>1er T 2015</v>
      </c>
      <c r="X72" s="189" t="str">
        <f t="shared" ref="X72:Y72" si="189">X8</f>
        <v>2e T 2015</v>
      </c>
      <c r="Y72" s="189" t="str">
        <f t="shared" si="189"/>
        <v>3e T 2015</v>
      </c>
      <c r="Z72" s="189" t="str">
        <f t="shared" ref="Z72:AA72" si="190">Z8</f>
        <v>4e T 2015</v>
      </c>
      <c r="AA72" s="189" t="str">
        <f t="shared" si="190"/>
        <v>1er T 2016</v>
      </c>
      <c r="AB72" s="189" t="str">
        <f t="shared" ref="AB72:AH72" si="191">AB8</f>
        <v>2e T 2016</v>
      </c>
      <c r="AC72" s="189" t="str">
        <f t="shared" si="191"/>
        <v>3e T 2016</v>
      </c>
      <c r="AD72" s="189" t="str">
        <f t="shared" si="191"/>
        <v>4e T 2016</v>
      </c>
      <c r="AE72" s="189" t="str">
        <f t="shared" si="191"/>
        <v>2017 - T1</v>
      </c>
      <c r="AF72" s="189" t="str">
        <f t="shared" si="191"/>
        <v>2017 - T2</v>
      </c>
      <c r="AG72" s="189" t="str">
        <f t="shared" si="191"/>
        <v>2017- T3</v>
      </c>
      <c r="AH72" s="189" t="str">
        <f t="shared" si="191"/>
        <v>2017 - T4</v>
      </c>
      <c r="AI72" s="189" t="str">
        <f t="shared" ref="AI72:AJ72" si="192">AI8</f>
        <v>2018 - T1</v>
      </c>
      <c r="AJ72" s="189" t="str">
        <f t="shared" si="192"/>
        <v>2018 - T2</v>
      </c>
      <c r="AK72" s="178" t="s">
        <v>204</v>
      </c>
      <c r="AL72" s="178" t="s">
        <v>206</v>
      </c>
      <c r="AM72" s="189" t="str">
        <f t="shared" ref="AM72:AN72" si="193">AM8</f>
        <v>2019 - T1</v>
      </c>
      <c r="AN72" s="189" t="str">
        <f t="shared" si="193"/>
        <v>2019 - T2</v>
      </c>
      <c r="AO72" s="189" t="str">
        <f t="shared" ref="AO72" si="194">AO8</f>
        <v>2019 - T3</v>
      </c>
      <c r="AP72" s="189" t="s">
        <v>214</v>
      </c>
      <c r="AQ72" s="189" t="str">
        <f t="shared" ref="AQ72:AV72" si="195">AQ8</f>
        <v>2020 - T1</v>
      </c>
      <c r="AR72" s="189" t="str">
        <f t="shared" si="195"/>
        <v>2020 - T2</v>
      </c>
      <c r="AS72" s="189" t="str">
        <f t="shared" si="195"/>
        <v>2020 - T3</v>
      </c>
      <c r="AT72" s="189" t="str">
        <f t="shared" si="195"/>
        <v>2020- T4</v>
      </c>
      <c r="AU72" s="189" t="str">
        <f t="shared" si="195"/>
        <v>2021- T1</v>
      </c>
      <c r="AV72" s="189" t="str">
        <f t="shared" si="195"/>
        <v>2021- T2</v>
      </c>
      <c r="AW72" s="189" t="str">
        <f t="shared" ref="AW72:AX72" si="196">AW8</f>
        <v>2021- T3</v>
      </c>
      <c r="AX72" s="419" t="str">
        <f t="shared" si="196"/>
        <v>2021- T4</v>
      </c>
      <c r="AY72" s="189" t="str">
        <f t="shared" ref="AY72:AZ72" si="197">AY8</f>
        <v>2022- T1</v>
      </c>
      <c r="AZ72" s="189" t="str">
        <f t="shared" si="197"/>
        <v>2022- T2</v>
      </c>
      <c r="BA72" s="189" t="str">
        <f t="shared" ref="BA72:BB72" si="198">BA8</f>
        <v>2022- T3</v>
      </c>
      <c r="BB72" s="189" t="str">
        <f t="shared" si="198"/>
        <v>2022- T4</v>
      </c>
      <c r="BC72" s="189" t="str">
        <f t="shared" ref="BC72:BD72" si="199">BC8</f>
        <v>2023- T1</v>
      </c>
      <c r="BD72" s="189" t="str">
        <f t="shared" si="199"/>
        <v>2023- T2</v>
      </c>
      <c r="BE72" s="189" t="str">
        <f t="shared" ref="BE72:BF72" si="200">BE8</f>
        <v>2023- T3</v>
      </c>
      <c r="BF72" s="189" t="str">
        <f t="shared" si="200"/>
        <v>2023- T4</v>
      </c>
      <c r="BG72" s="189" t="str">
        <f t="shared" ref="BG72:BH72" si="201">BG8</f>
        <v>2024- T1</v>
      </c>
      <c r="BH72" s="189" t="str">
        <f t="shared" si="201"/>
        <v>2024- T2</v>
      </c>
      <c r="BI72" s="189" t="str">
        <f t="shared" ref="BI72:BJ72" si="202">BI8</f>
        <v>2024- T3</v>
      </c>
      <c r="BJ72" s="189" t="str">
        <f t="shared" si="202"/>
        <v>2024- T4</v>
      </c>
    </row>
    <row r="73" spans="1:62" x14ac:dyDescent="0.25">
      <c r="A73" s="307" t="s">
        <v>254</v>
      </c>
      <c r="B73" s="33">
        <f>[63]SAS_NSA_4T2009!$F$107/[63]SAS_NSA_4T2009!$F$108</f>
        <v>0.80006847823839433</v>
      </c>
      <c r="C73" s="50">
        <f>[11]SAS_NSA_1T2010!$F$107/[11]SAS_NSA_1T2010!$F$108</f>
        <v>0.80403441843761103</v>
      </c>
      <c r="D73" s="50">
        <f>[12]SAS_NSA_2T2010!$F$107/[12]SAS_NSA_2T2010!$F$108</f>
        <v>0.808209016781965</v>
      </c>
      <c r="E73" s="50">
        <f>[13]SAS_NSA_3T2010!$F$107/[13]SAS_NSA_3T2010!$F$108</f>
        <v>0.81194129948888705</v>
      </c>
      <c r="F73" s="50">
        <f>[14]SAS_NSA_2010_4T!$F$107/[14]SAS_NSA_2010_4T!$F$108</f>
        <v>0.8153964623636285</v>
      </c>
      <c r="G73" s="50">
        <f>[15]SAS_NSA_2011_1T!$F$107/[15]SAS_NSA_2011_1T!$F$108</f>
        <v>0.81918671234215523</v>
      </c>
      <c r="H73" s="50">
        <f>[16]SAS_NSA_2011_2T!$F$107/[16]SAS_NSA_2011_2T!$F$108</f>
        <v>0.82318287127687262</v>
      </c>
      <c r="I73" s="50">
        <f>[17]SAS_NSA_2011_3T!$F$107/[17]SAS_NSA_2011_3T!$F$108</f>
        <v>0.82645035823299307</v>
      </c>
      <c r="J73" s="50">
        <f>[18]SAS_NSA_2011_4T!$F$107/[18]SAS_NSA_2011_4T!$F$108</f>
        <v>0.82962008354251016</v>
      </c>
      <c r="K73" s="50">
        <f>[19]SAS_NSA_2012_1T!$F$107/[19]SAS_NSA_2012_1T!$F$108</f>
        <v>0.83312013159804543</v>
      </c>
      <c r="L73" s="50">
        <f>'[20]120919-14H22S23-PROGRAM-TdB_STO'!$F$107/'[20]120919-14H22S23-PROGRAM-TdB_STO'!$F$108</f>
        <v>0.83727285406480589</v>
      </c>
      <c r="M73" s="50">
        <f>'[21]121105-15H12S18-PROGRAM-TdB_STO'!$F$107/'[21]121105-15H12S18-PROGRAM-TdB_STO'!$F$108</f>
        <v>0.84050814221610193</v>
      </c>
      <c r="N73" s="50">
        <f>[22]SAS_NSA_2012_4T!$F$107/[22]SAS_NSA_2012_4T!$F$108</f>
        <v>0.84345082038428965</v>
      </c>
      <c r="O73" s="50">
        <f>[23]SAS_NSA_2013_1T!$F$107/[23]SAS_NSA_2013_1T!$F$108</f>
        <v>0.84692594390748344</v>
      </c>
      <c r="P73" s="50">
        <f>[24]SAS_NSA_2013_2T!$F$107/[24]SAS_NSA_2013_2T!$F$108</f>
        <v>0.85074769867503863</v>
      </c>
      <c r="Q73" s="50">
        <f>[25]SAS_NSA_2013_3T!$F$107/[25]SAS_NSA_2013_3T!$F$108</f>
        <v>0.85385644244662506</v>
      </c>
      <c r="R73" s="190">
        <f>[26]SAS_NSA_2013_4T!$F$107/[26]SAS_NSA_2013_4T!$F$108</f>
        <v>0.85666384447801258</v>
      </c>
      <c r="S73" s="190">
        <f>[27]SAS_NSA_2014_1T!$F$107/[27]SAS_NSA_2014_1T!$F$108</f>
        <v>0.85965881845623116</v>
      </c>
      <c r="T73" s="190">
        <f>[28]SAS_NSA_2014_2T!$F$107/[28]SAS_NSA_2014_2T!$F$108</f>
        <v>0.86274689940284799</v>
      </c>
      <c r="U73" s="190">
        <f>[29]SAS_NSA_2014_3T!$F$107/[29]SAS_NSA_2014_3T!$F$108</f>
        <v>0.86560775961252445</v>
      </c>
      <c r="V73" s="190">
        <f>[30]SAS_NSA_2014_4T!$F$107/[30]SAS_NSA_2014_4T!$F$108</f>
        <v>0.86828881976398242</v>
      </c>
      <c r="W73" s="190">
        <f>[31]SAS_NSA_2015_1T!$F$107/[31]SAS_NSA_2015_1T!$F$108</f>
        <v>0.87139401209860823</v>
      </c>
      <c r="X73" s="190">
        <f>[32]SAS_NSA_2015_2T!$E$109</f>
        <v>0.87467836337192373</v>
      </c>
      <c r="Y73" s="190">
        <f>[33]SAS_NSA_2015_3T!$F$109</f>
        <v>0.87739014909930202</v>
      </c>
      <c r="Z73" s="190">
        <f>[34]SAS_NSA_2015_4T!$F$109</f>
        <v>0.87983175116344614</v>
      </c>
      <c r="AA73" s="190">
        <f>[35]SAS_NSA_2016_1T!$F$109</f>
        <v>0.88267118963929636</v>
      </c>
      <c r="AB73" s="190">
        <f>[36]SAS_NSA_2016_2T!$F$109</f>
        <v>0.88549852820816854</v>
      </c>
      <c r="AC73" s="190">
        <f>[37]SAS_NSA_2016_3T!$F$109</f>
        <v>0.88798440158438241</v>
      </c>
      <c r="AD73" s="190">
        <f>[38]SAS_NSA_2016_4T!$F$109</f>
        <v>0.89008860067004347</v>
      </c>
      <c r="AE73" s="190">
        <f>[39]SAS_NSA_2017_1T!$F$109</f>
        <v>0.892858824977248</v>
      </c>
      <c r="AF73" s="190">
        <f>[40]SAS_NSA_2017_2T!$F$109</f>
        <v>0.89572123062073583</v>
      </c>
      <c r="AG73" s="190">
        <f>[41]SAS_NSA_2017_3T!$F$109</f>
        <v>0.8978845386543326</v>
      </c>
      <c r="AH73" s="190">
        <f>[42]SAS_NSA_2017_4T!$F$109</f>
        <v>0.89981437143955301</v>
      </c>
      <c r="AI73" s="190">
        <f>[64]SAS_NSA_2018_1T!$F$93</f>
        <v>0.90207999999999999</v>
      </c>
      <c r="AJ73" s="190">
        <f>[44]SAS_NSA_2018_2T!$G$109</f>
        <v>0.90441951653679598</v>
      </c>
      <c r="AK73" s="226">
        <f>[45]SAS_NSA_2018_3T!$F$107/[45]SAS_NSA_2018_3T!$F$108</f>
        <v>0.90646925641659293</v>
      </c>
      <c r="AL73" s="226">
        <f>[46]SAS_NSA_2018_4T!$F$107/[46]SAS_NSA_2018_4T!$F$108</f>
        <v>0.9080895980085758</v>
      </c>
      <c r="AM73" s="190">
        <f>[47]SAS_NSA_2019_1T!$F$107/[47]SAS_NSA_2019_1T!$F$108</f>
        <v>0.90985616638051114</v>
      </c>
      <c r="AN73" s="190">
        <f>[48]SAS_NSA_2019_2T!$F$107/[48]SAS_NSA_2019_2T!$F$108</f>
        <v>0.91191107645583558</v>
      </c>
      <c r="AO73" s="190">
        <f>[49]SAS_NSA_2019_3T!$F$107/[49]SAS_NSA_2019_3T!$F$108</f>
        <v>0.91363341332456893</v>
      </c>
      <c r="AP73" s="190">
        <f>[50]SAS_NSA_2019_4T!$F$107/[50]SAS_NSA_2019_4T!$F$108</f>
        <v>0.91483382371498978</v>
      </c>
      <c r="AQ73" s="190">
        <f>[51]SAS_NSA_2020_1T!$F$100/[51]SAS_NSA_2020_1T!$F$101</f>
        <v>0.91624405976612455</v>
      </c>
      <c r="AR73" s="190">
        <f>[52]SAS_NSA_2020_2T!$F$100/[52]SAS_NSA_2020_2T!$F$101</f>
        <v>0.917999634926698</v>
      </c>
      <c r="AS73" s="190">
        <f>[53]SAS_NSA_2020_3T!$F$100/[53]SAS_NSA_2020_3T!$F$101</f>
        <v>0.91948956134338</v>
      </c>
      <c r="AT73" s="190">
        <f>[54]SAS_NSA_2020_4T!$F$100/[54]SAS_NSA_2020_4T!$F$101</f>
        <v>0.92048698168620291</v>
      </c>
      <c r="AU73" s="190">
        <f>[55]SAS_NSA_2021_1T!$F$100/[55]SAS_NSA_2021_1T!$F$101</f>
        <v>0.92202138470758888</v>
      </c>
      <c r="AV73" s="190">
        <f>[56]SAS_NSA_2021_2T!$E$100/[56]SAS_NSA_2021_2T!$E$101</f>
        <v>0.92363156505674315</v>
      </c>
      <c r="AW73" s="190">
        <f>[57]SAS_NSA_2021_3T!$G$101</f>
        <v>0.92480411678920282</v>
      </c>
      <c r="AX73" s="420">
        <f>[58]SAS_NSA_2021_4T!$D$81/[58]SAS_NSA_2021_4T!$D$82</f>
        <v>0.92559088748387186</v>
      </c>
      <c r="AY73" s="190">
        <f>[59]SAS_NSA_2022_1T!$D$81/[59]SAS_NSA_2022_1T!$D$82</f>
        <v>0.71754581788067551</v>
      </c>
      <c r="AZ73" s="190">
        <f>[60]SAS_NSA_2022_2T!$D$81/[60]SAS_NSA_2022_2T!$D$82</f>
        <v>0.72318274145442651</v>
      </c>
      <c r="BA73" s="190">
        <f>[61]SAS_NSA_2022_3T!$D$81/[61]SAS_NSA_2022_3T!$D$82</f>
        <v>0.72797307920396093</v>
      </c>
      <c r="BB73" s="378">
        <f>[62]SAS_NSA_2022_4T!$D$81/[62]SAS_NSA_2022_4T!$D$82</f>
        <v>0.73174285294842711</v>
      </c>
      <c r="BC73" s="449">
        <f>[2]SAS_NSA_2023_1T!$D$81/[2]SAS_NSA_2023_1T!$D$82</f>
        <v>0.73814519199898454</v>
      </c>
      <c r="BD73" s="449">
        <f>[3]SAS_NSA_2023_2T!$D$81/[3]SAS_NSA_2023_2T!$D$82</f>
        <v>0.74320702259187643</v>
      </c>
      <c r="BE73" s="449">
        <f>[4]SAS_NSA_2023_3T!$D$81/[4]SAS_NSA_2023_3T!$D$82</f>
        <v>0.74757061094811728</v>
      </c>
      <c r="BF73" s="449">
        <f>[5]SAS_NSA_2023_4T!$D$81/[5]SAS_NSA_2023_4T!$D$82</f>
        <v>0.75105912048302204</v>
      </c>
      <c r="BG73" s="449">
        <f>[6]SAS_NSA_2024_1T!$D$81/[6]SAS_NSA_2024_1T!$D$82</f>
        <v>0.75581931820042514</v>
      </c>
      <c r="BH73" s="449">
        <f>[7]SAS_NSA_2024_2T!$D$81/[7]SAS_NSA_2024_2T!$D$82</f>
        <v>0.76067219231757954</v>
      </c>
      <c r="BI73" s="449">
        <f>[8]SAS_NSA_2024_3T!$D$81/[8]SAS_NSA_2024_3T!$D$82</f>
        <v>0.76473835641601684</v>
      </c>
      <c r="BJ73" s="449">
        <f>[9]SAS_NSA_2024_4T!$D$81/[9]SAS_NSA_2024_4T!$D$82</f>
        <v>0.76825329068608128</v>
      </c>
    </row>
    <row r="74" spans="1:62" x14ac:dyDescent="0.25">
      <c r="A74" s="305"/>
      <c r="B74" s="56">
        <f t="shared" ref="B74:P74" si="203">B73*100</f>
        <v>80.006847823839436</v>
      </c>
      <c r="C74" s="56">
        <f t="shared" si="203"/>
        <v>80.403441843761101</v>
      </c>
      <c r="D74" s="56">
        <f t="shared" si="203"/>
        <v>80.820901678196506</v>
      </c>
      <c r="E74" s="56">
        <f t="shared" si="203"/>
        <v>81.194129948888701</v>
      </c>
      <c r="F74" s="56">
        <f t="shared" si="203"/>
        <v>81.539646236362856</v>
      </c>
      <c r="G74" s="56">
        <f t="shared" si="203"/>
        <v>81.918671234215523</v>
      </c>
      <c r="H74" s="56">
        <f t="shared" si="203"/>
        <v>82.318287127687256</v>
      </c>
      <c r="I74" s="56">
        <f t="shared" si="203"/>
        <v>82.64503582329931</v>
      </c>
      <c r="J74" s="56">
        <f t="shared" si="203"/>
        <v>82.962008354251012</v>
      </c>
      <c r="K74" s="56">
        <f t="shared" si="203"/>
        <v>83.312013159804536</v>
      </c>
      <c r="L74" s="56">
        <f t="shared" si="203"/>
        <v>83.72728540648059</v>
      </c>
      <c r="M74" s="56">
        <f t="shared" si="203"/>
        <v>84.050814221610196</v>
      </c>
      <c r="N74" s="56">
        <f t="shared" si="203"/>
        <v>84.34508203842897</v>
      </c>
      <c r="O74" s="56">
        <f t="shared" si="203"/>
        <v>84.69259439074834</v>
      </c>
      <c r="P74" s="56">
        <f t="shared" si="203"/>
        <v>85.074769867503861</v>
      </c>
      <c r="Q74" s="56">
        <f t="shared" ref="Q74:R74" si="204">Q73*100</f>
        <v>85.385644244662501</v>
      </c>
      <c r="R74" s="191">
        <f t="shared" si="204"/>
        <v>85.666384447801263</v>
      </c>
      <c r="S74" s="191">
        <f t="shared" ref="S74:T74" si="205">S73*100</f>
        <v>85.965881845623116</v>
      </c>
      <c r="T74" s="191">
        <f t="shared" si="205"/>
        <v>86.274689940284802</v>
      </c>
      <c r="U74" s="191">
        <f t="shared" ref="U74:V74" si="206">U73*100</f>
        <v>86.560775961252446</v>
      </c>
      <c r="V74" s="191">
        <f t="shared" si="206"/>
        <v>86.828881976398236</v>
      </c>
      <c r="W74" s="191">
        <f t="shared" ref="W74:X74" si="207">W73*100</f>
        <v>87.139401209860821</v>
      </c>
      <c r="X74" s="191">
        <f t="shared" si="207"/>
        <v>87.467836337192367</v>
      </c>
      <c r="Y74" s="191">
        <f t="shared" ref="Y74:Z74" si="208">Y73*100</f>
        <v>87.739014909930205</v>
      </c>
      <c r="Z74" s="191">
        <f t="shared" si="208"/>
        <v>87.983175116344611</v>
      </c>
      <c r="AA74" s="191">
        <f t="shared" ref="AA74" si="209">AA73*100</f>
        <v>88.267118963929633</v>
      </c>
      <c r="AB74" s="191">
        <f t="shared" ref="AB74:AH74" si="210">AB73*100</f>
        <v>88.549852820816852</v>
      </c>
      <c r="AC74" s="191">
        <f t="shared" si="210"/>
        <v>88.79844015843824</v>
      </c>
      <c r="AD74" s="191">
        <f t="shared" si="210"/>
        <v>89.008860067004349</v>
      </c>
      <c r="AE74" s="191">
        <f t="shared" si="210"/>
        <v>89.285882497724799</v>
      </c>
      <c r="AF74" s="191">
        <f t="shared" si="210"/>
        <v>89.572123062073587</v>
      </c>
      <c r="AG74" s="191">
        <f t="shared" si="210"/>
        <v>89.788453865433254</v>
      </c>
      <c r="AH74" s="191">
        <f t="shared" si="210"/>
        <v>89.981437143955304</v>
      </c>
      <c r="AI74" s="191">
        <f t="shared" ref="AI74:AJ74" si="211">AI73*100</f>
        <v>90.207999999999998</v>
      </c>
      <c r="AJ74" s="191">
        <f t="shared" si="211"/>
        <v>90.441951653679595</v>
      </c>
      <c r="AK74" s="294">
        <f>AK73*100</f>
        <v>90.646925641659294</v>
      </c>
      <c r="AL74" s="294">
        <f>AL73*100</f>
        <v>90.808959800857579</v>
      </c>
      <c r="AM74" s="191"/>
      <c r="AN74" s="191"/>
      <c r="AO74" s="191"/>
      <c r="AP74" s="191">
        <f t="shared" ref="AP74:AU74" si="212">AP73*100</f>
        <v>91.483382371498976</v>
      </c>
      <c r="AQ74" s="191">
        <f t="shared" si="212"/>
        <v>91.624405976612451</v>
      </c>
      <c r="AR74" s="191">
        <f t="shared" si="212"/>
        <v>91.799963492669804</v>
      </c>
      <c r="AS74" s="191">
        <f t="shared" si="212"/>
        <v>91.948956134338005</v>
      </c>
      <c r="AT74" s="191">
        <f t="shared" si="212"/>
        <v>92.048698168620291</v>
      </c>
      <c r="AU74" s="191">
        <f t="shared" si="212"/>
        <v>92.202138470758882</v>
      </c>
      <c r="AV74" s="191">
        <f t="shared" ref="AV74:AW74" si="213">AV73*100</f>
        <v>92.363156505674311</v>
      </c>
      <c r="AW74" s="191">
        <f t="shared" si="213"/>
        <v>92.480411678920277</v>
      </c>
      <c r="AX74" s="421">
        <f t="shared" ref="AX74:BA74" si="214">AX73*100</f>
        <v>92.559088748387182</v>
      </c>
      <c r="AY74" s="191">
        <f t="shared" si="214"/>
        <v>71.754581788067554</v>
      </c>
      <c r="AZ74" s="191">
        <f t="shared" si="214"/>
        <v>72.318274145442658</v>
      </c>
      <c r="BA74" s="191">
        <f t="shared" si="214"/>
        <v>72.797307920396094</v>
      </c>
      <c r="BB74" s="399">
        <f t="shared" ref="BB74:BC74" si="215">BB73*100</f>
        <v>73.174285294842718</v>
      </c>
      <c r="BC74" s="191">
        <f t="shared" si="215"/>
        <v>73.814519199898456</v>
      </c>
      <c r="BD74" s="191">
        <f t="shared" ref="BD74:BE74" si="216">BD73*100</f>
        <v>74.320702259187641</v>
      </c>
      <c r="BE74" s="191">
        <f t="shared" si="216"/>
        <v>74.757061094811732</v>
      </c>
      <c r="BF74" s="191">
        <f t="shared" ref="BF74:BG74" si="217">BF73*100</f>
        <v>75.105912048302201</v>
      </c>
      <c r="BG74" s="191">
        <f t="shared" si="217"/>
        <v>75.581931820042513</v>
      </c>
      <c r="BH74" s="191">
        <f t="shared" ref="BH74:BI74" si="218">BH73*100</f>
        <v>76.06721923175796</v>
      </c>
      <c r="BI74" s="191">
        <f t="shared" si="218"/>
        <v>76.473835641601681</v>
      </c>
      <c r="BJ74" s="191">
        <f t="shared" ref="BJ74" si="219">BJ73*100</f>
        <v>76.825329068608127</v>
      </c>
    </row>
    <row r="75" spans="1:62" ht="13" x14ac:dyDescent="0.3">
      <c r="A75" s="305" t="s">
        <v>32</v>
      </c>
      <c r="B75" s="26"/>
      <c r="C75" s="41"/>
      <c r="D75" s="41"/>
      <c r="E75" s="41"/>
      <c r="F75" s="41"/>
      <c r="G75" s="41"/>
      <c r="H75" s="41"/>
      <c r="I75" s="41"/>
      <c r="J75" s="41"/>
      <c r="K75" s="147"/>
      <c r="L75" s="147"/>
      <c r="M75" s="41"/>
      <c r="N75" s="147"/>
      <c r="O75" s="147"/>
      <c r="P75" s="41"/>
      <c r="Q75" s="41"/>
      <c r="R75" s="41"/>
      <c r="S75" s="41"/>
      <c r="T75" s="41"/>
      <c r="U75" s="41"/>
      <c r="V75" s="41"/>
      <c r="W75" s="41"/>
      <c r="X75" s="41"/>
      <c r="Y75" s="41"/>
      <c r="Z75" s="41"/>
      <c r="AA75" s="41"/>
      <c r="AB75" s="41"/>
      <c r="AC75" s="41"/>
      <c r="AD75" s="41"/>
      <c r="AE75" s="41"/>
      <c r="AF75" s="41"/>
      <c r="AG75" s="41"/>
      <c r="AH75" s="41"/>
      <c r="AI75" s="41"/>
      <c r="AJ75" s="41"/>
      <c r="AM75" s="41"/>
      <c r="AN75" s="41"/>
      <c r="AO75" s="41"/>
      <c r="AP75" s="41"/>
      <c r="AQ75" s="41"/>
      <c r="AR75" s="41"/>
      <c r="AS75" s="41"/>
      <c r="AT75" s="41"/>
      <c r="AU75" s="41"/>
      <c r="AV75" s="41"/>
      <c r="AW75" s="41"/>
      <c r="AX75" s="406"/>
      <c r="AY75" s="41"/>
      <c r="AZ75" s="41"/>
      <c r="BA75" s="41"/>
      <c r="BB75" s="41"/>
      <c r="BC75" s="41"/>
      <c r="BD75" s="41"/>
      <c r="BE75" s="41"/>
      <c r="BF75" s="41"/>
      <c r="BG75" s="41"/>
      <c r="BH75" s="41"/>
      <c r="BI75" s="41"/>
      <c r="BJ75" s="41"/>
    </row>
    <row r="76" spans="1:62" x14ac:dyDescent="0.25">
      <c r="A76" s="305"/>
      <c r="B76" s="27" t="str">
        <f t="shared" ref="B76:G76" si="220">B8</f>
        <v>4eme T 2009</v>
      </c>
      <c r="C76" s="49" t="str">
        <f t="shared" si="220"/>
        <v>1er T 2010</v>
      </c>
      <c r="D76" s="49" t="str">
        <f t="shared" si="220"/>
        <v>2eme T 2010</v>
      </c>
      <c r="E76" s="49" t="str">
        <f t="shared" si="220"/>
        <v>3eme T 2010</v>
      </c>
      <c r="F76" s="49" t="str">
        <f t="shared" si="220"/>
        <v>4eme T 2010</v>
      </c>
      <c r="G76" s="49" t="str">
        <f t="shared" si="220"/>
        <v>1er T 2011</v>
      </c>
      <c r="H76" s="49" t="str">
        <f t="shared" ref="H76:M76" si="221">H8</f>
        <v>2eme T 2011</v>
      </c>
      <c r="I76" s="49" t="str">
        <f t="shared" si="221"/>
        <v>3eme T 2011</v>
      </c>
      <c r="J76" s="49" t="str">
        <f t="shared" si="221"/>
        <v>4eme T 2011</v>
      </c>
      <c r="K76" s="49" t="str">
        <f t="shared" si="221"/>
        <v>1er T 2012</v>
      </c>
      <c r="L76" s="49" t="str">
        <f t="shared" si="221"/>
        <v>2eme T 2012</v>
      </c>
      <c r="M76" s="49" t="str">
        <f t="shared" si="221"/>
        <v>3eme T 2012</v>
      </c>
      <c r="N76" s="49" t="str">
        <f t="shared" ref="N76:S76" si="222">N8</f>
        <v>4eme T 2012</v>
      </c>
      <c r="O76" s="49" t="str">
        <f t="shared" si="222"/>
        <v>1er T 2013</v>
      </c>
      <c r="P76" s="49" t="str">
        <f t="shared" si="222"/>
        <v>2eme T 2013</v>
      </c>
      <c r="Q76" s="49" t="str">
        <f t="shared" si="222"/>
        <v>3ème T 2013</v>
      </c>
      <c r="R76" s="189" t="str">
        <f t="shared" si="222"/>
        <v>4ème T 2013</v>
      </c>
      <c r="S76" s="189" t="str">
        <f t="shared" si="222"/>
        <v>1er T 2014</v>
      </c>
      <c r="T76" s="189" t="str">
        <f t="shared" ref="T76:U76" si="223">T8</f>
        <v>2eme T 2014</v>
      </c>
      <c r="U76" s="189" t="str">
        <f t="shared" si="223"/>
        <v>3T 2014</v>
      </c>
      <c r="V76" s="189" t="str">
        <f t="shared" ref="V76:W76" si="224">V8</f>
        <v>4ème T 2014</v>
      </c>
      <c r="W76" s="189" t="str">
        <f t="shared" si="224"/>
        <v>1er T 2015</v>
      </c>
      <c r="X76" s="189" t="str">
        <f t="shared" ref="X76:Y76" si="225">X8</f>
        <v>2e T 2015</v>
      </c>
      <c r="Y76" s="189" t="str">
        <f t="shared" si="225"/>
        <v>3e T 2015</v>
      </c>
      <c r="Z76" s="189" t="str">
        <f t="shared" ref="Z76:AA76" si="226">Z8</f>
        <v>4e T 2015</v>
      </c>
      <c r="AA76" s="189" t="str">
        <f t="shared" si="226"/>
        <v>1er T 2016</v>
      </c>
      <c r="AB76" s="189" t="str">
        <f t="shared" ref="AB76:AH76" si="227">AB8</f>
        <v>2e T 2016</v>
      </c>
      <c r="AC76" s="189" t="str">
        <f t="shared" si="227"/>
        <v>3e T 2016</v>
      </c>
      <c r="AD76" s="189" t="str">
        <f t="shared" si="227"/>
        <v>4e T 2016</v>
      </c>
      <c r="AE76" s="189" t="str">
        <f t="shared" si="227"/>
        <v>2017 - T1</v>
      </c>
      <c r="AF76" s="189" t="str">
        <f t="shared" si="227"/>
        <v>2017 - T2</v>
      </c>
      <c r="AG76" s="189" t="str">
        <f t="shared" si="227"/>
        <v>2017- T3</v>
      </c>
      <c r="AH76" s="189" t="str">
        <f t="shared" si="227"/>
        <v>2017 - T4</v>
      </c>
      <c r="AI76" s="189" t="str">
        <f t="shared" ref="AI76:AJ76" si="228">AI8</f>
        <v>2018 - T1</v>
      </c>
      <c r="AJ76" s="189" t="str">
        <f t="shared" si="228"/>
        <v>2018 - T2</v>
      </c>
      <c r="AK76" s="178" t="s">
        <v>204</v>
      </c>
      <c r="AL76" s="178" t="s">
        <v>206</v>
      </c>
      <c r="AM76" s="189" t="str">
        <f t="shared" ref="AM76:AN76" si="229">AM8</f>
        <v>2019 - T1</v>
      </c>
      <c r="AN76" s="189" t="str">
        <f t="shared" si="229"/>
        <v>2019 - T2</v>
      </c>
      <c r="AO76" s="189" t="str">
        <f t="shared" ref="AO76" si="230">AO8</f>
        <v>2019 - T3</v>
      </c>
      <c r="AP76" s="189" t="s">
        <v>214</v>
      </c>
      <c r="AQ76" s="189" t="str">
        <f t="shared" ref="AQ76:AV76" si="231">AQ8</f>
        <v>2020 - T1</v>
      </c>
      <c r="AR76" s="189" t="str">
        <f t="shared" si="231"/>
        <v>2020 - T2</v>
      </c>
      <c r="AS76" s="189" t="str">
        <f t="shared" si="231"/>
        <v>2020 - T3</v>
      </c>
      <c r="AT76" s="189" t="str">
        <f t="shared" si="231"/>
        <v>2020- T4</v>
      </c>
      <c r="AU76" s="189" t="str">
        <f t="shared" si="231"/>
        <v>2021- T1</v>
      </c>
      <c r="AV76" s="189" t="str">
        <f t="shared" si="231"/>
        <v>2021- T2</v>
      </c>
      <c r="AW76" s="189" t="str">
        <f t="shared" ref="AW76:AX76" si="232">AW8</f>
        <v>2021- T3</v>
      </c>
      <c r="AX76" s="419" t="str">
        <f t="shared" si="232"/>
        <v>2021- T4</v>
      </c>
      <c r="AY76" s="189" t="str">
        <f t="shared" ref="AY76:AZ76" si="233">AY8</f>
        <v>2022- T1</v>
      </c>
      <c r="AZ76" s="189" t="str">
        <f t="shared" si="233"/>
        <v>2022- T2</v>
      </c>
      <c r="BA76" s="189" t="str">
        <f t="shared" ref="BA76:BB76" si="234">BA8</f>
        <v>2022- T3</v>
      </c>
      <c r="BB76" s="189" t="str">
        <f t="shared" si="234"/>
        <v>2022- T4</v>
      </c>
      <c r="BC76" s="189" t="str">
        <f t="shared" ref="BC76:BD76" si="235">BC8</f>
        <v>2023- T1</v>
      </c>
      <c r="BD76" s="189" t="str">
        <f t="shared" si="235"/>
        <v>2023- T2</v>
      </c>
      <c r="BE76" s="189" t="str">
        <f t="shared" ref="BE76:BF76" si="236">BE8</f>
        <v>2023- T3</v>
      </c>
      <c r="BF76" s="189" t="str">
        <f t="shared" si="236"/>
        <v>2023- T4</v>
      </c>
      <c r="BG76" s="189" t="str">
        <f t="shared" ref="BG76:BH76" si="237">BG8</f>
        <v>2024- T1</v>
      </c>
      <c r="BH76" s="189" t="str">
        <f t="shared" si="237"/>
        <v>2024- T2</v>
      </c>
      <c r="BI76" s="189" t="str">
        <f t="shared" ref="BI76:BJ76" si="238">BI8</f>
        <v>2024- T3</v>
      </c>
      <c r="BJ76" s="189" t="str">
        <f t="shared" si="238"/>
        <v>2024- T4</v>
      </c>
    </row>
    <row r="77" spans="1:62" x14ac:dyDescent="0.25">
      <c r="A77" s="307" t="s">
        <v>33</v>
      </c>
      <c r="B77" s="29">
        <f>[63]SAS_NSA_4T2009!$D$118</f>
        <v>99.39</v>
      </c>
      <c r="C77" s="48">
        <f>[11]SAS_NSA_1T2010!$D$118</f>
        <v>99.323999999999998</v>
      </c>
      <c r="D77" s="48">
        <f>[12]SAS_NSA_2T2010!$D$118</f>
        <v>99.177000000000007</v>
      </c>
      <c r="E77" s="48">
        <f>[13]SAS_NSA_3T2010!$D$118</f>
        <v>99.049000000000007</v>
      </c>
      <c r="F77" s="48">
        <f>[14]SAS_NSA_2010_4T!$D$118</f>
        <v>98.971000000000004</v>
      </c>
      <c r="G77" s="48">
        <f>[15]SAS_NSA_2011_1T!$D$118</f>
        <v>98.881</v>
      </c>
      <c r="H77" s="48">
        <f>[16]SAS_NSA_2011_2T!$D$118</f>
        <v>98.742999999999995</v>
      </c>
      <c r="I77" s="48">
        <f>[17]SAS_NSA_2011_3T!$D$118</f>
        <v>98.628</v>
      </c>
      <c r="J77" s="48">
        <f>[18]SAS_NSA_2011_4T!$D$118</f>
        <v>98.546000000000006</v>
      </c>
      <c r="K77" s="48">
        <f>[19]SAS_NSA_2012_1T!$D$118</f>
        <v>98.462000000000003</v>
      </c>
      <c r="L77" s="48">
        <f>'[20]120919-14H22S23-PROGRAM-TdB_STO'!$D$118</f>
        <v>98.311999999999998</v>
      </c>
      <c r="M77" s="48">
        <f>'[21]121105-15H12S18-PROGRAM-TdB_STO'!$D$118</f>
        <v>98.197000000000003</v>
      </c>
      <c r="N77" s="48">
        <f>[22]SAS_NSA_2012_4T!$D$118</f>
        <v>98.122</v>
      </c>
      <c r="O77" s="48">
        <f>[23]SAS_NSA_2013_1T!$D$118</f>
        <v>98.039000000000001</v>
      </c>
      <c r="P77" s="48">
        <f>[24]SAS_NSA_2013_2T!$D$118</f>
        <v>97.902000000000001</v>
      </c>
      <c r="Q77" s="48">
        <f>[25]SAS_NSA_2013_3T!$D$118</f>
        <v>97.760999999999996</v>
      </c>
      <c r="R77" s="188">
        <f>[26]SAS_NSA_2013_4T!$D$118</f>
        <v>97.69</v>
      </c>
      <c r="S77" s="188">
        <f>[27]SAS_NSA_2014_1T!$D$118</f>
        <v>97.641000000000005</v>
      </c>
      <c r="T77" s="188">
        <f>[28]SAS_NSA_2014_2T!$D$118</f>
        <v>97.542000000000002</v>
      </c>
      <c r="U77" s="188">
        <f>[29]SAS_NSA_2014_3T!$D$118</f>
        <v>97.447000000000003</v>
      </c>
      <c r="V77" s="188">
        <f>[30]SAS_NSA_2014_4T!$D$118</f>
        <v>97.379000000000005</v>
      </c>
      <c r="W77" s="188">
        <f>[31]SAS_NSA_2015_1T!$D$118</f>
        <v>97.304000000000002</v>
      </c>
      <c r="X77" s="188">
        <f>[32]SAS_NSA_2015_2T!$D$118</f>
        <v>97.170299999999997</v>
      </c>
      <c r="Y77" s="188">
        <f>[33]SAS_NSA_2015_3T!$D$118</f>
        <v>97.050899999999999</v>
      </c>
      <c r="Z77" s="188">
        <f>[34]SAS_NSA_2015_4T!$D$118</f>
        <v>97.013199999999998</v>
      </c>
      <c r="AA77" s="188">
        <f>[35]SAS_NSA_2016_1T!$D$118</f>
        <v>96.958299999999994</v>
      </c>
      <c r="AB77" s="188">
        <f>[36]SAS_NSA_2016_2T!$D$118</f>
        <v>96.828000000000003</v>
      </c>
      <c r="AC77" s="188">
        <f>[37]SAS_NSA_2016_3T!$D$118</f>
        <v>96.703400000000002</v>
      </c>
      <c r="AD77" s="188">
        <f>[38]SAS_NSA_2016_4T!$D$118</f>
        <v>96.6755</v>
      </c>
      <c r="AE77" s="188">
        <f>[39]SAS_NSA_2017_1T!$D$118</f>
        <v>96.621799999999993</v>
      </c>
      <c r="AF77" s="188">
        <f>[40]SAS_NSA_2017_2T!$D$118</f>
        <v>96.496700000000004</v>
      </c>
      <c r="AG77" s="188">
        <f>[41]SAS_NSA_2017_3T!$D$118</f>
        <v>96.384</v>
      </c>
      <c r="AH77" s="188">
        <f>[42]SAS_NSA_2017_4T!$D$118</f>
        <v>96.364099999999993</v>
      </c>
      <c r="AI77" s="188">
        <f>[43]SAS_NSA_2018_1T!$D$118</f>
        <v>96.278199999999998</v>
      </c>
      <c r="AJ77" s="188">
        <f>[44]SAS_NSA_2018_2T!$J$123</f>
        <v>96.175461499999997</v>
      </c>
      <c r="AK77" s="188">
        <f>[45]SAS_NSA_2018_3T!$D$118</f>
        <v>96.035799999999995</v>
      </c>
      <c r="AL77" s="188">
        <f>[45]SAS_NSA_2018_3T!$D$118</f>
        <v>96.035799999999995</v>
      </c>
      <c r="AM77" s="188">
        <f>[47]SAS_NSA_2019_1T!$D$118</f>
        <v>95.928399999999996</v>
      </c>
      <c r="AN77" s="188">
        <f>[48]SAS_NSA_2019_2T!$D$118</f>
        <v>95.800600000000003</v>
      </c>
      <c r="AO77" s="188">
        <f>[49]SAS_NSA_2019_3T!$D$118</f>
        <v>95.642799999999994</v>
      </c>
      <c r="AP77" s="188">
        <f>[50]SAS_NSA_2019_4T!$D$118</f>
        <v>95.604100000000003</v>
      </c>
      <c r="AQ77" s="188">
        <f>[51]SAS_NSA_2020_1T!$D$109</f>
        <v>95.529799999999994</v>
      </c>
      <c r="AR77" s="188">
        <f>[52]SAS_NSA_2020_2T!$D$109</f>
        <v>95.376199999999997</v>
      </c>
      <c r="AS77" s="188">
        <f>[53]SAS_NSA_2020_3T!$D$109</f>
        <v>95.244100000000003</v>
      </c>
      <c r="AT77" s="188">
        <f>[54]SAS_NSA_2020_4T!$D$109</f>
        <v>95.212599999999995</v>
      </c>
      <c r="AU77" s="188">
        <f>[55]SAS_NSA_2021_1T!$D$109</f>
        <v>95.156199999999998</v>
      </c>
      <c r="AV77" s="188">
        <f>[56]SAS_NSA_2021_2T!$D$109</f>
        <v>94.985799999999998</v>
      </c>
      <c r="AW77" s="188">
        <f>[57]SAS_NSA_2021_3T!$D$109</f>
        <v>94.847300000000004</v>
      </c>
      <c r="AX77" s="417">
        <f>[58]SAS_NSA_2021_4T!$D$87</f>
        <v>94.881944022502495</v>
      </c>
      <c r="AY77" s="188">
        <f>[59]SAS_NSA_2022_1T!$D$87</f>
        <v>94.844293018399199</v>
      </c>
      <c r="AZ77" s="188">
        <f>[60]SAS_NSA_2022_2T!$D$87</f>
        <v>94.698863931487793</v>
      </c>
      <c r="BA77" s="188">
        <f>[61]SAS_NSA_2022_3T!$D$87</f>
        <v>94.570422981974701</v>
      </c>
      <c r="BB77" s="188">
        <f>[62]SAS_NSA_2022_4T!$D$87</f>
        <v>94.656453097632806</v>
      </c>
      <c r="BC77" s="188">
        <f>[2]SAS_NSA_2023_1T!$D$87</f>
        <v>94.583093785698793</v>
      </c>
      <c r="BD77" s="188">
        <f>[3]SAS_NSA_2023_2T!$D$87</f>
        <v>96.8129392540569</v>
      </c>
      <c r="BE77" s="188">
        <f>[4]SAS_NSA_2023_3T!$D$87</f>
        <v>96.731586593409006</v>
      </c>
      <c r="BF77" s="188">
        <f>[5]SAS_NSA_2023_4T!$D$87</f>
        <v>96.814149872616099</v>
      </c>
      <c r="BG77" s="188">
        <f>[6]SAS_NSA_2024_1T!$D$87</f>
        <v>96.802311954658904</v>
      </c>
      <c r="BH77" s="188">
        <f>[7]SAS_NSA_2024_2T!$D$87</f>
        <v>96.641788267495798</v>
      </c>
      <c r="BI77" s="188">
        <f>[8]SAS_NSA_2024_3T!$D$87</f>
        <v>96.533569628945202</v>
      </c>
      <c r="BJ77" s="188">
        <f>[9]SAS_NSA_2024_4T!$D$87</f>
        <v>96.583740961130999</v>
      </c>
    </row>
    <row r="78" spans="1:62" x14ac:dyDescent="0.25">
      <c r="A78" s="307" t="s">
        <v>194</v>
      </c>
      <c r="B78" s="263"/>
      <c r="C78" s="264"/>
      <c r="D78" s="264"/>
      <c r="E78" s="264"/>
      <c r="F78" s="264"/>
      <c r="G78" s="264"/>
      <c r="H78" s="264"/>
      <c r="I78" s="264"/>
      <c r="J78" s="264"/>
      <c r="K78" s="264"/>
      <c r="L78" s="264"/>
      <c r="M78" s="264"/>
      <c r="N78" s="264"/>
      <c r="O78" s="264"/>
      <c r="P78" s="264"/>
      <c r="Q78" s="264"/>
      <c r="R78" s="265"/>
      <c r="S78" s="265"/>
      <c r="T78" s="265"/>
      <c r="U78" s="265"/>
      <c r="V78" s="265"/>
      <c r="W78" s="265"/>
      <c r="X78" s="265"/>
      <c r="Y78" s="265"/>
      <c r="Z78" s="265"/>
      <c r="AA78" s="265"/>
      <c r="AB78" s="265"/>
      <c r="AC78" s="265"/>
      <c r="AD78" s="265"/>
      <c r="AE78" s="265">
        <v>20</v>
      </c>
      <c r="AF78" s="265"/>
      <c r="AG78" s="265"/>
      <c r="AH78" s="188"/>
      <c r="AI78" s="274">
        <f>[43]SAS_NSA_2018_1T!$A$184</f>
        <v>20</v>
      </c>
      <c r="AJ78" s="274">
        <v>20</v>
      </c>
      <c r="AK78" s="4">
        <f>[45]SAS_NSA_2018_3T!$B$161</f>
        <v>20</v>
      </c>
      <c r="AL78" s="4">
        <f>[46]SAS_NSA_2018_4T!$B$161</f>
        <v>20</v>
      </c>
      <c r="AM78" s="274">
        <f>[47]SAS_NSA_2019_1T!$B$161</f>
        <v>20</v>
      </c>
      <c r="AN78" s="274">
        <f>[48]SAS_NSA_2019_2T!$B$161</f>
        <v>20</v>
      </c>
      <c r="AO78" s="274">
        <f>[49]SAS_NSA_2019_3T!$A$184</f>
        <v>20</v>
      </c>
      <c r="AP78" s="274">
        <f>[50]SAS_NSA_2019_4T!$A$184</f>
        <v>20</v>
      </c>
      <c r="AQ78" s="274">
        <f>[51]SAS_NSA_2020_1T!$A$171</f>
        <v>20</v>
      </c>
      <c r="AR78" s="274">
        <f>[52]SAS_NSA_2020_2T!$A$171</f>
        <v>20</v>
      </c>
      <c r="AS78" s="274">
        <f>[53]SAS_NSA_2020_3T!$A$171</f>
        <v>19</v>
      </c>
      <c r="AT78" s="274">
        <f>[54]SAS_NSA_2020_4T!$A$171</f>
        <v>18</v>
      </c>
      <c r="AU78" s="274">
        <f>[55]SAS_NSA_2021_1T!$A$171</f>
        <v>18</v>
      </c>
      <c r="AV78" s="274">
        <f>[56]SAS_NSA_2021_2T!$A$171</f>
        <v>18</v>
      </c>
      <c r="AW78" s="274">
        <f>[57]SAS_NSA_2021_3T!$B$150</f>
        <v>17</v>
      </c>
      <c r="AX78" s="422">
        <f>[58]SAS_NSA_2021_4T!$A$94</f>
        <v>17</v>
      </c>
      <c r="AY78" s="274">
        <f>[59]SAS_NSA_2022_1T!$A$94</f>
        <v>16</v>
      </c>
      <c r="AZ78" s="274">
        <f>[60]SAS_NSA_2022_2T!$A$94</f>
        <v>16</v>
      </c>
      <c r="BA78" s="274">
        <f>[61]SAS_NSA_2022_3T!$A$94</f>
        <v>16</v>
      </c>
      <c r="BB78" s="274">
        <f>[62]SAS_NSA_2022_4T!$A$94</f>
        <v>16</v>
      </c>
      <c r="BC78" s="274">
        <f>[2]SAS_NSA_2023_1T!$A$94</f>
        <v>16</v>
      </c>
      <c r="BD78" s="274">
        <f>[3]SAS_NSA_2023_2T!$A$94</f>
        <v>16</v>
      </c>
      <c r="BE78" s="274">
        <f>[4]SAS_NSA_2023_3T!$A$94</f>
        <v>16</v>
      </c>
      <c r="BF78" s="274">
        <f>[5]SAS_NSA_2023_4T!$A$94</f>
        <v>16</v>
      </c>
      <c r="BG78" s="274">
        <f>[6]SAS_NSA_2024_1T!$A$94</f>
        <v>16</v>
      </c>
      <c r="BH78" s="274">
        <f>[7]SAS_NSA_2024_2T!$A$94</f>
        <v>16</v>
      </c>
      <c r="BI78" s="274">
        <f>[8]SAS_NSA_2024_3T!$A$94</f>
        <v>16</v>
      </c>
      <c r="BJ78" s="274">
        <f>[9]SAS_NSA_2024_4T!$A$94</f>
        <v>16</v>
      </c>
    </row>
    <row r="79" spans="1:62" x14ac:dyDescent="0.25">
      <c r="A79" s="307" t="s">
        <v>195</v>
      </c>
      <c r="B79" s="263"/>
      <c r="C79" s="264"/>
      <c r="D79" s="264"/>
      <c r="E79" s="264"/>
      <c r="F79" s="264"/>
      <c r="G79" s="264"/>
      <c r="H79" s="264"/>
      <c r="I79" s="264"/>
      <c r="J79" s="264"/>
      <c r="K79" s="264"/>
      <c r="L79" s="264"/>
      <c r="M79" s="264"/>
      <c r="N79" s="264"/>
      <c r="O79" s="264"/>
      <c r="P79" s="264"/>
      <c r="Q79" s="264"/>
      <c r="R79" s="265"/>
      <c r="S79" s="265"/>
      <c r="T79" s="265"/>
      <c r="U79" s="265"/>
      <c r="V79" s="265"/>
      <c r="W79" s="265"/>
      <c r="X79" s="265"/>
      <c r="Y79" s="265"/>
      <c r="Z79" s="265"/>
      <c r="AA79" s="265"/>
      <c r="AB79" s="265"/>
      <c r="AC79" s="265"/>
      <c r="AD79" s="265"/>
      <c r="AE79" s="265">
        <v>100</v>
      </c>
      <c r="AF79" s="265"/>
      <c r="AG79" s="265"/>
      <c r="AH79" s="188"/>
      <c r="AI79" s="274">
        <f>[43]SAS_NSA_2018_1T!$B$184</f>
        <v>100</v>
      </c>
      <c r="AJ79" s="274">
        <v>100</v>
      </c>
      <c r="AK79" s="4">
        <f>[45]SAS_NSA_2018_3T!$B$160</f>
        <v>100</v>
      </c>
      <c r="AL79" s="4">
        <f>[46]SAS_NSA_2018_4T!$B$160</f>
        <v>100</v>
      </c>
      <c r="AM79" s="274">
        <f>[47]SAS_NSA_2019_1T!$B$160</f>
        <v>100</v>
      </c>
      <c r="AN79" s="274">
        <f>[48]SAS_NSA_2019_2T!$B$160</f>
        <v>98</v>
      </c>
      <c r="AO79" s="274">
        <f>[49]SAS_NSA_2019_3T!$B$184</f>
        <v>96</v>
      </c>
      <c r="AP79" s="274">
        <f>[50]SAS_NSA_2019_4T!$B$184</f>
        <v>96</v>
      </c>
      <c r="AQ79" s="274">
        <f>[51]SAS_NSA_2020_1T!$B$171</f>
        <v>96</v>
      </c>
      <c r="AR79" s="274">
        <f>[52]SAS_NSA_2020_2T!$B$171</f>
        <v>96</v>
      </c>
      <c r="AS79" s="274">
        <f>[53]SAS_NSA_2020_3T!$B$171</f>
        <v>96</v>
      </c>
      <c r="AT79" s="274">
        <f>[54]SAS_NSA_2020_4T!$B$171</f>
        <v>96</v>
      </c>
      <c r="AU79" s="274">
        <f>[55]SAS_NSA_2021_1T!$B$171</f>
        <v>96</v>
      </c>
      <c r="AV79" s="274">
        <f>[56]SAS_NSA_2021_2T!$B$171</f>
        <v>96</v>
      </c>
      <c r="AW79" s="274">
        <f>[57]SAS_NSA_2021_3T!$B$149</f>
        <v>96</v>
      </c>
      <c r="AX79" s="422">
        <f>[58]SAS_NSA_2021_4T!$B$94</f>
        <v>96</v>
      </c>
      <c r="AY79" s="274">
        <f>[59]SAS_NSA_2022_1T!$B$94</f>
        <v>96</v>
      </c>
      <c r="AZ79" s="274">
        <f>[60]SAS_NSA_2022_2T!$B$94</f>
        <v>94</v>
      </c>
      <c r="BA79" s="274">
        <f>[61]SAS_NSA_2022_3T!$B$94</f>
        <v>92</v>
      </c>
      <c r="BB79" s="274">
        <f>[62]SAS_NSA_2022_4T!$B$94</f>
        <v>93</v>
      </c>
      <c r="BC79" s="274">
        <f>[2]SAS_NSA_2023_1T!$B$94</f>
        <v>92</v>
      </c>
      <c r="BD79" s="274">
        <f>[3]SAS_NSA_2023_2T!$B$94</f>
        <v>92</v>
      </c>
      <c r="BE79" s="274">
        <f>[4]SAS_NSA_2023_3T!$B$94</f>
        <v>92</v>
      </c>
      <c r="BF79" s="274">
        <f>[5]SAS_NSA_2023_4T!$B$94</f>
        <v>92</v>
      </c>
      <c r="BG79" s="274">
        <f>[6]SAS_NSA_2024_1T!$B$94</f>
        <v>92</v>
      </c>
      <c r="BH79" s="274">
        <f>[7]SAS_NSA_2024_2T!$B$94</f>
        <v>92</v>
      </c>
      <c r="BI79" s="274">
        <f>[8]SAS_NSA_2024_3T!$B$94</f>
        <v>92</v>
      </c>
      <c r="BJ79" s="274">
        <f>[9]SAS_NSA_2024_4T!$B$94</f>
        <v>92</v>
      </c>
    </row>
    <row r="80" spans="1:62" x14ac:dyDescent="0.25">
      <c r="A80" s="307" t="s">
        <v>196</v>
      </c>
      <c r="B80" s="263"/>
      <c r="C80" s="264"/>
      <c r="D80" s="264"/>
      <c r="E80" s="264"/>
      <c r="F80" s="264"/>
      <c r="G80" s="264"/>
      <c r="H80" s="264"/>
      <c r="I80" s="264"/>
      <c r="J80" s="264"/>
      <c r="K80" s="264"/>
      <c r="L80" s="264"/>
      <c r="M80" s="264"/>
      <c r="N80" s="264"/>
      <c r="O80" s="264"/>
      <c r="P80" s="264"/>
      <c r="Q80" s="264"/>
      <c r="R80" s="265"/>
      <c r="S80" s="265"/>
      <c r="T80" s="265"/>
      <c r="U80" s="265"/>
      <c r="V80" s="265"/>
      <c r="W80" s="265"/>
      <c r="X80" s="265"/>
      <c r="Y80" s="265"/>
      <c r="Z80" s="265"/>
      <c r="AA80" s="265"/>
      <c r="AB80" s="265"/>
      <c r="AC80" s="265"/>
      <c r="AD80" s="265"/>
      <c r="AE80" s="265">
        <v>152</v>
      </c>
      <c r="AF80" s="265"/>
      <c r="AG80" s="265"/>
      <c r="AH80" s="188"/>
      <c r="AI80" s="274">
        <f>[43]SAS_NSA_2018_1T!$C$184</f>
        <v>152</v>
      </c>
      <c r="AJ80" s="274">
        <v>152</v>
      </c>
      <c r="AK80" s="4">
        <f>[45]SAS_NSA_2018_3T!$B$159</f>
        <v>152</v>
      </c>
      <c r="AL80" s="4">
        <f>[46]SAS_NSA_2018_4T!$B$159</f>
        <v>152</v>
      </c>
      <c r="AM80" s="274">
        <f>[47]SAS_NSA_2019_1T!$B$159</f>
        <v>152</v>
      </c>
      <c r="AN80" s="274">
        <f>[48]SAS_NSA_2019_2T!$B$159</f>
        <v>152</v>
      </c>
      <c r="AO80" s="274">
        <f>[49]SAS_NSA_2019_3T!$C$184</f>
        <v>152</v>
      </c>
      <c r="AP80" s="274">
        <f>[50]SAS_NSA_2019_4T!$C$184</f>
        <v>152</v>
      </c>
      <c r="AQ80" s="274">
        <f>[51]SAS_NSA_2020_1T!$C$171</f>
        <v>152</v>
      </c>
      <c r="AR80" s="274">
        <f>[52]SAS_NSA_2020_2T!$C$171</f>
        <v>152</v>
      </c>
      <c r="AS80" s="274">
        <f>[53]SAS_NSA_2020_3T!$C$171</f>
        <v>152</v>
      </c>
      <c r="AT80" s="274">
        <f>[54]SAS_NSA_2020_4T!$C$171</f>
        <v>152</v>
      </c>
      <c r="AU80" s="274">
        <f>[55]SAS_NSA_2021_1T!$C$171</f>
        <v>152</v>
      </c>
      <c r="AV80" s="274">
        <f>[56]SAS_NSA_2021_2T!$C$171</f>
        <v>152</v>
      </c>
      <c r="AW80" s="274">
        <f>[57]SAS_NSA_2021_3T!$B$148</f>
        <v>152</v>
      </c>
      <c r="AX80" s="422">
        <f>[58]SAS_NSA_2021_4T!$C$94</f>
        <v>152</v>
      </c>
      <c r="AY80" s="274">
        <f>[59]SAS_NSA_2022_1T!$C$94</f>
        <v>152</v>
      </c>
      <c r="AZ80" s="274">
        <f>[60]SAS_NSA_2022_2T!$C$94</f>
        <v>152</v>
      </c>
      <c r="BA80" s="274">
        <f>[61]SAS_NSA_2022_3T!$C$94</f>
        <v>152</v>
      </c>
      <c r="BB80" s="274">
        <f>[62]SAS_NSA_2022_4T!$C$94</f>
        <v>152</v>
      </c>
      <c r="BC80" s="274">
        <f>[2]SAS_NSA_2023_1T!$C$94</f>
        <v>152</v>
      </c>
      <c r="BD80" s="274">
        <f>[3]SAS_NSA_2023_2T!$C$94</f>
        <v>152</v>
      </c>
      <c r="BE80" s="274">
        <f>[4]SAS_NSA_2023_3T!$C$94</f>
        <v>152</v>
      </c>
      <c r="BF80" s="274">
        <f>[5]SAS_NSA_2023_4T!$C$94</f>
        <v>152</v>
      </c>
      <c r="BG80" s="274">
        <f>[6]SAS_NSA_2024_1T!$C$94</f>
        <v>152</v>
      </c>
      <c r="BH80" s="274">
        <f>[7]SAS_NSA_2024_2T!$C$94</f>
        <v>152</v>
      </c>
      <c r="BI80" s="274">
        <f>[8]SAS_NSA_2024_3T!$C$94</f>
        <v>152</v>
      </c>
      <c r="BJ80" s="274">
        <f>[9]SAS_NSA_2024_4T!$C$94</f>
        <v>152</v>
      </c>
    </row>
    <row r="81" spans="1:62" ht="13.5" thickBot="1" x14ac:dyDescent="0.35">
      <c r="A81" s="299"/>
      <c r="B81" s="11"/>
      <c r="C81" s="36"/>
      <c r="D81" s="36"/>
      <c r="E81" s="36"/>
      <c r="F81" s="36"/>
      <c r="G81" s="36"/>
      <c r="H81" s="36"/>
      <c r="I81" s="36"/>
      <c r="J81" s="36"/>
      <c r="K81" s="143"/>
      <c r="L81" s="143"/>
      <c r="M81" s="143"/>
      <c r="N81" s="143"/>
      <c r="O81" s="143"/>
      <c r="P81" s="143"/>
      <c r="Q81" s="143"/>
      <c r="R81" s="36"/>
      <c r="S81" s="36"/>
      <c r="T81" s="36"/>
      <c r="U81" s="36"/>
      <c r="V81" s="36"/>
      <c r="W81" s="36"/>
      <c r="X81" s="36"/>
      <c r="Y81" s="36"/>
      <c r="Z81" s="36"/>
      <c r="AA81" s="36"/>
      <c r="AB81" s="36"/>
      <c r="AC81" s="36"/>
      <c r="AD81" s="36"/>
      <c r="AE81" s="36"/>
      <c r="AF81" s="36"/>
      <c r="AG81" s="36"/>
      <c r="AH81" s="36"/>
      <c r="AI81" s="36"/>
      <c r="AJ81" s="36"/>
      <c r="AM81" s="36"/>
      <c r="AN81" s="36"/>
      <c r="AO81" s="36"/>
      <c r="AP81" s="36"/>
      <c r="AQ81" s="36"/>
      <c r="AR81" s="36"/>
      <c r="AS81" s="36"/>
      <c r="AT81" s="36"/>
      <c r="AU81" s="36"/>
      <c r="AV81" s="36"/>
      <c r="AW81" s="36"/>
      <c r="AX81" s="418"/>
      <c r="AY81" s="36"/>
      <c r="AZ81" s="36"/>
      <c r="BA81" s="36"/>
      <c r="BB81" s="36"/>
      <c r="BC81" s="36"/>
      <c r="BD81" s="36"/>
      <c r="BE81" s="36"/>
      <c r="BF81" s="36"/>
      <c r="BG81" s="36"/>
      <c r="BH81" s="36"/>
      <c r="BI81" s="36"/>
      <c r="BJ81" s="36"/>
    </row>
    <row r="82" spans="1:62" ht="13" x14ac:dyDescent="0.3">
      <c r="A82" s="305"/>
      <c r="B82" s="26"/>
      <c r="C82" s="41"/>
      <c r="D82" s="41"/>
      <c r="E82" s="41"/>
      <c r="F82" s="41"/>
      <c r="G82" s="41"/>
      <c r="H82" s="41"/>
      <c r="I82" s="41"/>
      <c r="J82" s="41"/>
      <c r="K82" s="147"/>
      <c r="L82" s="147"/>
      <c r="M82" s="147"/>
      <c r="N82" s="147"/>
      <c r="O82" s="147"/>
      <c r="P82" s="147"/>
      <c r="Q82" s="147"/>
      <c r="R82" s="41"/>
      <c r="S82" s="41"/>
      <c r="T82" s="41"/>
      <c r="U82" s="41"/>
      <c r="V82" s="41"/>
      <c r="W82" s="41"/>
      <c r="X82" s="41"/>
      <c r="Y82" s="41"/>
      <c r="Z82" s="41"/>
      <c r="AA82" s="41"/>
      <c r="AB82" s="41"/>
      <c r="AC82" s="41"/>
      <c r="AD82" s="41"/>
      <c r="AE82" s="41"/>
      <c r="AF82" s="41"/>
      <c r="AG82" s="41"/>
      <c r="AH82" s="41"/>
      <c r="AI82" s="41"/>
      <c r="AJ82" s="41"/>
      <c r="AM82" s="41"/>
      <c r="AN82" s="41"/>
      <c r="AO82" s="41"/>
      <c r="AP82" s="41"/>
      <c r="AQ82" s="41"/>
      <c r="AR82" s="41"/>
      <c r="AS82" s="41"/>
      <c r="AT82" s="41"/>
      <c r="AU82" s="41"/>
      <c r="AV82" s="41"/>
      <c r="AW82" s="41"/>
      <c r="AX82" s="406"/>
      <c r="AY82" s="41"/>
      <c r="AZ82" s="41"/>
      <c r="BA82" s="41"/>
      <c r="BB82" s="41"/>
      <c r="BC82" s="41"/>
      <c r="BD82" s="41"/>
      <c r="BE82" s="41"/>
      <c r="BF82" s="41"/>
      <c r="BG82" s="41"/>
      <c r="BH82" s="41"/>
      <c r="BI82" s="41"/>
      <c r="BJ82" s="41"/>
    </row>
    <row r="83" spans="1:62" ht="27.75" customHeight="1" x14ac:dyDescent="0.25">
      <c r="A83" s="332" t="s">
        <v>22</v>
      </c>
      <c r="L83" s="145"/>
      <c r="M83" s="145"/>
      <c r="R83" s="177"/>
      <c r="AC83" s="177"/>
      <c r="AD83" s="177"/>
      <c r="AE83" s="177"/>
      <c r="AF83" s="177"/>
      <c r="AG83" s="177"/>
      <c r="AH83" s="177"/>
      <c r="AI83" s="177"/>
      <c r="AJ83" s="177"/>
      <c r="AM83" s="177"/>
      <c r="AN83" s="177"/>
      <c r="AO83" s="177"/>
      <c r="AP83" s="177"/>
      <c r="AQ83" s="177"/>
      <c r="AR83" s="177"/>
      <c r="AS83" s="177"/>
      <c r="AT83" s="177"/>
      <c r="AU83" s="177"/>
      <c r="AV83" s="177"/>
      <c r="AW83" s="177"/>
      <c r="AX83" s="407"/>
      <c r="AY83" s="177"/>
      <c r="AZ83" s="177"/>
      <c r="BA83" s="177"/>
      <c r="BB83" s="377" t="s">
        <v>241</v>
      </c>
      <c r="BC83" s="377"/>
      <c r="BD83" s="377"/>
      <c r="BE83" s="377"/>
      <c r="BF83" s="377"/>
      <c r="BG83" s="377"/>
      <c r="BH83" s="377"/>
      <c r="BI83" s="377"/>
      <c r="BJ83" s="377"/>
    </row>
    <row r="84" spans="1:62" x14ac:dyDescent="0.25">
      <c r="A84" s="381" t="s">
        <v>246</v>
      </c>
      <c r="L84" s="145"/>
      <c r="M84" s="145"/>
      <c r="R84" s="177"/>
      <c r="AC84" s="177"/>
      <c r="AD84" s="177"/>
      <c r="AE84" s="177"/>
      <c r="AF84" s="177"/>
      <c r="AG84" s="177"/>
      <c r="AH84" s="177"/>
      <c r="AI84" s="177"/>
      <c r="AJ84" s="177"/>
      <c r="AM84" s="177"/>
      <c r="AN84" s="177"/>
      <c r="AO84" s="177"/>
      <c r="AP84" s="177"/>
      <c r="AQ84" s="177"/>
      <c r="AR84" s="177"/>
      <c r="AS84" s="177"/>
      <c r="AT84" s="177"/>
      <c r="AU84" s="177"/>
      <c r="AV84" s="177"/>
      <c r="AW84" s="177"/>
      <c r="AX84" s="407"/>
      <c r="AY84" s="177"/>
      <c r="AZ84" s="177"/>
      <c r="BA84" s="177"/>
      <c r="BB84" s="383" t="s">
        <v>244</v>
      </c>
      <c r="BC84" s="383"/>
      <c r="BD84" s="383"/>
      <c r="BE84" s="383"/>
      <c r="BF84" s="383"/>
      <c r="BG84" s="383"/>
      <c r="BH84" s="383"/>
      <c r="BI84" s="383"/>
      <c r="BJ84" s="383"/>
    </row>
    <row r="85" spans="1:62" x14ac:dyDescent="0.25">
      <c r="A85" s="302"/>
      <c r="B85" s="2" t="str">
        <f t="shared" ref="B85:G85" si="239">B8</f>
        <v>4eme T 2009</v>
      </c>
      <c r="C85" s="38" t="str">
        <f t="shared" si="239"/>
        <v>1er T 2010</v>
      </c>
      <c r="D85" s="38" t="str">
        <f t="shared" si="239"/>
        <v>2eme T 2010</v>
      </c>
      <c r="E85" s="38" t="str">
        <f t="shared" si="239"/>
        <v>3eme T 2010</v>
      </c>
      <c r="F85" s="38" t="str">
        <f t="shared" si="239"/>
        <v>4eme T 2010</v>
      </c>
      <c r="G85" s="38" t="str">
        <f t="shared" si="239"/>
        <v>1er T 2011</v>
      </c>
      <c r="H85" s="38" t="str">
        <f t="shared" ref="H85:M85" si="240">H8</f>
        <v>2eme T 2011</v>
      </c>
      <c r="I85" s="38" t="str">
        <f t="shared" si="240"/>
        <v>3eme T 2011</v>
      </c>
      <c r="J85" s="38" t="str">
        <f t="shared" si="240"/>
        <v>4eme T 2011</v>
      </c>
      <c r="K85" s="38" t="str">
        <f t="shared" si="240"/>
        <v>1er T 2012</v>
      </c>
      <c r="L85" s="38" t="str">
        <f t="shared" si="240"/>
        <v>2eme T 2012</v>
      </c>
      <c r="M85" s="38" t="str">
        <f t="shared" si="240"/>
        <v>3eme T 2012</v>
      </c>
      <c r="N85" s="38" t="str">
        <f t="shared" ref="N85:S85" si="241">N8</f>
        <v>4eme T 2012</v>
      </c>
      <c r="O85" s="38" t="str">
        <f t="shared" si="241"/>
        <v>1er T 2013</v>
      </c>
      <c r="P85" s="38" t="str">
        <f t="shared" si="241"/>
        <v>2eme T 2013</v>
      </c>
      <c r="Q85" s="38" t="str">
        <f t="shared" si="241"/>
        <v>3ème T 2013</v>
      </c>
      <c r="R85" s="178" t="str">
        <f t="shared" si="241"/>
        <v>4ème T 2013</v>
      </c>
      <c r="S85" s="178" t="str">
        <f t="shared" si="241"/>
        <v>1er T 2014</v>
      </c>
      <c r="T85" s="178" t="str">
        <f t="shared" ref="T85:U85" si="242">T8</f>
        <v>2eme T 2014</v>
      </c>
      <c r="U85" s="178" t="str">
        <f t="shared" si="242"/>
        <v>3T 2014</v>
      </c>
      <c r="V85" s="178" t="str">
        <f t="shared" ref="V85:W85" si="243">V8</f>
        <v>4ème T 2014</v>
      </c>
      <c r="W85" s="178" t="str">
        <f t="shared" si="243"/>
        <v>1er T 2015</v>
      </c>
      <c r="X85" s="178" t="str">
        <f t="shared" ref="X85:Y85" si="244">X8</f>
        <v>2e T 2015</v>
      </c>
      <c r="Y85" s="178" t="str">
        <f t="shared" si="244"/>
        <v>3e T 2015</v>
      </c>
      <c r="Z85" s="178" t="str">
        <f t="shared" ref="Z85:AA85" si="245">Z8</f>
        <v>4e T 2015</v>
      </c>
      <c r="AA85" s="178" t="str">
        <f t="shared" si="245"/>
        <v>1er T 2016</v>
      </c>
      <c r="AB85" s="178" t="str">
        <f t="shared" ref="AB85:AH85" si="246">AB8</f>
        <v>2e T 2016</v>
      </c>
      <c r="AC85" s="178" t="str">
        <f t="shared" si="246"/>
        <v>3e T 2016</v>
      </c>
      <c r="AD85" s="178" t="str">
        <f t="shared" si="246"/>
        <v>4e T 2016</v>
      </c>
      <c r="AE85" s="178" t="str">
        <f t="shared" si="246"/>
        <v>2017 - T1</v>
      </c>
      <c r="AF85" s="178" t="str">
        <f t="shared" si="246"/>
        <v>2017 - T2</v>
      </c>
      <c r="AG85" s="178" t="str">
        <f t="shared" si="246"/>
        <v>2017- T3</v>
      </c>
      <c r="AH85" s="178" t="str">
        <f t="shared" si="246"/>
        <v>2017 - T4</v>
      </c>
      <c r="AI85" s="178" t="str">
        <f t="shared" ref="AI85:AJ85" si="247">AI8</f>
        <v>2018 - T1</v>
      </c>
      <c r="AJ85" s="178" t="str">
        <f t="shared" si="247"/>
        <v>2018 - T2</v>
      </c>
      <c r="AK85" s="178" t="s">
        <v>204</v>
      </c>
      <c r="AL85" s="178" t="s">
        <v>206</v>
      </c>
      <c r="AM85" s="178" t="str">
        <f t="shared" ref="AM85:AN85" si="248">AM8</f>
        <v>2019 - T1</v>
      </c>
      <c r="AN85" s="178" t="str">
        <f t="shared" si="248"/>
        <v>2019 - T2</v>
      </c>
      <c r="AO85" s="178" t="str">
        <f t="shared" ref="AO85" si="249">AO8</f>
        <v>2019 - T3</v>
      </c>
      <c r="AP85" s="178" t="s">
        <v>214</v>
      </c>
      <c r="AQ85" s="178" t="str">
        <f t="shared" ref="AQ85:AV85" si="250">AQ8</f>
        <v>2020 - T1</v>
      </c>
      <c r="AR85" s="178" t="str">
        <f t="shared" si="250"/>
        <v>2020 - T2</v>
      </c>
      <c r="AS85" s="178" t="str">
        <f t="shared" si="250"/>
        <v>2020 - T3</v>
      </c>
      <c r="AT85" s="178" t="str">
        <f t="shared" si="250"/>
        <v>2020- T4</v>
      </c>
      <c r="AU85" s="178" t="str">
        <f t="shared" si="250"/>
        <v>2021- T1</v>
      </c>
      <c r="AV85" s="178" t="str">
        <f t="shared" si="250"/>
        <v>2021- T2</v>
      </c>
      <c r="AW85" s="178" t="str">
        <f t="shared" ref="AW85:AX85" si="251">AW8</f>
        <v>2021- T3</v>
      </c>
      <c r="AX85" s="403" t="str">
        <f t="shared" si="251"/>
        <v>2021- T4</v>
      </c>
      <c r="AY85" s="178" t="str">
        <f t="shared" ref="AY85:AZ85" si="252">AY8</f>
        <v>2022- T1</v>
      </c>
      <c r="AZ85" s="178" t="str">
        <f t="shared" si="252"/>
        <v>2022- T2</v>
      </c>
      <c r="BA85" s="178" t="str">
        <f t="shared" ref="BA85:BB85" si="253">BA8</f>
        <v>2022- T3</v>
      </c>
      <c r="BB85" s="178" t="str">
        <f t="shared" si="253"/>
        <v>2022- T4</v>
      </c>
      <c r="BC85" s="178" t="str">
        <f t="shared" ref="BC85:BD85" si="254">BC8</f>
        <v>2023- T1</v>
      </c>
      <c r="BD85" s="178" t="str">
        <f t="shared" si="254"/>
        <v>2023- T2</v>
      </c>
      <c r="BE85" s="178" t="str">
        <f t="shared" ref="BE85:BF85" si="255">BE8</f>
        <v>2023- T3</v>
      </c>
      <c r="BF85" s="178" t="str">
        <f t="shared" si="255"/>
        <v>2023- T4</v>
      </c>
      <c r="BG85" s="178" t="str">
        <f t="shared" ref="BG85:BH85" si="256">BG8</f>
        <v>2024- T1</v>
      </c>
      <c r="BH85" s="178" t="str">
        <f t="shared" si="256"/>
        <v>2024- T2</v>
      </c>
      <c r="BI85" s="178" t="str">
        <f t="shared" ref="BI85:BJ85" si="257">BI8</f>
        <v>2024- T3</v>
      </c>
      <c r="BJ85" s="178" t="str">
        <f t="shared" si="257"/>
        <v>2024- T4</v>
      </c>
    </row>
    <row r="86" spans="1:62" x14ac:dyDescent="0.25">
      <c r="A86" s="312" t="s">
        <v>0</v>
      </c>
      <c r="B86" s="9">
        <f>[63]SAS_NSA_4T2009!$C$88</f>
        <v>318841</v>
      </c>
      <c r="C86" s="46">
        <f>[11]SAS_NSA_1T2010!$C$88</f>
        <v>317938</v>
      </c>
      <c r="D86" s="46">
        <f>[12]SAS_NSA_2T2010!$C$88</f>
        <v>314897</v>
      </c>
      <c r="E86" s="46">
        <f>[13]SAS_NSA_3T2010!$C$88</f>
        <v>312080</v>
      </c>
      <c r="F86" s="46">
        <f>[14]SAS_NSA_2010_4T!$C$88</f>
        <v>310582</v>
      </c>
      <c r="G86" s="46">
        <f>[15]SAS_NSA_2011_1T!$C$88</f>
        <v>309063</v>
      </c>
      <c r="H86" s="46">
        <f>[16]SAS_NSA_2011_2T!$C$88</f>
        <v>305962</v>
      </c>
      <c r="I86" s="46">
        <f>[17]SAS_NSA_2011_3T!$C$88</f>
        <v>302923</v>
      </c>
      <c r="J86" s="46">
        <f>[18]SAS_NSA_2011_4T!$C$88</f>
        <v>300636</v>
      </c>
      <c r="K86" s="46">
        <f>[19]SAS_NSA_2012_1T!$C$88</f>
        <v>298902</v>
      </c>
      <c r="L86" s="46">
        <f>'[20]120919-14H22S23-PROGRAM-TdB_STO'!$C$88</f>
        <v>295383</v>
      </c>
      <c r="M86" s="46">
        <f>'[21]121105-15H12S18-PROGRAM-TdB_STO'!$C$88</f>
        <v>291901</v>
      </c>
      <c r="N86" s="46">
        <f>[22]SAS_NSA_2012_4T!$C$88</f>
        <v>289507</v>
      </c>
      <c r="O86" s="46">
        <f>[23]SAS_NSA_2013_1T!$C$88</f>
        <v>287883</v>
      </c>
      <c r="P86" s="46">
        <f>[24]SAS_NSA_2013_2T!$C$88</f>
        <v>284802</v>
      </c>
      <c r="Q86" s="46">
        <f>[25]SAS_NSA_2013_3T!$C$88</f>
        <v>282375</v>
      </c>
      <c r="R86" s="186">
        <f>[26]SAS_NSA_2013_4T!$C$88</f>
        <v>280420</v>
      </c>
      <c r="S86" s="186">
        <f>[27]SAS_NSA_2014_1T!$C$88</f>
        <v>278479</v>
      </c>
      <c r="T86" s="186">
        <f>[28]SAS_NSA_2014_2T!$C$88</f>
        <v>276405</v>
      </c>
      <c r="U86" s="186">
        <f>[29]SAS_NSA_2014_3T!$C$88</f>
        <v>273991</v>
      </c>
      <c r="V86" s="186">
        <f>[30]SAS_NSA_2014_4T!$C$88</f>
        <v>272603</v>
      </c>
      <c r="W86" s="186">
        <f>[31]SAS_NSA_2015_1T!$C$88</f>
        <v>271313</v>
      </c>
      <c r="X86" s="186">
        <f>[32]SAS_NSA_2015_2T!$C$88</f>
        <v>268011</v>
      </c>
      <c r="Y86" s="186">
        <f>[33]SAS_NSA_2015_3T!$C$88</f>
        <v>265188</v>
      </c>
      <c r="Z86" s="186">
        <f>[34]SAS_NSA_2015_4T!$C$88</f>
        <v>264086</v>
      </c>
      <c r="AA86" s="186">
        <f>[35]SAS_NSA_2016_1T!$C$88</f>
        <v>263221</v>
      </c>
      <c r="AB86" s="186">
        <f>[36]SAS_NSA_2016_2T!$C$88</f>
        <v>260804</v>
      </c>
      <c r="AC86" s="186">
        <f>[37]SAS_NSA_2016_3T!$C$88</f>
        <v>258503</v>
      </c>
      <c r="AD86" s="186">
        <f>[38]SAS_NSA_2016_4T!$C$88</f>
        <v>257261</v>
      </c>
      <c r="AE86" s="186">
        <f>[39]SAS_NSA_2017_1T!$C$88</f>
        <v>256132</v>
      </c>
      <c r="AF86" s="186">
        <f>[40]SAS_NSA_2017_2T!$C$88</f>
        <v>253691</v>
      </c>
      <c r="AG86" s="186">
        <f>[41]SAS_NSA_2017_3T!$C$88</f>
        <v>251901</v>
      </c>
      <c r="AH86" s="186">
        <f>[42]SAS_NSA_2017_4T!$C$88</f>
        <v>251451</v>
      </c>
      <c r="AI86" s="186">
        <f>[43]SAS_NSA_2018_1T!$C$88</f>
        <v>250804</v>
      </c>
      <c r="AJ86" s="186">
        <f>[44]SAS_NSA_2018_2T!$C$90</f>
        <v>248690</v>
      </c>
      <c r="AK86" s="133">
        <f>[45]SAS_NSA_2018_3T!C88</f>
        <v>246518</v>
      </c>
      <c r="AL86" s="133">
        <f>[46]SAS_NSA_2018_4T!$C$88</f>
        <v>245897</v>
      </c>
      <c r="AM86" s="186">
        <f>[47]SAS_NSA_2019_1T!$C$88</f>
        <v>245008</v>
      </c>
      <c r="AN86" s="186">
        <f>[48]SAS_NSA_2019_2T!$C$88</f>
        <v>242499</v>
      </c>
      <c r="AO86" s="186">
        <f>[49]SAS_NSA_2019_3T!$C88</f>
        <v>240397</v>
      </c>
      <c r="AP86" s="186">
        <f>[50]SAS_NSA_2019_4T!$C$88</f>
        <v>240113</v>
      </c>
      <c r="AQ86" s="186">
        <f>[51]SAS_NSA_2020_1T!$C$83</f>
        <v>239342</v>
      </c>
      <c r="AR86" s="186">
        <f>[52]SAS_NSA_2020_2T!$C$83</f>
        <v>236749</v>
      </c>
      <c r="AS86" s="186">
        <f>[53]SAS_NSA_2020_3T!$C$83</f>
        <v>234474</v>
      </c>
      <c r="AT86" s="186">
        <f>[54]SAS_NSA_2020_4T!$C$83</f>
        <v>233824</v>
      </c>
      <c r="AU86" s="186">
        <f>[55]SAS_NSA_2021_1T!$C$83</f>
        <v>232396</v>
      </c>
      <c r="AV86" s="186">
        <f>[56]SAS_NSA_2021_2T!$C$83</f>
        <v>229479</v>
      </c>
      <c r="AW86" s="186">
        <f>[57]SAS_NSA_2021_3T!$C$83</f>
        <v>227225</v>
      </c>
      <c r="AX86" s="413">
        <f>[58]SAS_NSA_2021_4T!$C100</f>
        <v>227154</v>
      </c>
      <c r="AY86" s="186">
        <f>[59]SAS_NSA_2022_1T!$C$100</f>
        <v>174661</v>
      </c>
      <c r="AZ86" s="186">
        <f>[60]SAS_NSA_2022_2T!$C$100</f>
        <v>172121</v>
      </c>
      <c r="BA86" s="186">
        <f>[61]SAS_NSA_2022_3T!$C$100</f>
        <v>170191</v>
      </c>
      <c r="BB86" s="379">
        <f>[62]SAS_NSA_2022_4T!$C$100</f>
        <v>170478</v>
      </c>
      <c r="BC86" s="337">
        <f>[2]SAS_NSA_2023_1T!$C$100</f>
        <v>169037</v>
      </c>
      <c r="BD86" s="337">
        <f>[3]SAS_NSA_2023_2T!$C$100</f>
        <v>166851</v>
      </c>
      <c r="BE86" s="337">
        <f>[4]SAS_NSA_2023_3T!$C$100</f>
        <v>165266</v>
      </c>
      <c r="BF86" s="337">
        <f>[5]SAS_NSA_2023_4T!$C$100</f>
        <v>164641</v>
      </c>
      <c r="BG86" s="337">
        <f>[6]SAS_NSA_2024_1T!$C$100</f>
        <v>163693</v>
      </c>
      <c r="BH86" s="337">
        <f>[7]SAS_NSA_2024_2T!$C$100</f>
        <v>161379</v>
      </c>
      <c r="BI86" s="337">
        <f>[8]SAS_NSA_2024_3T!$C$100</f>
        <v>159518</v>
      </c>
      <c r="BJ86" s="337">
        <f>[9]SAS_NSA_2024_4T!$C$100</f>
        <v>158929</v>
      </c>
    </row>
    <row r="87" spans="1:62" x14ac:dyDescent="0.25">
      <c r="A87" s="312" t="s">
        <v>1</v>
      </c>
      <c r="B87" s="9">
        <f>[63]SAS_NSA_4T2009!$C$89</f>
        <v>50727</v>
      </c>
      <c r="C87" s="46">
        <f>[11]SAS_NSA_1T2010!$C$89</f>
        <v>49644</v>
      </c>
      <c r="D87" s="46">
        <f>[12]SAS_NSA_2T2010!$C$89</f>
        <v>48588</v>
      </c>
      <c r="E87" s="46">
        <f>[13]SAS_NSA_3T2010!$C$89</f>
        <v>47531</v>
      </c>
      <c r="F87" s="46">
        <f>[14]SAS_NSA_2010_4T!$C$89</f>
        <v>46588</v>
      </c>
      <c r="G87" s="46">
        <f>[15]SAS_NSA_2011_1T!$C$89</f>
        <v>45451</v>
      </c>
      <c r="H87" s="46">
        <f>[16]SAS_NSA_2011_2T!$C$89</f>
        <v>44391</v>
      </c>
      <c r="I87" s="46">
        <f>[17]SAS_NSA_2011_3T!$C$89</f>
        <v>43370</v>
      </c>
      <c r="J87" s="46">
        <f>[18]SAS_NSA_2011_4T!$C$89</f>
        <v>42344</v>
      </c>
      <c r="K87" s="46">
        <f>[19]SAS_NSA_2012_1T!$C$89</f>
        <v>41334</v>
      </c>
      <c r="L87" s="46">
        <f>'[20]120919-14H22S23-PROGRAM-TdB_STO'!$C$89</f>
        <v>40279</v>
      </c>
      <c r="M87" s="46">
        <f>'[21]121105-15H12S18-PROGRAM-TdB_STO'!$C$89</f>
        <v>39259</v>
      </c>
      <c r="N87" s="46">
        <f>[22]SAS_NSA_2012_4T!$C$89</f>
        <v>38323</v>
      </c>
      <c r="O87" s="46">
        <f>[23]SAS_NSA_2013_1T!$C$89</f>
        <v>37449</v>
      </c>
      <c r="P87" s="46">
        <f>[24]SAS_NSA_2013_2T!$C$89</f>
        <v>36508</v>
      </c>
      <c r="Q87" s="46">
        <f>[25]SAS_NSA_2013_3T!$C$89</f>
        <v>35636</v>
      </c>
      <c r="R87" s="186">
        <f>[26]SAS_NSA_2013_4T!$C$89</f>
        <v>34756</v>
      </c>
      <c r="S87" s="186">
        <f>[27]SAS_NSA_2014_1T!$C$89</f>
        <v>33848</v>
      </c>
      <c r="T87" s="186">
        <f>[28]SAS_NSA_2014_2T!$C$89</f>
        <v>33220</v>
      </c>
      <c r="U87" s="186">
        <f>[29]SAS_NSA_2014_3T!$C$89</f>
        <v>32396</v>
      </c>
      <c r="V87" s="186">
        <f>[30]SAS_NSA_2014_4T!$C$89</f>
        <v>31646</v>
      </c>
      <c r="W87" s="186">
        <f>[31]SAS_NSA_2015_1T!$C$89</f>
        <v>30876</v>
      </c>
      <c r="X87" s="186">
        <f>[32]SAS_NSA_2015_2T!$C$89</f>
        <v>29968</v>
      </c>
      <c r="Y87" s="186">
        <f>[33]SAS_NSA_2015_3T!$C$89</f>
        <v>29153</v>
      </c>
      <c r="Z87" s="186">
        <f>[34]SAS_NSA_2015_4T!$C$89</f>
        <v>28416</v>
      </c>
      <c r="AA87" s="186">
        <f>[35]SAS_NSA_2016_1T!$C$89</f>
        <v>27733</v>
      </c>
      <c r="AB87" s="186">
        <f>[36]SAS_NSA_2016_2T!$C$89</f>
        <v>27007</v>
      </c>
      <c r="AC87" s="186">
        <f>[37]SAS_NSA_2016_3T!$C$89</f>
        <v>26328</v>
      </c>
      <c r="AD87" s="186">
        <f>[38]SAS_NSA_2016_4T!$C$89</f>
        <v>25722</v>
      </c>
      <c r="AE87" s="186">
        <f>[39]SAS_NSA_2017_1T!$C$89</f>
        <v>25028</v>
      </c>
      <c r="AF87" s="186">
        <f>[40]SAS_NSA_2017_2T!$C$89</f>
        <v>24309</v>
      </c>
      <c r="AG87" s="186">
        <f>[41]SAS_NSA_2017_3T!$C$89</f>
        <v>23746</v>
      </c>
      <c r="AH87" s="186">
        <f>[42]SAS_NSA_2017_4T!$C$89</f>
        <v>23195</v>
      </c>
      <c r="AI87" s="186">
        <f>[43]SAS_NSA_2018_1T!$C$89</f>
        <v>22633</v>
      </c>
      <c r="AJ87" s="186">
        <f>[44]SAS_NSA_2018_2T!$C$91</f>
        <v>22101</v>
      </c>
      <c r="AK87" s="133">
        <f>[45]SAS_NSA_2018_3T!C89</f>
        <v>21489</v>
      </c>
      <c r="AL87" s="133">
        <f>[46]SAS_NSA_2018_4T!$C$89</f>
        <v>20919</v>
      </c>
      <c r="AM87" s="186">
        <f>[47]SAS_NSA_2019_1T!$C$89</f>
        <v>20339</v>
      </c>
      <c r="AN87" s="186">
        <f>[48]SAS_NSA_2019_2T!$C$89</f>
        <v>19782</v>
      </c>
      <c r="AO87" s="186">
        <f>[49]SAS_NSA_2019_3T!$C89</f>
        <v>19325</v>
      </c>
      <c r="AP87" s="186">
        <f>[50]SAS_NSA_2019_4T!$C$89</f>
        <v>18847</v>
      </c>
      <c r="AQ87" s="186">
        <f>[51]SAS_NSA_2020_1T!$C$84</f>
        <v>18394</v>
      </c>
      <c r="AR87" s="186">
        <f>[52]SAS_NSA_2020_2T!$C$84</f>
        <v>17928</v>
      </c>
      <c r="AS87" s="186">
        <f>[53]SAS_NSA_2020_3T!$C$84</f>
        <v>17457</v>
      </c>
      <c r="AT87" s="186">
        <f>[54]SAS_NSA_2020_4T!$C$84</f>
        <v>16999</v>
      </c>
      <c r="AU87" s="186">
        <f>[55]SAS_NSA_2021_1T!$C$84</f>
        <v>16506</v>
      </c>
      <c r="AV87" s="186">
        <f>[56]SAS_NSA_2021_2T!$C$84</f>
        <v>16047</v>
      </c>
      <c r="AW87" s="186">
        <f>[57]SAS_NSA_2021_3T!$C$84</f>
        <v>15646</v>
      </c>
      <c r="AX87" s="413">
        <f>[58]SAS_NSA_2021_4T!$C101</f>
        <v>15271</v>
      </c>
      <c r="AY87" s="186">
        <f>[59]SAS_NSA_2022_1T!$C$101</f>
        <v>11243</v>
      </c>
      <c r="AZ87" s="186">
        <f>[60]SAS_NSA_2022_2T!$C$101</f>
        <v>10842</v>
      </c>
      <c r="BA87" s="186">
        <f>[61]SAS_NSA_2022_3T!$C$101</f>
        <v>10507</v>
      </c>
      <c r="BB87" s="379">
        <f>[62]SAS_NSA_2022_4T!$C$101</f>
        <v>10226</v>
      </c>
      <c r="BC87" s="337">
        <f>[2]SAS_NSA_2023_1T!$C$101</f>
        <v>9879</v>
      </c>
      <c r="BD87" s="337">
        <f>[3]SAS_NSA_2023_2T!$C$101</f>
        <v>9504</v>
      </c>
      <c r="BE87" s="337">
        <f>[4]SAS_NSA_2023_3T!$C$101</f>
        <v>9222</v>
      </c>
      <c r="BF87" s="337">
        <f>[5]SAS_NSA_2023_4T!$C$101</f>
        <v>8923</v>
      </c>
      <c r="BG87" s="337">
        <f>[6]SAS_NSA_2024_1T!$C$101</f>
        <v>8615</v>
      </c>
      <c r="BH87" s="337">
        <f>[7]SAS_NSA_2024_2T!$C$101</f>
        <v>8320</v>
      </c>
      <c r="BI87" s="337">
        <f>[8]SAS_NSA_2024_3T!$C$101</f>
        <v>8074</v>
      </c>
      <c r="BJ87" s="337">
        <f>[9]SAS_NSA_2024_4T!$C$101</f>
        <v>7790</v>
      </c>
    </row>
    <row r="88" spans="1:62" x14ac:dyDescent="0.25">
      <c r="A88" s="312" t="s">
        <v>2</v>
      </c>
      <c r="B88" s="9">
        <f>[63]SAS_NSA_4T2009!$C$90</f>
        <v>6485</v>
      </c>
      <c r="C88" s="46">
        <f>[11]SAS_NSA_1T2010!$C$90</f>
        <v>6427</v>
      </c>
      <c r="D88" s="46">
        <f>[12]SAS_NSA_2T2010!$C$90</f>
        <v>6359</v>
      </c>
      <c r="E88" s="46">
        <f>[13]SAS_NSA_3T2010!$C$90</f>
        <v>6295</v>
      </c>
      <c r="F88" s="46">
        <f>[14]SAS_NSA_2010_4T!$C$90</f>
        <v>6233</v>
      </c>
      <c r="G88" s="46">
        <f>[15]SAS_NSA_2011_1T!$C$90</f>
        <v>6164</v>
      </c>
      <c r="H88" s="46">
        <f>[16]SAS_NSA_2011_2T!$C$90</f>
        <v>6084</v>
      </c>
      <c r="I88" s="46">
        <f>[17]SAS_NSA_2011_3T!$C$90</f>
        <v>5990</v>
      </c>
      <c r="J88" s="46">
        <f>[18]SAS_NSA_2011_4T!$C$90</f>
        <v>5925</v>
      </c>
      <c r="K88" s="46">
        <f>[19]SAS_NSA_2012_1T!$C$90</f>
        <v>5850</v>
      </c>
      <c r="L88" s="46">
        <f>'[20]120919-14H22S23-PROGRAM-TdB_STO'!$C$90</f>
        <v>5748</v>
      </c>
      <c r="M88" s="46">
        <f>'[21]121105-15H12S18-PROGRAM-TdB_STO'!$C$90</f>
        <v>5649</v>
      </c>
      <c r="N88" s="46">
        <f>[22]SAS_NSA_2012_4T!$C$90</f>
        <v>5567</v>
      </c>
      <c r="O88" s="46">
        <f>[23]SAS_NSA_2013_1T!$C$90</f>
        <v>5472</v>
      </c>
      <c r="P88" s="46">
        <f>[24]SAS_NSA_2013_2T!$C$90</f>
        <v>5358</v>
      </c>
      <c r="Q88" s="46">
        <f>[25]SAS_NSA_2013_3T!$C$90</f>
        <v>5297</v>
      </c>
      <c r="R88" s="186">
        <f>[26]SAS_NSA_2013_4T!$C$90</f>
        <v>5244</v>
      </c>
      <c r="S88" s="186">
        <f>[27]SAS_NSA_2014_1T!$C$90</f>
        <v>5156</v>
      </c>
      <c r="T88" s="186">
        <f>[28]SAS_NSA_2014_2T!$C$90</f>
        <v>5077</v>
      </c>
      <c r="U88" s="186">
        <f>[29]SAS_NSA_2014_3T!$C$90</f>
        <v>5006</v>
      </c>
      <c r="V88" s="186">
        <f>[30]SAS_NSA_2014_4T!$C$90</f>
        <v>4938</v>
      </c>
      <c r="W88" s="186">
        <f>[31]SAS_NSA_2015_1T!$C$90</f>
        <v>4855</v>
      </c>
      <c r="X88" s="186">
        <f>[32]SAS_NSA_2015_2T!$C$90</f>
        <v>4757</v>
      </c>
      <c r="Y88" s="186">
        <f>[33]SAS_NSA_2015_3T!$C$90</f>
        <v>4688</v>
      </c>
      <c r="Z88" s="186">
        <f>[34]SAS_NSA_2015_4T!$C$90</f>
        <v>4620</v>
      </c>
      <c r="AA88" s="186">
        <f>[35]SAS_NSA_2016_1T!$C$90</f>
        <v>4521</v>
      </c>
      <c r="AB88" s="186">
        <f>[36]SAS_NSA_2016_2T!$C$90</f>
        <v>4414</v>
      </c>
      <c r="AC88" s="186">
        <f>[37]SAS_NSA_2016_3T!$C$90</f>
        <v>4329</v>
      </c>
      <c r="AD88" s="186">
        <f>[38]SAS_NSA_2016_4T!$C$90</f>
        <v>4265</v>
      </c>
      <c r="AE88" s="186">
        <f>[39]SAS_NSA_2017_1T!$C$90</f>
        <v>4170</v>
      </c>
      <c r="AF88" s="186">
        <f>[40]SAS_NSA_2017_2T!$C$90</f>
        <v>4088</v>
      </c>
      <c r="AG88" s="186">
        <f>[41]SAS_NSA_2017_3T!$C$90</f>
        <v>4025</v>
      </c>
      <c r="AH88" s="186">
        <f>[42]SAS_NSA_2017_4T!$C$90</f>
        <v>3940</v>
      </c>
      <c r="AI88" s="186">
        <f>[43]SAS_NSA_2018_1T!$C$90</f>
        <v>3881</v>
      </c>
      <c r="AJ88" s="186">
        <f>[44]SAS_NSA_2018_2T!$C$92</f>
        <v>3775</v>
      </c>
      <c r="AK88" s="133">
        <f>[45]SAS_NSA_2018_3T!C90</f>
        <v>3706</v>
      </c>
      <c r="AL88" s="133">
        <f>[46]SAS_NSA_2018_4T!$C$90</f>
        <v>3640</v>
      </c>
      <c r="AM88" s="186">
        <f>[47]SAS_NSA_2019_1T!$C$90</f>
        <v>3548</v>
      </c>
      <c r="AN88" s="186">
        <f>[48]SAS_NSA_2019_2T!$C$90</f>
        <v>3459</v>
      </c>
      <c r="AO88" s="186">
        <f>[49]SAS_NSA_2019_3T!$C90</f>
        <v>3399</v>
      </c>
      <c r="AP88" s="186">
        <f>[50]SAS_NSA_2019_4T!$C$90</f>
        <v>3354</v>
      </c>
      <c r="AQ88" s="186">
        <f>[51]SAS_NSA_2020_1T!$C$85</f>
        <v>3284</v>
      </c>
      <c r="AR88" s="186">
        <f>[52]SAS_NSA_2020_2T!$C$85</f>
        <v>3201</v>
      </c>
      <c r="AS88" s="186">
        <f>[53]SAS_NSA_2020_3T!$C$85</f>
        <v>3120</v>
      </c>
      <c r="AT88" s="186">
        <f>[54]SAS_NSA_2020_4T!$C$85</f>
        <v>3062</v>
      </c>
      <c r="AU88" s="186">
        <f>[55]SAS_NSA_2021_1T!$C$85</f>
        <v>2979</v>
      </c>
      <c r="AV88" s="186">
        <f>[56]SAS_NSA_2021_2T!$C$85</f>
        <v>2891</v>
      </c>
      <c r="AW88" s="186">
        <f>[57]SAS_NSA_2021_3T!$C$85</f>
        <v>2839</v>
      </c>
      <c r="AX88" s="413">
        <f>[58]SAS_NSA_2021_4T!$C102</f>
        <v>2793</v>
      </c>
      <c r="AY88" s="186">
        <f>[59]SAS_NSA_2022_1T!$C$102</f>
        <v>1873</v>
      </c>
      <c r="AZ88" s="186">
        <f>[60]SAS_NSA_2022_2T!$C$102</f>
        <v>1811</v>
      </c>
      <c r="BA88" s="186">
        <f>[61]SAS_NSA_2022_3T!$C$102</f>
        <v>1766</v>
      </c>
      <c r="BB88" s="379">
        <f>[62]SAS_NSA_2022_4T!$C$102</f>
        <v>1716</v>
      </c>
      <c r="BC88" s="337">
        <f>[2]SAS_NSA_2023_1T!$C$102</f>
        <v>1644</v>
      </c>
      <c r="BD88" s="337">
        <f>[3]SAS_NSA_2023_2T!$C$102</f>
        <v>1604</v>
      </c>
      <c r="BE88" s="337">
        <f>[4]SAS_NSA_2023_3T!$C$102</f>
        <v>1547</v>
      </c>
      <c r="BF88" s="337">
        <f>[5]SAS_NSA_2023_4T!$C$102</f>
        <v>1522</v>
      </c>
      <c r="BG88" s="337">
        <f>[6]SAS_NSA_2024_1T!$C$102</f>
        <v>1468</v>
      </c>
      <c r="BH88" s="337">
        <f>[7]SAS_NSA_2024_2T!$C$102</f>
        <v>1421</v>
      </c>
      <c r="BI88" s="337">
        <f>[8]SAS_NSA_2024_3T!$C$102</f>
        <v>1389</v>
      </c>
      <c r="BJ88" s="337">
        <f>[9]SAS_NSA_2024_4T!$C$102</f>
        <v>1360</v>
      </c>
    </row>
    <row r="89" spans="1:62" x14ac:dyDescent="0.25">
      <c r="A89" s="312" t="s">
        <v>3</v>
      </c>
      <c r="B89" s="9">
        <f>[63]SAS_NSA_4T2009!$C$91</f>
        <v>141078</v>
      </c>
      <c r="C89" s="46">
        <f>[11]SAS_NSA_1T2010!$C$91</f>
        <v>140755</v>
      </c>
      <c r="D89" s="46">
        <f>[12]SAS_NSA_2T2010!$C$91</f>
        <v>139841</v>
      </c>
      <c r="E89" s="46">
        <f>[13]SAS_NSA_3T2010!$C$91</f>
        <v>139368</v>
      </c>
      <c r="F89" s="46">
        <f>[14]SAS_NSA_2010_4T!$C$91</f>
        <v>138955</v>
      </c>
      <c r="G89" s="46">
        <f>[15]SAS_NSA_2011_1T!$C$91</f>
        <v>138520</v>
      </c>
      <c r="H89" s="46">
        <f>[16]SAS_NSA_2011_2T!$C$91</f>
        <v>137829</v>
      </c>
      <c r="I89" s="46">
        <f>[17]SAS_NSA_2011_3T!$C$91</f>
        <v>137336</v>
      </c>
      <c r="J89" s="46">
        <f>[18]SAS_NSA_2011_4T!$C$91</f>
        <v>136853</v>
      </c>
      <c r="K89" s="46">
        <f>[19]SAS_NSA_2012_1T!$C$91</f>
        <v>136431</v>
      </c>
      <c r="L89" s="46">
        <f>'[20]120919-14H22S23-PROGRAM-TdB_STO'!$C$91</f>
        <v>135183</v>
      </c>
      <c r="M89" s="46">
        <f>'[21]121105-15H12S18-PROGRAM-TdB_STO'!$C$91</f>
        <v>134360</v>
      </c>
      <c r="N89" s="46">
        <f>[22]SAS_NSA_2012_4T!$C$91</f>
        <v>133818</v>
      </c>
      <c r="O89" s="46">
        <f>[23]SAS_NSA_2013_1T!$C$91</f>
        <v>132803</v>
      </c>
      <c r="P89" s="46">
        <f>[24]SAS_NSA_2013_2T!$C$91</f>
        <v>131327</v>
      </c>
      <c r="Q89" s="46">
        <f>[25]SAS_NSA_2013_3T!$C$91</f>
        <v>130558</v>
      </c>
      <c r="R89" s="186">
        <f>[26]SAS_NSA_2013_4T!$C$91</f>
        <v>129999</v>
      </c>
      <c r="S89" s="186">
        <f>[27]SAS_NSA_2014_1T!$C$91</f>
        <v>129332</v>
      </c>
      <c r="T89" s="186">
        <f>[28]SAS_NSA_2014_2T!$C$91</f>
        <v>127811</v>
      </c>
      <c r="U89" s="186">
        <f>[29]SAS_NSA_2014_3T!$C$91</f>
        <v>127036</v>
      </c>
      <c r="V89" s="186">
        <f>[30]SAS_NSA_2014_4T!$C$91</f>
        <v>126443</v>
      </c>
      <c r="W89" s="186">
        <f>[31]SAS_NSA_2015_1T!$C$91</f>
        <v>125463</v>
      </c>
      <c r="X89" s="186">
        <f>[32]SAS_NSA_2015_2T!$C$91</f>
        <v>124072</v>
      </c>
      <c r="Y89" s="186">
        <f>[33]SAS_NSA_2015_3T!$C$91</f>
        <v>123296</v>
      </c>
      <c r="Z89" s="186">
        <f>[34]SAS_NSA_2015_4T!$C$91</f>
        <v>122850</v>
      </c>
      <c r="AA89" s="186">
        <f>[35]SAS_NSA_2016_1T!$C$91</f>
        <v>121867</v>
      </c>
      <c r="AB89" s="186">
        <f>[36]SAS_NSA_2016_2T!$C$91</f>
        <v>120496</v>
      </c>
      <c r="AC89" s="186">
        <f>[37]SAS_NSA_2016_3T!$C$91</f>
        <v>119484</v>
      </c>
      <c r="AD89" s="186">
        <f>[38]SAS_NSA_2016_4T!$C$91</f>
        <v>118789</v>
      </c>
      <c r="AE89" s="186">
        <f>[39]SAS_NSA_2017_1T!$C$91</f>
        <v>117560</v>
      </c>
      <c r="AF89" s="186">
        <f>[40]SAS_NSA_2017_2T!$C$91</f>
        <v>115660</v>
      </c>
      <c r="AG89" s="186">
        <f>[41]SAS_NSA_2017_3T!$C$91</f>
        <v>114491</v>
      </c>
      <c r="AH89" s="186">
        <f>[42]SAS_NSA_2017_4T!$C$91</f>
        <v>113535</v>
      </c>
      <c r="AI89" s="186">
        <f>[43]SAS_NSA_2018_1T!$C$91</f>
        <v>112092</v>
      </c>
      <c r="AJ89" s="186">
        <f>[44]SAS_NSA_2018_2T!$C$93</f>
        <v>110279</v>
      </c>
      <c r="AK89" s="133">
        <f>[45]SAS_NSA_2018_3T!C91</f>
        <v>109300</v>
      </c>
      <c r="AL89" s="133">
        <f>[46]SAS_NSA_2018_4T!$C$91</f>
        <v>108722</v>
      </c>
      <c r="AM89" s="186">
        <f>[47]SAS_NSA_2019_1T!$C$91</f>
        <v>107522</v>
      </c>
      <c r="AN89" s="186">
        <f>[48]SAS_NSA_2019_2T!$C$91</f>
        <v>105900</v>
      </c>
      <c r="AO89" s="186">
        <f>[49]SAS_NSA_2019_3T!$C91</f>
        <v>104731</v>
      </c>
      <c r="AP89" s="186">
        <f>[50]SAS_NSA_2019_4T!$C$91</f>
        <v>103839</v>
      </c>
      <c r="AQ89" s="186">
        <f>[51]SAS_NSA_2020_1T!$C$86</f>
        <v>102742</v>
      </c>
      <c r="AR89" s="186">
        <f>[52]SAS_NSA_2020_2T!$C$86</f>
        <v>101012</v>
      </c>
      <c r="AS89" s="186">
        <f>[53]SAS_NSA_2020_3T!$C$86</f>
        <v>99572</v>
      </c>
      <c r="AT89" s="186">
        <f>[54]SAS_NSA_2020_4T!$C$86</f>
        <v>98708</v>
      </c>
      <c r="AU89" s="186">
        <f>[55]SAS_NSA_2021_1T!$C$86</f>
        <v>96975</v>
      </c>
      <c r="AV89" s="186">
        <f>[56]SAS_NSA_2021_2T!$C$86</f>
        <v>95154</v>
      </c>
      <c r="AW89" s="186">
        <f>[57]SAS_NSA_2021_3T!$C$86</f>
        <v>93940</v>
      </c>
      <c r="AX89" s="413">
        <f>[58]SAS_NSA_2021_4T!$C103</f>
        <v>93021</v>
      </c>
      <c r="AY89" s="186">
        <f>[59]SAS_NSA_2022_1T!$C$103</f>
        <v>86606</v>
      </c>
      <c r="AZ89" s="186">
        <f>[60]SAS_NSA_2022_2T!$C$103</f>
        <v>84718</v>
      </c>
      <c r="BA89" s="186">
        <f>[61]SAS_NSA_2022_3T!$C$103</f>
        <v>83337</v>
      </c>
      <c r="BB89" s="379">
        <f>[62]SAS_NSA_2022_4T!$C$103</f>
        <v>82455</v>
      </c>
      <c r="BC89" s="337">
        <f>[2]SAS_NSA_2023_1T!$C$103</f>
        <v>80222</v>
      </c>
      <c r="BD89" s="337">
        <f>[3]SAS_NSA_2023_2T!$C$103</f>
        <v>78689</v>
      </c>
      <c r="BE89" s="337">
        <f>[4]SAS_NSA_2023_3T!$C$103</f>
        <v>77458</v>
      </c>
      <c r="BF89" s="337">
        <f>[5]SAS_NSA_2023_4T!$C$103</f>
        <v>76640</v>
      </c>
      <c r="BG89" s="337">
        <f>[6]SAS_NSA_2024_1T!$C$103</f>
        <v>75095</v>
      </c>
      <c r="BH89" s="337">
        <f>[7]SAS_NSA_2024_2T!$C$103</f>
        <v>73271</v>
      </c>
      <c r="BI89" s="337">
        <f>[8]SAS_NSA_2024_3T!$C$103</f>
        <v>71943</v>
      </c>
      <c r="BJ89" s="337">
        <f>[9]SAS_NSA_2024_4T!$C$103</f>
        <v>70987</v>
      </c>
    </row>
    <row r="90" spans="1:62" x14ac:dyDescent="0.25">
      <c r="A90" s="312" t="s">
        <v>224</v>
      </c>
      <c r="B90" s="9"/>
      <c r="C90" s="46"/>
      <c r="D90" s="46"/>
      <c r="E90" s="46"/>
      <c r="F90" s="46"/>
      <c r="G90" s="46"/>
      <c r="H90" s="46"/>
      <c r="I90" s="46"/>
      <c r="J90" s="46"/>
      <c r="K90" s="46"/>
      <c r="L90" s="46"/>
      <c r="M90" s="46"/>
      <c r="N90" s="46"/>
      <c r="O90" s="46"/>
      <c r="P90" s="46"/>
      <c r="Q90" s="46"/>
      <c r="R90" s="186"/>
      <c r="S90" s="186"/>
      <c r="T90" s="186"/>
      <c r="U90" s="186"/>
      <c r="V90" s="186"/>
      <c r="W90" s="186"/>
      <c r="X90" s="186"/>
      <c r="Y90" s="186"/>
      <c r="Z90" s="186"/>
      <c r="AA90" s="186"/>
      <c r="AB90" s="186"/>
      <c r="AC90" s="186"/>
      <c r="AD90" s="186"/>
      <c r="AE90" s="186"/>
      <c r="AF90" s="186"/>
      <c r="AG90" s="186"/>
      <c r="AH90" s="186"/>
      <c r="AI90" s="186"/>
      <c r="AJ90" s="186"/>
      <c r="AK90" s="133"/>
      <c r="AL90" s="133"/>
      <c r="AM90" s="186">
        <f>[47]SAS_NSA_2019_1T!$C$92</f>
        <v>51</v>
      </c>
      <c r="AN90" s="186">
        <f>[48]SAS_NSA_2019_2T!$C$92</f>
        <v>53</v>
      </c>
      <c r="AO90" s="186">
        <f>'[65]200127-15H38S07-PROGRAM-TdB_STO'!$C$92</f>
        <v>50</v>
      </c>
      <c r="AP90" s="186">
        <f>[50]SAS_NSA_2019_4T!$C$92</f>
        <v>47</v>
      </c>
      <c r="AQ90" s="186">
        <f>[51]SAS_NSA_2020_1T!$C$87</f>
        <v>46</v>
      </c>
      <c r="AR90" s="186">
        <f>[52]SAS_NSA_2020_2T!$C$87</f>
        <v>45</v>
      </c>
      <c r="AS90" s="186">
        <f>[53]SAS_NSA_2020_3T!$C$87</f>
        <v>44</v>
      </c>
      <c r="AT90" s="186">
        <f>[54]SAS_NSA_2020_4T!$C$87</f>
        <v>43</v>
      </c>
      <c r="AU90" s="186">
        <f>[55]SAS_NSA_2021_1T!$C$87</f>
        <v>44</v>
      </c>
      <c r="AV90" s="186">
        <f>[56]SAS_NSA_2021_2T!$C$87</f>
        <v>40</v>
      </c>
      <c r="AW90" s="186">
        <f>[57]SAS_NSA_2021_3T!$C$87</f>
        <v>40</v>
      </c>
      <c r="AX90" s="413">
        <f>[58]SAS_NSA_2021_4T!$C104</f>
        <v>37</v>
      </c>
      <c r="AY90" s="186">
        <f>[59]SAS_NSA_2022_1T!$C$104</f>
        <v>35</v>
      </c>
      <c r="AZ90" s="186">
        <f>[60]SAS_NSA_2022_2T!$C$104</f>
        <v>35</v>
      </c>
      <c r="BA90" s="186">
        <f>[61]SAS_NSA_2022_3T!$C$104</f>
        <v>36</v>
      </c>
      <c r="BB90" s="379">
        <f>[62]SAS_NSA_2022_4T!$C$104</f>
        <v>38</v>
      </c>
      <c r="BC90" s="337">
        <f>[2]SAS_NSA_2023_1T!$C$104</f>
        <v>35</v>
      </c>
      <c r="BD90" s="337">
        <f>[3]SAS_NSA_2023_2T!$C$104</f>
        <v>31</v>
      </c>
      <c r="BE90" s="337">
        <f>[4]SAS_NSA_2023_3T!$C$104</f>
        <v>32</v>
      </c>
      <c r="BF90" s="337">
        <f>[5]SAS_NSA_2023_4T!$C$104</f>
        <v>31</v>
      </c>
      <c r="BG90" s="337">
        <f>[6]SAS_NSA_2024_1T!$C$104</f>
        <v>35</v>
      </c>
      <c r="BH90" s="337">
        <f>[7]SAS_NSA_2024_2T!$C$104</f>
        <v>29</v>
      </c>
      <c r="BI90" s="337">
        <f>[8]SAS_NSA_2024_3T!$C$104</f>
        <v>32</v>
      </c>
      <c r="BJ90" s="337">
        <f>[9]SAS_NSA_2024_4T!$C$104</f>
        <v>31</v>
      </c>
    </row>
    <row r="91" spans="1:62" x14ac:dyDescent="0.25">
      <c r="A91" s="307" t="s">
        <v>29</v>
      </c>
      <c r="B91" s="3">
        <f t="shared" ref="B91:P91" si="258">SUM(B86:B89)</f>
        <v>517131</v>
      </c>
      <c r="C91" s="3">
        <f t="shared" si="258"/>
        <v>514764</v>
      </c>
      <c r="D91" s="3">
        <f t="shared" si="258"/>
        <v>509685</v>
      </c>
      <c r="E91" s="3">
        <f t="shared" si="258"/>
        <v>505274</v>
      </c>
      <c r="F91" s="3">
        <f t="shared" si="258"/>
        <v>502358</v>
      </c>
      <c r="G91" s="3">
        <f t="shared" si="258"/>
        <v>499198</v>
      </c>
      <c r="H91" s="3">
        <f t="shared" si="258"/>
        <v>494266</v>
      </c>
      <c r="I91" s="3">
        <f t="shared" si="258"/>
        <v>489619</v>
      </c>
      <c r="J91" s="3">
        <f t="shared" si="258"/>
        <v>485758</v>
      </c>
      <c r="K91" s="3">
        <f t="shared" si="258"/>
        <v>482517</v>
      </c>
      <c r="L91" s="3">
        <f t="shared" si="258"/>
        <v>476593</v>
      </c>
      <c r="M91" s="3">
        <f t="shared" si="258"/>
        <v>471169</v>
      </c>
      <c r="N91" s="3">
        <f t="shared" si="258"/>
        <v>467215</v>
      </c>
      <c r="O91" s="3">
        <f t="shared" si="258"/>
        <v>463607</v>
      </c>
      <c r="P91" s="3">
        <f t="shared" si="258"/>
        <v>457995</v>
      </c>
      <c r="Q91" s="3">
        <f t="shared" ref="Q91:R91" si="259">SUM(Q86:Q89)</f>
        <v>453866</v>
      </c>
      <c r="R91" s="192">
        <f t="shared" si="259"/>
        <v>450419</v>
      </c>
      <c r="S91" s="192">
        <f t="shared" ref="S91:T91" si="260">SUM(S86:S89)</f>
        <v>446815</v>
      </c>
      <c r="T91" s="192">
        <f t="shared" si="260"/>
        <v>442513</v>
      </c>
      <c r="U91" s="192">
        <f t="shared" ref="U91:V91" si="261">SUM(U86:U89)</f>
        <v>438429</v>
      </c>
      <c r="V91" s="192">
        <f t="shared" si="261"/>
        <v>435630</v>
      </c>
      <c r="W91" s="192">
        <f t="shared" ref="W91:X91" si="262">SUM(W86:W89)</f>
        <v>432507</v>
      </c>
      <c r="X91" s="192">
        <f t="shared" si="262"/>
        <v>426808</v>
      </c>
      <c r="Y91" s="192">
        <f t="shared" ref="Y91:Z91" si="263">SUM(Y86:Y89)</f>
        <v>422325</v>
      </c>
      <c r="Z91" s="192">
        <f t="shared" si="263"/>
        <v>419972</v>
      </c>
      <c r="AA91" s="192">
        <f t="shared" ref="AA91" si="264">SUM(AA86:AA89)</f>
        <v>417342</v>
      </c>
      <c r="AB91" s="192">
        <f t="shared" ref="AB91:AH91" si="265">SUM(AB86:AB89)</f>
        <v>412721</v>
      </c>
      <c r="AC91" s="192">
        <f t="shared" si="265"/>
        <v>408644</v>
      </c>
      <c r="AD91" s="192">
        <f t="shared" si="265"/>
        <v>406037</v>
      </c>
      <c r="AE91" s="192">
        <f t="shared" si="265"/>
        <v>402890</v>
      </c>
      <c r="AF91" s="192">
        <f t="shared" si="265"/>
        <v>397748</v>
      </c>
      <c r="AG91" s="192">
        <f t="shared" si="265"/>
        <v>394163</v>
      </c>
      <c r="AH91" s="192">
        <f t="shared" si="265"/>
        <v>392121</v>
      </c>
      <c r="AI91" s="192">
        <f t="shared" ref="AI91:AJ91" si="266">SUM(AI86:AI89)</f>
        <v>389410</v>
      </c>
      <c r="AJ91" s="192">
        <f t="shared" si="266"/>
        <v>384845</v>
      </c>
      <c r="AK91" s="133">
        <f>SUM(AK86:AK89)</f>
        <v>381013</v>
      </c>
      <c r="AL91" s="133">
        <f>SUM(AL86:AL89)</f>
        <v>379178</v>
      </c>
      <c r="AM91" s="192">
        <f>[47]SAS_NSA_2019_1T!$C$87</f>
        <v>376468</v>
      </c>
      <c r="AN91" s="192">
        <f>[48]SAS_NSA_2019_2T!$C$87</f>
        <v>371693</v>
      </c>
      <c r="AO91" s="186">
        <f>[49]SAS_NSA_2019_3T!$C$87</f>
        <v>367902</v>
      </c>
      <c r="AP91" s="186">
        <f>[50]SAS_NSA_2019_4T!$C$87</f>
        <v>366200</v>
      </c>
      <c r="AQ91" s="186">
        <f>[51]SAS_NSA_2020_1T!$C$82</f>
        <v>363808</v>
      </c>
      <c r="AR91" s="186">
        <f>[52]SAS_NSA_2020_2T!$C$82</f>
        <v>358935</v>
      </c>
      <c r="AS91" s="186">
        <f>[53]SAS_NSA_2020_3T!$C$82</f>
        <v>354667</v>
      </c>
      <c r="AT91" s="186">
        <f>[54]SAS_NSA_2020_4T!$C$82</f>
        <v>352636</v>
      </c>
      <c r="AU91" s="186">
        <f>[55]SAS_NSA_2021_1T!$C$82</f>
        <v>348900</v>
      </c>
      <c r="AV91" s="186">
        <f>[56]SAS_NSA_2021_2T!$C$82</f>
        <v>343611</v>
      </c>
      <c r="AW91" s="186">
        <f>SUM(AW86:AW90)</f>
        <v>339690</v>
      </c>
      <c r="AX91" s="413">
        <f>[58]SAS_NSA_2021_4T!$C$99</f>
        <v>338276</v>
      </c>
      <c r="AY91" s="186">
        <f>[59]SAS_NSA_2022_1T!$C$99</f>
        <v>274418</v>
      </c>
      <c r="AZ91" s="186">
        <f>[60]SAS_NSA_2022_2T!$C$99</f>
        <v>269527</v>
      </c>
      <c r="BA91" s="186">
        <f>[61]SAS_NSA_2022_3T!$C$99</f>
        <v>265837</v>
      </c>
      <c r="BB91" s="379">
        <f>[62]SAS_NSA_2022_4T!$C$99</f>
        <v>264913</v>
      </c>
      <c r="BC91" s="337">
        <f>[2]SAS_NSA_2023_1T!$C$99</f>
        <v>260817</v>
      </c>
      <c r="BD91" s="337">
        <f>[3]SAS_NSA_2023_2T!$C$99</f>
        <v>256679</v>
      </c>
      <c r="BE91" s="337">
        <f>[4]SAS_NSA_2023_3T!$C$99</f>
        <v>253525</v>
      </c>
      <c r="BF91" s="337">
        <f>[5]SAS_NSA_2023_4T!$C$99</f>
        <v>251757</v>
      </c>
      <c r="BG91" s="337">
        <f>[6]SAS_NSA_2024_1T!$C$99</f>
        <v>248906</v>
      </c>
      <c r="BH91" s="337">
        <f>[7]SAS_NSA_2024_2T!$C$99</f>
        <v>244420</v>
      </c>
      <c r="BI91" s="337">
        <f>[8]SAS_NSA_2024_3T!$C$99</f>
        <v>240956</v>
      </c>
      <c r="BJ91" s="337">
        <f>[9]SAS_NSA_2024_4T!$C$99</f>
        <v>239097</v>
      </c>
    </row>
    <row r="92" spans="1:62" x14ac:dyDescent="0.25">
      <c r="A92" s="302"/>
      <c r="B92" s="10"/>
      <c r="C92" s="40"/>
      <c r="D92" s="40"/>
      <c r="E92" s="40"/>
      <c r="F92" s="40"/>
      <c r="G92" s="40"/>
      <c r="H92" s="132">
        <f t="shared" ref="H92:P92" si="267">H91/(H31+H33)</f>
        <v>0.31225365610819134</v>
      </c>
      <c r="I92" s="132">
        <f t="shared" si="267"/>
        <v>0.31174129023796093</v>
      </c>
      <c r="J92" s="132">
        <f t="shared" si="267"/>
        <v>0.31150693768873677</v>
      </c>
      <c r="K92" s="132">
        <f t="shared" si="267"/>
        <v>0.31132499119287793</v>
      </c>
      <c r="L92" s="132">
        <f t="shared" si="267"/>
        <v>0.3106690237705057</v>
      </c>
      <c r="M92" s="132">
        <f t="shared" si="267"/>
        <v>0.31020450352821582</v>
      </c>
      <c r="N92" s="132">
        <f t="shared" si="267"/>
        <v>0.30992990979684054</v>
      </c>
      <c r="O92" s="132">
        <f t="shared" si="267"/>
        <v>0.30966030723769944</v>
      </c>
      <c r="P92" s="132">
        <f t="shared" si="267"/>
        <v>0.30907808693422234</v>
      </c>
      <c r="Q92" s="132">
        <f t="shared" ref="Q92:R92" si="268">Q91/(Q31+Q33)</f>
        <v>0.30851983674889949</v>
      </c>
      <c r="R92" s="193">
        <f t="shared" si="268"/>
        <v>0.30834312267759789</v>
      </c>
      <c r="S92" s="193">
        <f t="shared" ref="S92:T92" si="269">S91/(S31+S33)</f>
        <v>0.30833965909875094</v>
      </c>
      <c r="T92" s="193">
        <f t="shared" si="269"/>
        <v>0.30803913269866373</v>
      </c>
      <c r="U92" s="193">
        <f t="shared" ref="U92:V92" si="270">U91/(U31+U33)</f>
        <v>0.30763471635836231</v>
      </c>
      <c r="V92" s="193">
        <f t="shared" si="270"/>
        <v>0.30753905921837088</v>
      </c>
      <c r="W92" s="193">
        <f t="shared" ref="W92:X92" si="271">W91/(W31+W33)</f>
        <v>0.30742980051860613</v>
      </c>
      <c r="X92" s="193">
        <f t="shared" si="271"/>
        <v>0.30690553268108739</v>
      </c>
      <c r="Y92" s="193">
        <f t="shared" ref="Y92:Z92" si="272">Y91/(Y31+Y33)</f>
        <v>0.30648545205560968</v>
      </c>
      <c r="Z92" s="193">
        <f t="shared" si="272"/>
        <v>0.30668613036344</v>
      </c>
      <c r="AA92" s="193">
        <f t="shared" ref="AA92" si="273">AA91/(AA31+AA33)</f>
        <v>0.30675453580574313</v>
      </c>
      <c r="AB92" s="193">
        <f t="shared" ref="AB92:AH92" si="274">AB91/(AB31+AB33)</f>
        <v>0.306302140888847</v>
      </c>
      <c r="AC92" s="193">
        <f t="shared" si="274"/>
        <v>0.30580487768373632</v>
      </c>
      <c r="AD92" s="193">
        <f t="shared" si="274"/>
        <v>0.30602174817458833</v>
      </c>
      <c r="AE92" s="193">
        <f t="shared" si="274"/>
        <v>0.3061213635313712</v>
      </c>
      <c r="AF92" s="193">
        <f t="shared" si="274"/>
        <v>0.30572130221404059</v>
      </c>
      <c r="AG92" s="193">
        <f t="shared" si="274"/>
        <v>0.30543740463871394</v>
      </c>
      <c r="AH92" s="193">
        <f t="shared" si="274"/>
        <v>0.30576715686083389</v>
      </c>
      <c r="AI92" s="193">
        <f t="shared" ref="AI92:AJ92" si="275">AI91/(AI31+AI33)</f>
        <v>0.30567109724000374</v>
      </c>
      <c r="AJ92" s="193">
        <f t="shared" si="275"/>
        <v>0.30534239097663229</v>
      </c>
      <c r="AM92" s="193"/>
      <c r="AN92" s="193"/>
      <c r="AO92" s="193"/>
      <c r="AP92" s="193"/>
      <c r="AQ92" s="193"/>
      <c r="AR92" s="193"/>
      <c r="AS92" s="193"/>
      <c r="AT92" s="193"/>
      <c r="AU92" s="193"/>
      <c r="AV92" s="193"/>
      <c r="AW92" s="193"/>
      <c r="AX92" s="423"/>
      <c r="AY92" s="193"/>
      <c r="AZ92" s="193"/>
      <c r="BA92" s="193"/>
      <c r="BB92" s="193"/>
      <c r="BC92" s="193"/>
      <c r="BD92" s="193"/>
      <c r="BE92" s="193"/>
      <c r="BF92" s="193"/>
      <c r="BG92" s="193"/>
      <c r="BH92" s="193"/>
      <c r="BI92" s="193"/>
      <c r="BJ92" s="193"/>
    </row>
    <row r="93" spans="1:62" x14ac:dyDescent="0.25">
      <c r="A93" s="331" t="s">
        <v>23</v>
      </c>
      <c r="L93" s="145"/>
      <c r="M93" s="145"/>
      <c r="P93" s="35"/>
      <c r="Q93" s="35"/>
      <c r="R93" s="177"/>
      <c r="AC93" s="177"/>
      <c r="AD93" s="177"/>
      <c r="AE93" s="177"/>
      <c r="AF93" s="177"/>
      <c r="AG93" s="177"/>
      <c r="AH93" s="177"/>
      <c r="AI93" s="177"/>
      <c r="AJ93" s="339">
        <f>AJ98/12</f>
        <v>673.25</v>
      </c>
      <c r="AL93" s="293"/>
      <c r="AM93" s="177"/>
      <c r="AN93" s="177"/>
      <c r="AO93" s="177"/>
      <c r="AP93" s="177"/>
      <c r="AQ93" s="177"/>
      <c r="AR93" s="177"/>
      <c r="AS93" s="177"/>
      <c r="AT93" s="177"/>
      <c r="AU93" s="177"/>
      <c r="AV93" s="177"/>
      <c r="AW93" s="177"/>
      <c r="AX93" s="407"/>
      <c r="AY93" s="177"/>
      <c r="AZ93" s="177"/>
      <c r="BA93" s="177"/>
      <c r="BB93" s="377" t="s">
        <v>241</v>
      </c>
      <c r="BC93" s="377"/>
      <c r="BD93" s="377"/>
      <c r="BE93" s="377"/>
      <c r="BF93" s="377"/>
      <c r="BG93" s="377"/>
      <c r="BH93" s="377"/>
      <c r="BI93" s="377"/>
      <c r="BJ93" s="377"/>
    </row>
    <row r="94" spans="1:62" x14ac:dyDescent="0.25">
      <c r="A94" s="316" t="s">
        <v>6</v>
      </c>
      <c r="L94" s="145"/>
      <c r="M94" s="145"/>
      <c r="P94" s="35"/>
      <c r="Q94" s="35"/>
      <c r="R94" s="177"/>
      <c r="AC94" s="177"/>
      <c r="AD94" s="177"/>
      <c r="AE94" s="177"/>
      <c r="AF94" s="177"/>
      <c r="AG94" s="177"/>
      <c r="AH94" s="177"/>
      <c r="AI94" s="177"/>
      <c r="AJ94" s="177"/>
      <c r="AM94" s="177"/>
      <c r="AN94" s="177"/>
      <c r="AO94" s="177"/>
      <c r="AP94" s="177"/>
      <c r="AQ94" s="177"/>
      <c r="AR94" s="177"/>
      <c r="AS94" s="177"/>
      <c r="AT94" s="177"/>
      <c r="AU94" s="177"/>
      <c r="AV94" s="177"/>
      <c r="AW94" s="177"/>
      <c r="AX94" s="407"/>
      <c r="AY94" s="177"/>
      <c r="AZ94" s="177"/>
      <c r="BA94" s="177"/>
      <c r="BB94" s="383" t="s">
        <v>244</v>
      </c>
      <c r="BC94" s="383"/>
      <c r="BD94" s="383"/>
      <c r="BE94" s="383"/>
      <c r="BF94" s="383"/>
      <c r="BG94" s="383"/>
      <c r="BH94" s="383"/>
      <c r="BI94" s="383"/>
      <c r="BJ94" s="383"/>
    </row>
    <row r="95" spans="1:62" x14ac:dyDescent="0.25">
      <c r="B95" s="2" t="str">
        <f t="shared" ref="B95:G95" si="276">B8</f>
        <v>4eme T 2009</v>
      </c>
      <c r="C95" s="38" t="str">
        <f t="shared" si="276"/>
        <v>1er T 2010</v>
      </c>
      <c r="D95" s="38" t="str">
        <f t="shared" si="276"/>
        <v>2eme T 2010</v>
      </c>
      <c r="E95" s="38" t="str">
        <f t="shared" si="276"/>
        <v>3eme T 2010</v>
      </c>
      <c r="F95" s="38" t="str">
        <f t="shared" si="276"/>
        <v>4eme T 2010</v>
      </c>
      <c r="G95" s="38" t="str">
        <f t="shared" si="276"/>
        <v>1er T 2011</v>
      </c>
      <c r="H95" s="38" t="str">
        <f t="shared" ref="H95:M95" si="277">H8</f>
        <v>2eme T 2011</v>
      </c>
      <c r="I95" s="38" t="str">
        <f t="shared" si="277"/>
        <v>3eme T 2011</v>
      </c>
      <c r="J95" s="38" t="str">
        <f t="shared" si="277"/>
        <v>4eme T 2011</v>
      </c>
      <c r="K95" s="38" t="str">
        <f t="shared" si="277"/>
        <v>1er T 2012</v>
      </c>
      <c r="L95" s="38" t="str">
        <f t="shared" si="277"/>
        <v>2eme T 2012</v>
      </c>
      <c r="M95" s="38" t="str">
        <f t="shared" si="277"/>
        <v>3eme T 2012</v>
      </c>
      <c r="N95" s="38" t="str">
        <f t="shared" ref="N95:S95" si="278">N8</f>
        <v>4eme T 2012</v>
      </c>
      <c r="O95" s="38" t="str">
        <f t="shared" si="278"/>
        <v>1er T 2013</v>
      </c>
      <c r="P95" s="38" t="str">
        <f t="shared" si="278"/>
        <v>2eme T 2013</v>
      </c>
      <c r="Q95" s="38" t="str">
        <f t="shared" si="278"/>
        <v>3ème T 2013</v>
      </c>
      <c r="R95" s="178" t="str">
        <f t="shared" si="278"/>
        <v>4ème T 2013</v>
      </c>
      <c r="S95" s="178" t="str">
        <f t="shared" si="278"/>
        <v>1er T 2014</v>
      </c>
      <c r="T95" s="178" t="str">
        <f t="shared" ref="T95:U95" si="279">T8</f>
        <v>2eme T 2014</v>
      </c>
      <c r="U95" s="178" t="str">
        <f t="shared" si="279"/>
        <v>3T 2014</v>
      </c>
      <c r="V95" s="178" t="str">
        <f t="shared" ref="V95:W95" si="280">V8</f>
        <v>4ème T 2014</v>
      </c>
      <c r="W95" s="178" t="str">
        <f t="shared" si="280"/>
        <v>1er T 2015</v>
      </c>
      <c r="X95" s="178" t="str">
        <f t="shared" ref="X95:Y95" si="281">X8</f>
        <v>2e T 2015</v>
      </c>
      <c r="Y95" s="178" t="str">
        <f t="shared" si="281"/>
        <v>3e T 2015</v>
      </c>
      <c r="Z95" s="178" t="str">
        <f t="shared" ref="Z95:AA95" si="282">Z8</f>
        <v>4e T 2015</v>
      </c>
      <c r="AA95" s="178" t="str">
        <f t="shared" si="282"/>
        <v>1er T 2016</v>
      </c>
      <c r="AB95" s="178" t="str">
        <f t="shared" ref="AB95:AH95" si="283">AB8</f>
        <v>2e T 2016</v>
      </c>
      <c r="AC95" s="178" t="str">
        <f t="shared" si="283"/>
        <v>3e T 2016</v>
      </c>
      <c r="AD95" s="178" t="str">
        <f t="shared" si="283"/>
        <v>4e T 2016</v>
      </c>
      <c r="AE95" s="178" t="str">
        <f t="shared" si="283"/>
        <v>2017 - T1</v>
      </c>
      <c r="AF95" s="178" t="str">
        <f t="shared" si="283"/>
        <v>2017 - T2</v>
      </c>
      <c r="AG95" s="178" t="str">
        <f t="shared" si="283"/>
        <v>2017- T3</v>
      </c>
      <c r="AH95" s="178" t="str">
        <f t="shared" si="283"/>
        <v>2017 - T4</v>
      </c>
      <c r="AI95" s="178" t="str">
        <f t="shared" ref="AI95:AJ95" si="284">AI8</f>
        <v>2018 - T1</v>
      </c>
      <c r="AJ95" s="178" t="str">
        <f t="shared" si="284"/>
        <v>2018 - T2</v>
      </c>
      <c r="AK95" s="178" t="s">
        <v>204</v>
      </c>
      <c r="AL95" s="178" t="s">
        <v>206</v>
      </c>
      <c r="AM95" s="178" t="str">
        <f t="shared" ref="AM95:AN95" si="285">AM8</f>
        <v>2019 - T1</v>
      </c>
      <c r="AN95" s="178" t="str">
        <f t="shared" si="285"/>
        <v>2019 - T2</v>
      </c>
      <c r="AO95" s="178" t="str">
        <f t="shared" ref="AO95" si="286">AO8</f>
        <v>2019 - T3</v>
      </c>
      <c r="AP95" s="178" t="s">
        <v>214</v>
      </c>
      <c r="AQ95" s="178" t="str">
        <f t="shared" ref="AQ95:AV95" si="287">AQ8</f>
        <v>2020 - T1</v>
      </c>
      <c r="AR95" s="178" t="str">
        <f t="shared" si="287"/>
        <v>2020 - T2</v>
      </c>
      <c r="AS95" s="178" t="str">
        <f t="shared" si="287"/>
        <v>2020 - T3</v>
      </c>
      <c r="AT95" s="178" t="str">
        <f t="shared" si="287"/>
        <v>2020- T4</v>
      </c>
      <c r="AU95" s="178" t="str">
        <f t="shared" si="287"/>
        <v>2021- T1</v>
      </c>
      <c r="AV95" s="178" t="str">
        <f t="shared" si="287"/>
        <v>2021- T2</v>
      </c>
      <c r="AW95" s="178" t="str">
        <f t="shared" ref="AW95:AX95" si="288">AW8</f>
        <v>2021- T3</v>
      </c>
      <c r="AX95" s="403" t="str">
        <f t="shared" si="288"/>
        <v>2021- T4</v>
      </c>
      <c r="AY95" s="178" t="str">
        <f t="shared" ref="AY95:AZ95" si="289">AY8</f>
        <v>2022- T1</v>
      </c>
      <c r="AZ95" s="178" t="str">
        <f t="shared" si="289"/>
        <v>2022- T2</v>
      </c>
      <c r="BA95" s="178" t="str">
        <f t="shared" ref="BA95:BB95" si="290">BA8</f>
        <v>2022- T3</v>
      </c>
      <c r="BB95" s="178" t="str">
        <f t="shared" si="290"/>
        <v>2022- T4</v>
      </c>
      <c r="BC95" s="178" t="str">
        <f t="shared" ref="BC95:BD95" si="291">BC8</f>
        <v>2023- T1</v>
      </c>
      <c r="BD95" s="178" t="str">
        <f t="shared" si="291"/>
        <v>2023- T2</v>
      </c>
      <c r="BE95" s="178" t="str">
        <f t="shared" ref="BE95:BF95" si="292">BE8</f>
        <v>2023- T3</v>
      </c>
      <c r="BF95" s="178" t="str">
        <f t="shared" si="292"/>
        <v>2023- T4</v>
      </c>
      <c r="BG95" s="178" t="str">
        <f t="shared" ref="BG95:BH95" si="293">BG8</f>
        <v>2024- T1</v>
      </c>
      <c r="BH95" s="178" t="str">
        <f t="shared" si="293"/>
        <v>2024- T2</v>
      </c>
      <c r="BI95" s="178" t="str">
        <f t="shared" ref="BI95:BJ95" si="294">BI8</f>
        <v>2024- T3</v>
      </c>
      <c r="BJ95" s="178" t="str">
        <f t="shared" si="294"/>
        <v>2024- T4</v>
      </c>
    </row>
    <row r="96" spans="1:62" x14ac:dyDescent="0.25">
      <c r="A96" s="312" t="s">
        <v>0</v>
      </c>
      <c r="B96" s="16">
        <f>[63]SAS_NSA_4T2009!$E$88</f>
        <v>8116.56</v>
      </c>
      <c r="C96" s="42">
        <f>[11]SAS_NSA_1T2010!$E$88</f>
        <v>8138.88</v>
      </c>
      <c r="D96" s="42">
        <f>[12]SAS_NSA_2T2010!$E$88</f>
        <v>8224.1200000000008</v>
      </c>
      <c r="E96" s="42">
        <f>[13]SAS_NSA_3T2010!$E$88</f>
        <v>8228.76</v>
      </c>
      <c r="F96" s="42">
        <f>[14]SAS_NSA_2010_4T!$E$88</f>
        <v>8235.32</v>
      </c>
      <c r="G96" s="42">
        <f>[15]SAS_NSA_2011_1T!$E$88</f>
        <v>8259.2800000000007</v>
      </c>
      <c r="H96" s="42">
        <f>[16]SAS_NSA_2011_2T!$E$88</f>
        <v>8458.44</v>
      </c>
      <c r="I96" s="42">
        <f>[17]SAS_NSA_2011_3T!$E$88</f>
        <v>8464.7199999999993</v>
      </c>
      <c r="J96" s="42">
        <f>[18]SAS_NSA_2011_4T!$E$88</f>
        <v>8472.24</v>
      </c>
      <c r="K96" s="42">
        <f>[19]SAS_NSA_2012_1T!$E$88</f>
        <v>8457</v>
      </c>
      <c r="L96" s="42">
        <f>'[20]120919-14H22S23-PROGRAM-TdB_STO'!$E$88</f>
        <v>8667.76</v>
      </c>
      <c r="M96" s="42">
        <f>'[21]121105-15H12S18-PROGRAM-TdB_STO'!$E$88</f>
        <v>8675.32</v>
      </c>
      <c r="N96" s="42">
        <f>[22]SAS_NSA_2012_4T!$E$88</f>
        <v>8683.2000000000007</v>
      </c>
      <c r="O96" s="42">
        <f>[23]SAS_NSA_2013_1T!$E$88</f>
        <v>8683.48</v>
      </c>
      <c r="P96" s="42">
        <f>[24]SAS_NSA_2013_2T!$E$88</f>
        <v>8806.68</v>
      </c>
      <c r="Q96" s="42">
        <f>[25]SAS_NSA_2013_3T!$E$88</f>
        <v>8812.0400000000009</v>
      </c>
      <c r="R96" s="181">
        <f>[26]SAS_NSA_2013_4T!$E$88</f>
        <v>8788.48</v>
      </c>
      <c r="S96" s="181">
        <f>[27]SAS_NSA_2014_1T!$E$88</f>
        <v>8828.64</v>
      </c>
      <c r="T96" s="181">
        <f>[28]SAS_NSA_2014_2T!$E$88</f>
        <v>8833.84</v>
      </c>
      <c r="U96" s="181">
        <f>[29]SAS_NSA_2014_3T!$E$88</f>
        <v>8838.68</v>
      </c>
      <c r="V96" s="181">
        <f>[30]SAS_NSA_2014_4T!$E$88</f>
        <v>8846.76</v>
      </c>
      <c r="W96" s="181">
        <f>[31]SAS_NSA_2015_1T!$E$88</f>
        <v>8855.0400000000009</v>
      </c>
      <c r="X96" s="181">
        <f>[32]SAS_NSA_2015_2T!$E$88</f>
        <v>8868.24</v>
      </c>
      <c r="Y96" s="181">
        <f>[33]SAS_NSA_2015_3T!$E$88</f>
        <v>8879.64</v>
      </c>
      <c r="Z96" s="181">
        <f>[34]SAS_NSA_2015_4T!$E$88</f>
        <v>8899.32</v>
      </c>
      <c r="AA96" s="181">
        <f>[35]SAS_NSA_2016_1T!$E$88</f>
        <v>8910.08</v>
      </c>
      <c r="AB96" s="181">
        <f>[36]SAS_NSA_2016_2T!$E$88</f>
        <v>8925.64</v>
      </c>
      <c r="AC96" s="181">
        <f>[37]SAS_NSA_2016_3T!$E$88</f>
        <v>8933.48</v>
      </c>
      <c r="AD96" s="181">
        <f>[38]SAS_NSA_2016_4T!$E$88</f>
        <v>8945.68</v>
      </c>
      <c r="AE96" s="181">
        <f>[39]SAS_NSA_2017_1T!$E$88</f>
        <v>8958.4</v>
      </c>
      <c r="AF96" s="181">
        <f>[40]SAS_NSA_2017_2T!$E$88</f>
        <v>8962.8799999999992</v>
      </c>
      <c r="AG96" s="181">
        <f>[41]SAS_NSA_2017_3T!$E$88</f>
        <v>8980.7199999999993</v>
      </c>
      <c r="AH96" s="181">
        <f>[42]SAS_NSA_2017_4T!$E$88</f>
        <v>9052.64</v>
      </c>
      <c r="AI96" s="181">
        <f>[43]SAS_NSA_2018_1T!$D$88*4</f>
        <v>9069.76</v>
      </c>
      <c r="AJ96" s="181">
        <f>[44]SAS_NSA_2018_2T!$E$90</f>
        <v>9088.68</v>
      </c>
      <c r="AK96" s="293">
        <f>[45]SAS_NSA_2018_3T!$D88*4</f>
        <v>9100.16</v>
      </c>
      <c r="AL96" s="293">
        <f>4*[46]SAS_NSA_2018_4T!$D$88</f>
        <v>9110.2000000000007</v>
      </c>
      <c r="AM96" s="181">
        <f>4*[47]SAS_NSA_2019_1T!$D$88</f>
        <v>9154.7999999999993</v>
      </c>
      <c r="AN96" s="181">
        <f>4*[48]SAS_NSA_2019_2T!$D$88</f>
        <v>9172</v>
      </c>
      <c r="AO96" s="181">
        <f>4*[49]SAS_NSA_2019_3T!$D88</f>
        <v>9183.64</v>
      </c>
      <c r="AP96" s="181">
        <f>4*[50]SAS_NSA_2019_4T!$D$88</f>
        <v>9197.6</v>
      </c>
      <c r="AQ96" s="181">
        <f>4*[51]SAS_NSA_2020_1T!$D$83</f>
        <v>9302.7999999999993</v>
      </c>
      <c r="AR96" s="181">
        <f>4*[52]SAS_NSA_2020_2T!$D$83</f>
        <v>9318.0400000000009</v>
      </c>
      <c r="AS96" s="181">
        <f>4*[53]SAS_NSA_2020_3T!$D$83</f>
        <v>9328.9599999999991</v>
      </c>
      <c r="AT96" s="181">
        <f>[54]SAS_NSA_2020_4T!$E$83</f>
        <v>9342</v>
      </c>
      <c r="AU96" s="181">
        <f>[55]SAS_NSA_2021_1T!$E$83</f>
        <v>9389.9599999999991</v>
      </c>
      <c r="AV96" s="181">
        <f>[56]SAS_NSA_2021_2T!$E$83</f>
        <v>9413.84</v>
      </c>
      <c r="AW96" s="181">
        <f>[57]SAS_NSA_2021_3T!$E$83</f>
        <v>9433.56</v>
      </c>
      <c r="AX96" s="408">
        <f>[58]SAS_NSA_2021_4T!$E$100</f>
        <v>9452.5372742720792</v>
      </c>
      <c r="AY96" s="181">
        <f>[59]SAS_NSA_2022_1T!$E$100</f>
        <v>9944.2120450472794</v>
      </c>
      <c r="AZ96" s="181">
        <f>[60]SAS_NSA_2022_2T!$E$100</f>
        <v>9969.1483084574393</v>
      </c>
      <c r="BA96" s="181">
        <f>[61]SAS_NSA_2022_3T!$E$100</f>
        <v>10379.5822340782</v>
      </c>
      <c r="BB96" s="382">
        <f>[62]SAS_NSA_2022_4T!$E$100</f>
        <v>10369.9550440526</v>
      </c>
      <c r="BC96" s="338">
        <f>[2]SAS_NSA_2023_1T!$E$100</f>
        <v>10500.988067701161</v>
      </c>
      <c r="BD96" s="338">
        <f>[3]SAS_NSA_2023_2T!$E$100</f>
        <v>10539.28604563352</v>
      </c>
      <c r="BE96" s="338">
        <f>[4]SAS_NSA_2023_3T!$E$100</f>
        <v>10568.68800600244</v>
      </c>
      <c r="BF96" s="338">
        <f>[5]SAS_NSA_2023_4T!$E$100</f>
        <v>10594.023627164561</v>
      </c>
      <c r="BG96" s="338">
        <f>[6]SAS_NSA_2024_1T!$E$100</f>
        <v>11168.004936069359</v>
      </c>
      <c r="BH96" s="338">
        <f>[7]SAS_NSA_2024_2T!$E$100</f>
        <v>11207.472818644321</v>
      </c>
      <c r="BI96" s="338">
        <f>[8]SAS_NSA_2024_3T!$E$100</f>
        <v>11239.842726212721</v>
      </c>
      <c r="BJ96" s="338">
        <f>[9]SAS_NSA_2024_4T!$E$100</f>
        <v>11261.29811425228</v>
      </c>
    </row>
    <row r="97" spans="1:62" x14ac:dyDescent="0.25">
      <c r="A97" s="312" t="s">
        <v>1</v>
      </c>
      <c r="B97" s="16">
        <f>[63]SAS_NSA_4T2009!$E$89</f>
        <v>6386.2</v>
      </c>
      <c r="C97" s="42">
        <f>[11]SAS_NSA_1T2010!$E$89</f>
        <v>6392.76</v>
      </c>
      <c r="D97" s="42">
        <f>[12]SAS_NSA_2T2010!$E$89</f>
        <v>6456.56</v>
      </c>
      <c r="E97" s="42">
        <f>[13]SAS_NSA_3T2010!$E$89</f>
        <v>6455.6</v>
      </c>
      <c r="F97" s="42">
        <f>[14]SAS_NSA_2010_4T!$E$89</f>
        <v>6452.16</v>
      </c>
      <c r="G97" s="42">
        <f>[15]SAS_NSA_2011_1T!$E$89</f>
        <v>6454.12</v>
      </c>
      <c r="H97" s="42">
        <f>[16]SAS_NSA_2011_2T!$E$89</f>
        <v>6597.36</v>
      </c>
      <c r="I97" s="42">
        <f>[17]SAS_NSA_2011_3T!$E$89</f>
        <v>6596.96</v>
      </c>
      <c r="J97" s="42">
        <f>[18]SAS_NSA_2011_4T!$E$89</f>
        <v>6598.76</v>
      </c>
      <c r="K97" s="42">
        <f>[19]SAS_NSA_2012_1T!$E$89</f>
        <v>6595</v>
      </c>
      <c r="L97" s="42">
        <f>'[20]120919-14H22S23-PROGRAM-TdB_STO'!$E$89</f>
        <v>6732.28</v>
      </c>
      <c r="M97" s="42">
        <f>'[21]121105-15H12S18-PROGRAM-TdB_STO'!$E$89</f>
        <v>6732.84</v>
      </c>
      <c r="N97" s="42">
        <f>[22]SAS_NSA_2012_4T!$E$89</f>
        <v>6733.28</v>
      </c>
      <c r="O97" s="42">
        <f>[23]SAS_NSA_2013_1T!$E$89</f>
        <v>6729.44</v>
      </c>
      <c r="P97" s="42">
        <f>[24]SAS_NSA_2013_2T!$E$89</f>
        <v>6810.88</v>
      </c>
      <c r="Q97" s="42">
        <f>[25]SAS_NSA_2013_3T!$E$89</f>
        <v>6809.56</v>
      </c>
      <c r="R97" s="181">
        <f>[26]SAS_NSA_2013_4T!$E$89</f>
        <v>6806.72</v>
      </c>
      <c r="S97" s="181">
        <f>[27]SAS_NSA_2014_1T!$E$89</f>
        <v>6808.32</v>
      </c>
      <c r="T97" s="181">
        <f>[28]SAS_NSA_2014_2T!$E$89</f>
        <v>6801.28</v>
      </c>
      <c r="U97" s="181">
        <f>[29]SAS_NSA_2014_3T!$E$89</f>
        <v>6796.52</v>
      </c>
      <c r="V97" s="181">
        <f>[30]SAS_NSA_2014_4T!$E$89</f>
        <v>6795.4</v>
      </c>
      <c r="W97" s="181">
        <f>[31]SAS_NSA_2015_1T!$E$89</f>
        <v>6790.32</v>
      </c>
      <c r="X97" s="181">
        <f>[32]SAS_NSA_2015_2T!$E$89</f>
        <v>6787.6</v>
      </c>
      <c r="Y97" s="181">
        <f>[33]SAS_NSA_2015_3T!$E$89</f>
        <v>6787.48</v>
      </c>
      <c r="Z97" s="181">
        <f>[34]SAS_NSA_2015_4T!$E$89</f>
        <v>6795.16</v>
      </c>
      <c r="AA97" s="181">
        <f>[35]SAS_NSA_2016_1T!$E$89</f>
        <v>6787.12</v>
      </c>
      <c r="AB97" s="181">
        <f>[36]SAS_NSA_2016_2T!$E$89</f>
        <v>6785.68</v>
      </c>
      <c r="AC97" s="181">
        <f>[37]SAS_NSA_2016_3T!$E$89</f>
        <v>6785.24</v>
      </c>
      <c r="AD97" s="181">
        <f>[38]SAS_NSA_2016_4T!$E$89</f>
        <v>6784.16</v>
      </c>
      <c r="AE97" s="181">
        <f>[39]SAS_NSA_2017_1T!$E$89</f>
        <v>6777.88</v>
      </c>
      <c r="AF97" s="181">
        <f>[40]SAS_NSA_2017_2T!$E$89</f>
        <v>6772.52</v>
      </c>
      <c r="AG97" s="181">
        <f>[41]SAS_NSA_2017_3T!$E$89</f>
        <v>6773.32</v>
      </c>
      <c r="AH97" s="181">
        <f>[42]SAS_NSA_2017_4T!$E$89</f>
        <v>6824.44</v>
      </c>
      <c r="AI97" s="181">
        <f>[43]SAS_NSA_2018_1T!$D$89*4</f>
        <v>6818.76</v>
      </c>
      <c r="AJ97" s="181">
        <f>[44]SAS_NSA_2018_2T!$E$91</f>
        <v>6818.4</v>
      </c>
      <c r="AK97" s="293">
        <f>[45]SAS_NSA_2018_3T!$D89*4</f>
        <v>6813.08</v>
      </c>
      <c r="AL97" s="293">
        <f>4*[46]SAS_NSA_2018_4T!$D$89</f>
        <v>6808.64</v>
      </c>
      <c r="AM97" s="181">
        <f>4*[47]SAS_NSA_2019_1T!$D$89</f>
        <v>6827.32</v>
      </c>
      <c r="AN97" s="181">
        <f>4*[48]SAS_NSA_2019_2T!$D$89</f>
        <v>6824.68</v>
      </c>
      <c r="AO97" s="181">
        <f>4*[49]SAS_NSA_2019_3T!$D89</f>
        <v>6822.24</v>
      </c>
      <c r="AP97" s="181">
        <f>4*[50]SAS_NSA_2019_4T!$D$89</f>
        <v>6817.96</v>
      </c>
      <c r="AQ97" s="181">
        <f>4*[51]SAS_NSA_2020_1T!$D$84</f>
        <v>6910.4</v>
      </c>
      <c r="AR97" s="181">
        <f>4*[52]SAS_NSA_2020_2T!$D$84</f>
        <v>6906.56</v>
      </c>
      <c r="AS97" s="181">
        <f>4*[53]SAS_NSA_2020_3T!$D$84</f>
        <v>6904.28</v>
      </c>
      <c r="AT97" s="181">
        <f>[54]SAS_NSA_2020_4T!$E$84</f>
        <v>6896.12</v>
      </c>
      <c r="AU97" s="181">
        <f>[55]SAS_NSA_2021_1T!$E$84</f>
        <v>6917.32</v>
      </c>
      <c r="AV97" s="181">
        <f>[56]SAS_NSA_2021_2T!$E$84</f>
        <v>6925.88</v>
      </c>
      <c r="AW97" s="181">
        <f>[57]SAS_NSA_2021_3T!$E$84</f>
        <v>6929.12</v>
      </c>
      <c r="AX97" s="408">
        <f>[58]SAS_NSA_2021_4T!$E$101</f>
        <v>6928.3473249950803</v>
      </c>
      <c r="AY97" s="181">
        <f>[59]SAS_NSA_2022_1T!$E$101</f>
        <v>8375.4385840078394</v>
      </c>
      <c r="AZ97" s="181">
        <f>[60]SAS_NSA_2022_2T!$E$101</f>
        <v>8366.5541413023602</v>
      </c>
      <c r="BA97" s="181">
        <f>[61]SAS_NSA_2022_3T!$E$101</f>
        <v>8691.1784524602808</v>
      </c>
      <c r="BB97" s="382">
        <f>[62]SAS_NSA_2022_4T!$E$101</f>
        <v>8660.96499119892</v>
      </c>
      <c r="BC97" s="338">
        <f>[2]SAS_NSA_2023_1T!$E$101</f>
        <v>8748.3563113675591</v>
      </c>
      <c r="BD97" s="338">
        <f>[3]SAS_NSA_2023_2T!$E$101</f>
        <v>8757.9044612794805</v>
      </c>
      <c r="BE97" s="338">
        <f>[4]SAS_NSA_2023_3T!$E$101</f>
        <v>8752.3430926046403</v>
      </c>
      <c r="BF97" s="338">
        <f>[5]SAS_NSA_2023_4T!$E$101</f>
        <v>8752.8499383615199</v>
      </c>
      <c r="BG97" s="338">
        <f>[6]SAS_NSA_2024_1T!$E$101</f>
        <v>9191.8110272779995</v>
      </c>
      <c r="BH97" s="338">
        <f>[7]SAS_NSA_2024_2T!$E$101</f>
        <v>9208.6466346153993</v>
      </c>
      <c r="BI97" s="338">
        <f>[8]SAS_NSA_2024_3T!$E$101</f>
        <v>9202.5940054496004</v>
      </c>
      <c r="BJ97" s="338">
        <f>[9]SAS_NSA_2024_4T!$E$101</f>
        <v>9192.9232349165595</v>
      </c>
    </row>
    <row r="98" spans="1:62" x14ac:dyDescent="0.25">
      <c r="A98" s="312" t="s">
        <v>2</v>
      </c>
      <c r="B98" s="16">
        <f>[63]SAS_NSA_4T2009!$E$90</f>
        <v>7334.68</v>
      </c>
      <c r="C98" s="42">
        <f>[11]SAS_NSA_1T2010!$E$90</f>
        <v>7348.68</v>
      </c>
      <c r="D98" s="42">
        <f>[12]SAS_NSA_2T2010!$E$90</f>
        <v>7478.68</v>
      </c>
      <c r="E98" s="42">
        <f>[13]SAS_NSA_3T2010!$E$90</f>
        <v>7475.08</v>
      </c>
      <c r="F98" s="42">
        <f>[14]SAS_NSA_2010_4T!$E$90</f>
        <v>7454.32</v>
      </c>
      <c r="G98" s="42">
        <f>[15]SAS_NSA_2011_1T!$E$90</f>
        <v>7446.68</v>
      </c>
      <c r="H98" s="42">
        <f>[16]SAS_NSA_2011_2T!$E$90</f>
        <v>7769.52</v>
      </c>
      <c r="I98" s="42">
        <f>[17]SAS_NSA_2011_3T!$E$90</f>
        <v>7732.28</v>
      </c>
      <c r="J98" s="42">
        <f>[18]SAS_NSA_2011_4T!$E$90</f>
        <v>7726.32</v>
      </c>
      <c r="K98" s="42">
        <f>[19]SAS_NSA_2012_1T!$E$90</f>
        <v>7717.24</v>
      </c>
      <c r="L98" s="42">
        <f>'[20]120919-14H22S23-PROGRAM-TdB_STO'!$E$90</f>
        <v>8053.08</v>
      </c>
      <c r="M98" s="42">
        <f>'[21]121105-15H12S18-PROGRAM-TdB_STO'!$E$90</f>
        <v>7996.72</v>
      </c>
      <c r="N98" s="42">
        <f>[22]SAS_NSA_2012_4T!$E$90</f>
        <v>7996.52</v>
      </c>
      <c r="O98" s="42">
        <f>[23]SAS_NSA_2013_1T!$E$90</f>
        <v>7992.44</v>
      </c>
      <c r="P98" s="42">
        <f>[24]SAS_NSA_2013_2T!$E$90</f>
        <v>8111.16</v>
      </c>
      <c r="Q98" s="42">
        <f>[25]SAS_NSA_2013_3T!$E$90</f>
        <v>8072.76</v>
      </c>
      <c r="R98" s="181">
        <f>[26]SAS_NSA_2013_4T!$E$90</f>
        <v>8069.6</v>
      </c>
      <c r="S98" s="181">
        <f>[27]SAS_NSA_2014_1T!$E$90</f>
        <v>8065.84</v>
      </c>
      <c r="T98" s="181">
        <f>[28]SAS_NSA_2014_2T!$E$90</f>
        <v>7955.12</v>
      </c>
      <c r="U98" s="181">
        <f>[29]SAS_NSA_2014_3T!$E$90</f>
        <v>7898.08</v>
      </c>
      <c r="V98" s="181">
        <f>[30]SAS_NSA_2014_4T!$E$90</f>
        <v>7946.48</v>
      </c>
      <c r="W98" s="181">
        <f>[31]SAS_NSA_2015_1T!$E$90</f>
        <v>7926.88</v>
      </c>
      <c r="X98" s="181">
        <f>[32]SAS_NSA_2015_2T!$E$90</f>
        <v>7912.36</v>
      </c>
      <c r="Y98" s="181">
        <f>[33]SAS_NSA_2015_3T!$E$90</f>
        <v>7924.92</v>
      </c>
      <c r="Z98" s="181">
        <f>[34]SAS_NSA_2015_4T!$E$90</f>
        <v>7923.72</v>
      </c>
      <c r="AA98" s="181">
        <f>[35]SAS_NSA_2016_1T!$E$90</f>
        <v>7921.04</v>
      </c>
      <c r="AB98" s="181">
        <f>[36]SAS_NSA_2016_2T!$E$90</f>
        <v>7910.2</v>
      </c>
      <c r="AC98" s="181">
        <f>[37]SAS_NSA_2016_3T!$E$90</f>
        <v>7909.32</v>
      </c>
      <c r="AD98" s="181">
        <f>[38]SAS_NSA_2016_4T!$E$90</f>
        <v>7899.72</v>
      </c>
      <c r="AE98" s="181">
        <f>[39]SAS_NSA_2017_1T!$E$90</f>
        <v>7893.72</v>
      </c>
      <c r="AF98" s="181">
        <f>[40]SAS_NSA_2017_2T!$E$90</f>
        <v>7885.36</v>
      </c>
      <c r="AG98" s="181">
        <f>[41]SAS_NSA_2017_3T!$E$90</f>
        <v>7886.08</v>
      </c>
      <c r="AH98" s="181">
        <f>[42]SAS_NSA_2017_4T!$E$90</f>
        <v>7934.76</v>
      </c>
      <c r="AI98" s="181">
        <f>[43]SAS_NSA_2018_1T!$D$90*4</f>
        <v>7904.6</v>
      </c>
      <c r="AJ98" s="181">
        <f>[44]SAS_NSA_2018_2T!$E$92</f>
        <v>8079</v>
      </c>
      <c r="AK98" s="293">
        <f>[45]SAS_NSA_2018_3T!$D90*4</f>
        <v>8076.6</v>
      </c>
      <c r="AL98" s="293">
        <f>4*[46]SAS_NSA_2018_4T!$D$90</f>
        <v>8057.48</v>
      </c>
      <c r="AM98" s="181">
        <f>4*[47]SAS_NSA_2019_1T!$D$90</f>
        <v>8281.68</v>
      </c>
      <c r="AN98" s="181">
        <f>4*[48]SAS_NSA_2019_2T!$D$90</f>
        <v>8263.44</v>
      </c>
      <c r="AO98" s="181">
        <f>4*[49]SAS_NSA_2019_3T!$D90</f>
        <v>8265.08</v>
      </c>
      <c r="AP98" s="181">
        <f>4*[50]SAS_NSA_2019_4T!$D$90</f>
        <v>8233.84</v>
      </c>
      <c r="AQ98" s="181">
        <f>4*[51]SAS_NSA_2020_1T!$D$85</f>
        <v>8734.9599999999991</v>
      </c>
      <c r="AR98" s="181">
        <f>4*[52]SAS_NSA_2020_2T!$D$85</f>
        <v>8614.48</v>
      </c>
      <c r="AS98" s="181">
        <f>4*[53]SAS_NSA_2020_3T!$D$85</f>
        <v>8606.08</v>
      </c>
      <c r="AT98" s="181">
        <f>[54]SAS_NSA_2020_4T!$E$85</f>
        <v>8593.52</v>
      </c>
      <c r="AU98" s="181">
        <f>[55]SAS_NSA_2021_1T!$E$85</f>
        <v>8602.56</v>
      </c>
      <c r="AV98" s="181">
        <f>[56]SAS_NSA_2021_2T!$E$85</f>
        <v>8556.44</v>
      </c>
      <c r="AW98" s="181">
        <f>[57]SAS_NSA_2021_3T!$E$85</f>
        <v>8528.48</v>
      </c>
      <c r="AX98" s="408">
        <f>[58]SAS_NSA_2021_4T!$E$102</f>
        <v>8534.4332259219591</v>
      </c>
      <c r="AY98" s="181">
        <f>[59]SAS_NSA_2022_1T!$E$102</f>
        <v>9964.2370528564006</v>
      </c>
      <c r="AZ98" s="181">
        <f>[60]SAS_NSA_2022_2T!$E$102</f>
        <v>9372.5455549420403</v>
      </c>
      <c r="BA98" s="181">
        <f>[61]SAS_NSA_2022_3T!$E$102</f>
        <v>9750.9490373726003</v>
      </c>
      <c r="BB98" s="382">
        <f>[62]SAS_NSA_2022_4T!$E$102</f>
        <v>9742.9510489510394</v>
      </c>
      <c r="BC98" s="338">
        <f>[2]SAS_NSA_2023_1T!$E$102</f>
        <v>9866.0364963503598</v>
      </c>
      <c r="BD98" s="338">
        <f>[3]SAS_NSA_2023_2T!$E$102</f>
        <v>9804.4613466333994</v>
      </c>
      <c r="BE98" s="338">
        <f>[4]SAS_NSA_2023_3T!$E$102</f>
        <v>9818.8364576599997</v>
      </c>
      <c r="BF98" s="338">
        <f>[5]SAS_NSA_2023_4T!$E$102</f>
        <v>9795.6688567673991</v>
      </c>
      <c r="BG98" s="338">
        <f>[6]SAS_NSA_2024_1T!$E$102</f>
        <v>10394.316076294281</v>
      </c>
      <c r="BH98" s="338">
        <f>[7]SAS_NSA_2024_2T!$E$102</f>
        <v>10339.836734693879</v>
      </c>
      <c r="BI98" s="338">
        <f>[8]SAS_NSA_2024_3T!$E$102</f>
        <v>10336.426205903521</v>
      </c>
      <c r="BJ98" s="338">
        <f>[9]SAS_NSA_2024_4T!$E$102</f>
        <v>10340.1588235294</v>
      </c>
    </row>
    <row r="99" spans="1:62" x14ac:dyDescent="0.25">
      <c r="A99" s="312" t="s">
        <v>3</v>
      </c>
      <c r="B99" s="16">
        <f>[63]SAS_NSA_4T2009!$E$91</f>
        <v>9831.76</v>
      </c>
      <c r="C99" s="42">
        <f>[11]SAS_NSA_1T2010!$E$91</f>
        <v>9855.6</v>
      </c>
      <c r="D99" s="42">
        <f>[12]SAS_NSA_2T2010!$E$91</f>
        <v>9961.8799999999992</v>
      </c>
      <c r="E99" s="42">
        <f>[13]SAS_NSA_3T2010!$E$91</f>
        <v>9985.0400000000009</v>
      </c>
      <c r="F99" s="42">
        <f>[14]SAS_NSA_2010_4T!$E$91</f>
        <v>10004.719999999999</v>
      </c>
      <c r="G99" s="42">
        <f>[15]SAS_NSA_2011_1T!$E$91</f>
        <v>10026.799999999999</v>
      </c>
      <c r="H99" s="42">
        <f>[16]SAS_NSA_2011_2T!$E$91</f>
        <v>10269.280000000001</v>
      </c>
      <c r="I99" s="42">
        <f>[17]SAS_NSA_2011_3T!$E$91</f>
        <v>10290.959999999999</v>
      </c>
      <c r="J99" s="42">
        <f>[18]SAS_NSA_2011_4T!$E$91</f>
        <v>10313.32</v>
      </c>
      <c r="K99" s="42">
        <f>[19]SAS_NSA_2012_1T!$E$91</f>
        <v>10322.44</v>
      </c>
      <c r="L99" s="42">
        <f>'[20]120919-14H22S23-PROGRAM-TdB_STO'!$E$91</f>
        <v>10577.2</v>
      </c>
      <c r="M99" s="42">
        <f>'[21]121105-15H12S18-PROGRAM-TdB_STO'!$E$91</f>
        <v>10592.28</v>
      </c>
      <c r="N99" s="42">
        <f>[22]SAS_NSA_2012_4T!$E$91</f>
        <v>10611.92</v>
      </c>
      <c r="O99" s="42">
        <f>[23]SAS_NSA_2013_1T!$E$91</f>
        <v>10629.92</v>
      </c>
      <c r="P99" s="42">
        <f>[24]SAS_NSA_2013_2T!$E$91</f>
        <v>10788.6</v>
      </c>
      <c r="Q99" s="42">
        <f>[25]SAS_NSA_2013_3T!$E$91</f>
        <v>10805.36</v>
      </c>
      <c r="R99" s="181">
        <f>[26]SAS_NSA_2013_4T!$E$91</f>
        <v>10819</v>
      </c>
      <c r="S99" s="181">
        <f>[27]SAS_NSA_2014_1T!$E$91</f>
        <v>10845.04</v>
      </c>
      <c r="T99" s="181">
        <f>[28]SAS_NSA_2014_2T!$E$91</f>
        <v>10858.44</v>
      </c>
      <c r="U99" s="181">
        <f>[29]SAS_NSA_2014_3T!$E$91</f>
        <v>10874.72</v>
      </c>
      <c r="V99" s="181">
        <f>[30]SAS_NSA_2014_4T!$E$91</f>
        <v>10892.68</v>
      </c>
      <c r="W99" s="181">
        <f>[31]SAS_NSA_2015_1T!$E$91</f>
        <v>10908.2</v>
      </c>
      <c r="X99" s="181">
        <f>[32]SAS_NSA_2015_2T!$E$91</f>
        <v>10931.4</v>
      </c>
      <c r="Y99" s="181">
        <f>[33]SAS_NSA_2015_3T!$E$91</f>
        <v>10952.36</v>
      </c>
      <c r="Z99" s="181">
        <f>[34]SAS_NSA_2015_4T!$E$91</f>
        <v>10980.2</v>
      </c>
      <c r="AA99" s="181">
        <f>[35]SAS_NSA_2016_1T!$E$91</f>
        <v>11001.6</v>
      </c>
      <c r="AB99" s="181">
        <f>[36]SAS_NSA_2016_2T!$E$91</f>
        <v>11018.48</v>
      </c>
      <c r="AC99" s="181">
        <f>[37]SAS_NSA_2016_3T!$E$91</f>
        <v>11036.88</v>
      </c>
      <c r="AD99" s="181">
        <f>[38]SAS_NSA_2016_4T!$E$91</f>
        <v>11054.48</v>
      </c>
      <c r="AE99" s="181">
        <f>[39]SAS_NSA_2017_1T!$E$91</f>
        <v>11073.68</v>
      </c>
      <c r="AF99" s="181">
        <f>[40]SAS_NSA_2017_2T!$E$91</f>
        <v>11088.52</v>
      </c>
      <c r="AG99" s="181">
        <f>[41]SAS_NSA_2017_3T!$E$91</f>
        <v>11109.88</v>
      </c>
      <c r="AH99" s="181">
        <f>[42]SAS_NSA_2017_4T!$E$91</f>
        <v>11209.96</v>
      </c>
      <c r="AI99" s="181">
        <f>[43]SAS_NSA_2018_1T!$D$91*4</f>
        <v>11226.44</v>
      </c>
      <c r="AJ99" s="181">
        <f>[44]SAS_NSA_2018_2T!$E$93</f>
        <v>11246.6</v>
      </c>
      <c r="AK99" s="293">
        <f>[45]SAS_NSA_2018_3T!$D91*4</f>
        <v>11264.2</v>
      </c>
      <c r="AL99" s="293">
        <f>4*[46]SAS_NSA_2018_4T!$D$91</f>
        <v>11278.8</v>
      </c>
      <c r="AM99" s="181">
        <f>4*[47]SAS_NSA_2019_1T!$D$91</f>
        <v>11331.4</v>
      </c>
      <c r="AN99" s="181">
        <f>4*[48]SAS_NSA_2019_2T!$D$91</f>
        <v>11349.12</v>
      </c>
      <c r="AO99" s="181">
        <f>4*[49]SAS_NSA_2019_3T!$D91</f>
        <v>11391.92</v>
      </c>
      <c r="AP99" s="181">
        <f>4*[50]SAS_NSA_2019_4T!$D$91</f>
        <v>11382.72</v>
      </c>
      <c r="AQ99" s="181">
        <f>4*[51]SAS_NSA_2020_1T!$D$86</f>
        <v>11510.64</v>
      </c>
      <c r="AR99" s="181">
        <f>4*[52]SAS_NSA_2020_2T!$D$86</f>
        <v>11521.4</v>
      </c>
      <c r="AS99" s="181">
        <f>4*[53]SAS_NSA_2020_3T!$D$86</f>
        <v>11533.64</v>
      </c>
      <c r="AT99" s="181">
        <f>[54]SAS_NSA_2020_4T!$E$86</f>
        <v>11549.08</v>
      </c>
      <c r="AU99" s="181">
        <f>[55]SAS_NSA_2021_1T!$E$86</f>
        <v>11605.2</v>
      </c>
      <c r="AV99" s="181">
        <f>[56]SAS_NSA_2021_2T!$E$86</f>
        <v>11616.56</v>
      </c>
      <c r="AW99" s="181">
        <f>[57]SAS_NSA_2021_3T!$E$86</f>
        <v>11635.72</v>
      </c>
      <c r="AX99" s="408">
        <f>[58]SAS_NSA_2021_4T!$E$103</f>
        <v>11652.51579750808</v>
      </c>
      <c r="AY99" s="181">
        <f>[59]SAS_NSA_2022_1T!$E$103</f>
        <v>11865.0850056578</v>
      </c>
      <c r="AZ99" s="181">
        <f>[60]SAS_NSA_2022_2T!$E$103</f>
        <v>11888.429377464039</v>
      </c>
      <c r="BA99" s="181">
        <f>[61]SAS_NSA_2022_3T!$E$103</f>
        <v>12378.938574702721</v>
      </c>
      <c r="BB99" s="382">
        <f>[62]SAS_NSA_2022_4T!$E$103</f>
        <v>12331.262288521</v>
      </c>
      <c r="BC99" s="338">
        <f>[2]SAS_NSA_2023_1T!$E$103</f>
        <v>12518.58587419912</v>
      </c>
      <c r="BD99" s="338">
        <f>[3]SAS_NSA_2023_2T!$E$103</f>
        <v>12539.174217489121</v>
      </c>
      <c r="BE99" s="338">
        <f>[4]SAS_NSA_2023_3T!$E$103</f>
        <v>12562.51010870408</v>
      </c>
      <c r="BF99" s="338">
        <f>[5]SAS_NSA_2023_4T!$E$103</f>
        <v>12584.87708768268</v>
      </c>
      <c r="BG99" s="338">
        <f>[6]SAS_NSA_2024_1T!$E$103</f>
        <v>13255.69686397232</v>
      </c>
      <c r="BH99" s="338">
        <f>[7]SAS_NSA_2024_2T!$E$103</f>
        <v>13287.52466869568</v>
      </c>
      <c r="BI99" s="338">
        <f>[8]SAS_NSA_2024_3T!$E$103</f>
        <v>13307.0769359076</v>
      </c>
      <c r="BJ99" s="338">
        <f>[9]SAS_NSA_2024_4T!$E$103</f>
        <v>13329.9220984124</v>
      </c>
    </row>
    <row r="100" spans="1:62" x14ac:dyDescent="0.25">
      <c r="A100" s="307" t="s">
        <v>29</v>
      </c>
      <c r="B100" s="16">
        <f>[63]SAS_NSA_4T2009!$E$87</f>
        <v>8405.2000000000007</v>
      </c>
      <c r="C100" s="16">
        <f>[11]SAS_NSA_1T2010!$E$87</f>
        <v>8430.2800000000007</v>
      </c>
      <c r="D100" s="16">
        <f>[12]SAS_NSA_2T2010!$E$87</f>
        <v>8523.32</v>
      </c>
      <c r="E100" s="16">
        <f>[13]SAS_NSA_3T2010!$E$87</f>
        <v>8537.2000000000007</v>
      </c>
      <c r="F100" s="16">
        <f>[14]SAS_NSA_2010_4T!$E$87</f>
        <v>8550.0400000000009</v>
      </c>
      <c r="G100" s="16">
        <f>[15]SAS_NSA_2011_1T!$E$87</f>
        <v>8575.56</v>
      </c>
      <c r="H100" s="16">
        <f>[16]SAS_NSA_2011_2T!$E$87</f>
        <v>8788</v>
      </c>
      <c r="I100" s="16">
        <f>[17]SAS_NSA_2011_3T!$E$87</f>
        <v>8802.7999999999993</v>
      </c>
      <c r="J100" s="16">
        <f>[18]SAS_NSA_2011_4T!$E$87</f>
        <v>8818.7199999999993</v>
      </c>
      <c r="K100" s="42">
        <f>[19]SAS_NSA_2012_1T!$E$87</f>
        <v>8816.16</v>
      </c>
      <c r="L100" s="42">
        <f>'[20]120919-14H22S23-PROGRAM-TdB_STO'!$E$87</f>
        <v>9038.56</v>
      </c>
      <c r="M100" s="16">
        <f>'[21]121105-15H12S18-PROGRAM-TdB_STO'!$E$87</f>
        <v>9052.1200000000008</v>
      </c>
      <c r="N100" s="42">
        <f>[22]SAS_NSA_2012_4T!$E$87</f>
        <v>9067.68</v>
      </c>
      <c r="O100" s="42">
        <f>[23]SAS_NSA_2013_1T!$E$87</f>
        <v>9075.16</v>
      </c>
      <c r="P100" s="42">
        <f>[24]SAS_NSA_2013_2T!$E$87</f>
        <v>9207.84</v>
      </c>
      <c r="Q100" s="42">
        <f>[25]SAS_NSA_2013_3T!$E$87</f>
        <v>9219.7199999999993</v>
      </c>
      <c r="R100" s="181">
        <f>[26]SAS_NSA_2013_4T!$E$87</f>
        <v>9213.36</v>
      </c>
      <c r="S100" s="181">
        <f>[27]SAS_NSA_2014_1T!$E$87</f>
        <v>9250.56</v>
      </c>
      <c r="T100" s="181">
        <f>[28]SAS_NSA_2014_2T!$E$87</f>
        <v>9256.08</v>
      </c>
      <c r="U100" s="181">
        <f>[29]SAS_NSA_2014_3T!$E$87</f>
        <v>9267.1200000000008</v>
      </c>
      <c r="V100" s="181">
        <f>[30]SAS_NSA_2014_4T!$E$87</f>
        <v>9281.52</v>
      </c>
      <c r="W100" s="181">
        <f>[31]SAS_NSA_2015_1T!$E$87</f>
        <v>9292.9599999999991</v>
      </c>
      <c r="X100" s="181">
        <f>[32]SAS_NSA_2015_2T!$E$87</f>
        <v>9311.44</v>
      </c>
      <c r="Y100" s="181">
        <f>[33]SAS_NSA_2015_3T!$E$87</f>
        <v>9329.8799999999992</v>
      </c>
      <c r="Z100" s="181">
        <f>[34]SAS_NSA_2015_4T!$E$87</f>
        <v>9355.0400000000009</v>
      </c>
      <c r="AA100" s="181">
        <f>[35]SAS_NSA_2016_1T!$E$87</f>
        <v>9369.16</v>
      </c>
      <c r="AB100" s="181">
        <f>[36]SAS_NSA_2016_2T!$E$87</f>
        <v>9385.8799999999992</v>
      </c>
      <c r="AC100" s="181">
        <f>[37]SAS_NSA_2016_3T!$E$87</f>
        <v>9399.36</v>
      </c>
      <c r="AD100" s="181">
        <f>[38]SAS_NSA_2016_4T!$E$87</f>
        <v>9414.7999999999993</v>
      </c>
      <c r="AE100" s="181">
        <f>[39]SAS_NSA_2017_1T!$E$87</f>
        <v>9429.2800000000007</v>
      </c>
      <c r="AF100" s="181">
        <f>[40]SAS_NSA_2017_2T!$E$87</f>
        <v>9436.2000000000007</v>
      </c>
      <c r="AG100" s="181">
        <f>[41]SAS_NSA_2017_3T!$E$87</f>
        <v>9455.16</v>
      </c>
      <c r="AH100" s="181">
        <f>[42]SAS_NSA_2017_4T!$E$87</f>
        <v>9534.36</v>
      </c>
      <c r="AI100" s="181">
        <f>[43]SAS_NSA_2018_1T!$D$87*4</f>
        <v>9548.2000000000007</v>
      </c>
      <c r="AJ100" s="181">
        <f>[44]SAS_NSA_2018_2T!$E$89</f>
        <v>9566.8799999999992</v>
      </c>
      <c r="AK100" s="293">
        <f>4*[45]SAS_NSA_2018_3T!$D$87</f>
        <v>9582.1200000000008</v>
      </c>
      <c r="AL100" s="293">
        <f>4*[46]SAS_NSA_2018_4T!$D$87</f>
        <v>9595.0400000000009</v>
      </c>
      <c r="AM100" s="181">
        <f>4*[47]SAS_NSA_2019_1T!$D$87</f>
        <v>9642.64</v>
      </c>
      <c r="AN100" s="181">
        <f>4*[48]SAS_NSA_2019_2T!$D$87</f>
        <v>9659.08</v>
      </c>
      <c r="AO100" s="181">
        <f>4*[49]SAS_NSA_2019_3T!$D$87</f>
        <v>9680</v>
      </c>
      <c r="AP100" s="181">
        <f>4*[50]SAS_NSA_2019_4T!$D$87</f>
        <v>9686.08</v>
      </c>
      <c r="AQ100" s="181">
        <f>4*[51]SAS_NSA_2020_1T!$D$82</f>
        <v>9800.4</v>
      </c>
      <c r="AR100" s="181">
        <f>4*[52]SAS_NSA_2020_2T!$D$82</f>
        <v>9811.6</v>
      </c>
      <c r="AS100" s="181">
        <f>4*[53]SAS_NSA_2020_3T!$D$82</f>
        <v>9822.44</v>
      </c>
      <c r="AT100" s="181">
        <f>[54]SAS_NSA_2020_4T!$E$82</f>
        <v>9835.64</v>
      </c>
      <c r="AU100" s="181">
        <f>[55]SAS_NSA_2021_1T!$E$82</f>
        <v>9882.16</v>
      </c>
      <c r="AV100" s="181">
        <f>[56]SAS_NSA_2021_2T!$E$82</f>
        <v>9900.6</v>
      </c>
      <c r="AW100" s="181">
        <f>[57]SAS_NSA_2021_3T!$E$82</f>
        <v>9919.84</v>
      </c>
      <c r="AX100" s="408">
        <f>[58]SAS_NSA_2021_4T!$E$99</f>
        <v>9936.2029348815595</v>
      </c>
      <c r="AY100" s="181">
        <f>[59]SAS_NSA_2022_1T!$E$99</f>
        <v>10486.527152008999</v>
      </c>
      <c r="AZ100" s="181">
        <f>[60]SAS_NSA_2022_2T!$E$99</f>
        <v>10504.17107005976</v>
      </c>
      <c r="BA100" s="181">
        <f>[61]SAS_NSA_2022_3T!$E$99</f>
        <v>10935.70029755076</v>
      </c>
      <c r="BB100" s="382">
        <f>[62]SAS_NSA_2022_4T!$E$99</f>
        <v>10910.485782124681</v>
      </c>
      <c r="BC100" s="338">
        <f>[2]SAS_NSA_2023_1T!$E$99</f>
        <v>11051.39668043112</v>
      </c>
      <c r="BD100" s="338">
        <f>[3]SAS_NSA_2023_2T!$E$99</f>
        <v>11082.063277478879</v>
      </c>
      <c r="BE100" s="338">
        <f>[4]SAS_NSA_2023_3T!$E$99</f>
        <v>11107.425082339039</v>
      </c>
      <c r="BF100" s="338">
        <f>[5]SAS_NSA_2023_4T!$E$99</f>
        <v>11130.19133529556</v>
      </c>
      <c r="BG100" s="338">
        <f>[6]SAS_NSA_2024_1T!$E$99</f>
        <v>11725.065992784441</v>
      </c>
      <c r="BH100" s="338">
        <f>[7]SAS_NSA_2024_2T!$E$99</f>
        <v>11758.138204729559</v>
      </c>
      <c r="BI100" s="338">
        <f>[8]SAS_NSA_2024_3T!$E$99</f>
        <v>11784.10503162404</v>
      </c>
      <c r="BJ100" s="338">
        <f>[9]SAS_NSA_2024_4T!$E$99</f>
        <v>11803.01382284176</v>
      </c>
    </row>
    <row r="101" spans="1:62" x14ac:dyDescent="0.25">
      <c r="A101" s="317"/>
      <c r="B101" s="18"/>
      <c r="C101" s="44"/>
      <c r="D101" s="44"/>
      <c r="E101" s="44"/>
      <c r="F101" s="44"/>
      <c r="G101" s="44"/>
      <c r="H101" s="44"/>
      <c r="I101" s="44"/>
      <c r="J101" s="44"/>
      <c r="K101" s="148"/>
      <c r="L101" s="148"/>
      <c r="M101" s="148"/>
      <c r="N101" s="148"/>
      <c r="O101" s="148"/>
      <c r="P101" s="148"/>
      <c r="Q101" s="148"/>
      <c r="R101" s="183"/>
      <c r="S101" s="183"/>
      <c r="T101" s="183"/>
      <c r="U101" s="183"/>
      <c r="V101" s="183">
        <f t="shared" ref="V101:AA101" si="295">(V100-R100)/R100</f>
        <v>7.3979525384875715E-3</v>
      </c>
      <c r="W101" s="183">
        <f t="shared" si="295"/>
        <v>4.5835062958350242E-3</v>
      </c>
      <c r="X101" s="183">
        <f t="shared" si="295"/>
        <v>5.9809336133655484E-3</v>
      </c>
      <c r="Y101" s="183">
        <f t="shared" si="295"/>
        <v>6.7723305622457023E-3</v>
      </c>
      <c r="Z101" s="183">
        <f t="shared" si="295"/>
        <v>7.9211163688706621E-3</v>
      </c>
      <c r="AA101" s="183">
        <f t="shared" si="295"/>
        <v>8.1997555138514245E-3</v>
      </c>
      <c r="AB101" s="183">
        <f t="shared" ref="AB101:AJ101" si="296">(AB100-X100)/X100</f>
        <v>7.9944670212124744E-3</v>
      </c>
      <c r="AC101" s="183">
        <f t="shared" si="296"/>
        <v>7.447041119500078E-3</v>
      </c>
      <c r="AD101" s="183">
        <f t="shared" si="296"/>
        <v>6.3880004788860753E-3</v>
      </c>
      <c r="AE101" s="183">
        <f t="shared" si="296"/>
        <v>6.4167972368921865E-3</v>
      </c>
      <c r="AF101" s="183">
        <f t="shared" si="296"/>
        <v>5.3612447634107333E-3</v>
      </c>
      <c r="AG101" s="183">
        <f t="shared" si="296"/>
        <v>5.9365744050657986E-3</v>
      </c>
      <c r="AH101" s="183">
        <f t="shared" si="296"/>
        <v>1.2699154522666581E-2</v>
      </c>
      <c r="AI101" s="183">
        <f t="shared" si="296"/>
        <v>1.2611779478390721E-2</v>
      </c>
      <c r="AJ101" s="183">
        <f t="shared" si="296"/>
        <v>1.3848795065810228E-2</v>
      </c>
      <c r="AM101" s="183"/>
      <c r="AN101" s="183"/>
      <c r="AO101" s="183"/>
      <c r="AX101" s="402"/>
    </row>
    <row r="102" spans="1:62" x14ac:dyDescent="0.25">
      <c r="A102" s="317"/>
      <c r="B102" s="18"/>
      <c r="C102" s="44"/>
      <c r="D102" s="44"/>
      <c r="E102" s="44"/>
      <c r="F102" s="44"/>
      <c r="G102" s="44"/>
      <c r="H102" s="44"/>
      <c r="I102" s="44"/>
      <c r="J102" s="44"/>
      <c r="K102" s="148"/>
      <c r="L102" s="148"/>
      <c r="M102" s="148"/>
      <c r="N102" s="148"/>
      <c r="O102" s="148"/>
      <c r="P102" s="148"/>
      <c r="Q102" s="148"/>
      <c r="R102" s="183"/>
      <c r="S102" s="183"/>
      <c r="T102" s="183"/>
      <c r="U102" s="183"/>
      <c r="V102" s="183">
        <f t="shared" ref="V102:AA102" si="297">(V100-U100)/U100</f>
        <v>1.5538808173412705E-3</v>
      </c>
      <c r="W102" s="183">
        <f t="shared" si="297"/>
        <v>1.2325567363964836E-3</v>
      </c>
      <c r="X102" s="183">
        <f t="shared" si="297"/>
        <v>1.9886021246192155E-3</v>
      </c>
      <c r="Y102" s="183">
        <f t="shared" si="297"/>
        <v>1.9803596436210394E-3</v>
      </c>
      <c r="Z102" s="183">
        <f t="shared" si="297"/>
        <v>2.6967120691800618E-3</v>
      </c>
      <c r="AA102" s="183">
        <f t="shared" si="297"/>
        <v>1.50934683336458E-3</v>
      </c>
      <c r="AB102" s="183">
        <f t="shared" ref="AB102:AJ102" si="298">(AB100-AA100)/AA100</f>
        <v>1.7845783400005279E-3</v>
      </c>
      <c r="AC102" s="183">
        <f t="shared" si="298"/>
        <v>1.4361999087993222E-3</v>
      </c>
      <c r="AD102" s="183">
        <f t="shared" si="298"/>
        <v>1.6426650325127125E-3</v>
      </c>
      <c r="AE102" s="183">
        <f t="shared" si="298"/>
        <v>1.5380039937121749E-3</v>
      </c>
      <c r="AF102" s="183">
        <f t="shared" si="298"/>
        <v>7.3388424142671257E-4</v>
      </c>
      <c r="AG102" s="183">
        <f t="shared" si="298"/>
        <v>2.0092833979779069E-3</v>
      </c>
      <c r="AH102" s="183">
        <f t="shared" si="298"/>
        <v>8.3763786123133531E-3</v>
      </c>
      <c r="AI102" s="183">
        <f t="shared" si="298"/>
        <v>1.4515919264638786E-3</v>
      </c>
      <c r="AJ102" s="183">
        <f t="shared" si="298"/>
        <v>1.9563896860139577E-3</v>
      </c>
      <c r="AL102" s="183"/>
      <c r="AM102" s="183"/>
      <c r="AN102" s="183"/>
      <c r="AO102" s="183"/>
      <c r="AP102" s="183"/>
      <c r="AQ102" s="183"/>
      <c r="AR102" s="183"/>
      <c r="AS102" s="183"/>
      <c r="AT102" s="183"/>
      <c r="AU102" s="183"/>
      <c r="AV102" s="183"/>
      <c r="AW102" s="183"/>
      <c r="AX102" s="410"/>
      <c r="AY102" s="183"/>
      <c r="AZ102" s="183"/>
      <c r="BA102" s="183"/>
      <c r="BB102" s="183"/>
      <c r="BC102" s="183"/>
      <c r="BD102" s="183"/>
      <c r="BE102" s="183"/>
      <c r="BF102" s="183"/>
      <c r="BG102" s="183"/>
      <c r="BH102" s="183"/>
      <c r="BI102" s="183"/>
      <c r="BJ102" s="183"/>
    </row>
    <row r="103" spans="1:62" x14ac:dyDescent="0.25">
      <c r="A103" s="318" t="s">
        <v>93</v>
      </c>
      <c r="B103" s="18" t="s">
        <v>97</v>
      </c>
      <c r="C103" s="18" t="s">
        <v>97</v>
      </c>
      <c r="D103" s="18" t="s">
        <v>97</v>
      </c>
      <c r="E103" s="18" t="s">
        <v>97</v>
      </c>
      <c r="F103" s="18" t="s">
        <v>97</v>
      </c>
      <c r="G103" s="44" t="s">
        <v>96</v>
      </c>
      <c r="H103" s="44" t="s">
        <v>96</v>
      </c>
      <c r="I103" s="44" t="s">
        <v>96</v>
      </c>
      <c r="J103" s="44" t="s">
        <v>96</v>
      </c>
      <c r="K103" s="44" t="s">
        <v>96</v>
      </c>
      <c r="L103" s="44" t="s">
        <v>96</v>
      </c>
      <c r="M103" s="44" t="s">
        <v>96</v>
      </c>
      <c r="N103" s="44" t="s">
        <v>96</v>
      </c>
      <c r="O103" s="44" t="s">
        <v>96</v>
      </c>
      <c r="P103" s="44" t="s">
        <v>96</v>
      </c>
      <c r="Q103" s="44" t="s">
        <v>96</v>
      </c>
      <c r="R103" s="183" t="s">
        <v>96</v>
      </c>
      <c r="S103" s="183" t="s">
        <v>96</v>
      </c>
      <c r="T103" s="183" t="s">
        <v>96</v>
      </c>
      <c r="U103" s="183" t="s">
        <v>96</v>
      </c>
      <c r="V103" s="183" t="s">
        <v>96</v>
      </c>
      <c r="W103" s="183" t="s">
        <v>96</v>
      </c>
      <c r="X103" s="183" t="s">
        <v>96</v>
      </c>
      <c r="Y103" s="183" t="s">
        <v>96</v>
      </c>
      <c r="Z103" s="183" t="s">
        <v>96</v>
      </c>
      <c r="AA103" s="183" t="s">
        <v>96</v>
      </c>
      <c r="AB103" s="183" t="s">
        <v>96</v>
      </c>
      <c r="AC103" s="183" t="s">
        <v>96</v>
      </c>
      <c r="AD103" s="183" t="s">
        <v>96</v>
      </c>
      <c r="AE103" s="183" t="s">
        <v>96</v>
      </c>
      <c r="AF103" s="183" t="s">
        <v>96</v>
      </c>
      <c r="AG103" s="183" t="s">
        <v>96</v>
      </c>
      <c r="AH103" s="183" t="s">
        <v>96</v>
      </c>
      <c r="AI103" s="183" t="s">
        <v>96</v>
      </c>
      <c r="AJ103" s="183" t="s">
        <v>96</v>
      </c>
      <c r="AM103" s="183" t="s">
        <v>96</v>
      </c>
      <c r="AN103" s="183" t="s">
        <v>96</v>
      </c>
      <c r="AO103" s="183" t="s">
        <v>96</v>
      </c>
      <c r="AX103" s="402"/>
    </row>
    <row r="104" spans="1:62" x14ac:dyDescent="0.25">
      <c r="A104" s="319" t="s">
        <v>133</v>
      </c>
      <c r="B104" s="100">
        <f>B105/(B31+B33)</f>
        <v>0.11680125938884604</v>
      </c>
      <c r="C104" s="100">
        <f t="shared" ref="C104:H104" si="299">C105/(C31+C33)</f>
        <v>0.1351930058848361</v>
      </c>
      <c r="D104" s="100">
        <f t="shared" si="299"/>
        <v>0.13488286180463627</v>
      </c>
      <c r="E104" s="100">
        <f t="shared" si="299"/>
        <v>0.13875232638445448</v>
      </c>
      <c r="F104" s="100">
        <f t="shared" si="299"/>
        <v>0.13945045371779388</v>
      </c>
      <c r="G104" s="100">
        <f t="shared" si="299"/>
        <v>0.15516567221977839</v>
      </c>
      <c r="H104" s="100">
        <f t="shared" si="299"/>
        <v>0.15378050020879411</v>
      </c>
      <c r="I104" s="100">
        <f t="shared" ref="I104:N104" si="300">I105/(I31+I33)</f>
        <v>0.15404235594940513</v>
      </c>
      <c r="J104" s="100">
        <f t="shared" si="300"/>
        <v>0.1527837007120133</v>
      </c>
      <c r="K104" s="100">
        <f t="shared" si="300"/>
        <v>0.15128829162478175</v>
      </c>
      <c r="L104" s="100">
        <f t="shared" si="300"/>
        <v>0.14947597461941509</v>
      </c>
      <c r="M104" s="100">
        <f t="shared" si="300"/>
        <v>0.14727322045324967</v>
      </c>
      <c r="N104" s="100">
        <f t="shared" si="300"/>
        <v>0.14556486760076048</v>
      </c>
      <c r="O104" s="100">
        <f t="shared" ref="O104:T104" si="301">O105/(O31+O33)</f>
        <v>0.14486152662363816</v>
      </c>
      <c r="P104" s="100">
        <f t="shared" si="301"/>
        <v>0.14453404957450686</v>
      </c>
      <c r="Q104" s="100">
        <f t="shared" si="301"/>
        <v>0.14287462239346124</v>
      </c>
      <c r="R104" s="194">
        <f t="shared" si="301"/>
        <v>0.14230831368618785</v>
      </c>
      <c r="S104" s="194">
        <f t="shared" si="301"/>
        <v>0.14160858463874129</v>
      </c>
      <c r="T104" s="194">
        <f t="shared" si="301"/>
        <v>0.1407380748850717</v>
      </c>
      <c r="U104" s="194">
        <f t="shared" ref="U104:V104" si="302">U105/(U31+U33)</f>
        <v>0.13987191622560538</v>
      </c>
      <c r="V104" s="194">
        <f t="shared" si="302"/>
        <v>0.14077343994329697</v>
      </c>
      <c r="W104" s="194">
        <f t="shared" ref="W104:X104" si="303">W105/(W31+W33)</f>
        <v>0.13783365367118552</v>
      </c>
      <c r="X104" s="194">
        <f t="shared" si="303"/>
        <v>0.13772882657573765</v>
      </c>
      <c r="Y104" s="194">
        <f t="shared" ref="Y104:Z104" si="304">Y105/(Y31+Y33)</f>
        <v>0.13770854182375264</v>
      </c>
      <c r="Z104" s="194">
        <f t="shared" si="304"/>
        <v>0.13697734825874644</v>
      </c>
      <c r="AA104" s="251">
        <f t="shared" ref="AA104" si="305">AA105/(AA31+AA33)</f>
        <v>0.13616604974024407</v>
      </c>
      <c r="AB104" s="251">
        <f t="shared" ref="AB104:AH104" si="306">AB105/(AB31+AB33)</f>
        <v>0.13592087461250335</v>
      </c>
      <c r="AC104" s="194">
        <f t="shared" si="306"/>
        <v>0.13518996624984098</v>
      </c>
      <c r="AD104" s="194">
        <f t="shared" si="306"/>
        <v>0.13453781360602463</v>
      </c>
      <c r="AE104" s="251">
        <f t="shared" si="306"/>
        <v>0.13331920079750051</v>
      </c>
      <c r="AF104" s="251">
        <f t="shared" si="306"/>
        <v>0.13277018327997755</v>
      </c>
      <c r="AG104" s="251">
        <f t="shared" si="306"/>
        <v>0.13288471716491526</v>
      </c>
      <c r="AH104" s="251">
        <f t="shared" si="306"/>
        <v>0.13194616103810228</v>
      </c>
      <c r="AI104" s="251">
        <f t="shared" ref="AI104" si="307">AI105/(AI31+AI33)</f>
        <v>0.13163457621211491</v>
      </c>
      <c r="AJ104" s="251">
        <f>AJ105/(AJ31+AJ33)</f>
        <v>0.13139454065942435</v>
      </c>
      <c r="AK104" s="251">
        <f>AK105/(AK31+AK33)</f>
        <v>0.13102970537794045</v>
      </c>
      <c r="AL104" s="251">
        <f>AL105/(AL31+AL33)</f>
        <v>0.13028705613658387</v>
      </c>
      <c r="AM104" s="251"/>
      <c r="AN104" s="251"/>
      <c r="AO104" s="251"/>
      <c r="AP104" s="251">
        <f t="shared" ref="AP104:AU104" si="308">AP105/(AP31+AP33)</f>
        <v>0.1286738267918443</v>
      </c>
      <c r="AQ104" s="251">
        <f t="shared" si="308"/>
        <v>0.12767694220344761</v>
      </c>
      <c r="AR104" s="251">
        <f t="shared" si="308"/>
        <v>0.12766349499906599</v>
      </c>
      <c r="AS104" s="356">
        <f t="shared" si="308"/>
        <v>0.12760017110348942</v>
      </c>
      <c r="AT104" s="356">
        <f t="shared" si="308"/>
        <v>0.12732869878194777</v>
      </c>
      <c r="AU104" s="356">
        <f t="shared" si="308"/>
        <v>0.12783708106765035</v>
      </c>
      <c r="AV104" s="356">
        <f t="shared" ref="AV104:AW104" si="309">AV105/(AV31+AV33)</f>
        <v>0.12637223397403183</v>
      </c>
      <c r="AW104" s="356">
        <f t="shared" si="309"/>
        <v>0.12922242150793248</v>
      </c>
      <c r="AX104" s="424">
        <f t="shared" ref="AX104:AY104" si="310">AX105/(AX31+AX33)</f>
        <v>0.12875849470745318</v>
      </c>
      <c r="AY104" s="356">
        <f t="shared" si="310"/>
        <v>0.16921992341580286</v>
      </c>
      <c r="AZ104" s="356">
        <f t="shared" ref="AZ104:BA104" si="311">AZ105/(AZ31+AZ33)</f>
        <v>0.17109500254753499</v>
      </c>
      <c r="BA104" s="356">
        <f t="shared" si="311"/>
        <v>0.16972982020200719</v>
      </c>
      <c r="BB104" s="356">
        <f t="shared" ref="BB104:BC104" si="312">BB105/(BB31+BB33)</f>
        <v>0.16872733922044147</v>
      </c>
      <c r="BC104" s="356">
        <f t="shared" si="312"/>
        <v>0.16845901223089144</v>
      </c>
      <c r="BD104" s="356">
        <f t="shared" ref="BD104:BE104" si="313">BD105/(BD31+BD33)</f>
        <v>0.17580727445209632</v>
      </c>
      <c r="BE104" s="356">
        <f t="shared" si="313"/>
        <v>0.17483426590439119</v>
      </c>
      <c r="BF104" s="356">
        <f t="shared" ref="BF104:BG104" si="314">BF105/(BF31+BF33)</f>
        <v>0.17357159661004631</v>
      </c>
      <c r="BG104" s="356">
        <f t="shared" si="314"/>
        <v>0.17279573632171041</v>
      </c>
      <c r="BH104" s="356">
        <f t="shared" ref="BH104:BI104" si="315">BH105/(BH31+BH33)</f>
        <v>0.17315068226310715</v>
      </c>
      <c r="BI104" s="356">
        <f t="shared" si="315"/>
        <v>0.17455468687823442</v>
      </c>
      <c r="BJ104" s="356">
        <f t="shared" ref="BJ104" si="316">BJ105/(BJ31+BJ33)</f>
        <v>0.17337430395085107</v>
      </c>
    </row>
    <row r="105" spans="1:62" ht="13" x14ac:dyDescent="0.3">
      <c r="A105" s="320" t="s">
        <v>91</v>
      </c>
      <c r="B105" s="130">
        <f>'[66]BILAN tte gestion'!$C$9</f>
        <v>192018</v>
      </c>
      <c r="C105" s="130">
        <f>'[67]prg MAJO_TRANCHE'!$A$5</f>
        <v>221300</v>
      </c>
      <c r="D105" s="130">
        <f>'[67]prg MAJO_TRANCHE'!$A$10</f>
        <v>219070</v>
      </c>
      <c r="E105" s="130">
        <f>'[67]prg MAJO_TRANCHE'!$A$15</f>
        <v>223810</v>
      </c>
      <c r="F105" s="130">
        <f>'[67]prg MAJO_TRANCHE'!$A$20</f>
        <v>223782</v>
      </c>
      <c r="G105" s="130">
        <v>247623</v>
      </c>
      <c r="H105" s="130">
        <v>243419</v>
      </c>
      <c r="I105" s="130">
        <f>'[68]majo payee'!$A$21</f>
        <v>241938</v>
      </c>
      <c r="J105" s="130">
        <v>238248</v>
      </c>
      <c r="K105" s="130">
        <v>234479</v>
      </c>
      <c r="L105" s="130">
        <v>229309</v>
      </c>
      <c r="M105" s="130">
        <v>223693</v>
      </c>
      <c r="N105" s="130">
        <v>219437</v>
      </c>
      <c r="O105" s="130">
        <v>216879</v>
      </c>
      <c r="P105" s="130">
        <v>214172</v>
      </c>
      <c r="Q105" s="130">
        <v>210184</v>
      </c>
      <c r="R105" s="130">
        <v>207880</v>
      </c>
      <c r="S105" s="130">
        <v>205205</v>
      </c>
      <c r="T105" s="130">
        <v>202177</v>
      </c>
      <c r="U105" s="234">
        <v>199340</v>
      </c>
      <c r="V105" s="234">
        <v>199406</v>
      </c>
      <c r="W105" s="130">
        <v>193911</v>
      </c>
      <c r="X105" s="130">
        <v>191537</v>
      </c>
      <c r="Y105" s="130">
        <v>189757</v>
      </c>
      <c r="Z105" s="130">
        <v>187575</v>
      </c>
      <c r="AA105" s="130">
        <v>185255</v>
      </c>
      <c r="AB105" s="130">
        <v>183144</v>
      </c>
      <c r="AC105" s="130">
        <v>180653</v>
      </c>
      <c r="AD105" s="130">
        <v>178508</v>
      </c>
      <c r="AE105" s="130">
        <v>175463</v>
      </c>
      <c r="AF105" s="130">
        <v>172736</v>
      </c>
      <c r="AG105" s="130">
        <v>171486</v>
      </c>
      <c r="AH105" s="130">
        <v>169210</v>
      </c>
      <c r="AI105" s="130">
        <v>167696</v>
      </c>
      <c r="AJ105" s="130">
        <v>165606</v>
      </c>
      <c r="AK105" s="295">
        <f>'[69]181210-15H27S00-PROGRAM-MAJO_NS'!$A$21</f>
        <v>163806</v>
      </c>
      <c r="AL105" s="295">
        <f>'[70]190220-10H45S33-PROGRAM-MAJO_NS'!$A$27</f>
        <v>162010</v>
      </c>
      <c r="AM105" s="130">
        <f>'[71]190604-09H51S15-PROGRAM-MAJO_NS'!$A$9</f>
        <v>159781</v>
      </c>
      <c r="AN105" s="130">
        <f>[72]MAJO_NSA_2T_2019!$A$15</f>
        <v>158183</v>
      </c>
      <c r="AO105" s="130">
        <f>'[73]200127-15H51S07-PROGRAM-MAJO_NS'!$A$21</f>
        <v>156043</v>
      </c>
      <c r="AP105" s="130">
        <f>'[74]200219-10H24S53-PROGRAM-MAJO_NS'!$A$27</f>
        <v>154957</v>
      </c>
      <c r="AQ105" s="130">
        <f>[75]MAJO_NSA_1T_2020!$A$18</f>
        <v>152815</v>
      </c>
      <c r="AR105" s="130">
        <f>[76]MAJO_NSA_2T_2020!$A$24</f>
        <v>151036</v>
      </c>
      <c r="AS105" s="130">
        <f>'[77]20210125_12h13m47s_meyerjsMAJO_'!$A$30</f>
        <v>149448</v>
      </c>
      <c r="AT105" s="130">
        <f>'[78]22FEB2021_11h47m10s_m93urouMAJO'!$A$36</f>
        <v>148157</v>
      </c>
      <c r="AU105" s="130">
        <f>'[79]07JUN2021_10h31m22s_m93urouMAJO'!$A$18</f>
        <v>147147</v>
      </c>
      <c r="AV105" s="130">
        <f>[80]MAJO_NSA_2T_2021!$A$24</f>
        <v>143618</v>
      </c>
      <c r="AW105" s="130">
        <f>'[81]17NOV2021_56059_m93urou.MAJO_NS'!$A$30</f>
        <v>145464</v>
      </c>
      <c r="AX105" s="425">
        <f>[82]PMR_NSA_2021_4T!$A$32</f>
        <v>144072</v>
      </c>
      <c r="AY105" s="130">
        <f>[83]PMR_NSA_2022_1T!$A$14</f>
        <v>187948</v>
      </c>
      <c r="AZ105" s="130">
        <f>[84]PMR_NSA_2022_2T!$A$20</f>
        <v>187715</v>
      </c>
      <c r="BA105" s="130">
        <f>[85]PMR_NSA_2022_2T!$A$26</f>
        <v>184562</v>
      </c>
      <c r="BB105" s="130">
        <f>[86]PMR_NSA_2022_4T!$A$32</f>
        <v>182701</v>
      </c>
      <c r="BC105" s="130">
        <f>'[87]PMR_NSA_2023_&amp;trim.T'!$A$14</f>
        <v>180457</v>
      </c>
      <c r="BD105" s="130">
        <f>[88]PMR_NSA_2023_3T!$A$20</f>
        <v>186435</v>
      </c>
      <c r="BE105" s="130">
        <f>[89]PMR_NSA_2023_3T!$A$26</f>
        <v>183976</v>
      </c>
      <c r="BF105" s="130">
        <f>[90]PMR_NSA_2023_4T!$A$32</f>
        <v>181500</v>
      </c>
      <c r="BG105" s="130">
        <f>'[91]PMR_NSA_2024_IF TRIM  = 1T'!$A$14</f>
        <v>179358</v>
      </c>
      <c r="BH105" s="130">
        <f>'[92]PMR_NSA_2024_IF TRIM  = 2T'!$A$20</f>
        <v>177779</v>
      </c>
      <c r="BI105" s="130">
        <f>[93]PMR_NSA_2024_3T!$A$26</f>
        <v>177656</v>
      </c>
      <c r="BJ105" s="130">
        <f>'[94]PMR_NSA_2024_IF TRIM  =     '!$A$32</f>
        <v>175417</v>
      </c>
    </row>
    <row r="106" spans="1:62" x14ac:dyDescent="0.25">
      <c r="A106" s="320" t="s">
        <v>92</v>
      </c>
      <c r="B106" s="129">
        <f>'[66]BILAN tte gestion'!$C$16</f>
        <v>31.494862900000001</v>
      </c>
      <c r="C106" s="129">
        <f>'[67]prg MAJO_TRANCHE'!$C$5</f>
        <v>29.7709492</v>
      </c>
      <c r="D106" s="129">
        <f>'[67]prg MAJO_TRANCHE'!$C$10</f>
        <v>30.751938599999999</v>
      </c>
      <c r="E106" s="129">
        <f>'[67]prg MAJO_TRANCHE'!$C$15</f>
        <v>31.570916799999999</v>
      </c>
      <c r="F106" s="129">
        <f>'[67]prg MAJO_TRANCHE'!$C$20</f>
        <v>32.238205600000001</v>
      </c>
      <c r="G106" s="129">
        <v>45.790034300000002</v>
      </c>
      <c r="H106" s="129">
        <v>44.495901600000003</v>
      </c>
      <c r="I106" s="129">
        <f>'[68]majo payee'!$C$21</f>
        <v>44.879414699999998</v>
      </c>
      <c r="J106" s="129">
        <v>45.7</v>
      </c>
      <c r="K106" s="129">
        <v>46.7</v>
      </c>
      <c r="L106" s="129">
        <v>47.3</v>
      </c>
      <c r="M106" s="129">
        <v>47.4</v>
      </c>
      <c r="N106" s="129">
        <v>47.9</v>
      </c>
      <c r="O106" s="129">
        <v>48.1</v>
      </c>
      <c r="P106" s="129">
        <v>49.4</v>
      </c>
      <c r="Q106" s="129">
        <v>50.1</v>
      </c>
      <c r="R106" s="195">
        <v>50.6</v>
      </c>
      <c r="S106" s="195">
        <v>51.4</v>
      </c>
      <c r="T106" s="195">
        <v>51.9594734</v>
      </c>
      <c r="U106" s="195">
        <v>52.287668799999999</v>
      </c>
      <c r="V106" s="195">
        <v>53.12</v>
      </c>
      <c r="W106" s="195">
        <v>54.2</v>
      </c>
      <c r="X106" s="195">
        <v>55.7</v>
      </c>
      <c r="Y106" s="195">
        <v>55.3</v>
      </c>
      <c r="Z106" s="195">
        <v>56.02</v>
      </c>
      <c r="AA106" s="195">
        <v>56.6</v>
      </c>
      <c r="AB106" s="195">
        <v>57.079900000000002</v>
      </c>
      <c r="AC106" s="195">
        <v>57.631790100000003</v>
      </c>
      <c r="AD106" s="195">
        <v>58.042266699999999</v>
      </c>
      <c r="AE106" s="195">
        <v>58.481264500000002</v>
      </c>
      <c r="AF106" s="195">
        <v>59.199893899999999</v>
      </c>
      <c r="AG106" s="195">
        <v>59.7748341</v>
      </c>
      <c r="AH106" s="195">
        <v>60.637008899999998</v>
      </c>
      <c r="AI106" s="195">
        <v>61.133600000000001</v>
      </c>
      <c r="AJ106" s="195">
        <v>61.608019599999999</v>
      </c>
      <c r="AK106" s="195">
        <v>62.1</v>
      </c>
      <c r="AL106" s="195">
        <f>'[70]190220-10H45S33-PROGRAM-MAJO_NS'!$C$27</f>
        <v>62.780302200000001</v>
      </c>
      <c r="AM106" s="195">
        <f>'[71]190604-09H51S15-PROGRAM-MAJO_NS'!$C$9</f>
        <v>63.434384700000003</v>
      </c>
      <c r="AN106" s="195">
        <f>[72]MAJO_NSA_2T_2019!$C$15</f>
        <v>64.066493399999999</v>
      </c>
      <c r="AO106" s="195">
        <f>'[73]200127-15H51S07-PROGRAM-MAJO_NS'!$C$21</f>
        <v>64.503572899999995</v>
      </c>
      <c r="AP106" s="195">
        <f>'[74]200219-10H24S53-PROGRAM-MAJO_NS'!$C$27</f>
        <v>64.914934099999996</v>
      </c>
      <c r="AQ106" s="195">
        <f>[75]MAJO_NSA_1T_2020!$C$18</f>
        <v>65.7116781</v>
      </c>
      <c r="AR106" s="195">
        <f>[76]MAJO_NSA_2T_2020!$C$24</f>
        <v>65.984106600000004</v>
      </c>
      <c r="AS106" s="195">
        <f>'[77]20210125_12h13m47s_meyerjsMAJO_'!$C$30</f>
        <v>66.182888199999994</v>
      </c>
      <c r="AT106" s="195">
        <f>'[78]22FEB2021_11h47m10s_m93urouMAJO'!$C$36</f>
        <v>66.407589599999994</v>
      </c>
      <c r="AU106" s="195">
        <f>'[79]07JUN2021_10h31m22s_m93urouMAJO'!$C$18</f>
        <v>67.802847</v>
      </c>
      <c r="AV106" s="195">
        <f>[80]MAJO_NSA_2T_2021!$C$24</f>
        <v>68.409885799999998</v>
      </c>
      <c r="AW106" s="195">
        <f>'[81]17NOV2021_56059_m93urou.MAJO_NS'!$C$30</f>
        <v>68.923515800000004</v>
      </c>
      <c r="AX106" s="426">
        <f>[82]PMR_NSA_2021_4T!$C$32</f>
        <v>69.341755300000003</v>
      </c>
      <c r="AY106" s="195">
        <f>[83]PMR_NSA_2022_1T!$C$14</f>
        <v>105.34419990000001</v>
      </c>
      <c r="AZ106" s="195">
        <f>[84]PMR_NSA_2022_2T!$C$20</f>
        <v>105.5419897</v>
      </c>
      <c r="BA106" s="195">
        <f>[85]PMR_NSA_2022_2T!$C$26</f>
        <v>109.8049383</v>
      </c>
      <c r="BB106" s="195">
        <f>[86]PMR_NSA_2022_4T!$C$32</f>
        <v>110.0781258</v>
      </c>
      <c r="BC106" s="195">
        <f>'[87]PMR_NSA_2023_&amp;trim.T'!$C$14</f>
        <v>110.6603485</v>
      </c>
      <c r="BD106" s="195">
        <f>[88]PMR_NSA_2023_3T!$C$20</f>
        <v>108.27372939999999</v>
      </c>
      <c r="BE106" s="195">
        <f>[89]PMR_NSA_2023_3T!$C$26</f>
        <v>108.2771564</v>
      </c>
      <c r="BF106" s="477">
        <f>[90]PMR_NSA_2023_4T!$C$32</f>
        <v>107.7207391</v>
      </c>
      <c r="BG106" s="477">
        <f>'[91]PMR_NSA_2024_IF TRIM  = 1T'!$C$14</f>
        <v>113.421035</v>
      </c>
      <c r="BH106" s="477">
        <f>'[92]PMR_NSA_2024_IF TRIM  = 2T'!$C$20</f>
        <v>113.9150133</v>
      </c>
      <c r="BI106" s="477">
        <f>[93]PMR_NSA_2024_3T!$C$26</f>
        <v>113.2323798</v>
      </c>
      <c r="BJ106" s="195">
        <f>'[94]PMR_NSA_2024_IF TRIM  =     '!$C$32</f>
        <v>113.38056709999999</v>
      </c>
    </row>
    <row r="107" spans="1:62" x14ac:dyDescent="0.25">
      <c r="F107" s="35" t="s">
        <v>94</v>
      </c>
      <c r="G107" s="129">
        <v>40.598575199999999</v>
      </c>
      <c r="H107" s="129">
        <v>43.283256899999998</v>
      </c>
      <c r="I107" s="129"/>
      <c r="J107" s="129"/>
      <c r="K107" s="151"/>
      <c r="L107" s="151"/>
      <c r="M107" s="151"/>
      <c r="N107" s="151"/>
      <c r="O107" s="151"/>
      <c r="P107" s="151"/>
      <c r="Q107" s="151"/>
      <c r="R107" s="202"/>
      <c r="S107" s="202"/>
      <c r="T107" s="202"/>
      <c r="U107" s="202"/>
      <c r="V107" s="202"/>
      <c r="W107" s="202"/>
      <c r="X107" s="202"/>
      <c r="Y107" s="202"/>
      <c r="Z107" s="202"/>
      <c r="AA107" s="202"/>
      <c r="AB107" s="202"/>
      <c r="AC107" s="202"/>
      <c r="AD107" s="202"/>
      <c r="AE107" s="202"/>
      <c r="AF107" s="202"/>
      <c r="AG107" s="202"/>
      <c r="AH107" s="202"/>
      <c r="AI107" s="202"/>
      <c r="AJ107" s="202"/>
      <c r="AM107" s="202"/>
      <c r="AN107" s="202"/>
      <c r="AO107" s="202"/>
      <c r="AP107" s="202"/>
      <c r="AQ107" s="202"/>
      <c r="AR107" s="202"/>
      <c r="AS107" s="202"/>
      <c r="AT107" s="202"/>
      <c r="AU107" s="202"/>
      <c r="AV107" s="202"/>
      <c r="AW107" s="202"/>
      <c r="AX107" s="427"/>
      <c r="AY107" s="202"/>
      <c r="AZ107" s="202"/>
      <c r="BA107" s="202"/>
      <c r="BB107" s="202"/>
      <c r="BC107" s="202"/>
      <c r="BD107" s="202"/>
      <c r="BE107" s="202"/>
      <c r="BF107" s="202"/>
      <c r="BG107" s="202"/>
      <c r="BH107" s="202"/>
      <c r="BI107" s="202"/>
      <c r="BJ107" s="202"/>
    </row>
    <row r="108" spans="1:62" x14ac:dyDescent="0.25">
      <c r="F108" s="35" t="s">
        <v>95</v>
      </c>
      <c r="G108" s="129">
        <v>81.067882999999995</v>
      </c>
      <c r="H108" s="129">
        <v>114.83494570000001</v>
      </c>
      <c r="I108" s="129"/>
      <c r="J108" s="129"/>
      <c r="K108" s="151"/>
      <c r="L108" s="151"/>
      <c r="M108" s="151"/>
      <c r="N108" s="151"/>
      <c r="O108" s="151"/>
      <c r="P108" s="151"/>
      <c r="Q108" s="151"/>
      <c r="R108" s="202"/>
      <c r="S108" s="202"/>
      <c r="T108" s="202"/>
      <c r="U108" s="202"/>
      <c r="V108" s="202"/>
      <c r="W108" s="202"/>
      <c r="X108" s="202"/>
      <c r="Y108" s="202"/>
      <c r="Z108" s="202"/>
      <c r="AA108" s="202"/>
      <c r="AB108" s="202"/>
      <c r="AC108" s="202"/>
      <c r="AD108" s="202"/>
      <c r="AE108" s="202"/>
      <c r="AF108" s="202"/>
      <c r="AG108" s="202"/>
      <c r="AH108" s="202"/>
      <c r="AI108" s="202"/>
      <c r="AJ108" s="202"/>
      <c r="AM108" s="202"/>
      <c r="AN108" s="202"/>
      <c r="AO108" s="202"/>
      <c r="AP108" s="202"/>
      <c r="AQ108" s="202"/>
      <c r="AR108" s="202"/>
      <c r="AS108" s="202"/>
      <c r="AT108" s="202"/>
      <c r="AU108" s="202"/>
      <c r="AV108" s="202"/>
      <c r="AW108" s="202"/>
      <c r="AX108" s="427"/>
      <c r="AY108" s="202"/>
      <c r="AZ108" s="202"/>
      <c r="BA108" s="202"/>
      <c r="BB108" s="202"/>
      <c r="BC108" s="202"/>
      <c r="BD108" s="202"/>
      <c r="BE108" s="202"/>
      <c r="BF108" s="202"/>
      <c r="BG108" s="202"/>
      <c r="BH108" s="202"/>
      <c r="BI108" s="202"/>
      <c r="BJ108" s="202"/>
    </row>
    <row r="109" spans="1:62" x14ac:dyDescent="0.25">
      <c r="L109" s="145"/>
      <c r="M109" s="145"/>
      <c r="S109" s="175"/>
      <c r="T109" s="175"/>
      <c r="U109" s="175"/>
      <c r="V109" s="175"/>
      <c r="W109" s="175"/>
      <c r="X109" s="175"/>
      <c r="Y109" s="175"/>
      <c r="Z109" s="175"/>
      <c r="AA109" s="175"/>
      <c r="AB109" s="257">
        <f>AB106*12</f>
        <v>684.9588</v>
      </c>
      <c r="AC109" s="257">
        <f t="shared" ref="AC109:AI109" si="317">AC106*12</f>
        <v>691.5814812000001</v>
      </c>
      <c r="AD109" s="257">
        <f t="shared" si="317"/>
        <v>696.50720039999999</v>
      </c>
      <c r="AE109" s="257">
        <f t="shared" si="317"/>
        <v>701.77517399999999</v>
      </c>
      <c r="AF109" s="257">
        <f t="shared" si="317"/>
        <v>710.39872679999996</v>
      </c>
      <c r="AG109" s="257">
        <f t="shared" si="317"/>
        <v>717.29800920000002</v>
      </c>
      <c r="AH109" s="257">
        <f t="shared" si="317"/>
        <v>727.64410679999992</v>
      </c>
      <c r="AI109" s="257">
        <f t="shared" si="317"/>
        <v>733.60320000000002</v>
      </c>
      <c r="AJ109" s="257">
        <f>AJ106*12</f>
        <v>739.29623519999996</v>
      </c>
      <c r="AK109" s="257">
        <f>AK106*12</f>
        <v>745.2</v>
      </c>
      <c r="AL109" s="257">
        <f>AL106*12</f>
        <v>753.36362640000004</v>
      </c>
      <c r="AM109" s="257">
        <f t="shared" ref="AM109:AN109" si="318">AM106*12</f>
        <v>761.2126164</v>
      </c>
      <c r="AN109" s="257">
        <f t="shared" si="318"/>
        <v>768.79792079999993</v>
      </c>
      <c r="AO109" s="257">
        <f t="shared" ref="AO109" si="319">AO106*12</f>
        <v>774.04287479999994</v>
      </c>
      <c r="AP109" s="257">
        <f t="shared" ref="AP109:AU109" si="320">AP106*12</f>
        <v>778.97920920000001</v>
      </c>
      <c r="AQ109" s="257">
        <f t="shared" si="320"/>
        <v>788.5401372</v>
      </c>
      <c r="AR109" s="257">
        <f t="shared" si="320"/>
        <v>791.80927919999999</v>
      </c>
      <c r="AS109" s="257">
        <f t="shared" si="320"/>
        <v>794.19465839999998</v>
      </c>
      <c r="AT109" s="257">
        <f t="shared" si="320"/>
        <v>796.89107519999993</v>
      </c>
      <c r="AU109" s="257">
        <f t="shared" si="320"/>
        <v>813.63416400000006</v>
      </c>
      <c r="AV109" s="257">
        <f t="shared" ref="AV109:AW109" si="321">AV106*12</f>
        <v>820.91862960000003</v>
      </c>
      <c r="AW109" s="257">
        <f t="shared" si="321"/>
        <v>827.08218959999999</v>
      </c>
      <c r="AX109" s="442">
        <f t="shared" ref="AX109:AY109" si="322">AX106*12</f>
        <v>832.10106360000009</v>
      </c>
      <c r="AY109" s="257">
        <f t="shared" si="322"/>
        <v>1264.1303988</v>
      </c>
      <c r="AZ109" s="257">
        <f t="shared" ref="AZ109:BA109" si="323">AZ106*12</f>
        <v>1266.5038764000001</v>
      </c>
      <c r="BA109" s="257">
        <f t="shared" si="323"/>
        <v>1317.6592596</v>
      </c>
      <c r="BB109" s="257">
        <f t="shared" ref="BB109:BC109" si="324">BB106*12</f>
        <v>1320.9375095999999</v>
      </c>
      <c r="BC109" s="257">
        <f t="shared" si="324"/>
        <v>1327.924182</v>
      </c>
      <c r="BD109" s="257">
        <f t="shared" ref="BD109:BE109" si="325">BD106*12</f>
        <v>1299.2847528</v>
      </c>
      <c r="BE109" s="257">
        <f t="shared" si="325"/>
        <v>1299.3258768000001</v>
      </c>
      <c r="BF109" s="478">
        <f t="shared" ref="BF109:BG109" si="326">BF106*12</f>
        <v>1292.6488692</v>
      </c>
      <c r="BG109" s="478">
        <f t="shared" si="326"/>
        <v>1361.05242</v>
      </c>
      <c r="BH109" s="478">
        <f t="shared" ref="BH109:BI109" si="327">BH106*12</f>
        <v>1366.9801596</v>
      </c>
      <c r="BI109" s="478">
        <f t="shared" si="327"/>
        <v>1358.7885576000001</v>
      </c>
      <c r="BJ109" s="478">
        <f t="shared" ref="BJ109" si="328">BJ106*12</f>
        <v>1360.5668051999999</v>
      </c>
    </row>
    <row r="110" spans="1:62" x14ac:dyDescent="0.25">
      <c r="L110" s="145"/>
      <c r="M110" s="145"/>
      <c r="S110" s="175"/>
      <c r="T110" s="175"/>
      <c r="U110" s="175"/>
      <c r="V110" s="175"/>
      <c r="W110" s="175"/>
      <c r="X110" s="175"/>
      <c r="Y110" s="175"/>
      <c r="Z110" s="175"/>
      <c r="AA110" s="175"/>
      <c r="AB110" s="175"/>
      <c r="AC110" s="175"/>
      <c r="AD110" s="175"/>
      <c r="AE110" s="175"/>
      <c r="AF110" s="175"/>
      <c r="AG110" s="175"/>
      <c r="AH110" s="175"/>
      <c r="AI110" s="175"/>
      <c r="AJ110" s="175"/>
      <c r="AM110" s="175"/>
      <c r="AN110" s="175"/>
      <c r="AO110" s="175"/>
      <c r="AX110" s="402"/>
    </row>
    <row r="111" spans="1:62" x14ac:dyDescent="0.25">
      <c r="A111" s="300" t="s">
        <v>108</v>
      </c>
      <c r="C111" s="131"/>
      <c r="D111" s="131"/>
      <c r="E111" s="131"/>
      <c r="F111" s="131"/>
      <c r="G111" s="131"/>
      <c r="H111" s="131"/>
      <c r="I111" s="131"/>
      <c r="J111" s="131"/>
      <c r="K111" s="152"/>
      <c r="L111" s="152"/>
      <c r="M111" s="152"/>
      <c r="N111" s="152"/>
      <c r="O111" s="152"/>
      <c r="P111" s="152"/>
      <c r="Q111" s="152"/>
      <c r="R111" s="203"/>
      <c r="S111" s="203"/>
      <c r="T111" s="203"/>
      <c r="U111" s="203"/>
      <c r="V111" s="203"/>
      <c r="W111" s="203"/>
      <c r="X111" s="203"/>
      <c r="Y111" s="203"/>
      <c r="Z111" s="203"/>
      <c r="AA111" s="203"/>
      <c r="AB111" s="203"/>
      <c r="AC111" s="203"/>
      <c r="AD111" s="203"/>
      <c r="AE111" s="203"/>
      <c r="AF111" s="203"/>
      <c r="AG111" s="203"/>
      <c r="AH111" s="203"/>
      <c r="AI111" s="203"/>
      <c r="AJ111" s="203"/>
      <c r="AM111" s="203"/>
      <c r="AN111" s="203"/>
      <c r="AO111" s="203"/>
      <c r="AX111" s="402"/>
    </row>
    <row r="112" spans="1:62" x14ac:dyDescent="0.25">
      <c r="A112" s="309" t="s">
        <v>98</v>
      </c>
      <c r="B112" s="133">
        <f>'[95]33331'!$D$101</f>
        <v>9251</v>
      </c>
      <c r="C112" s="133">
        <f>'[96]33331'!$D$101</f>
        <v>12747</v>
      </c>
      <c r="D112" s="133">
        <f>'[97]33331'!$D$101</f>
        <v>8944</v>
      </c>
      <c r="E112" s="133">
        <f>'[98]33331'!$D$101</f>
        <v>8668</v>
      </c>
      <c r="F112" s="133">
        <f>'[99]33331'!$D$101</f>
        <v>9988</v>
      </c>
      <c r="G112" s="133">
        <f>'[100]33331'!$D$101</f>
        <v>11071</v>
      </c>
      <c r="H112" s="133">
        <f>'[101]33331'!$D$101</f>
        <v>8940</v>
      </c>
      <c r="I112" s="133">
        <f>'[102]33331'!$D$101</f>
        <v>6946</v>
      </c>
      <c r="J112" s="133">
        <v>7170</v>
      </c>
      <c r="K112" s="133">
        <v>10138</v>
      </c>
      <c r="L112" s="168">
        <v>7115</v>
      </c>
      <c r="M112" s="133">
        <v>5163</v>
      </c>
      <c r="N112" s="133">
        <v>7196</v>
      </c>
      <c r="O112" s="133">
        <v>9866</v>
      </c>
      <c r="P112" s="133">
        <v>7880</v>
      </c>
      <c r="Q112" s="133">
        <v>8227</v>
      </c>
      <c r="R112" s="196">
        <v>8354</v>
      </c>
      <c r="S112" s="196">
        <v>8133</v>
      </c>
      <c r="T112" s="196">
        <v>7718</v>
      </c>
      <c r="U112" s="196">
        <v>7290</v>
      </c>
      <c r="V112" s="196">
        <v>9192</v>
      </c>
      <c r="W112" s="196">
        <v>10419</v>
      </c>
      <c r="X112" s="196">
        <v>7129</v>
      </c>
      <c r="Y112" s="196">
        <v>7134</v>
      </c>
      <c r="Z112" s="196">
        <v>9478</v>
      </c>
      <c r="AA112" s="196">
        <v>11267</v>
      </c>
      <c r="AB112" s="196">
        <v>8621</v>
      </c>
      <c r="AC112" s="196">
        <v>8094</v>
      </c>
      <c r="AD112" s="196">
        <v>8181</v>
      </c>
      <c r="AE112" s="196">
        <v>10443</v>
      </c>
      <c r="AF112" s="196">
        <v>7964</v>
      </c>
      <c r="AG112" s="196">
        <v>8459</v>
      </c>
      <c r="AH112" s="196">
        <v>10046</v>
      </c>
      <c r="AI112" s="196">
        <v>12161</v>
      </c>
      <c r="AJ112" s="196">
        <f>7639</f>
        <v>7639</v>
      </c>
      <c r="AK112" s="133">
        <f>'[103]33331'!$D$101</f>
        <v>9039</v>
      </c>
      <c r="AL112" s="133">
        <f>'[104]33331'!$D$101</f>
        <v>10629</v>
      </c>
      <c r="AM112" s="196">
        <f>AM117+AM119</f>
        <v>11606</v>
      </c>
      <c r="AN112" s="196">
        <f>'[105]33331'!$D$101</f>
        <v>7941</v>
      </c>
      <c r="AO112" s="196">
        <f>'[106]33331'!$D$101</f>
        <v>8432</v>
      </c>
      <c r="AP112" s="133">
        <f>'[107]33331'!$D$101</f>
        <v>10858</v>
      </c>
      <c r="AQ112" s="133">
        <f>'[108]33331'!$D$101</f>
        <v>11281</v>
      </c>
      <c r="AR112" s="133">
        <f>'[109]33331'!$D$101</f>
        <v>7712</v>
      </c>
      <c r="AS112" s="133">
        <f>'[110]33331'!$D$101</f>
        <v>6874</v>
      </c>
      <c r="AT112" s="133">
        <f>'[111]33331'!$D$101</f>
        <v>9687</v>
      </c>
      <c r="AU112" s="133">
        <f>'[112]33331'!$D$101</f>
        <v>10634</v>
      </c>
      <c r="AV112" s="133">
        <f>'[113]33331'!$D$101</f>
        <v>7144</v>
      </c>
      <c r="AW112" s="133">
        <f>'[114]33331'!$D$101</f>
        <v>7399</v>
      </c>
      <c r="AX112" s="428">
        <f>'[115]33331'!$D$101</f>
        <v>9768</v>
      </c>
      <c r="AY112" s="133">
        <f>'[116]33331'!$D$101</f>
        <v>11404</v>
      </c>
      <c r="AZ112" s="133">
        <f>'[117]33331'!$D$101</f>
        <v>7620</v>
      </c>
      <c r="BA112" s="133">
        <f>'[118]33331'!$D$101</f>
        <v>7424</v>
      </c>
      <c r="BB112" s="54">
        <f>'[119]33331'!$D$101</f>
        <v>9988</v>
      </c>
      <c r="BC112" s="54">
        <f>'[120]33331'!$D$101</f>
        <v>11597</v>
      </c>
      <c r="BD112" s="54">
        <f>'[121]33331'!$D$101</f>
        <v>8460</v>
      </c>
      <c r="BE112" s="54">
        <f>'[122]33331'!$D$101</f>
        <v>8538</v>
      </c>
      <c r="BF112" s="54">
        <f>'[123]33331'!$D$101</f>
        <v>8690</v>
      </c>
      <c r="BG112" s="54">
        <f>'[124]33331'!$D$101</f>
        <v>10477</v>
      </c>
      <c r="BH112" s="54">
        <f>'[125]33331'!$D$101</f>
        <v>7185</v>
      </c>
      <c r="BI112" s="54">
        <f>'[126]33331'!$D$101</f>
        <v>6845</v>
      </c>
      <c r="BJ112" s="54">
        <f>'[127]33331'!$D$101</f>
        <v>9039</v>
      </c>
    </row>
    <row r="113" spans="1:63" s="376" customFormat="1" ht="12" customHeight="1" x14ac:dyDescent="0.25">
      <c r="A113" s="372"/>
      <c r="B113" s="373"/>
      <c r="C113" s="373"/>
      <c r="D113" s="373"/>
      <c r="E113" s="373"/>
      <c r="F113" s="373"/>
      <c r="G113" s="373"/>
      <c r="H113" s="373"/>
      <c r="I113" s="373"/>
      <c r="J113" s="373"/>
      <c r="K113" s="373"/>
      <c r="L113" s="374"/>
      <c r="M113" s="373"/>
      <c r="N113" s="373"/>
      <c r="O113" s="373"/>
      <c r="P113" s="373"/>
      <c r="Q113" s="373"/>
      <c r="R113" s="375"/>
      <c r="S113" s="375"/>
      <c r="T113" s="375"/>
      <c r="U113" s="375"/>
      <c r="V113" s="375"/>
      <c r="W113" s="375"/>
      <c r="X113" s="375"/>
      <c r="Y113" s="375"/>
      <c r="Z113" s="375"/>
      <c r="AA113" s="375"/>
      <c r="AB113" s="375"/>
      <c r="AC113" s="375"/>
      <c r="AD113" s="375"/>
      <c r="AE113" s="375"/>
      <c r="AF113" s="375"/>
      <c r="AG113" s="375"/>
      <c r="AH113" s="375"/>
      <c r="AI113" s="375"/>
      <c r="AJ113" s="375"/>
      <c r="AK113" s="373"/>
      <c r="AL113" s="373"/>
      <c r="AM113" s="375"/>
      <c r="AN113" s="375"/>
      <c r="AO113" s="375"/>
      <c r="AP113" s="373"/>
      <c r="AQ113" s="373"/>
      <c r="AR113" s="373"/>
      <c r="AS113" s="373"/>
      <c r="AT113" s="373"/>
      <c r="AU113" s="54">
        <f>'[128]07JUN2021_11h21m06s_m93urou_JCL'!$K$66</f>
        <v>10634</v>
      </c>
      <c r="AV113" s="373">
        <f>[129]etat33331_2T2021!$K$66</f>
        <v>7144</v>
      </c>
      <c r="AW113" s="373">
        <f>'[130]17NOV2021_15h56m25s_m93urou_JCL'!$K$66</f>
        <v>7399</v>
      </c>
      <c r="AX113" s="428">
        <f>'[131]14FEB2022_15h49m34s_m93urou_JCL'!$K$66</f>
        <v>9768</v>
      </c>
      <c r="AY113" s="373">
        <f>'[132]12JUL2022_10h35m34s_sabinni_JCL'!$K$66</f>
        <v>11404</v>
      </c>
      <c r="AZ113" s="373">
        <f>[133]JCL_RECAP_33331_2022_2T!$K$66</f>
        <v>7620</v>
      </c>
      <c r="BA113" s="373">
        <f>[134]JCLRECAP_Etat33331_3T2022!$K$66</f>
        <v>7424</v>
      </c>
      <c r="BB113" s="373">
        <f>[135]JCLRECAP_Etat33331_4T2022!$K$66</f>
        <v>9988</v>
      </c>
      <c r="BC113" s="373">
        <f>[136]JCLRECAP_Etat33331_1T2023!$K$66</f>
        <v>11597</v>
      </c>
      <c r="BD113" s="373">
        <f>[137]JCLRECAP_Etat33331_2T2023!$K$66</f>
        <v>8460</v>
      </c>
      <c r="BE113" s="373">
        <f>[138]JCLRECAP_Etat33331_3T2023!$K$66</f>
        <v>8538</v>
      </c>
      <c r="BF113" s="373">
        <f>[139]JCLRECAP_Etat33331_4T2023!$K$66</f>
        <v>8690</v>
      </c>
      <c r="BG113" s="373">
        <f>[140]JCLRECAP_33331_1T2024!$K$66</f>
        <v>10477</v>
      </c>
      <c r="BH113" s="373">
        <f>[141]JCLRECAP_Etat33331_2T2024!$K$65</f>
        <v>7185</v>
      </c>
      <c r="BI113" s="373">
        <f>[142]JCLRECAP_Etat33331_3T2024!$K$65</f>
        <v>6845</v>
      </c>
      <c r="BJ113" s="376">
        <f>[143]JCLRECAP_Etat33331_4T2024!$K$65</f>
        <v>9039</v>
      </c>
    </row>
    <row r="114" spans="1:63" x14ac:dyDescent="0.25">
      <c r="A114" s="309" t="s">
        <v>99</v>
      </c>
      <c r="B114" s="133">
        <f>'[95]33331'!$E$101</f>
        <v>19173</v>
      </c>
      <c r="C114" s="133">
        <f>'[96]33331'!$E$101</f>
        <v>20307</v>
      </c>
      <c r="D114" s="133">
        <f>'[97]33331'!$E$101</f>
        <v>22008</v>
      </c>
      <c r="E114" s="133">
        <f>'[98]33331'!$E$101</f>
        <v>19603</v>
      </c>
      <c r="F114" s="133">
        <f>'[99]33331'!$E$101</f>
        <v>18561</v>
      </c>
      <c r="G114" s="133">
        <f>'[100]33331'!$E$101</f>
        <v>19228</v>
      </c>
      <c r="H114" s="133">
        <f>'[101]33331'!$E$101</f>
        <v>21936</v>
      </c>
      <c r="I114" s="133">
        <f>'[102]33331'!$E$101</f>
        <v>19442</v>
      </c>
      <c r="J114" s="133">
        <v>18786</v>
      </c>
      <c r="K114" s="133">
        <v>18961</v>
      </c>
      <c r="L114" s="168">
        <v>23323</v>
      </c>
      <c r="M114" s="133">
        <v>20515</v>
      </c>
      <c r="N114" s="133">
        <v>18976</v>
      </c>
      <c r="O114" s="133">
        <v>19787</v>
      </c>
      <c r="P114" s="133">
        <v>23938</v>
      </c>
      <c r="Q114" s="133">
        <v>21636</v>
      </c>
      <c r="R114" s="196">
        <v>19154</v>
      </c>
      <c r="S114" s="196">
        <v>20479</v>
      </c>
      <c r="T114" s="196">
        <v>21022</v>
      </c>
      <c r="U114" s="196">
        <v>19359</v>
      </c>
      <c r="V114" s="196">
        <v>18566</v>
      </c>
      <c r="W114" s="196">
        <v>21111</v>
      </c>
      <c r="X114" s="196">
        <v>24516</v>
      </c>
      <c r="Y114" s="196">
        <v>20943</v>
      </c>
      <c r="Z114" s="196">
        <v>19118</v>
      </c>
      <c r="AA114" s="196">
        <v>21198</v>
      </c>
      <c r="AB114" s="196">
        <v>22684</v>
      </c>
      <c r="AC114" s="196">
        <v>20121</v>
      </c>
      <c r="AD114" s="196">
        <v>18417</v>
      </c>
      <c r="AE114" s="196">
        <v>22209</v>
      </c>
      <c r="AF114" s="196">
        <v>24354</v>
      </c>
      <c r="AG114" s="196">
        <v>19234</v>
      </c>
      <c r="AH114" s="196">
        <v>18229</v>
      </c>
      <c r="AI114" s="196">
        <v>21983</v>
      </c>
      <c r="AJ114" s="196">
        <f>22535</f>
        <v>22535</v>
      </c>
      <c r="AK114" s="133">
        <f>'[103]33331'!$E$101</f>
        <v>20776</v>
      </c>
      <c r="AL114" s="133">
        <f>'[104]33331'!$E$101</f>
        <v>18621</v>
      </c>
      <c r="AM114" s="196">
        <f>AM123+AM121</f>
        <v>21750</v>
      </c>
      <c r="AN114" s="196">
        <v>23056</v>
      </c>
      <c r="AO114" s="196">
        <f>'[106]33331'!$E$101</f>
        <v>19564</v>
      </c>
      <c r="AP114" s="133">
        <f>'[107]33331'!$E$101</f>
        <v>18399</v>
      </c>
      <c r="AQ114" s="133">
        <f>'[108]33331'!$E$101</f>
        <v>19929</v>
      </c>
      <c r="AR114" s="133">
        <f>'[109]33331'!$E$101</f>
        <v>22453</v>
      </c>
      <c r="AS114" s="133">
        <f>'[110]33331'!$E$101</f>
        <v>19746</v>
      </c>
      <c r="AT114" s="133">
        <f>'[111]33331'!$E$101</f>
        <v>18190</v>
      </c>
      <c r="AU114" s="54">
        <f>'[112]33331'!$E$101</f>
        <v>23839</v>
      </c>
      <c r="AV114" s="133">
        <f>'[113]33331'!$E$101</f>
        <v>22757</v>
      </c>
      <c r="AW114" s="133">
        <f>'[114]33331'!$E$101</f>
        <v>18987</v>
      </c>
      <c r="AX114" s="443"/>
      <c r="AY114" s="54">
        <f>'[116]33331'!$E$101</f>
        <v>21888</v>
      </c>
      <c r="AZ114" s="460">
        <v>23503</v>
      </c>
      <c r="BA114" s="133">
        <f>'[118]33331'!$E$101</f>
        <v>19504</v>
      </c>
      <c r="BB114" s="54">
        <f>'[119]33331'!$E$101</f>
        <v>16060</v>
      </c>
      <c r="BC114" s="54">
        <f>'[120]33331'!$E$101</f>
        <v>25123</v>
      </c>
      <c r="BD114" s="54">
        <f>'[121]33331'!$E$101</f>
        <v>20503</v>
      </c>
      <c r="BE114" s="54">
        <f>'[122]33331'!$E$101</f>
        <v>17679</v>
      </c>
      <c r="BF114" s="54">
        <f>'[123]33331'!$E$101</f>
        <v>16118</v>
      </c>
      <c r="BG114" s="460">
        <f>[144]NSA_01!$C$26</f>
        <v>19543</v>
      </c>
      <c r="BH114" s="54">
        <f>'[125]33331'!$E$101</f>
        <v>20258</v>
      </c>
      <c r="BI114" s="54">
        <f>'[126]33331'!$E$101</f>
        <v>17678</v>
      </c>
      <c r="BJ114" s="54">
        <f>'[127]33331'!$E$101</f>
        <v>16355</v>
      </c>
    </row>
    <row r="115" spans="1:63" x14ac:dyDescent="0.25">
      <c r="B115" s="133"/>
      <c r="C115" s="133"/>
      <c r="D115" s="133"/>
      <c r="E115" s="133"/>
      <c r="F115" s="133"/>
      <c r="G115" s="133"/>
      <c r="H115" s="133"/>
      <c r="I115" s="133"/>
      <c r="J115" s="357">
        <f>SUM(G114:J114)</f>
        <v>79392</v>
      </c>
      <c r="K115" s="133"/>
      <c r="L115" s="168"/>
      <c r="M115" s="133"/>
      <c r="N115" s="357">
        <f>SUM(K114:N114)</f>
        <v>81775</v>
      </c>
      <c r="O115" s="133"/>
      <c r="P115" s="133"/>
      <c r="Q115" s="133"/>
      <c r="R115" s="357">
        <f>SUM(O114:R114)</f>
        <v>84515</v>
      </c>
      <c r="S115" s="196"/>
      <c r="T115" s="196"/>
      <c r="U115" s="196"/>
      <c r="V115" s="357">
        <f>SUM(S114:V114)</f>
        <v>79426</v>
      </c>
      <c r="W115" s="196"/>
      <c r="X115" s="196"/>
      <c r="Y115" s="196"/>
      <c r="Z115" s="357">
        <f>SUM(W114:Z114)</f>
        <v>85688</v>
      </c>
      <c r="AA115" s="196"/>
      <c r="AB115" s="196"/>
      <c r="AC115" s="196"/>
      <c r="AD115" s="357">
        <f>SUM(AA114:AD114)</f>
        <v>82420</v>
      </c>
      <c r="AE115" s="196"/>
      <c r="AF115" s="196"/>
      <c r="AG115" s="196"/>
      <c r="AH115" s="357">
        <f>SUM(AE114:AH114)</f>
        <v>84026</v>
      </c>
      <c r="AI115" s="196"/>
      <c r="AJ115" s="196"/>
      <c r="AK115" s="133"/>
      <c r="AL115" s="357">
        <f>SUM(AI114:AL114)</f>
        <v>83915</v>
      </c>
      <c r="AM115" s="196"/>
      <c r="AN115" s="196"/>
      <c r="AO115" s="196"/>
      <c r="AP115" s="357">
        <f>SUM(AM114:AP114)</f>
        <v>82769</v>
      </c>
      <c r="AQ115" s="133"/>
      <c r="AR115" s="133"/>
      <c r="AS115" s="133"/>
      <c r="AT115" s="357">
        <f>SUM(AQ114:AT114)</f>
        <v>80318</v>
      </c>
      <c r="AU115" s="133">
        <f>'[128]07JUN2021_11h21m06s_m93urou_JCL'!$L$66</f>
        <v>23839</v>
      </c>
      <c r="AV115" s="133">
        <f>[129]etat33331_2T2021!$L$66</f>
        <v>22757</v>
      </c>
      <c r="AW115" s="133">
        <f>'[130]17NOV2021_15h56m25s_m93urou_JCL'!$L$66</f>
        <v>18987</v>
      </c>
      <c r="AX115" s="428">
        <f>'[131]14FEB2022_15h49m34s_m93urou_JCL'!$L$66</f>
        <v>17090</v>
      </c>
      <c r="AY115" s="373">
        <f>'[132]12JUL2022_10h35m34s_sabinni_JCL'!$L$66</f>
        <v>21888</v>
      </c>
      <c r="AZ115" s="373">
        <f>[133]JCL_RECAP_33331_2022_2T!$L$66</f>
        <v>12348</v>
      </c>
      <c r="BA115" s="373">
        <f>[134]JCLRECAP_Etat33331_3T2022!$L$66</f>
        <v>19504</v>
      </c>
      <c r="BB115" s="373">
        <f>[135]JCLRECAP_Etat33331_4T2022!$L$66</f>
        <v>16060</v>
      </c>
      <c r="BC115" s="373">
        <f>[136]JCLRECAP_Etat33331_1T2023!$L$66</f>
        <v>25123</v>
      </c>
      <c r="BD115" s="373">
        <f>[137]JCLRECAP_Etat33331_2T2023!$L$66</f>
        <v>20503</v>
      </c>
      <c r="BE115" s="373">
        <f>[138]JCLRECAP_Etat33331_3T2023!$L$66</f>
        <v>17679</v>
      </c>
      <c r="BF115" s="373">
        <f>[139]JCLRECAP_Etat33331_4T2023!$L$66</f>
        <v>16118</v>
      </c>
      <c r="BG115" s="373">
        <f>[140]JCLRECAP_33331_1T2024!$L$66</f>
        <v>5096</v>
      </c>
      <c r="BH115" s="373">
        <f>[141]JCLRECAP_Etat33331_2T2024!$L$65</f>
        <v>20258</v>
      </c>
      <c r="BI115" s="373">
        <f>[142]JCLRECAP_Etat33331_3T2024!$L$65</f>
        <v>17678</v>
      </c>
      <c r="BJ115" s="376">
        <f>[143]JCLRECAP_Etat33331_4T2024!$L$65</f>
        <v>16355</v>
      </c>
      <c r="BK115" s="376"/>
    </row>
    <row r="116" spans="1:63" ht="13" x14ac:dyDescent="0.3">
      <c r="A116" s="321" t="s">
        <v>104</v>
      </c>
      <c r="B116" s="134">
        <f t="shared" ref="B116:AU116" si="329">B114/B112</f>
        <v>2.0725326991676574</v>
      </c>
      <c r="C116" s="134">
        <f t="shared" si="329"/>
        <v>1.5930807248764416</v>
      </c>
      <c r="D116" s="134">
        <f t="shared" si="329"/>
        <v>2.460644007155635</v>
      </c>
      <c r="E116" s="134">
        <f t="shared" si="329"/>
        <v>2.2615366866635904</v>
      </c>
      <c r="F116" s="134">
        <f t="shared" si="329"/>
        <v>1.8583299959951942</v>
      </c>
      <c r="G116" s="134">
        <f t="shared" si="329"/>
        <v>1.7367898112184987</v>
      </c>
      <c r="H116" s="134">
        <f t="shared" si="329"/>
        <v>2.4536912751677851</v>
      </c>
      <c r="I116" s="134">
        <f t="shared" si="329"/>
        <v>2.7990210192916787</v>
      </c>
      <c r="J116" s="134">
        <f t="shared" si="329"/>
        <v>2.6200836820083682</v>
      </c>
      <c r="K116" s="134">
        <f t="shared" si="329"/>
        <v>1.8702899980272243</v>
      </c>
      <c r="L116" s="134">
        <f t="shared" si="329"/>
        <v>3.2780042164441321</v>
      </c>
      <c r="M116" s="134">
        <f t="shared" si="329"/>
        <v>3.9734650397055975</v>
      </c>
      <c r="N116" s="134">
        <f t="shared" si="329"/>
        <v>2.6370205669816564</v>
      </c>
      <c r="O116" s="134">
        <f t="shared" si="329"/>
        <v>2.0055747009933103</v>
      </c>
      <c r="P116" s="134">
        <f t="shared" si="329"/>
        <v>3.0378172588832486</v>
      </c>
      <c r="Q116" s="134">
        <f t="shared" si="329"/>
        <v>2.6298772334994531</v>
      </c>
      <c r="R116" s="134">
        <f t="shared" si="329"/>
        <v>2.2927938711994256</v>
      </c>
      <c r="S116" s="134">
        <f t="shared" si="329"/>
        <v>2.5180130333210378</v>
      </c>
      <c r="T116" s="134">
        <f t="shared" si="329"/>
        <v>2.7237626328064266</v>
      </c>
      <c r="U116" s="134">
        <f t="shared" si="329"/>
        <v>2.6555555555555554</v>
      </c>
      <c r="V116" s="134">
        <f t="shared" si="329"/>
        <v>2.0197998259355963</v>
      </c>
      <c r="W116" s="134">
        <f t="shared" si="329"/>
        <v>2.026202130722718</v>
      </c>
      <c r="X116" s="134">
        <f t="shared" si="329"/>
        <v>3.4389114882872773</v>
      </c>
      <c r="Y116" s="134">
        <f t="shared" si="329"/>
        <v>2.9356602186711522</v>
      </c>
      <c r="Z116" s="134">
        <f t="shared" si="329"/>
        <v>2.0170922135471621</v>
      </c>
      <c r="AA116" s="134">
        <f t="shared" si="329"/>
        <v>1.8814236265199253</v>
      </c>
      <c r="AB116" s="134">
        <f t="shared" si="329"/>
        <v>2.6312492750260992</v>
      </c>
      <c r="AC116" s="134">
        <f t="shared" si="329"/>
        <v>2.4859154929577465</v>
      </c>
      <c r="AD116" s="134">
        <f t="shared" si="329"/>
        <v>2.251191785845251</v>
      </c>
      <c r="AE116" s="134">
        <f t="shared" si="329"/>
        <v>2.1266877334099399</v>
      </c>
      <c r="AF116" s="134">
        <f t="shared" si="329"/>
        <v>3.0580110497237567</v>
      </c>
      <c r="AG116" s="134">
        <f t="shared" si="329"/>
        <v>2.2737912282775743</v>
      </c>
      <c r="AH116" s="134">
        <f t="shared" si="329"/>
        <v>1.8145530559426637</v>
      </c>
      <c r="AI116" s="134">
        <f t="shared" si="329"/>
        <v>1.8076638434339281</v>
      </c>
      <c r="AJ116" s="134">
        <f t="shared" si="329"/>
        <v>2.9499934546406599</v>
      </c>
      <c r="AK116" s="134">
        <f t="shared" si="329"/>
        <v>2.2984843456134527</v>
      </c>
      <c r="AL116" s="134">
        <f t="shared" si="329"/>
        <v>1.7519051651143098</v>
      </c>
      <c r="AM116" s="134">
        <f t="shared" si="329"/>
        <v>1.8740306737894192</v>
      </c>
      <c r="AN116" s="134">
        <f t="shared" si="329"/>
        <v>2.9034126684296688</v>
      </c>
      <c r="AO116" s="134">
        <f t="shared" si="329"/>
        <v>2.3202087286527515</v>
      </c>
      <c r="AP116" s="134">
        <f t="shared" si="329"/>
        <v>1.6945109596610795</v>
      </c>
      <c r="AQ116" s="134">
        <f t="shared" si="329"/>
        <v>1.766598705788494</v>
      </c>
      <c r="AR116" s="134">
        <f t="shared" si="329"/>
        <v>2.9114367219917012</v>
      </c>
      <c r="AS116" s="134">
        <f t="shared" si="329"/>
        <v>2.8725632819319173</v>
      </c>
      <c r="AT116" s="134">
        <f t="shared" si="329"/>
        <v>1.8777743367399609</v>
      </c>
      <c r="AU116" s="134">
        <f t="shared" si="329"/>
        <v>2.2417716757570059</v>
      </c>
      <c r="AV116" s="134">
        <f t="shared" ref="AV116" si="330">AV114/AV112</f>
        <v>3.1854703247480405</v>
      </c>
      <c r="AW116" s="134">
        <f>AW114/AW112</f>
        <v>2.5661575888633599</v>
      </c>
      <c r="AX116" s="429"/>
      <c r="AY116" s="134"/>
      <c r="AZ116" s="134"/>
      <c r="BA116" s="134"/>
      <c r="BB116" s="239"/>
      <c r="BC116" s="239"/>
      <c r="BD116" s="54"/>
      <c r="BE116" s="54"/>
      <c r="BF116" s="54"/>
      <c r="BG116" s="54"/>
      <c r="BH116" s="54"/>
      <c r="BI116" s="54"/>
      <c r="BJ116" s="54"/>
    </row>
    <row r="117" spans="1:63" x14ac:dyDescent="0.25">
      <c r="A117" s="322" t="s">
        <v>106</v>
      </c>
      <c r="B117" s="133">
        <f t="shared" ref="B117:I117" si="331">B112-B119</f>
        <v>7618</v>
      </c>
      <c r="C117" s="133">
        <f t="shared" si="331"/>
        <v>11080</v>
      </c>
      <c r="D117" s="133">
        <f t="shared" si="331"/>
        <v>7400</v>
      </c>
      <c r="E117" s="133">
        <f t="shared" si="331"/>
        <v>6978</v>
      </c>
      <c r="F117" s="133">
        <f t="shared" si="331"/>
        <v>8371</v>
      </c>
      <c r="G117" s="133">
        <f t="shared" si="331"/>
        <v>9389</v>
      </c>
      <c r="H117" s="133">
        <f t="shared" si="331"/>
        <v>7250</v>
      </c>
      <c r="I117" s="133">
        <f t="shared" si="331"/>
        <v>5295</v>
      </c>
      <c r="J117" s="133">
        <f>J112-1678</f>
        <v>5492</v>
      </c>
      <c r="K117" s="133">
        <f>K112-1643</f>
        <v>8495</v>
      </c>
      <c r="L117" s="133">
        <f>L112-1511</f>
        <v>5604</v>
      </c>
      <c r="M117" s="133">
        <f>M112-1699</f>
        <v>3464</v>
      </c>
      <c r="N117" s="133">
        <f>N112-1513</f>
        <v>5683</v>
      </c>
      <c r="O117" s="133">
        <f>O112-1454</f>
        <v>8412</v>
      </c>
      <c r="P117" s="133">
        <f>P112-1439</f>
        <v>6441</v>
      </c>
      <c r="Q117" s="133">
        <f>Q112-1639</f>
        <v>6588</v>
      </c>
      <c r="R117" s="196">
        <f>R112-1719</f>
        <v>6635</v>
      </c>
      <c r="S117" s="196">
        <f>S112-1584</f>
        <v>6549</v>
      </c>
      <c r="T117" s="196">
        <f>T112-T119-19</f>
        <v>6265</v>
      </c>
      <c r="U117" s="196">
        <f>U112-U119-12</f>
        <v>6005</v>
      </c>
      <c r="V117" s="196">
        <f>V112-V119-12</f>
        <v>7579</v>
      </c>
      <c r="W117" s="196">
        <f>W112-W119-12</f>
        <v>8846</v>
      </c>
      <c r="X117" s="196">
        <f t="shared" ref="X117:AI117" si="332">X112-X119</f>
        <v>5562</v>
      </c>
      <c r="Y117" s="196">
        <f t="shared" si="332"/>
        <v>5377</v>
      </c>
      <c r="Z117" s="196">
        <f t="shared" si="332"/>
        <v>7740</v>
      </c>
      <c r="AA117" s="196">
        <f t="shared" si="332"/>
        <v>9671</v>
      </c>
      <c r="AB117" s="196">
        <f t="shared" si="332"/>
        <v>7073</v>
      </c>
      <c r="AC117" s="196">
        <f t="shared" si="332"/>
        <v>6538</v>
      </c>
      <c r="AD117" s="196">
        <f t="shared" si="332"/>
        <v>6400</v>
      </c>
      <c r="AE117" s="196">
        <f t="shared" si="332"/>
        <v>8793</v>
      </c>
      <c r="AF117" s="196">
        <f t="shared" si="332"/>
        <v>6571</v>
      </c>
      <c r="AG117" s="196">
        <f t="shared" si="332"/>
        <v>7045</v>
      </c>
      <c r="AH117" s="196">
        <f t="shared" si="332"/>
        <v>8538</v>
      </c>
      <c r="AI117" s="196">
        <f t="shared" si="332"/>
        <v>10706</v>
      </c>
      <c r="AJ117" s="196">
        <f>4813+23+861+740+11+2</f>
        <v>6450</v>
      </c>
      <c r="AK117" s="133">
        <f>'[103]33331'!$D$87+'[103]33331'!$D$88+'[103]33331'!$D$90+'[103]33331'!$D$94+'[103]33331'!$D$97</f>
        <v>7418</v>
      </c>
      <c r="AL117" s="133">
        <f>'[104]33331'!$D$87+'[104]33331'!$D$88+'[104]33331'!$D$90+'[104]33331'!$D$94+'[104]33331'!$D$97</f>
        <v>8802</v>
      </c>
      <c r="AM117" s="196">
        <f>7850+28+1038+970+31+1</f>
        <v>9918</v>
      </c>
      <c r="AN117" s="341">
        <f>'[105]33331'!$D$87+'[105]33331'!$D$88+'[105]33331'!$D$90+'[105]33331'!$D$94+'[105]33331'!$D$97+'[105]33331'!$D$99</f>
        <v>6545</v>
      </c>
      <c r="AO117" s="341">
        <f>'[106]33331'!$D$87+'[106]33331'!$D$88+'[106]33331'!$D$90+'[106]33331'!$D$92+'[106]33331'!$D$94+'[106]33331'!$D$97</f>
        <v>6864</v>
      </c>
      <c r="AP117" s="133">
        <f>'[107]33331'!$D$87+'[107]33331'!$D$88+'[107]33331'!$D$90+'[107]33331'!$D$92+'[107]33331'!$D$94+'[107]33331'!$D$97</f>
        <v>9141</v>
      </c>
      <c r="AQ117" s="133">
        <f>'[108]33331'!$D$87+'[108]33331'!$D$88+'[108]33331'!$D$90+'[108]33331'!$D$92+'[108]33331'!$D$94+'[108]33331'!$D$97</f>
        <v>9755</v>
      </c>
      <c r="AR117" s="133">
        <f>'[109]33331'!$D$87+'[109]33331'!$D$88+'[109]33331'!$D$90+'[109]33331'!$D$92+'[109]33331'!$D$94+'[109]33331'!$D$97</f>
        <v>6233</v>
      </c>
      <c r="AS117" s="133">
        <f>'[110]33331'!$D$87+'[110]33331'!$D$88+'[110]33331'!$D$90+'[110]33331'!$D$92+'[110]33331'!$D$94+'[110]33331'!$D$97</f>
        <v>5586</v>
      </c>
      <c r="AT117" s="133">
        <f>'[111]33331'!$D$87+'[111]33331'!$D$88+'[111]33331'!$D$90+'[111]33331'!$D$92+'[111]33331'!$D$94+'[111]33331'!$D$97</f>
        <v>8041</v>
      </c>
      <c r="AU117" s="133">
        <f>'[112]33331'!$D$87+'[112]33331'!$D$88+'[112]33331'!$D$90+'[112]33331'!$D$92+'[112]33331'!$D$94+'[112]33331'!$D$97</f>
        <v>9061</v>
      </c>
      <c r="AV117" s="133">
        <f>'[113]33331'!$D$87+'[113]33331'!$D$88+'[113]33331'!$D$90+'[113]33331'!$D$92+'[113]33331'!$D$94+'[113]33331'!$D$97+'[113]33331'!$D$99</f>
        <v>5679</v>
      </c>
      <c r="AW117" s="133">
        <f>'[114]33331'!$D$87+'[114]33331'!$D$88+'[114]33331'!$D$90+'[114]33331'!$D$94+'[114]33331'!$D$97+'[114]33331'!$D$99</f>
        <v>5881</v>
      </c>
      <c r="AX117" s="428">
        <f>'[131]14FEB2022_15h49m34s_m93urou_JCL'!$K$53+'[131]14FEB2022_15h49m34s_m93urou_JCL'!$K$54+'[131]14FEB2022_15h49m34s_m93urou_JCL'!$K$56+'[131]14FEB2022_15h49m34s_m93urou_JCL'!$K$58+'[131]14FEB2022_15h49m34s_m93urou_JCL'!$K$60+'[131]14FEB2022_15h49m34s_m93urou_JCL'!$K$62+'[131]14FEB2022_15h49m34s_m93urou_JCL'!$K$64</f>
        <v>8232</v>
      </c>
      <c r="AY117" s="133">
        <f>'[132]12JUL2022_10h35m34s_sabinni_JCL'!$K$53+'[132]12JUL2022_10h35m34s_sabinni_JCL'!$K$54+'[132]12JUL2022_10h35m34s_sabinni_JCL'!$K$56+'[132]12JUL2022_10h35m34s_sabinni_JCL'!$K$58+'[132]12JUL2022_10h35m34s_sabinni_JCL'!$K$60+'[132]12JUL2022_10h35m34s_sabinni_JCL'!$K$62+'[132]12JUL2022_10h35m34s_sabinni_JCL'!$K$64</f>
        <v>9895</v>
      </c>
      <c r="AZ117" s="133">
        <f>[133]JCL_RECAP_33331_2022_2T!$K$53+[133]JCL_RECAP_33331_2022_2T!$K$54+[133]JCL_RECAP_33331_2022_2T!$K$56+[133]JCL_RECAP_33331_2022_2T!$K$58+[133]JCL_RECAP_33331_2022_2T!$K$60+[133]JCL_RECAP_33331_2022_2T!$K$62+[133]JCL_RECAP_33331_2022_2T!$K$64</f>
        <v>6295</v>
      </c>
      <c r="BA117" s="133">
        <f>[134]JCLRECAP_Etat33331_3T2022!$K$53+[134]JCLRECAP_Etat33331_3T2022!$K$54+[134]JCLRECAP_Etat33331_3T2022!$K$56+[134]JCLRECAP_Etat33331_3T2022!$K$58+[134]JCLRECAP_Etat33331_3T2022!$K$60+[134]JCLRECAP_Etat33331_3T2022!$K$62+[134]JCLRECAP_Etat33331_3T2022!$K$64</f>
        <v>6130</v>
      </c>
      <c r="BB117" s="54">
        <f>[135]JCLRECAP_Etat33331_4T2022!$K$53+[135]JCLRECAP_Etat33331_4T2022!$K$54+[135]JCLRECAP_Etat33331_4T2022!$K$56+[135]JCLRECAP_Etat33331_4T2022!$K$58+[135]JCLRECAP_Etat33331_4T2022!$K$60+[135]JCLRECAP_Etat33331_4T2022!$K$62+[135]JCLRECAP_Etat33331_4T2022!$K$64</f>
        <v>8488</v>
      </c>
      <c r="BC117" s="54">
        <f>[136]JCLRECAP_Etat33331_1T2023!$K$53+[136]JCLRECAP_Etat33331_1T2023!$K$54+[136]JCLRECAP_Etat33331_1T2023!$K$56+[136]JCLRECAP_Etat33331_1T2023!$K$58+[136]JCLRECAP_Etat33331_1T2023!$K$60+[136]JCLRECAP_Etat33331_1T2023!$K$62+[136]JCLRECAP_Etat33331_1T2023!$K$64</f>
        <v>9991</v>
      </c>
      <c r="BD117" s="54">
        <f>[137]JCLRECAP_Etat33331_2T2023!$K$53+[137]JCLRECAP_Etat33331_2T2023!$K$54+[137]JCLRECAP_Etat33331_2T2023!$K$56+[137]JCLRECAP_Etat33331_2T2023!$K$58+[137]JCLRECAP_Etat33331_2T2023!$K$60+[137]JCLRECAP_Etat33331_2T2023!$K$62+[137]JCLRECAP_Etat33331_2T2023!$K$64</f>
        <v>6937</v>
      </c>
      <c r="BE117" s="54">
        <f>[138]JCLRECAP_Etat33331_3T2023!$K$53+[138]JCLRECAP_Etat33331_3T2023!$K$54+[138]JCLRECAP_Etat33331_3T2023!$K$56+[138]JCLRECAP_Etat33331_3T2023!$K$58+[138]JCLRECAP_Etat33331_3T2023!$K$60+[138]JCLRECAP_Etat33331_3T2023!$K$62+[138]JCLRECAP_Etat33331_3T2023!$K$64</f>
        <v>7009</v>
      </c>
      <c r="BF117" s="54">
        <f>[139]JCLRECAP_Etat33331_4T2023!$K$53+[139]JCLRECAP_Etat33331_4T2023!$K$54+[139]JCLRECAP_Etat33331_4T2023!$K$56+[139]JCLRECAP_Etat33331_4T2023!$K$58+[139]JCLRECAP_Etat33331_4T2023!$K$60+[139]JCLRECAP_Etat33331_4T2023!$K$62+[139]JCLRECAP_Etat33331_4T2023!$K$64</f>
        <v>6861</v>
      </c>
      <c r="BG117" s="54">
        <f>[145]JCLRECAP_Etat33331_1T2024!$K$53+[145]JCLRECAP_Etat33331_1T2024!$K$54+[145]JCLRECAP_Etat33331_1T2024!$K$56+[145]JCLRECAP_Etat33331_1T2024!$K$58+[145]JCLRECAP_Etat33331_1T2024!$K$60+[145]JCLRECAP_Etat33331_1T2024!$K$62+[145]JCLRECAP_Etat33331_1T2024!$K$64</f>
        <v>9063</v>
      </c>
      <c r="BH117" s="54">
        <f>[141]JCLRECAP_Etat33331_2T2024!$K$53+[141]JCLRECAP_Etat33331_2T2024!$K$54+[141]JCLRECAP_Etat33331_2T2024!$K$56+[141]JCLRECAP_Etat33331_2T2024!$K$58+[141]JCLRECAP_Etat33331_2T2024!$K$60+[141]JCLRECAP_Etat33331_2T2024!$K$62+[141]JCLRECAP_Etat33331_2T2024!$K$64</f>
        <v>5964</v>
      </c>
      <c r="BI117" s="54">
        <f>[142]JCLRECAP_Etat33331_3T2024!$K$53+[142]JCLRECAP_Etat33331_3T2024!$K$54+[142]JCLRECAP_Etat33331_3T2024!$K$56+[142]JCLRECAP_Etat33331_3T2024!$K$58+[142]JCLRECAP_Etat33331_3T2024!$K$60+[142]JCLRECAP_Etat33331_3T2024!$K$62+[142]JCLRECAP_Etat33331_3T2024!$K$64</f>
        <v>5622</v>
      </c>
      <c r="BJ117" s="54">
        <f>[143]JCLRECAP_Etat33331_4T2024!$K$53+[143]JCLRECAP_Etat33331_4T2024!$K$54+[143]JCLRECAP_Etat33331_4T2024!$K$56+[143]JCLRECAP_Etat33331_4T2024!$K$58+[143]JCLRECAP_Etat33331_4T2024!$K$60+[143]JCLRECAP_Etat33331_4T2024!$K$62+[143]JCLRECAP_Etat33331_4T2024!$K$64</f>
        <v>7548</v>
      </c>
    </row>
    <row r="118" spans="1:63" x14ac:dyDescent="0.25">
      <c r="A118" s="322"/>
      <c r="B118" s="133"/>
      <c r="C118" s="133"/>
      <c r="D118" s="133"/>
      <c r="E118" s="133"/>
      <c r="F118" s="133"/>
      <c r="G118" s="133"/>
      <c r="H118" s="133"/>
      <c r="I118" s="133"/>
      <c r="J118" s="133"/>
      <c r="K118" s="133"/>
      <c r="L118" s="133"/>
      <c r="M118" s="133"/>
      <c r="N118" s="133"/>
      <c r="O118" s="133"/>
      <c r="P118" s="133"/>
      <c r="Q118" s="133"/>
      <c r="R118" s="196"/>
      <c r="S118" s="196"/>
      <c r="T118" s="196"/>
      <c r="U118" s="196"/>
      <c r="V118" s="196"/>
      <c r="W118" s="196"/>
      <c r="X118" s="196"/>
      <c r="Y118" s="196"/>
      <c r="Z118" s="196"/>
      <c r="AA118" s="196"/>
      <c r="AB118" s="196"/>
      <c r="AC118" s="196"/>
      <c r="AD118" s="196"/>
      <c r="AE118" s="196"/>
      <c r="AF118" s="196"/>
      <c r="AG118" s="196"/>
      <c r="AH118" s="196"/>
      <c r="AI118" s="196"/>
      <c r="AJ118" s="196"/>
      <c r="AK118" s="133"/>
      <c r="AL118" s="133"/>
      <c r="AM118" s="196"/>
      <c r="AN118" s="341"/>
      <c r="AO118" s="341"/>
      <c r="AP118" s="133"/>
      <c r="AQ118" s="133"/>
      <c r="AR118" s="133"/>
      <c r="AS118" s="133"/>
      <c r="AT118" s="133"/>
      <c r="AU118" s="133">
        <f>'[128]07JUN2021_11h21m06s_m93urou_JCL'!$K$55+'[128]07JUN2021_11h21m06s_m93urou_JCL'!$K$56+'[128]07JUN2021_11h21m06s_m93urou_JCL'!$K$60+'[128]07JUN2021_11h21m06s_m93urou_JCL'!$K$62</f>
        <v>9061</v>
      </c>
      <c r="AV118" s="133">
        <f>[129]etat33331_2T2021!$K$53+[129]etat33331_2T2021!$K$54+[129]etat33331_2T2021!$K$56+[129]etat33331_2T2021!$K$58+[129]etat33331_2T2021!$K$60+[129]etat33331_2T2021!$K$62+[129]etat33331_2T2021!$K$64</f>
        <v>5679</v>
      </c>
      <c r="AW118" s="133">
        <f>'[130]17NOV2021_15h56m25s_m93urou_JCL'!$K$56+'[130]17NOV2021_15h56m25s_m93urou_JCL'!$K$60+'[130]17NOV2021_15h56m25s_m93urou_JCL'!$K$62+'[130]17NOV2021_15h56m25s_m93urou_JCL'!$K$53+'[130]17NOV2021_15h56m25s_m93urou_JCL'!$K$54+'[130]17NOV2021_15h56m25s_m93urou_JCL'!$K$64</f>
        <v>5881</v>
      </c>
      <c r="AX118" s="428">
        <f>'[115]33331'!$D$87+'[115]33331'!$D$88+'[115]33331'!$D$90+'[115]33331'!$D$92+'[115]33331'!$D$94+'[115]33331'!$D$97+'[115]33331'!$D$99</f>
        <v>8232</v>
      </c>
      <c r="AY118" s="133">
        <f>'[116]33331'!$D$87+'[116]33331'!$D$88+'[116]33331'!$D$90+'[116]33331'!$D$92+'[116]33331'!$D$94+'[116]33331'!$D$97+'[116]33331'!$D$99</f>
        <v>9895</v>
      </c>
      <c r="AZ118" s="133">
        <f>'[117]33331'!$D$87+'[117]33331'!$D$88+'[117]33331'!$D$90+'[117]33331'!$D$92+'[117]33331'!$D$94+'[117]33331'!$D$97+'[117]33331'!$D$99</f>
        <v>6295</v>
      </c>
      <c r="BA118" s="133">
        <f>'[118]33331'!$D$87+'[118]33331'!$D$88+'[118]33331'!$D$90+'[118]33331'!$D$92+'[118]33331'!$D$94+'[118]33331'!$D$97+'[118]33331'!$D$99</f>
        <v>6130</v>
      </c>
      <c r="BB118" s="54">
        <f>'[119]33331'!$D$87+'[119]33331'!$D$88+'[119]33331'!$D$90+'[119]33331'!$D$92+'[119]33331'!$D$94+'[119]33331'!$D$97+'[119]33331'!$D$99</f>
        <v>8488</v>
      </c>
      <c r="BC118" s="54">
        <f>'[120]33331'!$D$87+'[120]33331'!$D$88+'[120]33331'!$D$90+'[120]33331'!$D$92+'[120]33331'!$D$94+'[120]33331'!$D$97+'[120]33331'!$D$99</f>
        <v>9991</v>
      </c>
      <c r="BD118" s="54">
        <f>'[121]33331'!$D$87+'[121]33331'!$D$88+'[121]33331'!$D$90+'[121]33331'!$D$92+'[121]33331'!$D$94+'[121]33331'!$D$97+'[121]33331'!$D$99</f>
        <v>6937</v>
      </c>
      <c r="BE118" s="54">
        <f>'[122]33331'!$D$87+'[122]33331'!$D$88+'[122]33331'!$D$90+'[122]33331'!$D$92+'[122]33331'!$D$94+'[122]33331'!$D$97+'[122]33331'!$D$99</f>
        <v>7009</v>
      </c>
      <c r="BF118" s="54">
        <f>'[146]33331'!$D$87+'[146]33331'!$D$88+'[146]33331'!$D$90+'[146]33331'!$D$92+'[146]33331'!$D$94+'[146]33331'!$D$97+'[146]33331'!$D$99</f>
        <v>6861</v>
      </c>
      <c r="BG118" s="54">
        <f>'[147]33331'!$D$87+'[147]33331'!$D$88+'[147]33331'!$D$90+'[147]33331'!$D$92+'[147]33331'!$D$94+'[147]33331'!$D$97+'[147]33331'!$D$99</f>
        <v>9063</v>
      </c>
      <c r="BH118" s="54">
        <f>'[148]33331'!$D$87+'[148]33331'!$D$88+'[148]33331'!$D$90+'[148]33331'!$D$92+'[148]33331'!$D$94+'[148]33331'!$D$97+'[148]33331'!$D$99</f>
        <v>5964</v>
      </c>
      <c r="BI118" s="54">
        <f>'[149]33331'!$D$87+'[149]33331'!$D$88+'[149]33331'!$D$90+'[149]33331'!$D$92+'[149]33331'!$D$94+'[149]33331'!$D$97+'[149]33331'!$D$99</f>
        <v>5622</v>
      </c>
      <c r="BJ118" s="54">
        <f>'[150]33331'!$D$87+'[150]33331'!$D$88+'[150]33331'!$D$90+'[150]33331'!$D$92+'[150]33331'!$D$94+'[150]33331'!$D$97+'[150]33331'!$D$99</f>
        <v>7548</v>
      </c>
    </row>
    <row r="119" spans="1:63" x14ac:dyDescent="0.25">
      <c r="A119" s="309" t="s">
        <v>107</v>
      </c>
      <c r="B119" s="133">
        <f>'[95]33331'!$D$96</f>
        <v>1633</v>
      </c>
      <c r="C119" s="133">
        <f>'[96]33331'!$D$96</f>
        <v>1667</v>
      </c>
      <c r="D119" s="133">
        <f>'[97]33331'!$D$96</f>
        <v>1544</v>
      </c>
      <c r="E119" s="133">
        <f>'[98]33331'!$D$96</f>
        <v>1690</v>
      </c>
      <c r="F119" s="133">
        <f>'[99]33331'!$D$96</f>
        <v>1617</v>
      </c>
      <c r="G119" s="133">
        <f>'[100]33331'!$D$96</f>
        <v>1682</v>
      </c>
      <c r="H119" s="133">
        <f>'[101]33331'!$D$96</f>
        <v>1690</v>
      </c>
      <c r="I119" s="133">
        <f>'[102]33331'!$D$96</f>
        <v>1651</v>
      </c>
      <c r="J119" s="133">
        <v>1710</v>
      </c>
      <c r="K119" s="133">
        <v>1668</v>
      </c>
      <c r="L119" s="133">
        <v>1535</v>
      </c>
      <c r="M119" s="133">
        <v>1720</v>
      </c>
      <c r="N119" s="133">
        <v>1532</v>
      </c>
      <c r="O119" s="133">
        <v>1473</v>
      </c>
      <c r="P119" s="133">
        <v>1455</v>
      </c>
      <c r="Q119" s="133">
        <v>1659</v>
      </c>
      <c r="R119" s="196">
        <v>1736</v>
      </c>
      <c r="S119" s="196">
        <v>1599</v>
      </c>
      <c r="T119" s="196">
        <v>1434</v>
      </c>
      <c r="U119" s="196">
        <v>1273</v>
      </c>
      <c r="V119" s="196">
        <v>1601</v>
      </c>
      <c r="W119" s="196">
        <v>1561</v>
      </c>
      <c r="X119" s="196">
        <v>1567</v>
      </c>
      <c r="Y119" s="196">
        <v>1757</v>
      </c>
      <c r="Z119" s="196">
        <v>1738</v>
      </c>
      <c r="AA119" s="196">
        <v>1596</v>
      </c>
      <c r="AB119" s="196">
        <v>1548</v>
      </c>
      <c r="AC119" s="196">
        <v>1556</v>
      </c>
      <c r="AD119" s="196">
        <v>1781</v>
      </c>
      <c r="AE119" s="196">
        <v>1650</v>
      </c>
      <c r="AF119" s="196">
        <v>1393</v>
      </c>
      <c r="AG119" s="196">
        <v>1414</v>
      </c>
      <c r="AH119" s="196">
        <v>1508</v>
      </c>
      <c r="AI119" s="196">
        <f>'[151]33331'!$D$98</f>
        <v>1455</v>
      </c>
      <c r="AJ119" s="196">
        <f>1189</f>
        <v>1189</v>
      </c>
      <c r="AK119" s="133">
        <f>'[103]33331'!$D$91+'[103]33331'!$D$96</f>
        <v>1621</v>
      </c>
      <c r="AL119" s="133">
        <f>'[104]33331'!$D$91+'[104]33331'!$D$96</f>
        <v>1826</v>
      </c>
      <c r="AM119" s="196">
        <f>1688</f>
        <v>1688</v>
      </c>
      <c r="AN119" s="196">
        <f>'[105]33331'!$D$96</f>
        <v>1396</v>
      </c>
      <c r="AO119" s="196">
        <f>'[106]33331'!$D$91+'[106]33331'!$D$96</f>
        <v>1564</v>
      </c>
      <c r="AP119" s="133">
        <f>'[107]33331'!$D$91+'[107]33331'!$D$96</f>
        <v>1713</v>
      </c>
      <c r="AQ119" s="133">
        <f>'[108]33331'!$D$91+'[108]33331'!$D$96</f>
        <v>1524</v>
      </c>
      <c r="AR119" s="133">
        <f>'[109]33331'!$D$91+'[109]33331'!$D$96</f>
        <v>1478</v>
      </c>
      <c r="AS119" s="133">
        <f>'[110]33331'!$D$91+'[110]33331'!$D$96</f>
        <v>1285</v>
      </c>
      <c r="AT119" s="133">
        <f>'[111]33331'!$D$91+'[111]33331'!$D$96</f>
        <v>1644</v>
      </c>
      <c r="AU119" s="133">
        <f>'[112]33331'!$D$91+'[112]33331'!$D$96</f>
        <v>1573</v>
      </c>
      <c r="AV119" s="133">
        <f>'[113]33331'!$D$91+'[113]33331'!$D$96</f>
        <v>1465</v>
      </c>
      <c r="AW119" s="133">
        <f>'[114]33331'!$D$96</f>
        <v>1518</v>
      </c>
      <c r="AX119" s="428">
        <f>'[115]33331'!$D$96</f>
        <v>1536</v>
      </c>
      <c r="AY119" s="133">
        <f>'[116]33331'!$D$96</f>
        <v>1508</v>
      </c>
      <c r="AZ119" s="133">
        <f>'[117]33331'!$D$96</f>
        <v>1325</v>
      </c>
      <c r="BA119" s="133">
        <f>'[118]33331'!$D$96</f>
        <v>1294</v>
      </c>
      <c r="BB119" s="54">
        <f>'[119]33331'!$D$96</f>
        <v>1500</v>
      </c>
      <c r="BC119" s="54">
        <f>'[120]33331'!$D$96</f>
        <v>1606</v>
      </c>
      <c r="BD119" s="54">
        <f>'[121]33331'!$D$96</f>
        <v>1523</v>
      </c>
      <c r="BE119" s="54">
        <f>'[152]33331'!$D$96</f>
        <v>1529</v>
      </c>
      <c r="BF119" s="54">
        <f>'[146]33331'!$D$96</f>
        <v>1829</v>
      </c>
      <c r="BG119" s="54">
        <f>'[147]33331'!$D$96</f>
        <v>1414</v>
      </c>
      <c r="BH119" s="54">
        <f>'[148]33331'!$D$96</f>
        <v>1221</v>
      </c>
      <c r="BI119" s="54">
        <f>'[149]33331'!$D$96</f>
        <v>1223</v>
      </c>
      <c r="BJ119" s="54">
        <f>'[150]33331'!$D$96</f>
        <v>1491</v>
      </c>
    </row>
    <row r="120" spans="1:63" x14ac:dyDescent="0.25">
      <c r="B120" s="133"/>
      <c r="C120" s="133"/>
      <c r="D120" s="133"/>
      <c r="E120" s="133"/>
      <c r="F120" s="133"/>
      <c r="G120" s="133"/>
      <c r="H120" s="133"/>
      <c r="I120" s="133"/>
      <c r="J120" s="133"/>
      <c r="K120" s="133"/>
      <c r="L120" s="133"/>
      <c r="M120" s="133"/>
      <c r="N120" s="133"/>
      <c r="O120" s="133"/>
      <c r="P120" s="133"/>
      <c r="Q120" s="133"/>
      <c r="R120" s="196"/>
      <c r="S120" s="196"/>
      <c r="T120" s="196"/>
      <c r="U120" s="196"/>
      <c r="V120" s="196"/>
      <c r="W120" s="196"/>
      <c r="X120" s="196"/>
      <c r="Y120" s="196"/>
      <c r="Z120" s="196"/>
      <c r="AA120" s="196"/>
      <c r="AB120" s="196"/>
      <c r="AC120" s="196"/>
      <c r="AD120" s="196"/>
      <c r="AE120" s="196"/>
      <c r="AF120" s="196"/>
      <c r="AG120" s="196"/>
      <c r="AH120" s="196"/>
      <c r="AI120" s="196"/>
      <c r="AJ120" s="196"/>
      <c r="AK120" s="133"/>
      <c r="AL120" s="133"/>
      <c r="AM120" s="196"/>
      <c r="AN120" s="196"/>
      <c r="AO120" s="196"/>
      <c r="AP120" s="133"/>
      <c r="AQ120" s="133"/>
      <c r="AR120" s="133"/>
      <c r="AS120" s="133"/>
      <c r="AT120" s="133"/>
      <c r="AU120" s="133">
        <f>'[128]07JUN2021_11h21m06s_m93urou_JCL'!$K$61</f>
        <v>1573</v>
      </c>
      <c r="AV120" s="4">
        <f>[129]etat33331_2T2021!$K$61</f>
        <v>1465</v>
      </c>
      <c r="AW120" s="4">
        <f>'[130]17NOV2021_15h56m25s_m93urou_JCL'!$K$61</f>
        <v>1518</v>
      </c>
      <c r="AX120" s="407">
        <f>'[131]14FEB2022_15h49m34s_m93urou_JCL'!$K$61</f>
        <v>1536</v>
      </c>
      <c r="AY120" s="4">
        <f>'[132]12JUL2022_10h35m34s_sabinni_JCL'!$K$61</f>
        <v>1508</v>
      </c>
      <c r="AZ120" s="4">
        <f>[133]JCL_RECAP_33331_2022_2T!$K$61</f>
        <v>1325</v>
      </c>
      <c r="BA120" s="4">
        <f>[134]JCLRECAP_Etat33331_3T2022!$K$61</f>
        <v>1294</v>
      </c>
      <c r="BB120" s="54">
        <f>[135]JCLRECAP_Etat33331_4T2022!$K$61</f>
        <v>1500</v>
      </c>
      <c r="BC120" s="54">
        <f>[136]JCLRECAP_Etat33331_1T2023!$K$61</f>
        <v>1606</v>
      </c>
      <c r="BD120" s="54">
        <f>[137]JCLRECAP_Etat33331_2T2023!$K$61</f>
        <v>1523</v>
      </c>
      <c r="BE120" s="54">
        <f>[138]JCLRECAP_Etat33331_3T2023!$K$61</f>
        <v>1529</v>
      </c>
      <c r="BF120" s="54">
        <f>[139]JCLRECAP_Etat33331_4T2023!$K$61</f>
        <v>1829</v>
      </c>
      <c r="BG120" s="54">
        <f>[145]JCLRECAP_Etat33331_1T2024!$K$61</f>
        <v>1414</v>
      </c>
      <c r="BH120" s="54">
        <f>[141]JCLRECAP_Etat33331_2T2024!$K$61</f>
        <v>1221</v>
      </c>
      <c r="BI120" s="54">
        <f>[142]JCLRECAP_Etat33331_3T2024!$K$61</f>
        <v>1223</v>
      </c>
      <c r="BJ120" s="54">
        <f>[143]JCLRECAP_Etat33331_4T2024!$K$61</f>
        <v>1491</v>
      </c>
    </row>
    <row r="121" spans="1:63" x14ac:dyDescent="0.25">
      <c r="A121" s="309" t="s">
        <v>100</v>
      </c>
      <c r="B121" s="133">
        <f t="shared" ref="B121:AI121" si="333">B114-B123</f>
        <v>17794</v>
      </c>
      <c r="C121" s="133">
        <f t="shared" si="333"/>
        <v>18896</v>
      </c>
      <c r="D121" s="133">
        <f t="shared" si="333"/>
        <v>20408</v>
      </c>
      <c r="E121" s="133">
        <f t="shared" si="333"/>
        <v>18163</v>
      </c>
      <c r="F121" s="133">
        <f t="shared" si="333"/>
        <v>17252</v>
      </c>
      <c r="G121" s="133">
        <f t="shared" si="333"/>
        <v>17787</v>
      </c>
      <c r="H121" s="133">
        <f t="shared" si="333"/>
        <v>20350</v>
      </c>
      <c r="I121" s="133">
        <f t="shared" si="333"/>
        <v>18052</v>
      </c>
      <c r="J121" s="133">
        <f t="shared" si="333"/>
        <v>17459</v>
      </c>
      <c r="K121" s="133">
        <f t="shared" si="333"/>
        <v>17529</v>
      </c>
      <c r="L121" s="133">
        <f t="shared" si="333"/>
        <v>21655</v>
      </c>
      <c r="M121" s="133">
        <f t="shared" si="333"/>
        <v>19055</v>
      </c>
      <c r="N121" s="133">
        <f t="shared" si="333"/>
        <v>17569</v>
      </c>
      <c r="O121" s="133">
        <f t="shared" si="333"/>
        <v>18275</v>
      </c>
      <c r="P121" s="133">
        <f t="shared" si="333"/>
        <v>22197</v>
      </c>
      <c r="Q121" s="133">
        <f t="shared" si="333"/>
        <v>19978</v>
      </c>
      <c r="R121" s="196">
        <f t="shared" si="333"/>
        <v>17722</v>
      </c>
      <c r="S121" s="196">
        <f t="shared" si="333"/>
        <v>18902</v>
      </c>
      <c r="T121" s="196">
        <f t="shared" si="333"/>
        <v>19433</v>
      </c>
      <c r="U121" s="196">
        <f t="shared" si="333"/>
        <v>17925</v>
      </c>
      <c r="V121" s="196">
        <f t="shared" si="333"/>
        <v>17225</v>
      </c>
      <c r="W121" s="196">
        <f t="shared" si="333"/>
        <v>19536</v>
      </c>
      <c r="X121" s="196">
        <f t="shared" si="333"/>
        <v>22668</v>
      </c>
      <c r="Y121" s="196">
        <f t="shared" si="333"/>
        <v>19419</v>
      </c>
      <c r="Z121" s="196">
        <f t="shared" si="333"/>
        <v>17707</v>
      </c>
      <c r="AA121" s="196">
        <f t="shared" si="333"/>
        <v>19655</v>
      </c>
      <c r="AB121" s="196">
        <f t="shared" si="333"/>
        <v>21059</v>
      </c>
      <c r="AC121" s="196">
        <f t="shared" si="333"/>
        <v>18625</v>
      </c>
      <c r="AD121" s="196">
        <f t="shared" si="333"/>
        <v>17007</v>
      </c>
      <c r="AE121" s="196">
        <f t="shared" si="333"/>
        <v>20428</v>
      </c>
      <c r="AF121" s="196">
        <f t="shared" si="333"/>
        <v>22472</v>
      </c>
      <c r="AG121" s="196">
        <f t="shared" si="333"/>
        <v>17731</v>
      </c>
      <c r="AH121" s="196">
        <f t="shared" si="333"/>
        <v>16737</v>
      </c>
      <c r="AI121" s="196">
        <f t="shared" si="333"/>
        <v>20227</v>
      </c>
      <c r="AJ121" s="196">
        <f>7466+110+1301+7+3706+8154</f>
        <v>20744</v>
      </c>
      <c r="AK121" s="133">
        <f>'[103]33331'!$E$87+'[103]33331'!$E$88+'[103]33331'!$E$90+'[103]33331'!$E$92+'[103]33331'!$E$94+'[103]33331'!$E$97</f>
        <v>19103</v>
      </c>
      <c r="AL121" s="133">
        <f>'[104]33331'!$E$87+'[104]33331'!$E$88+'[104]33331'!$E$90+'[104]33331'!$E$92+'[104]33331'!$E$94+'[104]33331'!$E$97</f>
        <v>17091</v>
      </c>
      <c r="AM121" s="196">
        <f>7479+100+1232+4+3527+7717+16</f>
        <v>20075</v>
      </c>
      <c r="AN121" s="196">
        <v>19632</v>
      </c>
      <c r="AO121" s="196">
        <f>'[106]33331'!$E$87+'[106]33331'!$E$88+'[106]33331'!$E$90+'[106]33331'!$E$92+'[106]33331'!$E$94+'[106]33331'!$E$97</f>
        <v>17936</v>
      </c>
      <c r="AP121" s="133">
        <f>'[107]33331'!$E$87+'[107]33331'!$E$88+'[107]33331'!$E$90+'[107]33331'!$E$92+'[107]33331'!$E$94+'[107]33331'!$E$97+1</f>
        <v>16834</v>
      </c>
      <c r="AQ121" s="133">
        <f>'[108]33331'!$E$87+'[108]33331'!$E$88+'[108]33331'!$E$90+'[108]33331'!$E$92+'[108]33331'!$E$94+'[108]33331'!$E$97+1</f>
        <v>18238</v>
      </c>
      <c r="AR121" s="133">
        <f>'[109]33331'!$E$87+'[109]33331'!$E$88+'[109]33331'!$E$90+'[109]33331'!$E$92+'[109]33331'!$E$94+'[109]33331'!$E$97+1</f>
        <v>20573</v>
      </c>
      <c r="AS121" s="133">
        <f>'[110]33331'!$E$87+'[110]33331'!$E$88+'[110]33331'!$E$90+'[110]33331'!$E$92+'[110]33331'!$E$94+'[110]33331'!$E$97+1</f>
        <v>17989</v>
      </c>
      <c r="AT121" s="133">
        <f>'[111]33331'!$E$87+'[111]33331'!$E$88+'[111]33331'!$E$90+'[111]33331'!$E$92+'[111]33331'!$E$94+'[111]33331'!$E$97+'[111]33331'!$E$99</f>
        <v>16655</v>
      </c>
      <c r="AU121" s="54">
        <f>'[112]33331'!$E$87+'[112]33331'!$E$88+'[112]33331'!$E$90+'[112]33331'!$E$92+'[112]33331'!$E$94+'[112]33331'!$E$97+'[112]33331'!$E$99</f>
        <v>21679</v>
      </c>
      <c r="AV121" s="133">
        <f>'[113]33331'!$E$87+'[113]33331'!$E$88+'[113]33331'!$E$90+'[113]33331'!$E$92+'[113]33331'!$E$94+'[113]33331'!$E$97+'[113]33331'!$E$99</f>
        <v>20868</v>
      </c>
      <c r="AW121" s="133">
        <f>'[114]33331'!$E$87+'[114]33331'!$E$88+'[114]33331'!$E$90+'[114]33331'!$E$92+'[114]33331'!$E$94+'[114]33331'!$E$97+'[114]33331'!$E$99</f>
        <v>17339</v>
      </c>
      <c r="AX121" s="428">
        <f>'[115]33331'!$E$87+'[115]33331'!$E$88+'[115]33331'!$E$90+'[115]33331'!$E$92+'[115]33331'!$E$94+'[115]33331'!$E$97+'[115]33331'!$E$99</f>
        <v>15474</v>
      </c>
      <c r="AY121" s="54">
        <f>'[116]33331'!$E$87+'[116]33331'!$E$88+'[116]33331'!$E$90+'[116]33331'!$E$92+'[116]33331'!$E$94+'[116]33331'!$E$97+'[116]33331'!$E$99</f>
        <v>19993</v>
      </c>
      <c r="AZ121" s="460">
        <v>21478</v>
      </c>
      <c r="BA121" s="133">
        <f>'[118]33331'!$E$87+'[118]33331'!$E$88+'[118]33331'!$E$90+'[118]33331'!$E$92+'[118]33331'!$E$94+'[118]33331'!$E$97+'[118]33331'!$E$99</f>
        <v>17863</v>
      </c>
      <c r="BB121" s="54">
        <f>'[119]33331'!$E$87+'[119]33331'!$E$88+'[119]33331'!$E$90+'[119]33331'!$E$92+'[119]33331'!$E$94+'[119]33331'!$E$97+'[119]33331'!$E$99</f>
        <v>14584</v>
      </c>
      <c r="BC121" s="54">
        <f>'[120]33331'!$E$87+'[120]33331'!$E$88+'[120]33331'!$E$90+'[120]33331'!$E$92+'[120]33331'!$E$94+'[120]33331'!$E$97+'[120]33331'!$E$99</f>
        <v>22886</v>
      </c>
      <c r="BD121" s="54">
        <f>'[121]33331'!$E$87+'[121]33331'!$E$88+'[121]33331'!$E$90+'[121]33331'!$E$92+'[121]33331'!$E$94+'[121]33331'!$E$97+'[121]33331'!$E$99</f>
        <v>18623</v>
      </c>
      <c r="BE121" s="54">
        <f>'[122]33331'!$E$87+'[122]33331'!$E$88+'[122]33331'!$E$90+'[122]33331'!$E$92+'[122]33331'!$E$94+'[122]33331'!$E$97+'[122]33331'!$E$99</f>
        <v>16112</v>
      </c>
      <c r="BF121" s="54">
        <f>'[146]33331'!$E$87+'[146]33331'!$E$88+'[146]33331'!$E$90+'[146]33331'!$E$92+'[146]33331'!$E$94+'[146]33331'!$E$97+'[146]33331'!$E$99</f>
        <v>14611</v>
      </c>
      <c r="BG121" s="460">
        <f>[144]NSA_04!$C$17+[144]NSA_04!$C$21</f>
        <v>17543</v>
      </c>
      <c r="BH121" s="54">
        <f>'[148]33331'!$E$87+'[148]33331'!$E$88+'[148]33331'!$E$90+'[148]33331'!$E$92+'[148]33331'!$E$94+'[148]33331'!$E$97+'[148]33331'!$E$99</f>
        <v>18412</v>
      </c>
      <c r="BI121" s="54">
        <f>'[149]33331'!$E$87+'[149]33331'!$E$88+'[149]33331'!$E$90+'[149]33331'!$E$92+'[149]33331'!$E$94+'[149]33331'!$E$97+'[149]33331'!$E$99</f>
        <v>16033</v>
      </c>
      <c r="BJ121" s="54">
        <f>'[150]33331'!$E$87+'[150]33331'!$E$88+'[150]33331'!$E$90+'[150]33331'!$E$92+'[150]33331'!$E$94+'[150]33331'!$E$97+'[150]33331'!$E$99</f>
        <v>14728</v>
      </c>
    </row>
    <row r="122" spans="1:63" x14ac:dyDescent="0.25">
      <c r="B122" s="133"/>
      <c r="C122" s="133"/>
      <c r="D122" s="133"/>
      <c r="E122" s="133"/>
      <c r="F122" s="133"/>
      <c r="G122" s="133"/>
      <c r="H122" s="133"/>
      <c r="I122" s="133"/>
      <c r="J122" s="133"/>
      <c r="K122" s="133"/>
      <c r="L122" s="133"/>
      <c r="M122" s="133"/>
      <c r="N122" s="133"/>
      <c r="O122" s="133"/>
      <c r="P122" s="133"/>
      <c r="Q122" s="133"/>
      <c r="R122" s="196"/>
      <c r="S122" s="196"/>
      <c r="T122" s="196"/>
      <c r="U122" s="196"/>
      <c r="V122" s="196"/>
      <c r="W122" s="196"/>
      <c r="X122" s="196"/>
      <c r="Y122" s="196"/>
      <c r="Z122" s="196"/>
      <c r="AA122" s="196"/>
      <c r="AB122" s="196"/>
      <c r="AC122" s="196"/>
      <c r="AD122" s="196"/>
      <c r="AE122" s="196"/>
      <c r="AF122" s="196"/>
      <c r="AG122" s="196"/>
      <c r="AH122" s="196"/>
      <c r="AI122" s="196"/>
      <c r="AJ122" s="196"/>
      <c r="AK122" s="133"/>
      <c r="AL122" s="133"/>
      <c r="AM122" s="196"/>
      <c r="AN122" s="196"/>
      <c r="AO122" s="196"/>
      <c r="AP122" s="133"/>
      <c r="AQ122" s="133"/>
      <c r="AR122" s="133"/>
      <c r="AS122" s="133"/>
      <c r="AT122" s="133"/>
      <c r="AU122" s="133">
        <f>'[128]07JUN2021_11h21m06s_m93urou_JCL'!$L$55+'[128]07JUN2021_11h21m06s_m93urou_JCL'!$L$56+'[128]07JUN2021_11h21m06s_m93urou_JCL'!$L$58+'[128]07JUN2021_11h21m06s_m93urou_JCL'!$L$60+'[128]07JUN2021_11h21m06s_m93urou_JCL'!$L$62+'[128]07JUN2021_11h21m06s_m93urou_JCL'!$L$64</f>
        <v>21679</v>
      </c>
      <c r="AV122" s="133">
        <f>[129]etat33331_2T2021!$L$53+[129]etat33331_2T2021!$L$54+[129]etat33331_2T2021!$L$56+[129]etat33331_2T2021!$L$58+[129]etat33331_2T2021!$L$60+[129]etat33331_2T2021!$L$62+[129]etat33331_2T2021!$L$64</f>
        <v>20868</v>
      </c>
      <c r="AW122" s="133">
        <f>'[130]17NOV2021_15h56m25s_m93urou_JCL'!$L$53+'[130]17NOV2021_15h56m25s_m93urou_JCL'!$L$54+'[130]17NOV2021_15h56m25s_m93urou_JCL'!$L$56+'[130]17NOV2021_15h56m25s_m93urou_JCL'!$L$58+'[130]17NOV2021_15h56m25s_m93urou_JCL'!$L$60+'[130]17NOV2021_15h56m25s_m93urou_JCL'!$L$62+'[130]17NOV2021_15h56m25s_m93urou_JCL'!$L$64</f>
        <v>17339</v>
      </c>
      <c r="AX122" s="428">
        <f>'[131]14FEB2022_15h49m34s_m93urou_JCL'!$L$53+'[131]14FEB2022_15h49m34s_m93urou_JCL'!$L$54+'[131]14FEB2022_15h49m34s_m93urou_JCL'!$L$56+'[131]14FEB2022_15h49m34s_m93urou_JCL'!$L$58+'[131]14FEB2022_15h49m34s_m93urou_JCL'!$L$60+'[131]14FEB2022_15h49m34s_m93urou_JCL'!$L$62+'[131]14FEB2022_15h49m34s_m93urou_JCL'!$L$64</f>
        <v>15474</v>
      </c>
      <c r="AY122" s="133">
        <f>'[132]12JUL2022_10h35m34s_sabinni_JCL'!$L$53+'[132]12JUL2022_10h35m34s_sabinni_JCL'!$L$54+'[132]12JUL2022_10h35m34s_sabinni_JCL'!$L$56+'[132]12JUL2022_10h35m34s_sabinni_JCL'!$L$58+'[132]12JUL2022_10h35m34s_sabinni_JCL'!$L$60+'[132]12JUL2022_10h35m34s_sabinni_JCL'!$L$62+'[132]12JUL2022_10h35m34s_sabinni_JCL'!$L$64</f>
        <v>19993</v>
      </c>
      <c r="AZ122" s="133">
        <f>[133]JCL_RECAP_33331_2022_2T!$L$53+[133]JCL_RECAP_33331_2022_2T!$L$54+[133]JCL_RECAP_33331_2022_2T!$L$56+[133]JCL_RECAP_33331_2022_2T!$L$58+[133]JCL_RECAP_33331_2022_2T!$L$60+[133]JCL_RECAP_33331_2022_2T!$L$62+[133]JCL_RECAP_33331_2022_2T!$L$64</f>
        <v>12131</v>
      </c>
      <c r="BA122" s="133">
        <f>[134]JCLRECAP_Etat33331_3T2022!$L$53+[134]JCLRECAP_Etat33331_3T2022!$L$54+[134]JCLRECAP_Etat33331_3T2022!$L$56+[134]JCLRECAP_Etat33331_3T2022!$L$58+[134]JCLRECAP_Etat33331_3T2022!$L$60+[134]JCLRECAP_Etat33331_3T2022!$L$62+[134]JCLRECAP_Etat33331_3T2022!$L$64</f>
        <v>17863</v>
      </c>
      <c r="BB122" s="54">
        <f>[135]JCLRECAP_Etat33331_4T2022!$L$53+[135]JCLRECAP_Etat33331_4T2022!$L$54+[135]JCLRECAP_Etat33331_4T2022!$L$56+[135]JCLRECAP_Etat33331_4T2022!$L$58+[135]JCLRECAP_Etat33331_4T2022!$L$60+[135]JCLRECAP_Etat33331_4T2022!$L$62+[135]JCLRECAP_Etat33331_4T2022!$L$64</f>
        <v>14584</v>
      </c>
      <c r="BC122" s="54">
        <f>[136]JCLRECAP_Etat33331_1T2023!$L$53+[136]JCLRECAP_Etat33331_1T2023!$L$54+[136]JCLRECAP_Etat33331_1T2023!$L$56+[136]JCLRECAP_Etat33331_1T2023!$L$58+[136]JCLRECAP_Etat33331_1T2023!$L$60+[136]JCLRECAP_Etat33331_1T2023!$L$62+[136]JCLRECAP_Etat33331_1T2023!$L$64</f>
        <v>22886</v>
      </c>
      <c r="BD122" s="54">
        <f>[137]JCLRECAP_Etat33331_2T2023!$L$53+[137]JCLRECAP_Etat33331_2T2023!$L$54+[137]JCLRECAP_Etat33331_2T2023!$L$56+[137]JCLRECAP_Etat33331_2T2023!$L$58+[137]JCLRECAP_Etat33331_2T2023!$L$60+[137]JCLRECAP_Etat33331_2T2023!$L$62+[137]JCLRECAP_Etat33331_2T2023!$L$64</f>
        <v>18623</v>
      </c>
      <c r="BE122" s="54">
        <f>[138]JCLRECAP_Etat33331_3T2023!$L$53+[138]JCLRECAP_Etat33331_3T2023!$L$54+[138]JCLRECAP_Etat33331_3T2023!$L$56+[138]JCLRECAP_Etat33331_3T2023!$L$58+[138]JCLRECAP_Etat33331_3T2023!$L$60+[138]JCLRECAP_Etat33331_3T2023!$L$62+[138]JCLRECAP_Etat33331_3T2023!$L$64</f>
        <v>16112</v>
      </c>
      <c r="BF122" s="54">
        <f>[139]JCLRECAP_Etat33331_4T2023!$L$53+[139]JCLRECAP_Etat33331_4T2023!$L$54+[139]JCLRECAP_Etat33331_4T2023!$L$56+[139]JCLRECAP_Etat33331_4T2023!$L$58+[139]JCLRECAP_Etat33331_4T2023!$L$60+[139]JCLRECAP_Etat33331_4T2023!$L$62+[139]JCLRECAP_Etat33331_4T2023!$L$64</f>
        <v>14611</v>
      </c>
      <c r="BG122" s="54">
        <f>[145]JCLRECAP_Etat33331_1T2024!$L$53+[145]JCLRECAP_Etat33331_1T2024!$L$54+[145]JCLRECAP_Etat33331_1T2024!$L$56+[145]JCLRECAP_Etat33331_1T2024!$L$58+[145]JCLRECAP_Etat33331_1T2024!$L$60+[145]JCLRECAP_Etat33331_1T2024!$L$62+[145]JCLRECAP_Etat33331_1T2024!$L$64</f>
        <v>4982</v>
      </c>
      <c r="BH122" s="54">
        <f>[141]JCLRECAP_Etat33331_2T2024!$L$53+[141]JCLRECAP_Etat33331_2T2024!$L$54+[141]JCLRECAP_Etat33331_2T2024!$L$56+[141]JCLRECAP_Etat33331_2T2024!$L$58+[141]JCLRECAP_Etat33331_2T2024!$L$60+[141]JCLRECAP_Etat33331_2T2024!$L$62+[141]JCLRECAP_Etat33331_2T2024!$L$64</f>
        <v>18412</v>
      </c>
      <c r="BI122" s="54">
        <f>[142]JCLRECAP_Etat33331_3T2024!$L$53+[142]JCLRECAP_Etat33331_3T2024!$L$54+[142]JCLRECAP_Etat33331_3T2024!$L$56+[142]JCLRECAP_Etat33331_3T2024!$L$58+[142]JCLRECAP_Etat33331_3T2024!$L$60+[142]JCLRECAP_Etat33331_3T2024!$L$62+[142]JCLRECAP_Etat33331_3T2024!$L$64</f>
        <v>16033</v>
      </c>
      <c r="BJ122" s="54">
        <f>[143]JCLRECAP_Etat33331_4T2024!$L$53+[143]JCLRECAP_Etat33331_4T2024!$L$54+[143]JCLRECAP_Etat33331_4T2024!$L$56+[143]JCLRECAP_Etat33331_4T2024!$L$58+[143]JCLRECAP_Etat33331_4T2024!$L$60+[143]JCLRECAP_Etat33331_4T2024!$L$62+[143]JCLRECAP_Etat33331_4T2024!$L$64</f>
        <v>14728</v>
      </c>
    </row>
    <row r="123" spans="1:63" x14ac:dyDescent="0.25">
      <c r="A123" s="309" t="s">
        <v>101</v>
      </c>
      <c r="B123" s="133">
        <f>'[95]33331'!$E$96</f>
        <v>1379</v>
      </c>
      <c r="C123" s="133">
        <f>'[96]33331'!$E$96</f>
        <v>1411</v>
      </c>
      <c r="D123" s="133">
        <f>'[97]33331'!$E$96</f>
        <v>1600</v>
      </c>
      <c r="E123" s="133">
        <f>'[98]33331'!$E$96</f>
        <v>1440</v>
      </c>
      <c r="F123" s="133">
        <f>'[99]33331'!$E$96</f>
        <v>1309</v>
      </c>
      <c r="G123" s="133">
        <f>'[100]33331'!$E$96</f>
        <v>1441</v>
      </c>
      <c r="H123" s="133">
        <f>'[101]33331'!$E$96</f>
        <v>1586</v>
      </c>
      <c r="I123" s="133">
        <f>'[102]33331'!$E$96</f>
        <v>1390</v>
      </c>
      <c r="J123" s="133">
        <v>1327</v>
      </c>
      <c r="K123" s="133">
        <v>1432</v>
      </c>
      <c r="L123" s="133">
        <v>1668</v>
      </c>
      <c r="M123" s="133">
        <f>'[153]33331'!$E$96</f>
        <v>1460</v>
      </c>
      <c r="N123" s="133">
        <v>1407</v>
      </c>
      <c r="O123" s="133">
        <v>1512</v>
      </c>
      <c r="P123" s="133">
        <v>1741</v>
      </c>
      <c r="Q123" s="133">
        <v>1658</v>
      </c>
      <c r="R123" s="196">
        <v>1432</v>
      </c>
      <c r="S123" s="196">
        <v>1577</v>
      </c>
      <c r="T123" s="196">
        <v>1589</v>
      </c>
      <c r="U123" s="196">
        <v>1434</v>
      </c>
      <c r="V123" s="196">
        <v>1341</v>
      </c>
      <c r="W123" s="196">
        <v>1575</v>
      </c>
      <c r="X123" s="196">
        <v>1848</v>
      </c>
      <c r="Y123" s="196">
        <v>1524</v>
      </c>
      <c r="Z123" s="196">
        <v>1411</v>
      </c>
      <c r="AA123" s="196">
        <v>1543</v>
      </c>
      <c r="AB123" s="196">
        <v>1625</v>
      </c>
      <c r="AC123" s="196">
        <v>1496</v>
      </c>
      <c r="AD123" s="196">
        <v>1410</v>
      </c>
      <c r="AE123" s="196">
        <v>1781</v>
      </c>
      <c r="AF123" s="196">
        <v>1882</v>
      </c>
      <c r="AG123" s="196">
        <v>1503</v>
      </c>
      <c r="AH123" s="196">
        <v>1492</v>
      </c>
      <c r="AI123" s="196">
        <v>1756</v>
      </c>
      <c r="AJ123" s="196">
        <f>1+1774</f>
        <v>1775</v>
      </c>
      <c r="AK123" s="133">
        <f>'[103]33331'!$E$91+'[103]33331'!$E$96</f>
        <v>1653</v>
      </c>
      <c r="AL123" s="133">
        <f>'[104]33331'!$E$91+'[104]33331'!$E$96</f>
        <v>1517</v>
      </c>
      <c r="AM123" s="196">
        <f>1+1674</f>
        <v>1675</v>
      </c>
      <c r="AN123" s="196">
        <f>AN114-AN121</f>
        <v>3424</v>
      </c>
      <c r="AO123" s="196">
        <f>'[106]33331'!$E$96+'[106]33331'!$E$99</f>
        <v>1628</v>
      </c>
      <c r="AP123" s="133">
        <f>'[107]33331'!$E$91+'[107]33331'!$E$96+15</f>
        <v>1565</v>
      </c>
      <c r="AQ123" s="133">
        <f>'[108]33331'!$E$91+'[108]33331'!$E$96</f>
        <v>1679</v>
      </c>
      <c r="AR123" s="133">
        <f>'[109]33331'!$E$91+'[109]33331'!$E$96</f>
        <v>1873</v>
      </c>
      <c r="AS123" s="133">
        <f>'[110]33331'!$E$91+'[110]33331'!$E$96</f>
        <v>1748</v>
      </c>
      <c r="AT123" s="133">
        <f>'[111]33331'!$E$96+'[111]33331'!$E$91</f>
        <v>1535</v>
      </c>
      <c r="AU123" s="54">
        <f>'[112]33331'!$E$96+'[112]33331'!$E$91</f>
        <v>2160</v>
      </c>
      <c r="AV123" s="133">
        <f>[129]etat33331_2T2021!$L$61+[129]etat33331_2T2021!$L$57+[129]etat33331_2T2021!$L$64</f>
        <v>1903</v>
      </c>
      <c r="AW123" s="133">
        <f>'[130]17NOV2021_15h56m25s_m93urou_JCL'!$L$61+'[130]17NOV2021_15h56m25s_m93urou_JCL'!$L$57</f>
        <v>1646</v>
      </c>
      <c r="AX123" s="428">
        <f>'[115]33331'!$E$96</f>
        <v>1615</v>
      </c>
      <c r="AY123" s="54">
        <f>'[132]12JUL2022_10h35m34s_sabinni_JCL'!$L$61</f>
        <v>1895</v>
      </c>
      <c r="AZ123" s="133">
        <f>[133]JCL_RECAP_33331_2022_2T!$L$61</f>
        <v>215</v>
      </c>
      <c r="BA123" s="133">
        <f>[134]JCLRECAP_Etat33331_3T2022!$L$61</f>
        <v>1640</v>
      </c>
      <c r="BB123" s="54">
        <f>[135]JCLRECAP_Etat33331_4T2022!$L$61</f>
        <v>1475</v>
      </c>
      <c r="BC123" s="54">
        <f>[136]JCLRECAP_Etat33331_1T2023!$L$61</f>
        <v>2236</v>
      </c>
      <c r="BD123" s="54">
        <f>[137]JCLRECAP_Etat33331_2T2023!$L$61</f>
        <v>1880</v>
      </c>
      <c r="BE123" s="54">
        <f>[138]JCLRECAP_Etat33331_3T2023!$L$61</f>
        <v>1567</v>
      </c>
      <c r="BF123" s="54">
        <f>[139]JCLRECAP_Etat33331_4T2023!$L$61</f>
        <v>1504</v>
      </c>
      <c r="BG123" s="460">
        <f>BG114-BG121</f>
        <v>2000</v>
      </c>
      <c r="BH123" s="54">
        <f>BH114-BH121</f>
        <v>1846</v>
      </c>
      <c r="BI123" s="54">
        <f>BI114-BI121</f>
        <v>1645</v>
      </c>
      <c r="BJ123" s="54">
        <f>BJ114-BJ121</f>
        <v>1627</v>
      </c>
    </row>
    <row r="124" spans="1:63" x14ac:dyDescent="0.25">
      <c r="B124" s="133"/>
      <c r="C124" s="133"/>
      <c r="D124" s="133"/>
      <c r="E124" s="133"/>
      <c r="F124" s="133"/>
      <c r="G124" s="133"/>
      <c r="H124" s="133"/>
      <c r="I124" s="133"/>
      <c r="J124" s="133"/>
      <c r="K124" s="133"/>
      <c r="L124" s="133"/>
      <c r="M124" s="133"/>
      <c r="N124" s="133"/>
      <c r="O124" s="133"/>
      <c r="P124" s="133"/>
      <c r="Q124" s="133"/>
      <c r="R124" s="196"/>
      <c r="S124" s="196"/>
      <c r="T124" s="196"/>
      <c r="U124" s="196"/>
      <c r="V124" s="196"/>
      <c r="W124" s="196"/>
      <c r="X124" s="196"/>
      <c r="Y124" s="196"/>
      <c r="Z124" s="196"/>
      <c r="AA124" s="196"/>
      <c r="AB124" s="196"/>
      <c r="AC124" s="196"/>
      <c r="AD124" s="196"/>
      <c r="AE124" s="196"/>
      <c r="AF124" s="196"/>
      <c r="AG124" s="196"/>
      <c r="AH124" s="196"/>
      <c r="AI124" s="196"/>
      <c r="AJ124" s="196"/>
      <c r="AK124" s="133"/>
      <c r="AL124" s="133"/>
      <c r="AM124" s="196"/>
      <c r="AN124" s="196"/>
      <c r="AO124" s="196"/>
      <c r="AP124" s="133"/>
      <c r="AQ124" s="133"/>
      <c r="AR124" s="133"/>
      <c r="AS124" s="133"/>
      <c r="AT124" s="133"/>
      <c r="AU124" s="133"/>
      <c r="AV124" s="133">
        <f>[129]etat33331_2T2021!$L$61+[129]etat33331_2T2021!$L$57+[129]etat33331_2T2021!$L$64</f>
        <v>1903</v>
      </c>
      <c r="AW124" s="133">
        <f>'[114]33331'!$E$91+'[114]33331'!$E$96</f>
        <v>1646</v>
      </c>
      <c r="AX124" s="428">
        <f>'[131]14FEB2022_15h49m34s_m93urou_JCL'!$L$61</f>
        <v>1615</v>
      </c>
      <c r="AY124" s="133">
        <f>[154]JCL_RECAP_33331_2022_1T!$L$61</f>
        <v>1895</v>
      </c>
      <c r="AZ124" s="133">
        <f>'[117]33331'!$E$96</f>
        <v>215</v>
      </c>
      <c r="BA124" s="133">
        <f>'[118]33331'!$E$96</f>
        <v>1640</v>
      </c>
      <c r="BB124" s="54">
        <f>'[119]33331'!$E$96</f>
        <v>1475</v>
      </c>
      <c r="BC124" s="54">
        <f>'[120]33331'!$E$96</f>
        <v>2236</v>
      </c>
      <c r="BD124" s="54">
        <f>'[121]33331'!$E$96</f>
        <v>1880</v>
      </c>
      <c r="BE124" s="54">
        <f>'[122]33331'!$E$96</f>
        <v>1567</v>
      </c>
      <c r="BF124" s="54">
        <f>'[146]33331'!$E$96</f>
        <v>1504</v>
      </c>
      <c r="BG124" s="54">
        <f>'[147]33331'!$E$96</f>
        <v>111</v>
      </c>
      <c r="BH124" s="54">
        <f>'[148]33331'!$E$96</f>
        <v>1846</v>
      </c>
      <c r="BI124" s="54">
        <f>'[149]33331'!$E$96</f>
        <v>1644</v>
      </c>
      <c r="BJ124" s="54">
        <f>'[150]33331'!$E$96</f>
        <v>1625</v>
      </c>
    </row>
    <row r="125" spans="1:63" x14ac:dyDescent="0.25">
      <c r="K125" s="35"/>
      <c r="L125" s="145"/>
      <c r="M125" s="145"/>
      <c r="N125" s="35"/>
      <c r="Q125" s="35"/>
      <c r="R125" s="198"/>
      <c r="S125" s="198"/>
      <c r="T125" s="198"/>
      <c r="U125" s="198"/>
      <c r="V125" s="198"/>
      <c r="W125" s="198"/>
      <c r="X125" s="198"/>
      <c r="Y125" s="198"/>
      <c r="Z125" s="198"/>
      <c r="AA125" s="204"/>
      <c r="AB125" s="204"/>
      <c r="AC125" s="204"/>
      <c r="AD125" s="204"/>
      <c r="AE125" s="204"/>
      <c r="AF125" s="204"/>
      <c r="AG125" s="204"/>
      <c r="AH125" s="204"/>
      <c r="AI125" s="204"/>
      <c r="AJ125" s="204"/>
      <c r="AK125" s="133"/>
      <c r="AM125" s="204"/>
      <c r="AN125" s="204"/>
      <c r="AO125" s="204">
        <f t="shared" ref="AO125:AT125" si="334">AO121+AO123</f>
        <v>19564</v>
      </c>
      <c r="AP125" s="204">
        <f t="shared" si="334"/>
        <v>18399</v>
      </c>
      <c r="AQ125" s="204">
        <f t="shared" si="334"/>
        <v>19917</v>
      </c>
      <c r="AR125" s="204">
        <f t="shared" si="334"/>
        <v>22446</v>
      </c>
      <c r="AS125" s="204">
        <f t="shared" si="334"/>
        <v>19737</v>
      </c>
      <c r="AT125" s="204">
        <f t="shared" si="334"/>
        <v>18190</v>
      </c>
      <c r="AU125" s="204">
        <f t="shared" ref="AU125:AZ125" si="335">AU121+AU123</f>
        <v>23839</v>
      </c>
      <c r="AV125" s="204">
        <f t="shared" si="335"/>
        <v>22771</v>
      </c>
      <c r="AW125" s="204">
        <f t="shared" si="335"/>
        <v>18985</v>
      </c>
      <c r="AX125" s="428">
        <f t="shared" si="335"/>
        <v>17089</v>
      </c>
      <c r="AY125" s="204">
        <f t="shared" si="335"/>
        <v>21888</v>
      </c>
      <c r="AZ125" s="204">
        <f t="shared" si="335"/>
        <v>21693</v>
      </c>
      <c r="BA125" s="204">
        <f t="shared" ref="BA125:BB125" si="336">BA121+BA123</f>
        <v>19503</v>
      </c>
      <c r="BB125" s="204">
        <f t="shared" si="336"/>
        <v>16059</v>
      </c>
      <c r="BC125" s="204">
        <f t="shared" ref="BC125:BD125" si="337">BC121+BC123</f>
        <v>25122</v>
      </c>
      <c r="BD125" s="204">
        <f t="shared" si="337"/>
        <v>20503</v>
      </c>
      <c r="BE125" s="204">
        <f t="shared" ref="BE125:BF125" si="338">BE121+BE123</f>
        <v>17679</v>
      </c>
      <c r="BF125" s="204">
        <f t="shared" si="338"/>
        <v>16115</v>
      </c>
      <c r="BG125" s="204">
        <f t="shared" ref="BG125:BH125" si="339">BG121+BG123</f>
        <v>19543</v>
      </c>
      <c r="BH125" s="204">
        <f t="shared" si="339"/>
        <v>20258</v>
      </c>
      <c r="BI125" s="204">
        <f t="shared" ref="BI125:BJ125" si="340">BI121+BI123</f>
        <v>17678</v>
      </c>
      <c r="BJ125" s="204">
        <f t="shared" si="340"/>
        <v>16355</v>
      </c>
    </row>
    <row r="126" spans="1:63" ht="13" x14ac:dyDescent="0.3">
      <c r="A126" s="321" t="s">
        <v>105</v>
      </c>
      <c r="B126" s="134">
        <f t="shared" ref="B126:AM126" si="341">B121/B117</f>
        <v>2.3357836702546599</v>
      </c>
      <c r="C126" s="134">
        <f t="shared" si="341"/>
        <v>1.7054151624548737</v>
      </c>
      <c r="D126" s="134">
        <f t="shared" si="341"/>
        <v>2.7578378378378376</v>
      </c>
      <c r="E126" s="134">
        <f t="shared" si="341"/>
        <v>2.6028948122671252</v>
      </c>
      <c r="F126" s="134">
        <f t="shared" si="341"/>
        <v>2.060924620714371</v>
      </c>
      <c r="G126" s="134">
        <f t="shared" si="341"/>
        <v>1.8944509532431568</v>
      </c>
      <c r="H126" s="134">
        <f t="shared" si="341"/>
        <v>2.806896551724138</v>
      </c>
      <c r="I126" s="134">
        <f t="shared" si="341"/>
        <v>3.4092540132200191</v>
      </c>
      <c r="J126" s="134">
        <f t="shared" si="341"/>
        <v>3.1789876183539696</v>
      </c>
      <c r="K126" s="134">
        <f t="shared" si="341"/>
        <v>2.0634490876986464</v>
      </c>
      <c r="L126" s="134">
        <f t="shared" si="341"/>
        <v>3.8642041399000715</v>
      </c>
      <c r="M126" s="134">
        <f t="shared" si="341"/>
        <v>5.5008660508083143</v>
      </c>
      <c r="N126" s="134">
        <f t="shared" si="341"/>
        <v>3.091500967798698</v>
      </c>
      <c r="O126" s="134">
        <f t="shared" si="341"/>
        <v>2.1724916785544459</v>
      </c>
      <c r="P126" s="134">
        <f t="shared" si="341"/>
        <v>3.4462040055891943</v>
      </c>
      <c r="Q126" s="134">
        <f t="shared" si="341"/>
        <v>3.0324833029751064</v>
      </c>
      <c r="R126" s="134">
        <f t="shared" si="341"/>
        <v>2.6709871891484553</v>
      </c>
      <c r="S126" s="134">
        <f t="shared" si="341"/>
        <v>2.8862421743777675</v>
      </c>
      <c r="T126" s="134">
        <f t="shared" si="341"/>
        <v>3.1018355945730249</v>
      </c>
      <c r="U126" s="134">
        <f t="shared" si="341"/>
        <v>2.9850124895920067</v>
      </c>
      <c r="V126" s="134">
        <f t="shared" si="341"/>
        <v>2.2727272727272729</v>
      </c>
      <c r="W126" s="134">
        <f t="shared" si="341"/>
        <v>2.2084557992312908</v>
      </c>
      <c r="X126" s="134">
        <f t="shared" si="341"/>
        <v>4.0755124056094933</v>
      </c>
      <c r="Y126" s="134">
        <f t="shared" si="341"/>
        <v>3.6114933978054675</v>
      </c>
      <c r="Z126" s="134">
        <f t="shared" si="341"/>
        <v>2.2877260981912144</v>
      </c>
      <c r="AA126" s="134">
        <f t="shared" si="341"/>
        <v>2.0323648019853171</v>
      </c>
      <c r="AB126" s="134">
        <f t="shared" si="341"/>
        <v>2.9773787643150009</v>
      </c>
      <c r="AC126" s="134">
        <f t="shared" si="341"/>
        <v>2.8487304986234321</v>
      </c>
      <c r="AD126" s="239">
        <f t="shared" si="341"/>
        <v>2.6573437499999999</v>
      </c>
      <c r="AE126" s="239">
        <f t="shared" si="341"/>
        <v>2.3232116456272034</v>
      </c>
      <c r="AF126" s="239">
        <f t="shared" si="341"/>
        <v>3.4198752092527775</v>
      </c>
      <c r="AG126" s="239">
        <f t="shared" si="341"/>
        <v>2.5168204400283889</v>
      </c>
      <c r="AH126" s="239">
        <f t="shared" si="341"/>
        <v>1.9602951510892481</v>
      </c>
      <c r="AI126" s="239">
        <f t="shared" si="341"/>
        <v>1.889314403138427</v>
      </c>
      <c r="AJ126" s="239">
        <f t="shared" si="341"/>
        <v>3.2161240310077521</v>
      </c>
      <c r="AK126" s="239">
        <f t="shared" si="341"/>
        <v>2.5752224319223509</v>
      </c>
      <c r="AL126" s="239">
        <f t="shared" si="341"/>
        <v>1.9417177914110428</v>
      </c>
      <c r="AM126" s="239">
        <f t="shared" si="341"/>
        <v>2.0240976003226456</v>
      </c>
      <c r="AN126" s="239"/>
      <c r="AO126" s="239"/>
      <c r="AP126" s="239"/>
      <c r="AQ126" s="239"/>
      <c r="AR126" s="239"/>
      <c r="AS126" s="239"/>
      <c r="AT126" s="239"/>
      <c r="AU126" s="239"/>
      <c r="AV126" s="239"/>
      <c r="AW126" s="239"/>
      <c r="AX126" s="429"/>
      <c r="AY126" s="239"/>
      <c r="AZ126" s="239"/>
      <c r="BA126" s="239"/>
      <c r="BB126" s="239"/>
      <c r="BC126" s="239"/>
      <c r="BD126" s="239"/>
      <c r="BE126" s="239"/>
      <c r="BF126" s="239"/>
      <c r="BG126" s="239"/>
      <c r="BH126" s="239"/>
      <c r="BI126" s="239"/>
      <c r="BJ126" s="239"/>
    </row>
    <row r="127" spans="1:63" ht="13" x14ac:dyDescent="0.3">
      <c r="A127" s="321"/>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239"/>
      <c r="AE127" s="239"/>
      <c r="AF127" s="239"/>
      <c r="AG127" s="239"/>
      <c r="AH127" s="239"/>
      <c r="AI127" s="239"/>
      <c r="AJ127" s="239"/>
      <c r="AK127" s="239"/>
      <c r="AL127" s="239"/>
      <c r="AM127" s="239"/>
      <c r="AN127" s="239"/>
      <c r="AO127" s="239"/>
      <c r="AP127" s="239"/>
      <c r="AQ127" s="239"/>
      <c r="AR127" s="239"/>
      <c r="AS127" s="239"/>
      <c r="AT127" s="239"/>
      <c r="AU127" s="239"/>
      <c r="AV127" s="239"/>
      <c r="AW127" s="239"/>
      <c r="AX127" s="429"/>
      <c r="AY127" s="239"/>
      <c r="AZ127" s="239"/>
      <c r="BA127" s="239"/>
      <c r="BB127" s="239"/>
      <c r="BC127" s="239"/>
      <c r="BD127" s="239"/>
      <c r="BE127" s="239"/>
      <c r="BF127" s="239"/>
      <c r="BG127" s="239"/>
      <c r="BH127" s="239"/>
      <c r="BI127" s="239"/>
      <c r="BJ127" s="239"/>
    </row>
    <row r="128" spans="1:63" ht="13" x14ac:dyDescent="0.3">
      <c r="A128" s="321"/>
      <c r="B128" s="134"/>
      <c r="C128" s="134"/>
      <c r="D128" s="134"/>
      <c r="E128" s="134"/>
      <c r="F128" s="134"/>
      <c r="G128" s="134"/>
      <c r="H128" s="134"/>
      <c r="I128" s="83"/>
      <c r="J128" s="83"/>
      <c r="K128" s="133"/>
      <c r="L128" s="133"/>
      <c r="M128" s="83"/>
      <c r="N128" s="133"/>
      <c r="O128" s="173"/>
      <c r="P128" s="173"/>
      <c r="Q128" s="174"/>
      <c r="R128" s="196"/>
      <c r="S128" s="196"/>
      <c r="T128" s="196"/>
      <c r="U128" s="196"/>
      <c r="V128" s="174"/>
      <c r="W128" s="174"/>
      <c r="X128" s="174"/>
      <c r="Y128" s="174"/>
      <c r="Z128" s="174"/>
      <c r="AA128" s="174"/>
      <c r="AB128" s="174"/>
      <c r="AC128" s="174"/>
      <c r="AD128" s="204"/>
      <c r="AE128" s="204"/>
      <c r="AF128" s="204"/>
      <c r="AG128" s="204"/>
      <c r="AH128" s="204"/>
      <c r="AI128" s="204"/>
      <c r="AJ128" s="204"/>
      <c r="AM128" s="204"/>
      <c r="AN128" s="204"/>
      <c r="AO128" s="204"/>
      <c r="AX128" s="407"/>
      <c r="BB128" s="35"/>
      <c r="BC128" s="35"/>
      <c r="BD128" s="35"/>
      <c r="BE128" s="35"/>
      <c r="BF128" s="35"/>
      <c r="BG128" s="35"/>
      <c r="BH128" s="35"/>
      <c r="BI128" s="35"/>
      <c r="BJ128" s="35"/>
    </row>
    <row r="129" spans="1:62" x14ac:dyDescent="0.25">
      <c r="A129" s="309" t="s">
        <v>109</v>
      </c>
      <c r="C129" s="83">
        <v>6466</v>
      </c>
      <c r="D129" s="83">
        <v>4882</v>
      </c>
      <c r="E129" s="83">
        <v>4614</v>
      </c>
      <c r="F129" s="83">
        <v>5161</v>
      </c>
      <c r="G129" s="83">
        <v>5524</v>
      </c>
      <c r="H129" s="83">
        <v>4537</v>
      </c>
      <c r="I129" s="83">
        <v>2792</v>
      </c>
      <c r="J129" s="83">
        <v>2256</v>
      </c>
      <c r="K129" s="83">
        <v>2531</v>
      </c>
      <c r="L129" s="83">
        <v>3214</v>
      </c>
      <c r="M129" s="83">
        <v>1161</v>
      </c>
      <c r="N129" s="83">
        <v>2688</v>
      </c>
      <c r="O129" s="83">
        <v>4682</v>
      </c>
      <c r="P129" s="83">
        <v>4040</v>
      </c>
      <c r="Q129" s="83">
        <v>4137</v>
      </c>
      <c r="R129" s="83">
        <v>3251</v>
      </c>
      <c r="S129" s="83">
        <v>1986</v>
      </c>
      <c r="T129" s="83">
        <v>1481</v>
      </c>
      <c r="U129" s="83">
        <v>1265</v>
      </c>
      <c r="V129" s="83">
        <v>1494</v>
      </c>
      <c r="W129" s="83">
        <v>1593</v>
      </c>
      <c r="X129" s="83">
        <v>1319</v>
      </c>
      <c r="Y129" s="83">
        <v>1544</v>
      </c>
      <c r="Z129" s="83">
        <v>1692</v>
      </c>
      <c r="AA129" s="83">
        <v>1948</v>
      </c>
      <c r="AB129" s="83">
        <v>1545</v>
      </c>
      <c r="AC129" s="83">
        <v>1678</v>
      </c>
      <c r="AD129" s="83">
        <v>1971</v>
      </c>
      <c r="AE129" s="83">
        <v>2445</v>
      </c>
      <c r="AF129" s="83">
        <v>1767</v>
      </c>
      <c r="AG129" s="83">
        <v>2172</v>
      </c>
      <c r="AH129" s="83">
        <v>2374</v>
      </c>
      <c r="AI129" s="83">
        <v>2655</v>
      </c>
      <c r="AJ129" s="83">
        <f>'[155]33332'!$D$74</f>
        <v>1541</v>
      </c>
      <c r="AK129" s="133">
        <f>'[103]33332'!$D$74</f>
        <v>1664</v>
      </c>
      <c r="AL129" s="133">
        <f>'[104]33332'!$D$74</f>
        <v>2317</v>
      </c>
      <c r="AM129" s="133">
        <f>'[156]33332'!$D$74</f>
        <v>2493</v>
      </c>
      <c r="AN129" s="133">
        <f>'[105]33332'!$D$74</f>
        <v>1445</v>
      </c>
      <c r="AO129" s="133">
        <f>'[106]33332'!$D$74</f>
        <v>1491</v>
      </c>
      <c r="AP129" s="133">
        <f>'[107]33332'!$D$74</f>
        <v>2245</v>
      </c>
      <c r="AQ129" s="133">
        <f>'[108]33332'!$D$74</f>
        <v>2223</v>
      </c>
      <c r="AR129" s="133">
        <f>'[109]33332'!$D$74</f>
        <v>1362</v>
      </c>
      <c r="AS129" s="133">
        <f>'[110]33332'!$D$74</f>
        <v>1198</v>
      </c>
      <c r="AT129" s="133">
        <f>'[111]33332'!$D$74</f>
        <v>1881</v>
      </c>
      <c r="AU129" s="133">
        <f>'[112]33332'!$D$74</f>
        <v>1744</v>
      </c>
      <c r="AV129" s="133">
        <f>'[113]33332'!$D$74</f>
        <v>1092</v>
      </c>
      <c r="AW129" s="133">
        <f>'[114]33332'!$D$74</f>
        <v>1016</v>
      </c>
      <c r="AX129" s="428">
        <f>'[115]33332'!$D$74</f>
        <v>1517</v>
      </c>
      <c r="AY129" s="133">
        <f>'[116]33332'!$D$74</f>
        <v>2045</v>
      </c>
      <c r="AZ129" s="133">
        <f>'[117]33332'!$D$74</f>
        <v>1165</v>
      </c>
      <c r="BA129" s="133">
        <f>'[118]33332'!$D$74</f>
        <v>1040</v>
      </c>
      <c r="BB129" s="54">
        <f>'[119]33332'!$D$74</f>
        <v>1346</v>
      </c>
      <c r="BC129" s="54">
        <f>'[120]33332'!$D$74</f>
        <v>1830</v>
      </c>
      <c r="BD129" s="54">
        <f>'[121]33332'!$D$74</f>
        <v>1207</v>
      </c>
      <c r="BE129" s="54">
        <f>'[122]33332'!$D$74</f>
        <v>1233</v>
      </c>
      <c r="BF129" s="54">
        <f>'[146]33332'!$D$74</f>
        <v>734</v>
      </c>
      <c r="BG129" s="54">
        <f>'[147]33332'!$D$74</f>
        <v>938</v>
      </c>
      <c r="BH129" s="54">
        <f>'[148]33332'!$D$74</f>
        <v>682</v>
      </c>
      <c r="BI129" s="54">
        <f>'[149]33332'!$D$74</f>
        <v>695</v>
      </c>
      <c r="BJ129" s="54">
        <f>'[150]33332'!$D$74</f>
        <v>716</v>
      </c>
    </row>
    <row r="130" spans="1:62" x14ac:dyDescent="0.25">
      <c r="A130" s="309" t="s">
        <v>131</v>
      </c>
      <c r="C130" s="135">
        <f t="shared" ref="C130:AJ130" si="342">C129/C117</f>
        <v>0.58357400722021657</v>
      </c>
      <c r="D130" s="135">
        <f t="shared" si="342"/>
        <v>0.65972972972972976</v>
      </c>
      <c r="E130" s="135">
        <f t="shared" si="342"/>
        <v>0.6612209802235598</v>
      </c>
      <c r="F130" s="135">
        <f t="shared" si="342"/>
        <v>0.61653326962131172</v>
      </c>
      <c r="G130" s="135">
        <f t="shared" si="342"/>
        <v>0.58834806688678243</v>
      </c>
      <c r="H130" s="135">
        <f t="shared" si="342"/>
        <v>0.62579310344827588</v>
      </c>
      <c r="I130" s="135">
        <f t="shared" si="342"/>
        <v>0.52728989612842303</v>
      </c>
      <c r="J130" s="135">
        <f t="shared" si="342"/>
        <v>0.41077931536780771</v>
      </c>
      <c r="K130" s="135">
        <f t="shared" si="342"/>
        <v>0.29793996468510886</v>
      </c>
      <c r="L130" s="135">
        <f t="shared" si="342"/>
        <v>0.57351891506067099</v>
      </c>
      <c r="M130" s="135">
        <f t="shared" si="342"/>
        <v>0.33516166281755194</v>
      </c>
      <c r="N130" s="135">
        <f t="shared" si="342"/>
        <v>0.47298961815942286</v>
      </c>
      <c r="O130" s="135">
        <f t="shared" si="342"/>
        <v>0.55658582976699955</v>
      </c>
      <c r="P130" s="135">
        <f t="shared" si="342"/>
        <v>0.62723179630492154</v>
      </c>
      <c r="Q130" s="135">
        <f t="shared" si="342"/>
        <v>0.62795992714025506</v>
      </c>
      <c r="R130" s="197">
        <f t="shared" si="342"/>
        <v>0.48997739261492085</v>
      </c>
      <c r="S130" s="197">
        <f t="shared" si="342"/>
        <v>0.3032524049473202</v>
      </c>
      <c r="T130" s="197">
        <f t="shared" si="342"/>
        <v>0.23639265762170791</v>
      </c>
      <c r="U130" s="197">
        <f t="shared" si="342"/>
        <v>0.21065778517901748</v>
      </c>
      <c r="V130" s="197">
        <f t="shared" si="342"/>
        <v>0.19712363108589523</v>
      </c>
      <c r="W130" s="197">
        <f t="shared" si="342"/>
        <v>0.18008139271987339</v>
      </c>
      <c r="X130" s="197">
        <f t="shared" si="342"/>
        <v>0.23714491190219344</v>
      </c>
      <c r="Y130" s="197">
        <f t="shared" si="342"/>
        <v>0.28714896782592525</v>
      </c>
      <c r="Z130" s="197">
        <f t="shared" si="342"/>
        <v>0.21860465116279071</v>
      </c>
      <c r="AA130" s="197">
        <f t="shared" si="342"/>
        <v>0.20142694654120566</v>
      </c>
      <c r="AB130" s="197">
        <f t="shared" si="342"/>
        <v>0.21843630708327441</v>
      </c>
      <c r="AC130" s="197">
        <f t="shared" si="342"/>
        <v>0.25665341082899967</v>
      </c>
      <c r="AD130" s="197">
        <f t="shared" si="342"/>
        <v>0.30796875000000001</v>
      </c>
      <c r="AE130" s="197">
        <f t="shared" si="342"/>
        <v>0.27806209484817468</v>
      </c>
      <c r="AF130" s="197">
        <f t="shared" si="342"/>
        <v>0.26890884188099223</v>
      </c>
      <c r="AG130" s="197">
        <f t="shared" si="342"/>
        <v>0.30830376153300215</v>
      </c>
      <c r="AH130" s="197">
        <f t="shared" si="342"/>
        <v>0.27805106582337785</v>
      </c>
      <c r="AI130" s="197">
        <f t="shared" si="342"/>
        <v>0.24799178031010649</v>
      </c>
      <c r="AJ130" s="197">
        <f t="shared" si="342"/>
        <v>0.23891472868217054</v>
      </c>
      <c r="AM130" s="197"/>
      <c r="AN130" s="197"/>
      <c r="AO130" s="197"/>
      <c r="AU130" s="4">
        <f>'[157]07JUN2021_11h23m27s_m93urou_JCL'!$K$37</f>
        <v>1744</v>
      </c>
      <c r="AV130" s="4">
        <f>[158]ETAT_33332_2T2021!$K$37</f>
        <v>1092</v>
      </c>
      <c r="AW130" s="4">
        <f>'[159]17NOV2021_16h09m43s_m93urou_JCL'!$K$37</f>
        <v>1016</v>
      </c>
      <c r="AX130" s="407">
        <f>'[160]14FEB2022_57836_m93urou_JCLRECA'!$K$37</f>
        <v>1517</v>
      </c>
      <c r="AY130" s="4">
        <f>'[161]12JUL2022_11h00m34s_sabinni_JCL'!$K$37</f>
        <v>2045</v>
      </c>
      <c r="AZ130" s="4">
        <f>[162]JCL_RECAP_33332_2022_2T!$K$37</f>
        <v>1165</v>
      </c>
      <c r="BA130" s="4">
        <f>[163]JCLRECAP_Etat33332_3T2022!$K$37</f>
        <v>1040</v>
      </c>
      <c r="BB130" s="54">
        <f>[164]JCLRECAP_Etat33332_4T2022!$K$37</f>
        <v>1346</v>
      </c>
      <c r="BC130" s="54">
        <f>[165]JCLRECAP_Etat33332_1T2023!$K$37</f>
        <v>1830</v>
      </c>
      <c r="BD130" s="54">
        <f>[166]JCLRECAP_Etat33332_2T2023!$K$37</f>
        <v>1207</v>
      </c>
      <c r="BE130" s="54">
        <f>[167]JCLRECAP_Etat33332_3T2023!$K$37</f>
        <v>1233</v>
      </c>
      <c r="BF130" s="4">
        <f>[168]JCLRECAP_Etat33332_4T2023!$K$37</f>
        <v>734</v>
      </c>
      <c r="BG130" s="4">
        <f>[169]JCLRECAP_Etat33332_1T2024!$K$37</f>
        <v>938</v>
      </c>
      <c r="BH130" s="4">
        <f>[170]JCLRECAP_Etat33332_2T2024!$K$37</f>
        <v>682</v>
      </c>
      <c r="BI130" s="4">
        <f>[171]JCLRECAP_Etat33332_3T2024!$K$37</f>
        <v>695</v>
      </c>
      <c r="BJ130" s="4">
        <f>[172]JCLRECAP_Etat33332_4T2024!$K$37</f>
        <v>716</v>
      </c>
    </row>
    <row r="131" spans="1:62" x14ac:dyDescent="0.25">
      <c r="K131" s="35"/>
      <c r="L131" s="145"/>
      <c r="M131" s="35"/>
      <c r="N131" s="35"/>
      <c r="Q131" s="175"/>
      <c r="S131" s="175"/>
      <c r="T131" s="175"/>
      <c r="U131" s="175"/>
      <c r="V131" s="175"/>
      <c r="W131" s="175"/>
      <c r="X131" s="175"/>
      <c r="Y131" s="175"/>
      <c r="Z131" s="175"/>
      <c r="AA131" s="175"/>
      <c r="AB131" s="175"/>
      <c r="AC131" s="175"/>
      <c r="AD131" s="175"/>
      <c r="AE131" s="175"/>
      <c r="AF131" s="175"/>
      <c r="AG131" s="175"/>
      <c r="AH131" s="175"/>
      <c r="AI131" s="175"/>
      <c r="AJ131" s="175"/>
      <c r="AM131" s="175"/>
      <c r="AN131" s="175"/>
      <c r="AO131" s="175"/>
      <c r="AX131" s="407"/>
      <c r="BB131" s="35"/>
      <c r="BC131" s="35"/>
      <c r="BD131" s="35"/>
      <c r="BE131" s="35"/>
      <c r="BF131" s="35"/>
      <c r="BG131" s="35"/>
      <c r="BH131" s="35"/>
      <c r="BI131" s="35"/>
      <c r="BJ131" s="35"/>
    </row>
    <row r="132" spans="1:62" x14ac:dyDescent="0.25">
      <c r="A132" s="309" t="s">
        <v>167</v>
      </c>
      <c r="B132" s="133"/>
      <c r="C132" s="133">
        <v>11491</v>
      </c>
      <c r="D132" s="133">
        <v>7762</v>
      </c>
      <c r="E132" s="133">
        <v>7290</v>
      </c>
      <c r="F132" s="133">
        <v>8735</v>
      </c>
      <c r="G132" s="133">
        <v>9783</v>
      </c>
      <c r="H132" s="133">
        <v>7606</v>
      </c>
      <c r="I132" s="133">
        <v>5578</v>
      </c>
      <c r="J132" s="133">
        <v>5745</v>
      </c>
      <c r="K132" s="133">
        <v>8831</v>
      </c>
      <c r="L132" s="133">
        <v>5849</v>
      </c>
      <c r="M132" s="133">
        <v>3642</v>
      </c>
      <c r="N132" s="133">
        <v>5874</v>
      </c>
      <c r="O132" s="133">
        <v>8704</v>
      </c>
      <c r="P132" s="133">
        <v>6704</v>
      </c>
      <c r="Q132" s="133">
        <v>6840</v>
      </c>
      <c r="R132" s="196">
        <v>6877</v>
      </c>
      <c r="S132" s="196">
        <v>6808</v>
      </c>
      <c r="T132" s="196">
        <v>6520</v>
      </c>
      <c r="U132" s="196">
        <v>6244</v>
      </c>
      <c r="V132" s="196">
        <v>7845</v>
      </c>
      <c r="W132" s="196">
        <v>9146</v>
      </c>
      <c r="X132" s="196">
        <v>5809</v>
      </c>
      <c r="Y132" s="196">
        <v>5575</v>
      </c>
      <c r="Z132" s="196">
        <v>8005</v>
      </c>
      <c r="AA132" s="196">
        <v>10017</v>
      </c>
      <c r="AB132" s="196">
        <v>7355</v>
      </c>
      <c r="AC132" s="196">
        <v>6797</v>
      </c>
      <c r="AD132" s="196">
        <v>6620</v>
      </c>
      <c r="AE132" s="196">
        <v>9069</v>
      </c>
      <c r="AF132" s="196">
        <v>6795</v>
      </c>
      <c r="AG132" s="196">
        <v>7296</v>
      </c>
      <c r="AH132" s="196">
        <v>8802</v>
      </c>
      <c r="AI132" s="196">
        <v>11072</v>
      </c>
      <c r="AJ132" s="196">
        <f>6671</f>
        <v>6671</v>
      </c>
      <c r="AK132" s="133">
        <f>'[103]30262'!$D$22</f>
        <v>7691</v>
      </c>
      <c r="AL132" s="133">
        <f>'[104]30262'!$D$22</f>
        <v>9077</v>
      </c>
      <c r="AM132" s="196">
        <f>'[156]30262'!$D$22</f>
        <v>10211</v>
      </c>
      <c r="AN132" s="196">
        <f>'[105]30262'!$D$22</f>
        <v>6789</v>
      </c>
      <c r="AO132" s="196">
        <f>'[106]30262'!$D$22</f>
        <v>7106</v>
      </c>
      <c r="AP132" s="133">
        <f>'[107]30262'!$D$22</f>
        <v>9406</v>
      </c>
      <c r="AQ132" s="133">
        <f>'[108]30262'!$D$22</f>
        <v>10027</v>
      </c>
      <c r="AR132" s="133">
        <f>'[109]30262'!$D$22</f>
        <v>6439</v>
      </c>
      <c r="AS132" s="133">
        <f>'[110]30262'!$D$22</f>
        <v>5759</v>
      </c>
      <c r="AT132" s="133">
        <f>'[111]30262'!$D$22</f>
        <v>8267</v>
      </c>
      <c r="AU132" s="133">
        <f>'[112]30262'!$D$22</f>
        <v>9294</v>
      </c>
      <c r="AV132" s="133">
        <f>'[113]30262'!$D$22</f>
        <v>5886</v>
      </c>
      <c r="AW132" s="133">
        <f>'[114]30262'!$D$22</f>
        <v>6085</v>
      </c>
      <c r="AX132" s="428">
        <f>'[173]14FEB2022_16h07m11s_m93urou_JCL'!$K$19</f>
        <v>8438</v>
      </c>
      <c r="AY132" s="133">
        <f>'[174]12JUL2022_11h15m25s_sabinni_JCL'!$K$19</f>
        <v>10149</v>
      </c>
      <c r="AZ132" s="133">
        <f>[175]JCL_RECAP_30262_2022_2T!$K$19</f>
        <v>6503</v>
      </c>
      <c r="BA132" s="133">
        <f>[176]JCLRECAP_Etat30262_3T2022!$K$19</f>
        <v>6325</v>
      </c>
      <c r="BB132" s="54">
        <f>[177]JCLRECAP_Etat30262_4T2022!$K$19</f>
        <v>8736</v>
      </c>
      <c r="BC132" s="54">
        <f>[178]JCLRECAP_Etat30262_1T2023!$K$19</f>
        <v>10254</v>
      </c>
      <c r="BD132" s="54">
        <f>[179]JCLRECAP_Etat30262_2T2023!$K$19</f>
        <v>7167</v>
      </c>
      <c r="BE132" s="54">
        <f>[180]JCLRECAP_Etat30262_3T2023!$K$19</f>
        <v>7237</v>
      </c>
      <c r="BF132" s="54">
        <f>[181]JCLRECAP_Etat30262_4T2023!$K$19</f>
        <v>7066</v>
      </c>
      <c r="BG132" s="54">
        <f>[182]JCLRECAP_Etat30262_1T2024!$K$19</f>
        <v>9326</v>
      </c>
      <c r="BH132" s="54">
        <f>[183]JCLRECAP_Etat30262_2T2024!$K$19</f>
        <v>6308</v>
      </c>
      <c r="BI132" s="54">
        <f>[184]JCLRECAP_Etat30262_3T2024!$K$19</f>
        <v>5878</v>
      </c>
      <c r="BJ132" s="54">
        <f>[185]JCLRECAP_Etat30262_4T2024!$K$19</f>
        <v>7794</v>
      </c>
    </row>
    <row r="133" spans="1:62" x14ac:dyDescent="0.25">
      <c r="A133" s="309" t="s">
        <v>168</v>
      </c>
      <c r="C133" s="54">
        <v>18358</v>
      </c>
      <c r="D133" s="54">
        <v>14342</v>
      </c>
      <c r="E133" s="54">
        <v>14216</v>
      </c>
      <c r="F133" s="54">
        <v>15129</v>
      </c>
      <c r="G133" s="54">
        <v>16891</v>
      </c>
      <c r="H133" s="54">
        <v>14526</v>
      </c>
      <c r="I133" s="54">
        <v>12394</v>
      </c>
      <c r="J133" s="54">
        <v>12259</v>
      </c>
      <c r="K133" s="54">
        <v>15663</v>
      </c>
      <c r="L133" s="133">
        <v>12267</v>
      </c>
      <c r="M133" s="133">
        <v>10253</v>
      </c>
      <c r="N133" s="54">
        <v>11976</v>
      </c>
      <c r="O133" s="54">
        <v>14574</v>
      </c>
      <c r="P133" s="54">
        <v>12472</v>
      </c>
      <c r="Q133" s="54">
        <v>13130</v>
      </c>
      <c r="R133" s="198">
        <v>13500</v>
      </c>
      <c r="S133" s="198">
        <v>13173</v>
      </c>
      <c r="T133" s="198">
        <v>11399</v>
      </c>
      <c r="U133" s="198">
        <v>11760</v>
      </c>
      <c r="V133" s="198">
        <v>13970</v>
      </c>
      <c r="W133" s="198">
        <v>15222</v>
      </c>
      <c r="X133" s="198">
        <v>12134</v>
      </c>
      <c r="Y133" s="198">
        <v>12320</v>
      </c>
      <c r="Z133" s="198">
        <v>14521</v>
      </c>
      <c r="AA133" s="198">
        <v>16176</v>
      </c>
      <c r="AB133" s="198">
        <v>13153</v>
      </c>
      <c r="AC133" s="198">
        <v>12599</v>
      </c>
      <c r="AD133" s="198">
        <v>12991</v>
      </c>
      <c r="AE133" s="198">
        <v>15333</v>
      </c>
      <c r="AF133" s="198">
        <v>12199</v>
      </c>
      <c r="AG133" s="198">
        <v>12602</v>
      </c>
      <c r="AH133" s="198">
        <v>14258</v>
      </c>
      <c r="AI133" s="198">
        <v>16293</v>
      </c>
      <c r="AJ133" s="198">
        <v>10879</v>
      </c>
      <c r="AK133" s="133">
        <f>'[103]30262'!$J$22</f>
        <v>13877</v>
      </c>
      <c r="AL133" s="133">
        <f>'[104]30262'!$J$22</f>
        <v>15490</v>
      </c>
      <c r="AM133" s="198">
        <f>'[156]30262'!$J$22</f>
        <v>16274</v>
      </c>
      <c r="AN133" s="198">
        <f>'[105]30262'!$J$22</f>
        <v>12006</v>
      </c>
      <c r="AO133" s="198">
        <f>'[106]30262'!$J$22</f>
        <v>12460</v>
      </c>
      <c r="AP133" s="133">
        <f>'[107]30262'!$J$22</f>
        <v>15301</v>
      </c>
      <c r="AQ133" s="133">
        <f>'[108]30262'!$J$22</f>
        <v>15507</v>
      </c>
      <c r="AR133" s="133">
        <f>'[109]30262'!$J$22</f>
        <v>11537</v>
      </c>
      <c r="AS133" s="133">
        <f>'[110]30262'!$J$22</f>
        <v>10375</v>
      </c>
      <c r="AT133" s="133">
        <f>'[111]30262'!$J$22</f>
        <v>14004</v>
      </c>
      <c r="AU133" s="133">
        <f>'[112]30262'!$J$22</f>
        <v>14720</v>
      </c>
      <c r="AV133" s="133">
        <f>'[113]30262'!$J$22</f>
        <v>11146</v>
      </c>
      <c r="AW133" s="133">
        <f>'[114]30262'!$J$22</f>
        <v>11245</v>
      </c>
      <c r="AX133" s="428">
        <f>'[173]14FEB2022_16h07m11s_m93urou_JCL'!$Q$19</f>
        <v>13482</v>
      </c>
      <c r="AY133" s="133">
        <f>'[174]12JUL2022_11h15m25s_sabinni_JCL'!$Q$19</f>
        <v>15129</v>
      </c>
      <c r="AZ133" s="133">
        <f>[175]JCL_RECAP_30262_2022_2T!$Q$19</f>
        <v>11062</v>
      </c>
      <c r="BA133" s="133">
        <f>[176]JCLRECAP_Etat30262_3T2022!$Q$19</f>
        <v>10793</v>
      </c>
      <c r="BB133" s="54">
        <f>[177]JCLRECAP_Etat30262_4T2022!$Q$19</f>
        <v>13440</v>
      </c>
      <c r="BC133" s="54">
        <f>[178]JCLRECAP_Etat30262_1T2023!$Q$19</f>
        <v>15462</v>
      </c>
      <c r="BD133" s="54">
        <f>[179]JCLRECAP_Etat30262_2T2023!$Q$19</f>
        <v>12334</v>
      </c>
      <c r="BE133" s="54">
        <f>[180]JCLRECAP_Etat30262_3T2023!$Q$19</f>
        <v>12060</v>
      </c>
      <c r="BF133" s="54">
        <f>[181]JCLRECAP_Etat30262_4T2023!$Q$19</f>
        <v>12742</v>
      </c>
      <c r="BG133" s="54">
        <f>[182]JCLRECAP_Etat30262_1T2024!$Q$19</f>
        <v>13988</v>
      </c>
      <c r="BH133" s="54">
        <f>[183]JCLRECAP_Etat30262_2T2024!$Q$19</f>
        <v>10459</v>
      </c>
      <c r="BI133" s="54">
        <f>[184]JCLRECAP_Etat30262_3T2024!$Q$19</f>
        <v>9739</v>
      </c>
      <c r="BJ133" s="54">
        <f>[185]JCLRECAP_Etat30262_4T2024!$Q$19</f>
        <v>12527</v>
      </c>
    </row>
    <row r="134" spans="1:62" x14ac:dyDescent="0.25">
      <c r="V134" s="226"/>
      <c r="W134" s="227"/>
      <c r="X134" s="227"/>
      <c r="Y134" s="227"/>
      <c r="Z134" s="227"/>
      <c r="AA134" s="227"/>
      <c r="AB134" s="227"/>
      <c r="AC134" s="177"/>
      <c r="AD134" s="177"/>
      <c r="AE134" s="177"/>
      <c r="AF134" s="177"/>
      <c r="AK134" s="133"/>
      <c r="AU134" s="4">
        <f>'[186]07JUN2021_11h25m07s_m93urou_JCL'!$K$19</f>
        <v>9294</v>
      </c>
      <c r="AV134" s="4">
        <f>[187]ETAT_30262_2T2021!$K$19</f>
        <v>5886</v>
      </c>
      <c r="AX134" s="428">
        <f>'[115]30262'!$D$22</f>
        <v>8438</v>
      </c>
      <c r="AY134" s="133">
        <f>'[116]30262'!$D$22</f>
        <v>10149</v>
      </c>
      <c r="AZ134" s="133">
        <f>'[117]30262'!$D$22</f>
        <v>6503</v>
      </c>
      <c r="BA134" s="133">
        <f>'[118]30262'!$D$22</f>
        <v>6325</v>
      </c>
      <c r="BB134" s="54">
        <f>'[119]30262'!$D$22</f>
        <v>8736</v>
      </c>
      <c r="BC134" s="54">
        <f>'[120]30262'!$D$22</f>
        <v>10254</v>
      </c>
      <c r="BD134" s="54">
        <f>'[121]30262'!$D$22</f>
        <v>7167</v>
      </c>
      <c r="BE134" s="54">
        <f>'[122]30262'!$D$22</f>
        <v>7237</v>
      </c>
      <c r="BF134" s="54">
        <f>'[146]30262'!$D$22</f>
        <v>7066</v>
      </c>
      <c r="BG134" s="54">
        <f>'[147]30262'!$D$22</f>
        <v>9326</v>
      </c>
      <c r="BH134" s="54">
        <f>'[148]30262'!$D$22</f>
        <v>6308</v>
      </c>
      <c r="BI134" s="54">
        <f>'[149]30262'!$D$22</f>
        <v>5878</v>
      </c>
      <c r="BJ134" s="54">
        <f>'[150]30262'!$D$22</f>
        <v>7794</v>
      </c>
    </row>
    <row r="135" spans="1:62" x14ac:dyDescent="0.25">
      <c r="F135" s="54"/>
      <c r="J135" s="54"/>
      <c r="K135" s="153"/>
      <c r="N135" s="153"/>
      <c r="O135" s="153"/>
      <c r="P135" s="153"/>
      <c r="Q135" s="153"/>
      <c r="R135" s="204"/>
      <c r="S135" s="198"/>
      <c r="T135" s="198"/>
      <c r="U135" s="198"/>
      <c r="V135" s="4"/>
      <c r="W135" s="215"/>
      <c r="X135" s="215"/>
      <c r="Y135" s="215"/>
      <c r="Z135" s="215"/>
      <c r="AA135" s="215"/>
      <c r="AB135" s="215"/>
      <c r="AC135" s="177"/>
      <c r="AD135" s="177"/>
      <c r="AE135" s="177"/>
      <c r="AF135" s="177"/>
      <c r="AJ135" s="133"/>
      <c r="AK135" s="133"/>
      <c r="AU135" s="4">
        <f>'[186]07JUN2021_11h25m07s_m93urou_JCL'!$Q$19</f>
        <v>14720</v>
      </c>
      <c r="AV135" s="4">
        <f>[187]ETAT_30262_2T2021!$Q$19</f>
        <v>11146</v>
      </c>
      <c r="AX135" s="428">
        <f>'[115]30262'!$J$22</f>
        <v>13482</v>
      </c>
      <c r="AY135" s="196">
        <f>'[116]30262'!$J$22</f>
        <v>15129</v>
      </c>
      <c r="AZ135" s="196">
        <f>'[117]30262'!$J$22</f>
        <v>11062</v>
      </c>
      <c r="BA135" s="196">
        <f>'[118]30262'!$J$22</f>
        <v>10793</v>
      </c>
      <c r="BB135" s="198">
        <f>'[119]30262'!$J$22</f>
        <v>13440</v>
      </c>
      <c r="BC135" s="198">
        <f>'[120]30262'!$J$22</f>
        <v>15462</v>
      </c>
      <c r="BD135" s="198">
        <f>'[121]30262'!$J$22</f>
        <v>12334</v>
      </c>
      <c r="BE135" s="198">
        <f>'[122]30262'!$J$22</f>
        <v>12060</v>
      </c>
      <c r="BF135" s="198">
        <f>'[146]30262'!$J$22</f>
        <v>12742</v>
      </c>
      <c r="BG135" s="198">
        <f>'[147]30262'!$J$22</f>
        <v>13988</v>
      </c>
      <c r="BH135" s="198">
        <f>'[148]30262'!$J$22</f>
        <v>10459</v>
      </c>
      <c r="BI135" s="198">
        <f>'[149]30262'!$J$22</f>
        <v>9739</v>
      </c>
      <c r="BJ135" s="198">
        <f>'[150]30262'!$J$22</f>
        <v>12527</v>
      </c>
    </row>
    <row r="136" spans="1:62" ht="13" thickBot="1" x14ac:dyDescent="0.3">
      <c r="A136" s="467"/>
      <c r="B136" s="7"/>
      <c r="C136" s="52"/>
      <c r="D136" s="52"/>
      <c r="E136" s="52"/>
      <c r="F136" s="52"/>
      <c r="G136" s="52"/>
      <c r="H136" s="52"/>
      <c r="I136" s="52"/>
      <c r="J136" s="52"/>
      <c r="K136" s="156"/>
      <c r="L136" s="7"/>
      <c r="M136" s="7"/>
      <c r="N136" s="156"/>
      <c r="O136" s="156"/>
      <c r="P136" s="156"/>
      <c r="Q136" s="156"/>
      <c r="R136" s="212"/>
      <c r="S136" s="205"/>
      <c r="T136" s="205"/>
      <c r="U136" s="205"/>
      <c r="V136" s="7"/>
      <c r="W136" s="468"/>
      <c r="X136" s="468"/>
      <c r="Y136" s="468"/>
      <c r="Z136" s="468"/>
      <c r="AA136" s="468"/>
      <c r="AB136" s="468"/>
      <c r="AC136" s="205"/>
      <c r="AD136" s="205"/>
      <c r="AE136" s="205"/>
      <c r="AF136" s="205"/>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row>
    <row r="137" spans="1:62" x14ac:dyDescent="0.25">
      <c r="V137" s="226"/>
      <c r="W137" s="227"/>
      <c r="X137" s="227"/>
      <c r="Y137" s="227"/>
      <c r="Z137" s="227"/>
      <c r="AA137" s="227"/>
      <c r="AB137" s="227"/>
      <c r="AC137" s="177"/>
      <c r="AD137" s="177"/>
      <c r="AE137" s="177"/>
      <c r="AF137" s="177"/>
    </row>
    <row r="138" spans="1:62" x14ac:dyDescent="0.25">
      <c r="A138" s="57" t="s">
        <v>268</v>
      </c>
      <c r="F138" s="54"/>
      <c r="J138" s="54"/>
      <c r="K138" s="153"/>
      <c r="N138" s="153"/>
      <c r="O138" s="153"/>
      <c r="P138" s="153"/>
      <c r="Q138" s="153"/>
      <c r="R138" s="204"/>
      <c r="S138" s="198"/>
      <c r="T138" s="198"/>
      <c r="U138" s="198"/>
      <c r="V138" s="4"/>
      <c r="W138" s="210"/>
      <c r="X138" s="210"/>
      <c r="Y138" s="210"/>
      <c r="Z138" s="210"/>
      <c r="AA138" s="210"/>
      <c r="AB138" s="210"/>
    </row>
    <row r="139" spans="1:62" x14ac:dyDescent="0.25">
      <c r="A139" s="461"/>
      <c r="V139" s="4"/>
      <c r="W139" s="210"/>
      <c r="X139" s="210"/>
      <c r="Y139" s="210"/>
      <c r="Z139" s="210"/>
      <c r="AA139" s="210"/>
      <c r="AB139" s="210"/>
    </row>
    <row r="140" spans="1:62" ht="13" thickBot="1" x14ac:dyDescent="0.3">
      <c r="A140" s="57"/>
      <c r="V140" s="4"/>
      <c r="W140" s="210"/>
      <c r="X140" s="210"/>
      <c r="Y140" s="210"/>
      <c r="Z140" s="210"/>
      <c r="AA140" s="210"/>
      <c r="AB140" s="210"/>
      <c r="AX140" s="469" t="str">
        <f>AX8</f>
        <v>2021- T4</v>
      </c>
      <c r="AY140" s="469" t="str">
        <f t="shared" ref="AY140:BE140" si="343">AY8</f>
        <v>2022- T1</v>
      </c>
      <c r="AZ140" s="469" t="str">
        <f t="shared" si="343"/>
        <v>2022- T2</v>
      </c>
      <c r="BA140" s="469" t="str">
        <f t="shared" si="343"/>
        <v>2022- T3</v>
      </c>
      <c r="BB140" s="469" t="str">
        <f t="shared" si="343"/>
        <v>2022- T4</v>
      </c>
      <c r="BC140" s="469" t="str">
        <f t="shared" si="343"/>
        <v>2023- T1</v>
      </c>
      <c r="BD140" s="469" t="str">
        <f t="shared" si="343"/>
        <v>2023- T2</v>
      </c>
      <c r="BE140" s="469" t="str">
        <f t="shared" si="343"/>
        <v>2023- T3</v>
      </c>
      <c r="BF140" s="469" t="str">
        <f t="shared" ref="BF140:BG140" si="344">BF8</f>
        <v>2023- T4</v>
      </c>
      <c r="BG140" s="469" t="str">
        <f t="shared" si="344"/>
        <v>2024- T1</v>
      </c>
      <c r="BH140" s="469" t="str">
        <f t="shared" ref="BH140:BI140" si="345">BH8</f>
        <v>2024- T2</v>
      </c>
      <c r="BI140" s="469" t="str">
        <f t="shared" si="345"/>
        <v>2024- T3</v>
      </c>
      <c r="BJ140" s="469" t="str">
        <f t="shared" ref="BJ140" si="346">BJ8</f>
        <v>2024- T4</v>
      </c>
    </row>
    <row r="141" spans="1:62" x14ac:dyDescent="0.25">
      <c r="A141" s="462" t="s">
        <v>261</v>
      </c>
      <c r="V141" s="226"/>
      <c r="W141" s="227"/>
      <c r="X141" s="227"/>
      <c r="Y141" s="227"/>
      <c r="Z141" s="227"/>
      <c r="AA141" s="227"/>
      <c r="AB141" s="227"/>
      <c r="AX141" s="333">
        <f>AX31+AX33</f>
        <v>1118932</v>
      </c>
      <c r="AY141" s="333">
        <f t="shared" ref="AY141:BE141" si="347">AY31+AY33</f>
        <v>1110673</v>
      </c>
      <c r="AZ141" s="333">
        <f t="shared" si="347"/>
        <v>1097139</v>
      </c>
      <c r="BA141" s="333">
        <f t="shared" si="347"/>
        <v>1087387</v>
      </c>
      <c r="BB141" s="333">
        <f t="shared" si="347"/>
        <v>1082818</v>
      </c>
      <c r="BC141" s="333">
        <f t="shared" si="347"/>
        <v>1071222</v>
      </c>
      <c r="BD141" s="333">
        <f t="shared" si="347"/>
        <v>1060451</v>
      </c>
      <c r="BE141" s="333">
        <f t="shared" si="347"/>
        <v>1052288</v>
      </c>
      <c r="BF141" s="333">
        <f t="shared" ref="BF141:BG141" si="348">BF31+BF33</f>
        <v>1045678</v>
      </c>
      <c r="BG141" s="333">
        <f t="shared" si="348"/>
        <v>1037977</v>
      </c>
      <c r="BH141" s="333">
        <f t="shared" ref="BH141:BI141" si="349">BH31+BH33</f>
        <v>1026730</v>
      </c>
      <c r="BI141" s="333">
        <f t="shared" si="349"/>
        <v>1017767</v>
      </c>
      <c r="BJ141" s="333">
        <f t="shared" ref="BJ141" si="350">BJ31+BJ33</f>
        <v>1011782</v>
      </c>
    </row>
    <row r="142" spans="1:62" x14ac:dyDescent="0.25">
      <c r="A142" s="463" t="s">
        <v>262</v>
      </c>
      <c r="V142" s="226"/>
      <c r="W142" s="227"/>
      <c r="X142" s="227"/>
      <c r="Y142" s="227"/>
      <c r="Z142" s="227"/>
      <c r="AA142" s="227"/>
      <c r="AB142" s="227"/>
      <c r="AX142" s="333">
        <f>AX32+AX33</f>
        <v>354985</v>
      </c>
      <c r="AY142" s="333">
        <f t="shared" ref="AY142:BE142" si="351">AY32+AY33</f>
        <v>350802</v>
      </c>
      <c r="AZ142" s="333">
        <f t="shared" si="351"/>
        <v>345308</v>
      </c>
      <c r="BA142" s="333">
        <f t="shared" si="351"/>
        <v>341695</v>
      </c>
      <c r="BB142" s="333">
        <f t="shared" si="351"/>
        <v>339634</v>
      </c>
      <c r="BC142" s="333">
        <f t="shared" si="351"/>
        <v>333741</v>
      </c>
      <c r="BD142" s="333">
        <f t="shared" si="351"/>
        <v>329670</v>
      </c>
      <c r="BE142" s="333">
        <f t="shared" si="351"/>
        <v>326707</v>
      </c>
      <c r="BF142" s="333">
        <f t="shared" ref="BF142:BG142" si="352">BF32+BF33</f>
        <v>325447</v>
      </c>
      <c r="BG142" s="333">
        <f t="shared" si="352"/>
        <v>321437</v>
      </c>
      <c r="BH142" s="333">
        <f t="shared" ref="BH142:BI142" si="353">BH32+BH33</f>
        <v>316611</v>
      </c>
      <c r="BI142" s="333">
        <f t="shared" si="353"/>
        <v>312814</v>
      </c>
      <c r="BJ142" s="333">
        <f t="shared" ref="BJ142" si="354">BJ32+BJ33</f>
        <v>310424</v>
      </c>
    </row>
    <row r="143" spans="1:62" x14ac:dyDescent="0.25">
      <c r="A143" s="463" t="s">
        <v>18</v>
      </c>
      <c r="V143" s="4"/>
      <c r="W143" s="210"/>
      <c r="X143" s="210"/>
      <c r="Y143" s="210"/>
      <c r="Z143" s="210"/>
      <c r="AA143" s="210"/>
      <c r="AB143" s="210"/>
      <c r="AX143" s="333">
        <f>AX33</f>
        <v>262509</v>
      </c>
      <c r="AY143" s="333">
        <f t="shared" ref="AY143:BE143" si="355">AY33</f>
        <v>258856</v>
      </c>
      <c r="AZ143" s="333">
        <f t="shared" si="355"/>
        <v>254193</v>
      </c>
      <c r="BA143" s="333">
        <f t="shared" si="355"/>
        <v>250990</v>
      </c>
      <c r="BB143" s="333">
        <f t="shared" si="355"/>
        <v>249098</v>
      </c>
      <c r="BC143" s="333">
        <f t="shared" si="355"/>
        <v>243999</v>
      </c>
      <c r="BD143" s="333">
        <f t="shared" si="355"/>
        <v>240418</v>
      </c>
      <c r="BE143" s="333">
        <f t="shared" si="355"/>
        <v>237698</v>
      </c>
      <c r="BF143" s="333">
        <f t="shared" ref="BF143:BG143" si="356">BF33</f>
        <v>236222</v>
      </c>
      <c r="BG143" s="333">
        <f t="shared" si="356"/>
        <v>232899</v>
      </c>
      <c r="BH143" s="333">
        <f t="shared" ref="BH143:BI143" si="357">BH33</f>
        <v>228946</v>
      </c>
      <c r="BI143" s="333">
        <f t="shared" si="357"/>
        <v>225769</v>
      </c>
      <c r="BJ143" s="333">
        <f t="shared" ref="BJ143" si="358">BJ33</f>
        <v>223661</v>
      </c>
    </row>
    <row r="144" spans="1:62" ht="13" thickBot="1" x14ac:dyDescent="0.3">
      <c r="A144" s="464" t="s">
        <v>29</v>
      </c>
      <c r="V144" s="4"/>
      <c r="W144" s="210"/>
      <c r="X144" s="210"/>
      <c r="Y144" s="210"/>
      <c r="Z144" s="210"/>
      <c r="AA144" s="210"/>
      <c r="AB144" s="210"/>
      <c r="AX144" s="333">
        <f>AX35</f>
        <v>1211645</v>
      </c>
      <c r="AY144" s="333">
        <f t="shared" ref="AY144:BE144" si="359">AY35</f>
        <v>1202863</v>
      </c>
      <c r="AZ144" s="333">
        <f t="shared" si="359"/>
        <v>1188497</v>
      </c>
      <c r="BA144" s="333">
        <f t="shared" si="359"/>
        <v>1178340</v>
      </c>
      <c r="BB144" s="333">
        <f t="shared" si="359"/>
        <v>1173608</v>
      </c>
      <c r="BC144" s="333">
        <f t="shared" si="359"/>
        <v>1161208</v>
      </c>
      <c r="BD144" s="333">
        <f t="shared" si="359"/>
        <v>1149942</v>
      </c>
      <c r="BE144" s="333">
        <f t="shared" si="359"/>
        <v>1141539</v>
      </c>
      <c r="BF144" s="333">
        <f t="shared" ref="BF144:BG144" si="360">BF35</f>
        <v>1135142</v>
      </c>
      <c r="BG144" s="333">
        <f t="shared" si="360"/>
        <v>1126760</v>
      </c>
      <c r="BH144" s="333">
        <f t="shared" ref="BH144:BI144" si="361">BH35</f>
        <v>1114634</v>
      </c>
      <c r="BI144" s="333">
        <f t="shared" si="361"/>
        <v>1105052</v>
      </c>
      <c r="BJ144" s="333">
        <f t="shared" ref="BJ144" si="362">BJ35</f>
        <v>1098787</v>
      </c>
    </row>
    <row r="145" spans="1:62" x14ac:dyDescent="0.25">
      <c r="A145" s="57"/>
      <c r="V145" s="226"/>
      <c r="W145" s="227"/>
      <c r="X145" s="227"/>
      <c r="Y145" s="227"/>
      <c r="Z145" s="227"/>
      <c r="AA145" s="227"/>
      <c r="AB145" s="227"/>
    </row>
    <row r="146" spans="1:62" x14ac:dyDescent="0.25">
      <c r="A146" s="57" t="s">
        <v>263</v>
      </c>
      <c r="V146" s="4"/>
      <c r="W146" s="210"/>
      <c r="X146" s="210"/>
      <c r="Y146" s="210"/>
      <c r="Z146" s="210"/>
      <c r="AA146" s="210"/>
      <c r="AB146" s="210"/>
    </row>
    <row r="147" spans="1:62" x14ac:dyDescent="0.25">
      <c r="A147" s="465" t="s">
        <v>264</v>
      </c>
      <c r="V147" s="4"/>
      <c r="W147" s="210"/>
      <c r="X147" s="210"/>
      <c r="Y147" s="210"/>
      <c r="Z147" s="210"/>
      <c r="AA147" s="210"/>
      <c r="AB147" s="210"/>
    </row>
    <row r="148" spans="1:62" ht="13" thickBot="1" x14ac:dyDescent="0.3">
      <c r="A148" s="57"/>
      <c r="V148" s="4"/>
      <c r="W148" s="210"/>
      <c r="X148" s="210"/>
      <c r="Y148" s="210"/>
      <c r="Z148" s="210"/>
      <c r="AA148" s="210"/>
      <c r="AB148" s="210"/>
      <c r="AX148" s="469" t="str">
        <f>AX8</f>
        <v>2021- T4</v>
      </c>
      <c r="AY148" s="469" t="str">
        <f t="shared" ref="AY148:BE148" si="363">AY8</f>
        <v>2022- T1</v>
      </c>
      <c r="AZ148" s="469" t="str">
        <f t="shared" si="363"/>
        <v>2022- T2</v>
      </c>
      <c r="BA148" s="469" t="str">
        <f t="shared" si="363"/>
        <v>2022- T3</v>
      </c>
      <c r="BB148" s="469" t="str">
        <f t="shared" si="363"/>
        <v>2022- T4</v>
      </c>
      <c r="BC148" s="469" t="str">
        <f t="shared" si="363"/>
        <v>2023- T1</v>
      </c>
      <c r="BD148" s="469" t="str">
        <f t="shared" si="363"/>
        <v>2023- T2</v>
      </c>
      <c r="BE148" s="469" t="str">
        <f t="shared" si="363"/>
        <v>2023- T3</v>
      </c>
      <c r="BF148" s="469" t="str">
        <f t="shared" ref="BF148:BG148" si="364">BF8</f>
        <v>2023- T4</v>
      </c>
      <c r="BG148" s="469" t="str">
        <f t="shared" si="364"/>
        <v>2024- T1</v>
      </c>
      <c r="BH148" s="469" t="str">
        <f t="shared" ref="BH148:BI148" si="365">BH8</f>
        <v>2024- T2</v>
      </c>
      <c r="BI148" s="469" t="str">
        <f t="shared" si="365"/>
        <v>2024- T3</v>
      </c>
      <c r="BJ148" s="469" t="str">
        <f t="shared" ref="BJ148" si="366">BJ8</f>
        <v>2024- T4</v>
      </c>
    </row>
    <row r="149" spans="1:62" x14ac:dyDescent="0.25">
      <c r="A149" s="462" t="s">
        <v>261</v>
      </c>
      <c r="V149" s="226"/>
      <c r="W149" s="227"/>
      <c r="X149" s="227"/>
      <c r="Y149" s="227"/>
      <c r="Z149" s="227"/>
      <c r="AA149" s="227"/>
      <c r="AB149" s="227"/>
      <c r="AX149" s="333">
        <f>(AX40*AX31+AX42*AX33)/(AX31+AX33)</f>
        <v>5626.0619313620946</v>
      </c>
      <c r="AY149" s="333">
        <f t="shared" ref="AY149:BE149" si="367">(AY40*AY31+AY42*AY33)/(AY31+AY33)</f>
        <v>5800.2550695421096</v>
      </c>
      <c r="AZ149" s="333">
        <f t="shared" si="367"/>
        <v>5793.4734601769933</v>
      </c>
      <c r="BA149" s="333">
        <f t="shared" si="367"/>
        <v>6018.0209968608842</v>
      </c>
      <c r="BB149" s="333">
        <f t="shared" si="367"/>
        <v>6009.8498557078701</v>
      </c>
      <c r="BC149" s="333">
        <f t="shared" si="367"/>
        <v>6073.1278490487284</v>
      </c>
      <c r="BD149" s="333">
        <f t="shared" si="367"/>
        <v>6076.1596395960678</v>
      </c>
      <c r="BE149" s="338">
        <f t="shared" si="367"/>
        <v>6075.6608528027618</v>
      </c>
      <c r="BF149" s="338">
        <f t="shared" ref="BF149:BG149" si="368">(BF40*BF31+BF42*BF33)/(BF31+BF33)</f>
        <v>6085.5227288479682</v>
      </c>
      <c r="BG149" s="338">
        <f t="shared" si="368"/>
        <v>6397.5171258292185</v>
      </c>
      <c r="BH149" s="338">
        <f t="shared" ref="BH149:BI149" si="369">(BH40*BH31+BH42*BH33)/(BH31+BH33)</f>
        <v>6395.5483128052201</v>
      </c>
      <c r="BI149" s="338">
        <f t="shared" si="369"/>
        <v>6391.1667423954859</v>
      </c>
      <c r="BJ149" s="338">
        <f t="shared" ref="BJ149" si="370">(BJ40*BJ31+BJ42*BJ33)/(BJ31+BJ33)</f>
        <v>6394.9263846906142</v>
      </c>
    </row>
    <row r="150" spans="1:62" x14ac:dyDescent="0.25">
      <c r="A150" s="463" t="s">
        <v>262</v>
      </c>
      <c r="AX150" s="333">
        <f>(AX41*AX32+AX42*AX33)/(AX32+AX33)</f>
        <v>6353.4920414427697</v>
      </c>
      <c r="AY150" s="333">
        <f t="shared" ref="AY150:BE150" si="371">(AY41*AY32+AY42*AY33)/(AY32+AY33)</f>
        <v>6423.1101025117132</v>
      </c>
      <c r="AZ150" s="333">
        <f t="shared" si="371"/>
        <v>6415.6776264572691</v>
      </c>
      <c r="BA150" s="333">
        <f t="shared" si="371"/>
        <v>6660.3828226798296</v>
      </c>
      <c r="BB150" s="333">
        <f t="shared" si="371"/>
        <v>6625.9969673325959</v>
      </c>
      <c r="BC150" s="333">
        <f t="shared" si="371"/>
        <v>6692.3904903730718</v>
      </c>
      <c r="BD150" s="333">
        <f t="shared" si="371"/>
        <v>6683.4565249430916</v>
      </c>
      <c r="BE150" s="338">
        <f t="shared" si="371"/>
        <v>6674.5424607692457</v>
      </c>
      <c r="BF150" s="338">
        <f t="shared" ref="BF150:BG150" si="372">(BF41*BF32+BF42*BF33)/(BF32+BF33)</f>
        <v>6666.9953124426875</v>
      </c>
      <c r="BG150" s="338">
        <f t="shared" si="372"/>
        <v>7001.105485453505</v>
      </c>
      <c r="BH150" s="338">
        <f t="shared" ref="BH150:BI150" si="373">(BH41*BH32+BH42*BH33)/(BH32+BH33)</f>
        <v>6989.7852984472802</v>
      </c>
      <c r="BI150" s="338">
        <f t="shared" si="373"/>
        <v>6980.2947771858526</v>
      </c>
      <c r="BJ150" s="338">
        <f t="shared" ref="BJ150" si="374">(BJ41*BJ32+BJ42*BJ33)/(BJ32+BJ33)</f>
        <v>6979.0718529687929</v>
      </c>
    </row>
    <row r="151" spans="1:62" x14ac:dyDescent="0.25">
      <c r="A151" s="463" t="s">
        <v>18</v>
      </c>
      <c r="AX151" s="333">
        <f>AX42</f>
        <v>8269.9493949562402</v>
      </c>
      <c r="AY151" s="333">
        <f t="shared" ref="AY151:BE151" si="375">AY42</f>
        <v>8379.3419082713608</v>
      </c>
      <c r="AZ151" s="333">
        <f t="shared" si="375"/>
        <v>8389.5722304167593</v>
      </c>
      <c r="BA151" s="333">
        <f t="shared" si="375"/>
        <v>8727.9068833652</v>
      </c>
      <c r="BB151" s="333">
        <f t="shared" si="375"/>
        <v>8695.8804757527596</v>
      </c>
      <c r="BC151" s="333">
        <f t="shared" si="375"/>
        <v>8809.3729960987603</v>
      </c>
      <c r="BD151" s="333">
        <f t="shared" si="375"/>
        <v>8818.9328542555595</v>
      </c>
      <c r="BE151" s="338">
        <f t="shared" si="375"/>
        <v>8826.5508048607207</v>
      </c>
      <c r="BF151" s="338">
        <f t="shared" ref="BF151:BG151" si="376">BF42</f>
        <v>8835.4711103398404</v>
      </c>
      <c r="BG151" s="338">
        <f t="shared" si="376"/>
        <v>9293.9813337683609</v>
      </c>
      <c r="BH151" s="338">
        <f t="shared" ref="BH151:BI151" si="377">BH42</f>
        <v>9296.7829576868007</v>
      </c>
      <c r="BI151" s="338">
        <f t="shared" si="377"/>
        <v>9300.6343779340805</v>
      </c>
      <c r="BJ151" s="338">
        <f t="shared" ref="BJ151" si="378">BJ42</f>
        <v>9313.1276503484805</v>
      </c>
    </row>
    <row r="152" spans="1:62" ht="13" thickBot="1" x14ac:dyDescent="0.3">
      <c r="A152" s="464" t="s">
        <v>29</v>
      </c>
      <c r="AX152" s="333">
        <f>AX43</f>
        <v>5266.1167937671198</v>
      </c>
      <c r="AY152" s="333">
        <f t="shared" ref="AY152:BE152" si="379">AY43</f>
        <v>5426.5100119215203</v>
      </c>
      <c r="AZ152" s="333">
        <f t="shared" si="379"/>
        <v>5418.8247465704399</v>
      </c>
      <c r="BA152" s="333">
        <f t="shared" si="379"/>
        <v>5626.9117325320003</v>
      </c>
      <c r="BB152" s="333">
        <f t="shared" si="379"/>
        <v>5617.4134999309999</v>
      </c>
      <c r="BC152" s="333">
        <f t="shared" si="379"/>
        <v>5675.5656553913204</v>
      </c>
      <c r="BD152" s="333">
        <f t="shared" si="379"/>
        <v>5676.5725496198002</v>
      </c>
      <c r="BE152" s="338">
        <f t="shared" si="379"/>
        <v>5674.0140162027201</v>
      </c>
      <c r="BF152" s="338">
        <f t="shared" ref="BF152:BG152" si="380">BF43</f>
        <v>5679.6288566794801</v>
      </c>
      <c r="BG152" s="338">
        <f t="shared" si="380"/>
        <v>5970.5745774174002</v>
      </c>
      <c r="BH152" s="338">
        <f t="shared" ref="BH152:BI152" si="381">BH43</f>
        <v>5968.1825819058004</v>
      </c>
      <c r="BI152" s="338">
        <f t="shared" si="381"/>
        <v>5963.1030004895601</v>
      </c>
      <c r="BJ152" s="338">
        <f t="shared" ref="BJ152" si="382">BJ43</f>
        <v>5965.6342202810802</v>
      </c>
    </row>
    <row r="153" spans="1:62" x14ac:dyDescent="0.25">
      <c r="A153" s="58"/>
    </row>
    <row r="154" spans="1:62" ht="23" x14ac:dyDescent="0.25">
      <c r="A154" s="466" t="s">
        <v>265</v>
      </c>
    </row>
    <row r="155" spans="1:62" x14ac:dyDescent="0.25">
      <c r="A155" s="461"/>
    </row>
    <row r="156" spans="1:62" ht="13" thickBot="1" x14ac:dyDescent="0.3">
      <c r="A156" s="57"/>
      <c r="AX156" s="469" t="str">
        <f>AX8</f>
        <v>2021- T4</v>
      </c>
      <c r="AY156" s="469" t="str">
        <f>AY8</f>
        <v>2022- T1</v>
      </c>
      <c r="AZ156" s="469" t="str">
        <f t="shared" ref="AZ156:BD156" si="383">AZ8</f>
        <v>2022- T2</v>
      </c>
      <c r="BA156" s="469" t="str">
        <f t="shared" si="383"/>
        <v>2022- T3</v>
      </c>
      <c r="BB156" s="469" t="str">
        <f t="shared" si="383"/>
        <v>2022- T4</v>
      </c>
      <c r="BC156" s="469" t="str">
        <f t="shared" si="383"/>
        <v>2023- T1</v>
      </c>
      <c r="BD156" s="469" t="str">
        <f t="shared" si="383"/>
        <v>2023- T2</v>
      </c>
      <c r="BE156" s="469" t="str">
        <f t="shared" ref="BE156:BJ156" si="384">BE8</f>
        <v>2023- T3</v>
      </c>
      <c r="BF156" s="469" t="str">
        <f t="shared" si="384"/>
        <v>2023- T4</v>
      </c>
      <c r="BG156" s="469" t="str">
        <f t="shared" si="384"/>
        <v>2024- T1</v>
      </c>
      <c r="BH156" s="469" t="str">
        <f t="shared" si="384"/>
        <v>2024- T2</v>
      </c>
      <c r="BI156" s="469" t="str">
        <f t="shared" si="384"/>
        <v>2024- T3</v>
      </c>
      <c r="BJ156" s="469" t="str">
        <f t="shared" si="384"/>
        <v>2024- T4</v>
      </c>
    </row>
    <row r="157" spans="1:62" x14ac:dyDescent="0.25">
      <c r="A157" s="462" t="s">
        <v>261</v>
      </c>
      <c r="AX157" s="333">
        <f>[58]SAS_NSA_2021_4T!$D$292+[58]SAS_NSA_2021_4T!$D$293</f>
        <v>277449</v>
      </c>
      <c r="AY157" s="333">
        <f>[59]SAS_NSA_2022_1T!$D$299+[59]SAS_NSA_2022_1T!$D$300</f>
        <v>274404</v>
      </c>
      <c r="AZ157" s="333">
        <f>[60]SAS_NSA_2022_2T!$D$299+[60]SAS_NSA_2022_2T!$D$300</f>
        <v>269524</v>
      </c>
      <c r="BA157" s="333">
        <f>[61]SAS_NSA_2022_3T!$D$299+[61]SAS_NSA_2022_3T!$D$300</f>
        <v>265834</v>
      </c>
      <c r="BB157" s="333">
        <f>[62]SAS_NSA_2022_4T!$D$299+[62]SAS_NSA_2022_4T!$D$300</f>
        <v>264898</v>
      </c>
      <c r="BC157" s="333">
        <f>[2]SAS_NSA_2023_1T!$D$299+[2]SAS_NSA_2023_1T!$D$300</f>
        <v>260796</v>
      </c>
      <c r="BD157" s="333">
        <f>[3]SAS_NSA_2023_2T!$D$299+[3]SAS_NSA_2023_2T!$D$300</f>
        <v>256673</v>
      </c>
      <c r="BE157" s="333">
        <f>[4]SAS_NSA_2023_3T!$D$300+[4]SAS_NSA_2023_3T!$D$301</f>
        <v>253522</v>
      </c>
      <c r="BF157" s="333">
        <f>[5]SAS_NSA_2023_4T!$D$299+[5]SAS_NSA_2023_4T!$D$300</f>
        <v>251750</v>
      </c>
      <c r="BG157" s="333">
        <f>[6]SAS_NSA_2024_1T!$D$299+[6]SAS_NSA_2024_1T!$D$301</f>
        <v>248893</v>
      </c>
      <c r="BH157" s="333">
        <f>[7]SAS_NSA_2024_2T!$D$299+[7]SAS_NSA_2024_2T!$D$300</f>
        <v>244414</v>
      </c>
      <c r="BI157" s="333">
        <f>[8]SAS_NSA_2024_3T!$D$299+[8]SAS_NSA_2024_3T!$D$301</f>
        <v>312904</v>
      </c>
      <c r="BJ157" s="333">
        <f>[9]SAS_NSA_2024_4T!$D$298+[9]SAS_NSA_2024_4T!$D$300</f>
        <v>310089</v>
      </c>
    </row>
    <row r="158" spans="1:62" x14ac:dyDescent="0.25">
      <c r="A158" s="463" t="s">
        <v>18</v>
      </c>
      <c r="AX158" s="333">
        <f>[58]SAS_NSA_2021_4T!$D$293</f>
        <v>88206</v>
      </c>
      <c r="AY158" s="333">
        <f>[59]SAS_NSA_2022_1T!$D$300</f>
        <v>86613</v>
      </c>
      <c r="AZ158" s="333">
        <f>[60]SAS_NSA_2022_2T!$D$300</f>
        <v>84730</v>
      </c>
      <c r="BA158" s="333">
        <f>[61]SAS_NSA_2022_3T!$D$300</f>
        <v>83351</v>
      </c>
      <c r="BB158" s="333">
        <f>[62]SAS_NSA_2022_4T!$D$300</f>
        <v>82462</v>
      </c>
      <c r="BC158" s="333">
        <f>[2]SAS_NSA_2023_1T!$D$300</f>
        <v>80225</v>
      </c>
      <c r="BD158" s="333">
        <f>[3]SAS_NSA_2023_2T!$D$300</f>
        <v>78700</v>
      </c>
      <c r="BE158" s="333">
        <f>[4]SAS_NSA_2023_3T!$D$301</f>
        <v>77468</v>
      </c>
      <c r="BF158" s="333">
        <f>[5]SAS_NSA_2023_4T!$D$300</f>
        <v>76648</v>
      </c>
      <c r="BG158" s="333">
        <f>[6]SAS_NSA_2024_1T!$D$301</f>
        <v>75101</v>
      </c>
      <c r="BH158" s="333">
        <f>[7]SAS_NSA_2024_2T!$D$300</f>
        <v>73279</v>
      </c>
      <c r="BI158" s="333">
        <f>[8]SAS_NSA_2024_3T!$D$301</f>
        <v>71948</v>
      </c>
      <c r="BJ158" s="333">
        <f>[9]SAS_NSA_2024_4T!$D$300</f>
        <v>70992</v>
      </c>
    </row>
    <row r="159" spans="1:62" ht="13" thickBot="1" x14ac:dyDescent="0.3">
      <c r="A159" s="464" t="s">
        <v>29</v>
      </c>
      <c r="AX159" s="333">
        <f>[58]SAS_NSA_2021_4T!$D$291</f>
        <v>277456</v>
      </c>
      <c r="AY159" s="333">
        <f>[59]SAS_NSA_2022_1T!$D$298</f>
        <v>274418</v>
      </c>
      <c r="AZ159" s="333">
        <f>[60]SAS_NSA_2022_2T!$D$298</f>
        <v>269527</v>
      </c>
      <c r="BA159" s="333">
        <f>[61]SAS_NSA_2022_3T!$D$298</f>
        <v>265837</v>
      </c>
      <c r="BB159" s="333">
        <f>[62]SAS_NSA_2022_4T!$D$298</f>
        <v>264913</v>
      </c>
      <c r="BC159" s="333">
        <f>[2]SAS_NSA_2023_1T!$D$298</f>
        <v>260817</v>
      </c>
      <c r="BD159" s="333">
        <f>[3]SAS_NSA_2023_2T!$D$298</f>
        <v>256679</v>
      </c>
      <c r="BE159" s="333">
        <f>[4]SAS_NSA_2023_3T!$D$299</f>
        <v>253525</v>
      </c>
      <c r="BF159" s="333">
        <f>[5]SAS_NSA_2023_4T!$D$298</f>
        <v>251757</v>
      </c>
      <c r="BG159" s="333">
        <f>[6]SAS_NSA_2024_1T!$D$298</f>
        <v>248906</v>
      </c>
      <c r="BH159" s="333">
        <f>[7]SAS_NSA_2024_2T!$D$298</f>
        <v>244420</v>
      </c>
      <c r="BI159" s="333">
        <f>[8]SAS_NSA_2024_3T!$D$299</f>
        <v>240956</v>
      </c>
      <c r="BJ159" s="333">
        <f>[9]SAS_NSA_2024_4T!$D$298</f>
        <v>239097</v>
      </c>
    </row>
    <row r="160" spans="1:62" x14ac:dyDescent="0.25">
      <c r="A160" s="58"/>
    </row>
    <row r="161" spans="1:62" ht="23" x14ac:dyDescent="0.25">
      <c r="A161" s="466" t="s">
        <v>266</v>
      </c>
    </row>
    <row r="162" spans="1:62" x14ac:dyDescent="0.25">
      <c r="A162" s="58" t="s">
        <v>267</v>
      </c>
    </row>
    <row r="163" spans="1:62" ht="13" thickBot="1" x14ac:dyDescent="0.3">
      <c r="A163" s="57"/>
      <c r="AX163" s="469" t="str">
        <f>AX8</f>
        <v>2021- T4</v>
      </c>
      <c r="AY163" s="469" t="str">
        <f>AY8</f>
        <v>2022- T1</v>
      </c>
      <c r="AZ163" s="469" t="str">
        <f t="shared" ref="AZ163:BD163" si="385">AZ8</f>
        <v>2022- T2</v>
      </c>
      <c r="BA163" s="469" t="str">
        <f t="shared" si="385"/>
        <v>2022- T3</v>
      </c>
      <c r="BB163" s="469" t="str">
        <f t="shared" si="385"/>
        <v>2022- T4</v>
      </c>
      <c r="BC163" s="469" t="str">
        <f t="shared" si="385"/>
        <v>2023- T1</v>
      </c>
      <c r="BD163" s="469" t="str">
        <f t="shared" si="385"/>
        <v>2023- T2</v>
      </c>
      <c r="BE163" s="469" t="str">
        <f t="shared" ref="BE163:BJ163" si="386">BE8</f>
        <v>2023- T3</v>
      </c>
      <c r="BF163" s="469" t="str">
        <f t="shared" si="386"/>
        <v>2023- T4</v>
      </c>
      <c r="BG163" s="469" t="str">
        <f t="shared" si="386"/>
        <v>2024- T1</v>
      </c>
      <c r="BH163" s="469" t="str">
        <f t="shared" si="386"/>
        <v>2024- T2</v>
      </c>
      <c r="BI163" s="469" t="str">
        <f t="shared" si="386"/>
        <v>2024- T3</v>
      </c>
      <c r="BJ163" s="469" t="str">
        <f t="shared" si="386"/>
        <v>2024- T4</v>
      </c>
    </row>
    <row r="164" spans="1:62" x14ac:dyDescent="0.25">
      <c r="A164" s="462" t="s">
        <v>261</v>
      </c>
      <c r="AX164" s="338">
        <f>4*([58]SAS_NSA_2021_4T!$E$292*[58]SAS_NSA_2021_4T!$D$292 + [58]SAS_NSA_2021_4T!$E$293*[58]SAS_NSA_2021_4T!$D$293) / ([58]SAS_NSA_2021_4T!$D$292+[58]SAS_NSA_2021_4T!$D$293)</f>
        <v>10188.038954907039</v>
      </c>
      <c r="AY164" s="338">
        <f>4*([59]SAS_NSA_2022_1T!$E$299*[59]SAS_NSA_2022_1T!$D$299 + [59]SAS_NSA_2022_1T!$E$300*[59]SAS_NSA_2022_1T!$D$300) / ([59]SAS_NSA_2022_1T!$D$299+[59]SAS_NSA_2022_1T!$D$300)</f>
        <v>10487.062171105375</v>
      </c>
      <c r="AZ164" s="338">
        <f>4*([60]SAS_NSA_2022_2T!$E$299*[60]SAS_NSA_2022_2T!$D$299 + [60]SAS_NSA_2022_2T!$E$300*[60]SAS_NSA_2022_2T!$D$300) / ([60]SAS_NSA_2022_2T!$D$299+[60]SAS_NSA_2022_2T!$D$300)</f>
        <v>10504.287989195753</v>
      </c>
      <c r="BA164" s="338">
        <f>4*([61]SAS_NSA_2022_3T!$E$299*[61]SAS_NSA_2022_3T!$D$299 + [61]SAS_NSA_2022_3T!$E$300*[61]SAS_NSA_2022_3T!$D$300) / ([61]SAS_NSA_2022_3T!$D$299+[61]SAS_NSA_2022_3T!$D$300)</f>
        <v>10935.823709533035</v>
      </c>
      <c r="BB164" s="338">
        <f>4*([62]SAS_NSA_2022_4T!$E$299*[62]SAS_NSA_2022_4T!$D$299 + [62]SAS_NSA_2022_4T!$E$300*[62]SAS_NSA_2022_4T!$D$300) / ([62]SAS_NSA_2022_4T!$D$299+[62]SAS_NSA_2022_4T!$D$300)</f>
        <v>10911.10359459113</v>
      </c>
      <c r="BC164" s="338">
        <f>4*([2]SAS_NSA_2023_1T!$E$299*[2]SAS_NSA_2023_1T!$D$299 + [2]SAS_NSA_2023_1T!$E$300*[2]SAS_NSA_2023_1T!$D$300) / ([2]SAS_NSA_2023_1T!$D$299+[2]SAS_NSA_2023_1T!$D$300)</f>
        <v>11052.286568812402</v>
      </c>
      <c r="BD164" s="338">
        <f>4*([3]SAS_NSA_2023_2T!$E$299*[3]SAS_NSA_2023_2T!$D$299 + [3]SAS_NSA_2023_2T!$E$300*[3]SAS_NSA_2023_2T!$D$300) / ([3]SAS_NSA_2023_2T!$D$299+[3]SAS_NSA_2023_2T!$D$300)</f>
        <v>11082.322332306099</v>
      </c>
      <c r="BE164" s="338">
        <f>4*([4]SAS_NSA_2023_3T!$E$300*[4]SAS_NSA_2023_3T!$D$300 + [4]SAS_NSA_2023_3T!$E$301*[4]SAS_NSA_2023_3T!$D$301) / ([4]SAS_NSA_2023_3T!$D$300+[4]SAS_NSA_2023_3T!$D$301)</f>
        <v>11107.55651974978</v>
      </c>
      <c r="BF164" s="338">
        <f>4*([5]SAS_NSA_2023_4T!$E$299*[5]SAS_NSA_2023_4T!$D$299 + [5]SAS_NSA_2023_4T!$E$300*[5]SAS_NSA_2023_4T!$D$300) / ([5]SAS_NSA_2023_4T!$D$299+[5]SAS_NSA_2023_4T!$D$300)</f>
        <v>11130.500814299892</v>
      </c>
      <c r="BG164" s="338">
        <f>4*([6]SAS_NSA_2024_1T!$E$299*[6]SAS_NSA_2024_1T!$D$299 + [6]SAS_NSA_2024_1T!$E$301*[6]SAS_NSA_2024_1T!$D$301) / ([6]SAS_NSA_2024_1T!$D$299+[6]SAS_NSA_2024_1T!$D$301)</f>
        <v>11725.678311563621</v>
      </c>
      <c r="BH164" s="338">
        <f>4*([7]SAS_NSA_2024_2T!$E$299*[7]SAS_NSA_2024_2T!$D$299 + [7]SAS_NSA_2024_2T!$E$300*[7]SAS_NSA_2024_2T!$D$300) / ([7]SAS_NSA_2024_2T!$D$299+[7]SAS_NSA_2024_2T!$D$300)</f>
        <v>11758.426849525813</v>
      </c>
      <c r="BI164" s="338">
        <f>4*([8]SAS_NSA_2024_3T!$E$300*[8]SAS_NSA_2024_3T!$D$300 + [8]SAS_NSA_2024_3T!$E$301*[8]SAS_NSA_2024_3T!$D$301) / ([8]SAS_NSA_2024_3T!$D$300+[8]SAS_NSA_2024_3T!$D$301)</f>
        <v>11784.447380981028</v>
      </c>
      <c r="BJ164" s="338">
        <f>4*([9]SAS_NSA_2024_4T!$E$299*[9]SAS_NSA_2024_4T!$D$299 + [9]SAS_NSA_2024_4T!$E$300*[9]SAS_NSA_2024_4T!$D$300) / ([9]SAS_NSA_2024_4T!$D$299+[9]SAS_NSA_2024_4T!$D$300)</f>
        <v>11803.260652803106</v>
      </c>
    </row>
    <row r="165" spans="1:62" x14ac:dyDescent="0.25">
      <c r="A165" s="463" t="s">
        <v>18</v>
      </c>
      <c r="AX165" s="338">
        <f>4*[58]SAS_NSA_2021_4T!$E$292</f>
        <v>9478.2690403344004</v>
      </c>
      <c r="AY165" s="338">
        <f>4*[59]SAS_NSA_2022_1T!$E$300</f>
        <v>11865.78499763316</v>
      </c>
      <c r="AZ165" s="338">
        <f>4*[60]SAS_NSA_2022_2T!$E$300</f>
        <v>11888.689342617719</v>
      </c>
      <c r="BA165" s="338">
        <f>4*[61]SAS_NSA_2022_3T!$E$300</f>
        <v>12379.05157706568</v>
      </c>
      <c r="BB165" s="338">
        <f>4*[62]SAS_NSA_2022_4T!$E$300</f>
        <v>12332.3370764716</v>
      </c>
      <c r="BC165" s="338">
        <f>4*[2]SAS_NSA_2023_1T!$E$300</f>
        <v>12519.81387348084</v>
      </c>
      <c r="BD165" s="338">
        <f>4*[3]SAS_NSA_2023_2T!$E$300</f>
        <v>12539.29357052096</v>
      </c>
      <c r="BE165" s="338">
        <f>4*[4]SAS_NSA_2023_3T!$E$301</f>
        <v>12562.56869933392</v>
      </c>
      <c r="BF165" s="338">
        <f>4*[5]SAS_NSA_2023_4T!$E$300</f>
        <v>12585.11611522804</v>
      </c>
      <c r="BG165" s="338">
        <f>4*[6]SAS_NSA_2024_1T!$E$301</f>
        <v>13256.266308038519</v>
      </c>
      <c r="BH165" s="338">
        <f>4*[7]SAS_NSA_2024_2T!$E$300</f>
        <v>13287.612003438921</v>
      </c>
      <c r="BI165" s="338">
        <f>4*[8]SAS_NSA_2024_3T!$E$301</f>
        <v>13307.660699394</v>
      </c>
      <c r="BJ165" s="338">
        <f>4*[9]SAS_NSA_2024_4T!$E$300</f>
        <v>13330.235463150801</v>
      </c>
    </row>
    <row r="166" spans="1:62" ht="13" thickBot="1" x14ac:dyDescent="0.3">
      <c r="A166" s="464" t="s">
        <v>29</v>
      </c>
      <c r="AX166" s="338">
        <f>4*[58]SAS_NSA_2021_4T!$E$291</f>
        <v>10187.781918574479</v>
      </c>
      <c r="AY166" s="338">
        <f>4*[59]SAS_NSA_2022_1T!$E$298</f>
        <v>10486.527152008999</v>
      </c>
      <c r="AZ166" s="338">
        <f>4*[60]SAS_NSA_2022_2T!$E$298</f>
        <v>10504.17107005976</v>
      </c>
      <c r="BA166" s="338">
        <f>4*[61]SAS_NSA_2022_3T!$E$298</f>
        <v>10935.70029755076</v>
      </c>
      <c r="BB166" s="338">
        <f>4*[62]SAS_NSA_2022_4T!$E$298</f>
        <v>10910.485782124681</v>
      </c>
      <c r="BC166" s="338">
        <f>4*[2]SAS_NSA_2023_1T!$E$298</f>
        <v>11051.39668043112</v>
      </c>
      <c r="BD166" s="338">
        <f>4*[3]SAS_NSA_2023_2T!$E$298</f>
        <v>11082.063277478879</v>
      </c>
      <c r="BE166" s="338">
        <f>4*[4]SAS_NSA_2023_3T!$E$299</f>
        <v>11107.425082339039</v>
      </c>
      <c r="BF166" s="338">
        <f>4*[5]SAS_NSA_2023_4T!$E$298</f>
        <v>11130.19133529556</v>
      </c>
      <c r="BG166" s="338">
        <f>4*[6]SAS_NSA_2024_1T!$E$298</f>
        <v>11725.065992784441</v>
      </c>
      <c r="BH166" s="338">
        <f>4*[7]SAS_NSA_2024_2T!$E$298</f>
        <v>11758.138204729559</v>
      </c>
      <c r="BI166" s="338">
        <f>4*[8]SAS_NSA_2024_3T!$E$299</f>
        <v>11784.10503162404</v>
      </c>
      <c r="BJ166" s="338">
        <f>4*[9]SAS_NSA_2024_4T!$E$298</f>
        <v>11803.01382284176</v>
      </c>
    </row>
    <row r="170" spans="1:62" x14ac:dyDescent="0.25">
      <c r="A170" s="300"/>
    </row>
  </sheetData>
  <phoneticPr fontId="2" type="noConversion"/>
  <pageMargins left="0.39370078740157483" right="0.39370078740157483" top="0.27559055118110237" bottom="0.35433070866141736" header="0.19685039370078741" footer="0.47244094488188981"/>
  <pageSetup paperSize="9" scale="70" orientation="landscape" r:id="rId1"/>
  <headerFooter alignWithMargins="0"/>
  <rowBreaks count="1" manualBreakCount="1">
    <brk id="62"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A1:BJ90"/>
  <sheetViews>
    <sheetView workbookViewId="0">
      <pane xSplit="1" ySplit="8" topLeftCell="BB57" activePane="bottomRight" state="frozen"/>
      <selection pane="topRight" activeCell="B1" sqref="B1"/>
      <selection pane="bottomLeft" activeCell="A9" sqref="A9"/>
      <selection pane="bottomRight" activeCell="BK1" sqref="BK1"/>
    </sheetView>
  </sheetViews>
  <sheetFormatPr baseColWidth="10" defaultColWidth="11.453125" defaultRowHeight="12.5" x14ac:dyDescent="0.25"/>
  <cols>
    <col min="1" max="1" width="66.7265625" style="4" customWidth="1"/>
    <col min="2" max="2" width="11.7265625" style="4" bestFit="1" customWidth="1"/>
    <col min="3" max="3" width="10.81640625" style="35" customWidth="1"/>
    <col min="4" max="6" width="11.7265625" style="35" bestFit="1" customWidth="1"/>
    <col min="7" max="7" width="9.7265625" style="35" bestFit="1" customWidth="1"/>
    <col min="8" max="10" width="11.7265625" style="35" bestFit="1" customWidth="1"/>
    <col min="11" max="11" width="10.54296875" style="35" customWidth="1"/>
    <col min="12" max="13" width="11.453125" style="4"/>
    <col min="14" max="17" width="11.7265625" style="35" bestFit="1" customWidth="1"/>
    <col min="18" max="18" width="11.7265625" style="177" bestFit="1" customWidth="1"/>
    <col min="19" max="27" width="11.7265625" style="175" bestFit="1" customWidth="1"/>
    <col min="28" max="32" width="11.7265625" style="175" customWidth="1"/>
    <col min="33" max="34" width="11.453125" style="4"/>
    <col min="35" max="50" width="10.81640625" style="4" customWidth="1"/>
    <col min="51" max="53" width="11.453125" style="4"/>
    <col min="54" max="54" width="11.453125" style="4" customWidth="1"/>
    <col min="55" max="16384" width="11.453125" style="4"/>
  </cols>
  <sheetData>
    <row r="1" spans="1:62" ht="15.5" x14ac:dyDescent="0.35">
      <c r="A1" s="125" t="str">
        <f>'A)NSA Nb'!A1</f>
        <v>Les Retraites du Régime des Non Salariés Agricoles (métropole)</v>
      </c>
      <c r="B1" s="126"/>
      <c r="C1" s="126"/>
      <c r="D1" s="126"/>
      <c r="E1" s="126"/>
      <c r="F1" s="126"/>
      <c r="G1" s="126"/>
      <c r="H1" s="126"/>
      <c r="I1" s="126"/>
      <c r="J1" s="126"/>
      <c r="K1" s="126"/>
      <c r="L1" s="126"/>
      <c r="M1" s="126"/>
      <c r="N1" s="126"/>
      <c r="O1" s="126"/>
      <c r="P1" s="126"/>
      <c r="Q1" s="126"/>
      <c r="R1" s="176"/>
      <c r="S1" s="199"/>
      <c r="T1" s="199"/>
      <c r="U1" s="199"/>
      <c r="V1" s="199"/>
      <c r="W1" s="199"/>
      <c r="X1" s="199"/>
      <c r="Y1" s="199"/>
      <c r="Z1" s="199"/>
      <c r="AA1" s="199"/>
      <c r="AB1" s="199"/>
      <c r="AC1" s="199"/>
      <c r="AD1" s="199"/>
      <c r="AE1" s="199"/>
      <c r="AF1" s="199"/>
      <c r="AG1" s="199"/>
      <c r="AH1" s="199"/>
      <c r="AI1" s="199"/>
      <c r="AJ1" s="199"/>
      <c r="AM1" s="199"/>
      <c r="AN1" s="199"/>
      <c r="AO1" s="199"/>
      <c r="AP1" s="199"/>
      <c r="AQ1" s="199"/>
      <c r="AR1" s="199"/>
      <c r="AS1" s="199"/>
      <c r="AT1" s="199"/>
      <c r="AU1" s="199"/>
      <c r="AV1" s="199"/>
      <c r="AW1" s="199"/>
      <c r="AX1" s="199"/>
    </row>
    <row r="2" spans="1:62" ht="15.5" x14ac:dyDescent="0.35">
      <c r="A2" s="125" t="str">
        <f>'A)NSA Nb'!A2</f>
        <v>Elements démographiques et financiers</v>
      </c>
      <c r="B2" s="126"/>
      <c r="C2" s="126"/>
      <c r="D2" s="126"/>
      <c r="E2" s="126"/>
      <c r="F2" s="126"/>
      <c r="G2" s="126"/>
      <c r="H2" s="126"/>
      <c r="I2" s="126"/>
      <c r="J2" s="126"/>
      <c r="K2" s="126"/>
      <c r="L2" s="126"/>
      <c r="M2" s="126"/>
      <c r="N2" s="126"/>
      <c r="O2" s="126"/>
      <c r="P2" s="126"/>
      <c r="Q2" s="126"/>
      <c r="R2" s="176"/>
      <c r="S2" s="199"/>
      <c r="T2" s="199"/>
      <c r="U2" s="199"/>
      <c r="V2" s="199"/>
      <c r="W2" s="199"/>
      <c r="X2" s="199"/>
      <c r="Y2" s="199"/>
      <c r="Z2" s="199"/>
      <c r="AA2" s="199"/>
      <c r="AB2" s="199"/>
      <c r="AC2" s="199"/>
      <c r="AD2" s="199"/>
      <c r="AE2" s="199"/>
      <c r="AF2" s="199"/>
      <c r="AG2" s="199"/>
      <c r="AH2" s="199"/>
      <c r="AI2" s="199"/>
      <c r="AJ2" s="199"/>
      <c r="AM2" s="199"/>
      <c r="AN2" s="199"/>
      <c r="AO2" s="199"/>
      <c r="AP2" s="199"/>
      <c r="AQ2" s="199"/>
      <c r="AR2" s="199"/>
      <c r="AS2" s="199"/>
      <c r="AT2" s="199"/>
      <c r="AU2" s="199"/>
      <c r="AV2" s="199"/>
      <c r="AW2" s="199"/>
      <c r="AX2" s="199"/>
    </row>
    <row r="3" spans="1:62" ht="13" x14ac:dyDescent="0.3">
      <c r="A3" s="127" t="s">
        <v>85</v>
      </c>
      <c r="B3" s="126"/>
      <c r="C3" s="126"/>
      <c r="D3" s="126"/>
      <c r="E3" s="126"/>
      <c r="F3" s="126"/>
      <c r="G3" s="126"/>
      <c r="H3" s="126"/>
      <c r="I3" s="126"/>
      <c r="J3" s="126"/>
      <c r="K3" s="126"/>
      <c r="L3" s="126"/>
      <c r="M3" s="126"/>
      <c r="N3" s="126"/>
      <c r="O3" s="126"/>
      <c r="P3" s="126"/>
      <c r="Q3" s="126"/>
      <c r="R3" s="176"/>
      <c r="S3" s="199"/>
      <c r="T3" s="199"/>
      <c r="U3" s="199"/>
      <c r="V3" s="199"/>
      <c r="W3" s="199"/>
      <c r="X3" s="199"/>
      <c r="Y3" s="199"/>
      <c r="Z3" s="199"/>
      <c r="AA3" s="199"/>
      <c r="AB3" s="199"/>
      <c r="AC3" s="199"/>
      <c r="AD3" s="199"/>
      <c r="AE3" s="199"/>
      <c r="AF3" s="199"/>
      <c r="AG3" s="199"/>
      <c r="AH3" s="199"/>
      <c r="AI3" s="199"/>
      <c r="AJ3" s="199"/>
      <c r="AM3" s="199"/>
      <c r="AN3" s="199"/>
      <c r="AO3" s="199"/>
      <c r="AP3" s="199"/>
      <c r="AQ3" s="199"/>
      <c r="AR3" s="199"/>
      <c r="AS3" s="199"/>
      <c r="AT3" s="199"/>
      <c r="AU3" s="199"/>
      <c r="AV3" s="199"/>
      <c r="AW3" s="199"/>
      <c r="AX3" s="199"/>
    </row>
    <row r="4" spans="1:62" ht="13" x14ac:dyDescent="0.3">
      <c r="A4" s="128" t="s">
        <v>26</v>
      </c>
      <c r="B4" s="126"/>
      <c r="C4" s="126"/>
      <c r="D4" s="126"/>
      <c r="E4" s="126"/>
      <c r="F4" s="126"/>
      <c r="G4" s="126"/>
      <c r="H4" s="126"/>
      <c r="I4" s="126"/>
      <c r="J4" s="126"/>
      <c r="K4" s="126"/>
      <c r="L4" s="126"/>
      <c r="M4" s="126"/>
      <c r="N4" s="126"/>
      <c r="O4" s="126"/>
      <c r="P4" s="126"/>
      <c r="Q4" s="126"/>
      <c r="R4" s="176"/>
      <c r="S4" s="199"/>
      <c r="T4" s="199"/>
      <c r="U4" s="199"/>
      <c r="V4" s="199"/>
      <c r="W4" s="199"/>
      <c r="X4" s="199"/>
      <c r="Y4" s="199"/>
      <c r="Z4" s="199"/>
      <c r="AA4" s="199"/>
      <c r="AB4" s="199"/>
      <c r="AC4" s="199"/>
      <c r="AD4" s="199"/>
      <c r="AE4" s="199"/>
      <c r="AF4" s="199"/>
      <c r="AG4" s="199"/>
      <c r="AH4" s="199"/>
      <c r="AI4" s="199"/>
      <c r="AJ4" s="199"/>
      <c r="AM4" s="199"/>
      <c r="AN4" s="199"/>
      <c r="AO4" s="199"/>
      <c r="AP4" s="199"/>
      <c r="AQ4" s="199"/>
      <c r="AR4" s="199"/>
      <c r="AS4" s="199"/>
      <c r="AT4" s="199"/>
      <c r="AU4" s="199"/>
      <c r="AV4" s="199"/>
      <c r="AW4" s="199"/>
      <c r="AX4" s="199"/>
    </row>
    <row r="5" spans="1:62" ht="13.5" thickBot="1" x14ac:dyDescent="0.35">
      <c r="A5" s="11"/>
      <c r="B5" s="7"/>
      <c r="C5" s="52"/>
      <c r="D5" s="52"/>
      <c r="E5" s="52"/>
      <c r="F5" s="52"/>
      <c r="G5" s="52"/>
      <c r="H5" s="52"/>
      <c r="I5" s="52"/>
      <c r="J5" s="52"/>
      <c r="K5" s="52"/>
      <c r="L5" s="52"/>
      <c r="M5" s="52"/>
      <c r="N5" s="52"/>
      <c r="O5" s="52"/>
      <c r="P5" s="52"/>
      <c r="Q5" s="52"/>
      <c r="R5" s="205"/>
      <c r="S5" s="212"/>
      <c r="T5" s="212"/>
      <c r="U5" s="212"/>
      <c r="V5" s="212"/>
      <c r="W5" s="212"/>
      <c r="X5" s="212"/>
      <c r="Y5" s="212"/>
      <c r="Z5" s="212"/>
      <c r="AA5" s="212"/>
      <c r="AB5" s="212"/>
      <c r="AC5" s="212"/>
      <c r="AD5" s="212"/>
      <c r="AE5" s="212"/>
      <c r="AF5" s="212"/>
      <c r="AG5" s="212"/>
      <c r="AH5" s="212"/>
      <c r="AI5" s="212"/>
      <c r="AJ5" s="216"/>
      <c r="AM5" s="212"/>
      <c r="AN5" s="212"/>
      <c r="AO5" s="212"/>
      <c r="AP5" s="212"/>
      <c r="AQ5" s="212"/>
      <c r="AR5" s="212"/>
      <c r="AS5" s="212"/>
      <c r="AT5" s="212"/>
      <c r="AU5" s="212"/>
      <c r="AV5" s="212"/>
      <c r="AW5" s="212"/>
      <c r="AX5" s="212"/>
    </row>
    <row r="6" spans="1:62" ht="13" x14ac:dyDescent="0.3">
      <c r="A6" s="1"/>
      <c r="L6" s="35"/>
      <c r="M6" s="35"/>
      <c r="AG6" s="175"/>
      <c r="AH6" s="175"/>
      <c r="AI6" s="175"/>
      <c r="AJ6" s="175"/>
      <c r="AM6" s="175"/>
      <c r="AN6" s="175"/>
      <c r="AO6" s="175"/>
      <c r="AQ6" s="175"/>
      <c r="AR6" s="175"/>
      <c r="AS6" s="175"/>
      <c r="AT6" s="175"/>
      <c r="AU6" s="175"/>
      <c r="AV6" s="175"/>
      <c r="AW6" s="175"/>
      <c r="AX6" s="430" t="s">
        <v>251</v>
      </c>
    </row>
    <row r="7" spans="1:62" ht="13" x14ac:dyDescent="0.3">
      <c r="A7" s="25" t="s">
        <v>9</v>
      </c>
      <c r="L7" s="35"/>
      <c r="M7" s="35"/>
      <c r="AG7" s="175"/>
      <c r="AH7" s="175"/>
      <c r="AI7" s="175"/>
      <c r="AJ7" s="175"/>
      <c r="AM7" s="175"/>
      <c r="AN7" s="175"/>
      <c r="AO7" s="175"/>
      <c r="AQ7" s="175"/>
      <c r="AR7" s="175"/>
      <c r="AS7" s="175"/>
      <c r="AT7" s="175"/>
      <c r="AU7" s="175"/>
      <c r="AV7" s="175"/>
      <c r="AW7" s="175"/>
      <c r="AX7" s="435"/>
      <c r="BB7" s="388" t="s">
        <v>241</v>
      </c>
    </row>
    <row r="8" spans="1:62" x14ac:dyDescent="0.25">
      <c r="A8" s="5"/>
      <c r="B8" s="2" t="str">
        <f>'A)NSA Nb'!B8</f>
        <v>4eme T 2009</v>
      </c>
      <c r="C8" s="38" t="str">
        <f>'A)NSA Nb'!C8</f>
        <v>1er T 2010</v>
      </c>
      <c r="D8" s="38" t="str">
        <f>'A)NSA Nb'!D8</f>
        <v>2eme T 2010</v>
      </c>
      <c r="E8" s="38" t="str">
        <f>'A)NSA Nb'!E8</f>
        <v>3eme T 2010</v>
      </c>
      <c r="F8" s="38" t="str">
        <f>'A)NSA Nb'!F8</f>
        <v>4eme T 2010</v>
      </c>
      <c r="G8" s="38" t="str">
        <f>'A)NSA Nb'!G8</f>
        <v>1er T 2011</v>
      </c>
      <c r="H8" s="38" t="str">
        <f>'A)NSA Nb'!H8</f>
        <v>2eme T 2011</v>
      </c>
      <c r="I8" s="38" t="str">
        <f>'A)NSA Nb'!I8</f>
        <v>3eme T 2011</v>
      </c>
      <c r="J8" s="38" t="str">
        <f>'A)NSA Nb'!J8</f>
        <v>4eme T 2011</v>
      </c>
      <c r="K8" s="38" t="str">
        <f>'A)NSA Nb'!K8</f>
        <v>1er T 2012</v>
      </c>
      <c r="L8" s="38" t="str">
        <f>'A)NSA Nb'!L8</f>
        <v>2eme T 2012</v>
      </c>
      <c r="M8" s="38" t="str">
        <f>'A)NSA Nb'!M8</f>
        <v>3eme T 2012</v>
      </c>
      <c r="N8" s="38" t="str">
        <f>'A)NSA Nb'!N8</f>
        <v>4eme T 2012</v>
      </c>
      <c r="O8" s="38" t="str">
        <f>'A)NSA Nb'!O8</f>
        <v>1er T 2013</v>
      </c>
      <c r="P8" s="38" t="str">
        <f>'A)NSA Nb'!P8</f>
        <v>2eme T 2013</v>
      </c>
      <c r="Q8" s="38" t="str">
        <f>'A)NSA Nb'!Q8</f>
        <v>3ème T 2013</v>
      </c>
      <c r="R8" s="178" t="str">
        <f>'A)NSA Nb'!R8</f>
        <v>4ème T 2013</v>
      </c>
      <c r="S8" s="178" t="str">
        <f>'A)NSA Nb'!S8</f>
        <v>1er T 2014</v>
      </c>
      <c r="T8" s="178" t="str">
        <f>'A)NSA Nb'!T8</f>
        <v>2eme T 2014</v>
      </c>
      <c r="U8" s="178" t="str">
        <f>'A)NSA Nb'!U8</f>
        <v>3T 2014</v>
      </c>
      <c r="V8" s="178" t="str">
        <f>'A)NSA Nb'!V8</f>
        <v>4ème T 2014</v>
      </c>
      <c r="W8" s="178" t="str">
        <f>'A)NSA Nb'!W8</f>
        <v>1er T 2015</v>
      </c>
      <c r="X8" s="178" t="str">
        <f>'A)NSA Nb'!X8</f>
        <v>2e T 2015</v>
      </c>
      <c r="Y8" s="178" t="str">
        <f>'A)NSA Nb'!Y8</f>
        <v>3e T 2015</v>
      </c>
      <c r="Z8" s="178" t="str">
        <f>'A)NSA Nb'!Z8</f>
        <v>4e T 2015</v>
      </c>
      <c r="AA8" s="178" t="str">
        <f>'A)NSA Nb'!AA8</f>
        <v>1er T 2016</v>
      </c>
      <c r="AB8" s="178" t="str">
        <f>'A)NSA Nb'!AB8</f>
        <v>2e T 2016</v>
      </c>
      <c r="AC8" s="178" t="str">
        <f>'A)NSA Nb'!AC8</f>
        <v>3e T 2016</v>
      </c>
      <c r="AD8" s="178" t="str">
        <f>'A)NSA Nb'!AD8</f>
        <v>4e T 2016</v>
      </c>
      <c r="AE8" s="178" t="str">
        <f>'A)NSA Nb'!AE8</f>
        <v>2017 - T1</v>
      </c>
      <c r="AF8" s="178" t="str">
        <f>'A)NSA Nb'!AF8</f>
        <v>2017 - T2</v>
      </c>
      <c r="AG8" s="178" t="str">
        <f>'A)NSA Nb'!AG8</f>
        <v>2017- T3</v>
      </c>
      <c r="AH8" s="178" t="str">
        <f>'A)NSA Nb'!AH8</f>
        <v>2017 - T4</v>
      </c>
      <c r="AI8" s="178" t="str">
        <f>'A)NSA Nb'!AI8</f>
        <v>2018 - T1</v>
      </c>
      <c r="AJ8" s="178" t="str">
        <f>'A)NSA Nb'!AJ8</f>
        <v>2018 - T2</v>
      </c>
      <c r="AK8" s="178" t="str">
        <f>'A)NSA Nb'!AK8</f>
        <v>2018 - T3</v>
      </c>
      <c r="AL8" s="178" t="str">
        <f>'A)NSA Nb'!AL8</f>
        <v>2018 - T4</v>
      </c>
      <c r="AM8" s="178" t="str">
        <f>'A)NSA Nb'!AM8</f>
        <v>2019 - T1</v>
      </c>
      <c r="AN8" s="178" t="str">
        <f>'A)NSA Nb'!AN8</f>
        <v>2019 - T2</v>
      </c>
      <c r="AO8" s="178" t="str">
        <f>'A)NSA Nb'!AO8</f>
        <v>2019 - T3</v>
      </c>
      <c r="AP8" s="178" t="str">
        <f>'A)NSA Nb'!AP8</f>
        <v>2019 - T4</v>
      </c>
      <c r="AQ8" s="178" t="str">
        <f>'A)NSA Nb'!AQ8</f>
        <v>2020 - T1</v>
      </c>
      <c r="AR8" s="178" t="str">
        <f>'A)NSA Nb'!AR8</f>
        <v>2020 - T2</v>
      </c>
      <c r="AS8" s="178" t="str">
        <f>'A)NSA Nb'!AS8</f>
        <v>2020 - T3</v>
      </c>
      <c r="AT8" s="178" t="str">
        <f>'A)NSA Nb'!AT8</f>
        <v>2020- T4</v>
      </c>
      <c r="AU8" s="178" t="str">
        <f>'A)NSA Nb'!AU8</f>
        <v>2021- T1</v>
      </c>
      <c r="AV8" s="178" t="str">
        <f>'A)NSA Nb'!AV8</f>
        <v>2021- T2</v>
      </c>
      <c r="AW8" s="178" t="str">
        <f>'A)NSA Nb'!AW8</f>
        <v>2021- T3</v>
      </c>
      <c r="AX8" s="403" t="str">
        <f>'A)NSA Nb'!AX8</f>
        <v>2021- T4</v>
      </c>
      <c r="AY8" s="178" t="str">
        <f>'A)NSA Nb'!AY8</f>
        <v>2022- T1</v>
      </c>
      <c r="AZ8" s="178" t="str">
        <f>'A)NSA Nb'!AZ8</f>
        <v>2022- T2</v>
      </c>
      <c r="BA8" s="178" t="s">
        <v>238</v>
      </c>
      <c r="BB8" s="178" t="s">
        <v>240</v>
      </c>
      <c r="BC8" s="450" t="s">
        <v>252</v>
      </c>
      <c r="BD8" s="450" t="s">
        <v>255</v>
      </c>
      <c r="BE8" s="450" t="s">
        <v>259</v>
      </c>
      <c r="BF8" s="450" t="s">
        <v>270</v>
      </c>
      <c r="BG8" s="450" t="s">
        <v>280</v>
      </c>
      <c r="BH8" s="450" t="s">
        <v>282</v>
      </c>
      <c r="BI8" s="450" t="s">
        <v>284</v>
      </c>
      <c r="BJ8" s="450" t="s">
        <v>286</v>
      </c>
    </row>
    <row r="9" spans="1:62" x14ac:dyDescent="0.25">
      <c r="A9" s="20" t="s">
        <v>27</v>
      </c>
      <c r="B9" s="343">
        <f t="shared" ref="B9:G9" si="0">B11-B10</f>
        <v>354102</v>
      </c>
      <c r="C9" s="343">
        <f t="shared" si="0"/>
        <v>354010</v>
      </c>
      <c r="D9" s="343">
        <f t="shared" si="0"/>
        <v>352165</v>
      </c>
      <c r="E9" s="343">
        <f t="shared" si="0"/>
        <v>350133</v>
      </c>
      <c r="F9" s="343">
        <f t="shared" si="0"/>
        <v>349271</v>
      </c>
      <c r="G9" s="343">
        <f t="shared" si="0"/>
        <v>349506</v>
      </c>
      <c r="H9" s="343">
        <f t="shared" ref="H9:M9" si="1">H11-H10</f>
        <v>346286</v>
      </c>
      <c r="I9" s="343">
        <f t="shared" si="1"/>
        <v>343846</v>
      </c>
      <c r="J9" s="343">
        <f t="shared" si="1"/>
        <v>342153</v>
      </c>
      <c r="K9" s="343">
        <f t="shared" si="1"/>
        <v>342358</v>
      </c>
      <c r="L9" s="343">
        <f t="shared" si="1"/>
        <v>338491</v>
      </c>
      <c r="M9" s="343">
        <f t="shared" si="1"/>
        <v>335426</v>
      </c>
      <c r="N9" s="343">
        <f t="shared" ref="N9:S9" si="2">N11-N10</f>
        <v>333626</v>
      </c>
      <c r="O9" s="343">
        <f t="shared" si="2"/>
        <v>333637</v>
      </c>
      <c r="P9" s="343">
        <f t="shared" si="2"/>
        <v>330177</v>
      </c>
      <c r="Q9" s="343">
        <f t="shared" si="2"/>
        <v>328526</v>
      </c>
      <c r="R9" s="333">
        <f t="shared" si="2"/>
        <v>327922</v>
      </c>
      <c r="S9" s="333">
        <f t="shared" si="2"/>
        <v>326462</v>
      </c>
      <c r="T9" s="333">
        <f t="shared" ref="T9:U9" si="3">T11-T10</f>
        <v>334946</v>
      </c>
      <c r="U9" s="333">
        <f t="shared" si="3"/>
        <v>333247</v>
      </c>
      <c r="V9" s="333">
        <f t="shared" ref="V9:W9" si="4">V11-V10</f>
        <v>335090</v>
      </c>
      <c r="W9" s="333">
        <f t="shared" si="4"/>
        <v>334745</v>
      </c>
      <c r="X9" s="333">
        <f t="shared" ref="X9:Y9" si="5">X11-X10</f>
        <v>332033</v>
      </c>
      <c r="Y9" s="333">
        <f t="shared" si="5"/>
        <v>330095</v>
      </c>
      <c r="Z9" s="333">
        <f t="shared" ref="Z9:AA9" si="6">Z11-Z10</f>
        <v>329868</v>
      </c>
      <c r="AA9" s="333">
        <f t="shared" si="6"/>
        <v>330138</v>
      </c>
      <c r="AB9" s="333">
        <f t="shared" ref="AB9" si="7">AB11-AB10</f>
        <v>328407</v>
      </c>
      <c r="AC9" s="333">
        <f t="shared" ref="AC9:AH9" si="8">AC11-AC10</f>
        <v>327015</v>
      </c>
      <c r="AD9" s="333">
        <f t="shared" si="8"/>
        <v>326723</v>
      </c>
      <c r="AE9" s="333">
        <f t="shared" si="8"/>
        <v>326522</v>
      </c>
      <c r="AF9" s="333">
        <f t="shared" si="8"/>
        <v>324441</v>
      </c>
      <c r="AG9" s="333">
        <f t="shared" si="8"/>
        <v>323329</v>
      </c>
      <c r="AH9" s="333">
        <f t="shared" si="8"/>
        <v>323637</v>
      </c>
      <c r="AI9" s="333">
        <f t="shared" ref="AI9" si="9">AI11-AI10</f>
        <v>324055</v>
      </c>
      <c r="AJ9" s="333">
        <f>AJ11-AJ10</f>
        <v>322206</v>
      </c>
      <c r="AK9" s="470">
        <f>[45]SAS_NSA_2018_3T!$B$221</f>
        <v>321092</v>
      </c>
      <c r="AL9" s="470">
        <f>[46]SAS_NSA_2018_4T!$C$221</f>
        <v>321486</v>
      </c>
      <c r="AM9" s="333">
        <f>[47]SAS_NSA_2019_1T!$B$221</f>
        <v>321664</v>
      </c>
      <c r="AN9" s="333">
        <f>[48]SAS_NSA_2019_2T!$B$221</f>
        <v>319742</v>
      </c>
      <c r="AO9" s="333">
        <f>[49]SAS_NSA_2019_3T!$B221</f>
        <v>318583</v>
      </c>
      <c r="AP9" s="333">
        <f>[50]SAS_NSA_2019_4T!$B$221</f>
        <v>319183</v>
      </c>
      <c r="AQ9" s="333">
        <f>[51]SAS_NSA_2020_1T!$B$204</f>
        <v>319735</v>
      </c>
      <c r="AR9" s="333">
        <f>[52]SAS_NSA_2020_2T!$B$204</f>
        <v>317810</v>
      </c>
      <c r="AS9" s="333">
        <f>[53]SAS_NSA_2020_3T!$B$204</f>
        <v>316045</v>
      </c>
      <c r="AT9" s="333">
        <f>[54]SAS_NSA_2020_4T!$B$204</f>
        <v>316320</v>
      </c>
      <c r="AU9" s="333">
        <f>[55]SAS_NSA_2021_1T!$B$204</f>
        <v>315826</v>
      </c>
      <c r="AV9" s="333">
        <f>[56]SAS_NSA_2021_2T!$B$204</f>
        <v>313029</v>
      </c>
      <c r="AW9" s="333">
        <f>[57]SAS_NSA_2021_3T!$B$204</f>
        <v>311678</v>
      </c>
      <c r="AX9" s="404">
        <f>[58]SAS_NSA_2021_4T!$B$111</f>
        <v>312318</v>
      </c>
      <c r="AY9" s="333">
        <f>[59]SAS_NSA_2022_1T!$B$111</f>
        <v>312989</v>
      </c>
      <c r="AZ9" s="333">
        <f>[60]SAS_NSA_2022_2T!$B$111</f>
        <v>310994</v>
      </c>
      <c r="BA9" s="333">
        <f>[61]SAS_NSA_2022_3T!$B$111</f>
        <v>309747</v>
      </c>
      <c r="BB9" s="333">
        <f>[62]SAS_NSA_2022_4T!$B$111</f>
        <v>311221</v>
      </c>
      <c r="BC9" s="451">
        <f>[2]SAS_NSA_2023_1T!$B$111</f>
        <v>311055</v>
      </c>
      <c r="BD9" s="451">
        <f>[3]SAS_NSA_2023_2T!$B$111</f>
        <v>309933</v>
      </c>
      <c r="BE9" s="451">
        <f>[4]SAS_NSA_2023_3T!$B$111</f>
        <v>309337</v>
      </c>
      <c r="BF9" s="451">
        <f>[5]SAS_NSA_2023_4T!$B$111</f>
        <v>309753</v>
      </c>
      <c r="BG9" s="451">
        <f>[6]SAS_NSA_2024_1T!$B$111</f>
        <v>310435</v>
      </c>
      <c r="BH9" s="451">
        <f>[7]SAS_NSA_2024_2T!$B$111</f>
        <v>308274</v>
      </c>
      <c r="BI9" s="451">
        <f>[8]SAS_NSA_2024_3T!$B$111</f>
        <v>310743</v>
      </c>
      <c r="BJ9" s="451">
        <f>[9]SAS_NSA_2024_4T!$B$111</f>
        <v>311360</v>
      </c>
    </row>
    <row r="10" spans="1:62" x14ac:dyDescent="0.25">
      <c r="A10" s="20" t="s">
        <v>28</v>
      </c>
      <c r="B10" s="343">
        <f>[63]SAS_NSA_4T2009!$B$158</f>
        <v>108894</v>
      </c>
      <c r="C10" s="343">
        <f>[11]SAS_NSA_1T2010!$B$158</f>
        <v>110836</v>
      </c>
      <c r="D10" s="343">
        <f>[12]SAS_NSA_2T2010!$B$158</f>
        <v>153585</v>
      </c>
      <c r="E10" s="343">
        <f>[13]SAS_NSA_3T2010!$B$158</f>
        <v>155869</v>
      </c>
      <c r="F10" s="343">
        <f>[14]SAS_NSA_2010_4T!$B$158</f>
        <v>157835</v>
      </c>
      <c r="G10" s="343">
        <f>[15]SAS_NSA_2011_1T!$B$158</f>
        <v>161094</v>
      </c>
      <c r="H10" s="343">
        <f>[16]SAS_NSA_2011_2T!$B$158</f>
        <v>162732</v>
      </c>
      <c r="I10" s="343">
        <f>[17]SAS_NSA_2011_3T!$B$158</f>
        <v>164249</v>
      </c>
      <c r="J10" s="343">
        <f>[18]SAS_NSA_2011_4T!$B$158</f>
        <v>165995</v>
      </c>
      <c r="K10" s="343">
        <f>[19]SAS_NSA_2012_1T!$B$158</f>
        <v>169111</v>
      </c>
      <c r="L10" s="343">
        <f>'[20]120919-14H22S23-PROGRAM-TdB_STO'!$B$158</f>
        <v>170181</v>
      </c>
      <c r="M10" s="343">
        <f>'[21]121105-15H12S18-PROGRAM-TdB_STO'!$B$158</f>
        <v>171260</v>
      </c>
      <c r="N10" s="343">
        <f>[22]SAS_NSA_2012_4T!$B$158</f>
        <v>172922</v>
      </c>
      <c r="O10" s="343">
        <f>[23]SAS_NSA_2013_1T!$B$158</f>
        <v>175433</v>
      </c>
      <c r="P10" s="343">
        <f>[24]SAS_NSA_2013_2T!$B$158</f>
        <v>176464</v>
      </c>
      <c r="Q10" s="343">
        <f>[25]SAS_NSA_2013_3T!$B$158</f>
        <v>177928</v>
      </c>
      <c r="R10" s="333">
        <f>[26]SAS_NSA_2013_4T!$B$158</f>
        <v>179740</v>
      </c>
      <c r="S10" s="333">
        <f>[27]SAS_NSA_2014_1T!$B$158</f>
        <v>181576</v>
      </c>
      <c r="T10" s="333">
        <f>[28]SAS_NSA_2014_2T!$B$158</f>
        <v>396158</v>
      </c>
      <c r="U10" s="333">
        <f>[29]SAS_NSA_2014_3T!$B$158</f>
        <v>395346</v>
      </c>
      <c r="V10" s="333">
        <f>[30]SAS_NSA_2014_4T!$B$158</f>
        <v>394877</v>
      </c>
      <c r="W10" s="333">
        <f>[31]SAS_NSA_2015_1T!$B$158</f>
        <v>393371</v>
      </c>
      <c r="X10" s="333">
        <f>[32]SAS_NSA_2015_2T!$B$158</f>
        <v>389948</v>
      </c>
      <c r="Y10" s="333">
        <f>[33]SAS_NSA_2015_3T!$B$158</f>
        <v>387371</v>
      </c>
      <c r="Z10" s="333">
        <f>[34]SAS_NSA_2015_4T!$B$158</f>
        <v>385959</v>
      </c>
      <c r="AA10" s="333">
        <f>[35]SAS_NSA_2016_1T!$B$158</f>
        <v>384497</v>
      </c>
      <c r="AB10" s="333">
        <f>[36]SAS_NSA_2016_2T!$B$158</f>
        <v>381774</v>
      </c>
      <c r="AC10" s="333">
        <f>[37]SAS_NSA_2016_3T!$B$158</f>
        <v>379564</v>
      </c>
      <c r="AD10" s="333">
        <f>[38]SAS_NSA_2016_4T!$B$158</f>
        <v>377816</v>
      </c>
      <c r="AE10" s="333">
        <f>[39]SAS_NSA_2017_1T!$B$158</f>
        <v>375649</v>
      </c>
      <c r="AF10" s="333">
        <f>[40]SAS_NSA_2017_2T!$B$158</f>
        <v>372084</v>
      </c>
      <c r="AG10" s="333">
        <f>[41]SAS_NSA_2017_3T!$B$158</f>
        <v>369615</v>
      </c>
      <c r="AH10" s="333">
        <f>[42]SAS_NSA_2017_4T!$B$158</f>
        <v>367899</v>
      </c>
      <c r="AI10" s="333">
        <f>[64]SAS_NSA_2018_1T!$B$136</f>
        <v>366170</v>
      </c>
      <c r="AJ10" s="333">
        <f>[44]SAS_NSA_2018_2T!$B$160</f>
        <v>363014</v>
      </c>
      <c r="AK10" s="471">
        <f>[45]SAS_NSA_2018_3T!$B$222</f>
        <v>360925</v>
      </c>
      <c r="AL10" s="471">
        <f>[46]SAS_NSA_2018_4T!$B$222</f>
        <v>359556</v>
      </c>
      <c r="AM10" s="333">
        <f>[47]SAS_NSA_2019_1T!$B$222</f>
        <v>357720</v>
      </c>
      <c r="AN10" s="333">
        <f>[48]SAS_NSA_2019_2T!$B$222</f>
        <v>354545</v>
      </c>
      <c r="AO10" s="333">
        <f>[49]SAS_NSA_2019_3T!$B222</f>
        <v>352451</v>
      </c>
      <c r="AP10" s="333">
        <f>[50]SAS_NSA_2019_4T!$B$222</f>
        <v>351186</v>
      </c>
      <c r="AQ10" s="333">
        <f>[51]SAS_NSA_2020_1T!$B$205</f>
        <v>349576</v>
      </c>
      <c r="AR10" s="333">
        <f>[52]SAS_NSA_2020_2T!$B$205</f>
        <v>346480</v>
      </c>
      <c r="AS10" s="333">
        <f>[53]SAS_NSA_2020_3T!$B$205</f>
        <v>343756</v>
      </c>
      <c r="AT10" s="333">
        <f>[54]SAS_NSA_2020_4T!$B$205</f>
        <v>342111</v>
      </c>
      <c r="AU10" s="333">
        <f>[55]SAS_NSA_2021_1T!$B$205</f>
        <v>339789</v>
      </c>
      <c r="AV10" s="333">
        <f>[56]SAS_NSA_2021_2T!$B$205</f>
        <v>336170</v>
      </c>
      <c r="AW10" s="333">
        <f>[57]SAS_NSA_2021_3T!$B$205</f>
        <v>333740</v>
      </c>
      <c r="AX10" s="404">
        <f>[58]SAS_NSA_2021_4T!$B$112</f>
        <v>332377</v>
      </c>
      <c r="AY10" s="333">
        <f>[59]SAS_NSA_2022_1T!$B$112</f>
        <v>330542</v>
      </c>
      <c r="AZ10" s="333">
        <f>[60]SAS_NSA_2022_2T!$B$112</f>
        <v>327393</v>
      </c>
      <c r="BA10" s="333">
        <f>[61]SAS_NSA_2022_3T!$B$112</f>
        <v>325113</v>
      </c>
      <c r="BB10" s="333">
        <f>[62]SAS_NSA_2022_4T!$B$112</f>
        <v>324239</v>
      </c>
      <c r="BC10" s="22">
        <f>[2]SAS_NSA_2023_1T!$B$112</f>
        <v>321495</v>
      </c>
      <c r="BD10" s="22">
        <f>[3]SAS_NSA_2023_2T!$B$112</f>
        <v>319007</v>
      </c>
      <c r="BE10" s="22">
        <f>[4]SAS_NSA_2023_3T!$B$112</f>
        <v>317073</v>
      </c>
      <c r="BF10" s="22">
        <f>[5]SAS_NSA_2023_4T!$B$112</f>
        <v>315879</v>
      </c>
      <c r="BG10" s="22">
        <f>[6]SAS_NSA_2024_1T!$B$112</f>
        <v>314225</v>
      </c>
      <c r="BH10" s="22">
        <f>[7]SAS_NSA_2024_2T!$B$112</f>
        <v>311035</v>
      </c>
      <c r="BI10" s="22">
        <f>[8]SAS_NSA_2024_3T!$B$112</f>
        <v>320860</v>
      </c>
      <c r="BJ10" s="22">
        <f>[9]SAS_NSA_2024_4T!$B$112</f>
        <v>320070</v>
      </c>
    </row>
    <row r="11" spans="1:62" ht="13" x14ac:dyDescent="0.3">
      <c r="A11" s="20" t="s">
        <v>13</v>
      </c>
      <c r="B11" s="344">
        <f>'[188]31 dec n-3'!$B$7</f>
        <v>462996</v>
      </c>
      <c r="C11" s="344">
        <f>'[188]31 mars n-2'!$B$7</f>
        <v>464846</v>
      </c>
      <c r="D11" s="344">
        <f>'[188]30 juin n-2'!$B$7</f>
        <v>505750</v>
      </c>
      <c r="E11" s="344">
        <f>'[188]30 sept n-2'!$B$7</f>
        <v>506002</v>
      </c>
      <c r="F11" s="344">
        <f>'[188]31 dec n-2'!$B$7</f>
        <v>507106</v>
      </c>
      <c r="G11" s="344">
        <f>'[189]31 mars n-2'!$B$7</f>
        <v>510600</v>
      </c>
      <c r="H11" s="344">
        <f>'[189]30 juin n-2'!$B$7</f>
        <v>509018</v>
      </c>
      <c r="I11" s="344">
        <v>508095</v>
      </c>
      <c r="J11" s="344">
        <v>508148</v>
      </c>
      <c r="K11" s="345">
        <v>511469</v>
      </c>
      <c r="L11" s="344">
        <v>508672</v>
      </c>
      <c r="M11" s="344">
        <v>506686</v>
      </c>
      <c r="N11" s="345">
        <v>506548</v>
      </c>
      <c r="O11" s="345">
        <v>509070</v>
      </c>
      <c r="P11" s="344">
        <v>506641</v>
      </c>
      <c r="Q11" s="344">
        <v>506454</v>
      </c>
      <c r="R11" s="346">
        <v>507662</v>
      </c>
      <c r="S11" s="346">
        <v>508038</v>
      </c>
      <c r="T11" s="346">
        <v>731104</v>
      </c>
      <c r="U11" s="346">
        <v>728593</v>
      </c>
      <c r="V11" s="346">
        <v>729967</v>
      </c>
      <c r="W11" s="346">
        <v>728116</v>
      </c>
      <c r="X11" s="346">
        <v>721981</v>
      </c>
      <c r="Y11" s="346">
        <v>717466</v>
      </c>
      <c r="Z11" s="346">
        <v>715827</v>
      </c>
      <c r="AA11" s="346">
        <v>714635</v>
      </c>
      <c r="AB11" s="346">
        <v>710181</v>
      </c>
      <c r="AC11" s="346">
        <v>706579</v>
      </c>
      <c r="AD11" s="346">
        <v>704539</v>
      </c>
      <c r="AE11" s="346">
        <v>702171</v>
      </c>
      <c r="AF11" s="346">
        <v>696525</v>
      </c>
      <c r="AG11" s="346">
        <v>692944</v>
      </c>
      <c r="AH11" s="346">
        <v>691536</v>
      </c>
      <c r="AI11" s="346">
        <f>'[190]181210-16H05S02-PROGRAM-INDICAT'!$N$305</f>
        <v>690225</v>
      </c>
      <c r="AJ11" s="346">
        <f>'[191]180911-10H02S57-PROGRAM-INDICAT'!$N$296</f>
        <v>685220</v>
      </c>
      <c r="AK11" s="472">
        <f>'[192]181210-15H25S00-PROGRAM-INDICAT'!$N$306</f>
        <v>682017</v>
      </c>
      <c r="AL11" s="472">
        <f>[46]SAS_NSA_2018_4T!$C$222</f>
        <v>681042</v>
      </c>
      <c r="AM11" s="346">
        <f>AM10+AM9</f>
        <v>679384</v>
      </c>
      <c r="AN11" s="224">
        <f>[48]SAS_NSA_2019_2T!$C$222</f>
        <v>674287</v>
      </c>
      <c r="AO11" s="224">
        <f>[49]SAS_NSA_2019_3T!$C$222</f>
        <v>671034</v>
      </c>
      <c r="AP11" s="346">
        <f>[50]SAS_NSA_2019_4T!$C$222</f>
        <v>670369</v>
      </c>
      <c r="AQ11" s="346">
        <f>[51]SAS_NSA_2020_1T!$C$205</f>
        <v>669311</v>
      </c>
      <c r="AR11" s="346">
        <f>[52]SAS_NSA_2020_2T!$C$205</f>
        <v>664290</v>
      </c>
      <c r="AS11" s="346">
        <f>[53]SAS_NSA_2020_3T!$C$205</f>
        <v>659801</v>
      </c>
      <c r="AT11" s="346">
        <f>[54]SAS_NSA_2020_4T!$C$205</f>
        <v>658431</v>
      </c>
      <c r="AU11" s="346">
        <f>[55]SAS_NSA_2021_1T!$C$205</f>
        <v>655615</v>
      </c>
      <c r="AV11" s="346">
        <f>[56]SAS_NSA_2021_2T!$C$205</f>
        <v>649199</v>
      </c>
      <c r="AW11" s="346">
        <f t="shared" ref="AW11:BB11" si="10">SUM(AW9:AW10)</f>
        <v>645418</v>
      </c>
      <c r="AX11" s="404">
        <f t="shared" si="10"/>
        <v>644695</v>
      </c>
      <c r="AY11" s="454">
        <f t="shared" si="10"/>
        <v>643531</v>
      </c>
      <c r="AZ11" s="454">
        <f t="shared" si="10"/>
        <v>638387</v>
      </c>
      <c r="BA11" s="454">
        <f t="shared" si="10"/>
        <v>634860</v>
      </c>
      <c r="BB11" s="454">
        <f t="shared" si="10"/>
        <v>635460</v>
      </c>
      <c r="BC11" s="453">
        <f t="shared" ref="BC11:BD11" si="11">SUM(BC9:BC10)</f>
        <v>632550</v>
      </c>
      <c r="BD11" s="453">
        <f t="shared" si="11"/>
        <v>628940</v>
      </c>
      <c r="BE11" s="453">
        <f t="shared" ref="BE11:BF11" si="12">SUM(BE9:BE10)</f>
        <v>626410</v>
      </c>
      <c r="BF11" s="453">
        <f t="shared" si="12"/>
        <v>625632</v>
      </c>
      <c r="BG11" s="453">
        <f t="shared" ref="BG11:BH11" si="13">SUM(BG9:BG10)</f>
        <v>624660</v>
      </c>
      <c r="BH11" s="453">
        <f t="shared" si="13"/>
        <v>619309</v>
      </c>
      <c r="BI11" s="453">
        <f t="shared" ref="BI11:BJ11" si="14">SUM(BI9:BI10)</f>
        <v>631603</v>
      </c>
      <c r="BJ11" s="453">
        <f t="shared" si="14"/>
        <v>631430</v>
      </c>
    </row>
    <row r="12" spans="1:62" ht="13" x14ac:dyDescent="0.3">
      <c r="A12" s="14"/>
      <c r="B12" s="100">
        <f t="shared" ref="B12:G12" si="15">B10/B11</f>
        <v>0.23519425653785345</v>
      </c>
      <c r="C12" s="100">
        <f t="shared" si="15"/>
        <v>0.23843595513352808</v>
      </c>
      <c r="D12" s="100">
        <f t="shared" si="15"/>
        <v>0.3036777063766683</v>
      </c>
      <c r="E12" s="100">
        <f t="shared" si="15"/>
        <v>0.30804028442575326</v>
      </c>
      <c r="F12" s="100">
        <f t="shared" si="15"/>
        <v>0.31124656383478011</v>
      </c>
      <c r="G12" s="100">
        <f t="shared" si="15"/>
        <v>0.31549941245593421</v>
      </c>
      <c r="H12" s="100">
        <f t="shared" ref="H12:P12" si="16">H10/H11</f>
        <v>0.3196979281675697</v>
      </c>
      <c r="I12" s="100">
        <f t="shared" si="16"/>
        <v>0.32326435017073579</v>
      </c>
      <c r="J12" s="100">
        <f t="shared" si="16"/>
        <v>0.32666664042759197</v>
      </c>
      <c r="K12" s="100">
        <f t="shared" si="16"/>
        <v>0.33063782946767056</v>
      </c>
      <c r="L12" s="100">
        <f t="shared" si="16"/>
        <v>0.33455940173628584</v>
      </c>
      <c r="M12" s="100">
        <f t="shared" si="16"/>
        <v>0.33800026051637505</v>
      </c>
      <c r="N12" s="100">
        <f t="shared" si="16"/>
        <v>0.3413733742902943</v>
      </c>
      <c r="O12" s="100">
        <f t="shared" si="16"/>
        <v>0.3446146895318915</v>
      </c>
      <c r="P12" s="100">
        <f t="shared" si="16"/>
        <v>0.34830185476501113</v>
      </c>
      <c r="Q12" s="100">
        <f t="shared" ref="Q12:R12" si="17">Q10/Q11</f>
        <v>0.35132114663918146</v>
      </c>
      <c r="R12" s="194">
        <f t="shared" si="17"/>
        <v>0.35405446931225892</v>
      </c>
      <c r="S12" s="194">
        <f t="shared" ref="S12:T12" si="18">S10/S11</f>
        <v>0.35740633574653863</v>
      </c>
      <c r="T12" s="194">
        <f t="shared" si="18"/>
        <v>0.54186271720576007</v>
      </c>
      <c r="U12" s="194">
        <f>U10/U11</f>
        <v>0.54261569902538176</v>
      </c>
      <c r="V12" s="194">
        <f t="shared" ref="V12" si="19">V10/V11</f>
        <v>0.5409518512480701</v>
      </c>
      <c r="W12" s="194">
        <f t="shared" ref="W12:X12" si="20">W10/W11</f>
        <v>0.54025869504309754</v>
      </c>
      <c r="X12" s="194">
        <f t="shared" si="20"/>
        <v>0.54010839620433226</v>
      </c>
      <c r="Y12" s="194">
        <f t="shared" ref="Y12:Z12" si="21">Y10/Y11</f>
        <v>0.53991548031544356</v>
      </c>
      <c r="Z12" s="194">
        <f t="shared" si="21"/>
        <v>0.53917915921025616</v>
      </c>
      <c r="AA12" s="194">
        <f t="shared" ref="AA12" si="22">AA10/AA11</f>
        <v>0.53803270200871778</v>
      </c>
      <c r="AB12" s="194"/>
      <c r="AC12" s="194"/>
      <c r="AD12" s="194"/>
      <c r="AE12" s="194"/>
      <c r="AF12" s="258"/>
      <c r="AG12" s="258"/>
      <c r="AH12" s="342"/>
      <c r="AI12" s="342"/>
      <c r="AJ12" s="342"/>
      <c r="AK12" s="342"/>
      <c r="AL12" s="342"/>
      <c r="AM12" s="342"/>
      <c r="AN12" s="342"/>
      <c r="AO12" s="342"/>
      <c r="AP12" s="342"/>
      <c r="AQ12" s="342"/>
      <c r="AR12" s="342"/>
      <c r="AS12" s="342"/>
      <c r="AT12" s="342"/>
      <c r="AU12" s="342"/>
      <c r="AV12" s="342">
        <f>'[193]05AUG2021_15h43m07s_m93urouINDI'!$N$310</f>
        <v>649198</v>
      </c>
      <c r="AW12" s="342">
        <v>645417</v>
      </c>
      <c r="AX12" s="431"/>
      <c r="BA12" s="342"/>
      <c r="BB12" s="342"/>
      <c r="BC12" s="458">
        <v>632549</v>
      </c>
      <c r="BD12" s="458"/>
      <c r="BE12" s="458"/>
      <c r="BF12" s="458"/>
      <c r="BG12" s="458"/>
      <c r="BH12" s="458"/>
      <c r="BI12" s="458"/>
      <c r="BJ12" s="458"/>
    </row>
    <row r="13" spans="1:62" ht="13" x14ac:dyDescent="0.3">
      <c r="A13" s="25" t="s">
        <v>41</v>
      </c>
      <c r="L13" s="35"/>
      <c r="M13" s="145"/>
      <c r="S13" s="177"/>
      <c r="T13" s="177"/>
      <c r="U13" s="177"/>
      <c r="V13" s="177"/>
      <c r="W13" s="177"/>
      <c r="X13" s="177"/>
      <c r="Y13" s="177"/>
      <c r="Z13" s="177"/>
      <c r="AA13" s="177"/>
      <c r="AB13" s="194"/>
      <c r="AC13" s="194"/>
      <c r="AD13" s="194"/>
      <c r="AE13" s="194"/>
      <c r="AF13" s="258"/>
      <c r="AG13" s="258"/>
      <c r="AH13" s="258"/>
      <c r="AI13" s="177"/>
      <c r="AJ13" s="198"/>
      <c r="AL13" s="226"/>
      <c r="AM13" s="177"/>
      <c r="AN13" s="259">
        <f>AN11/'A)NSA Nb'!AN11</f>
        <v>0.51207224284068498</v>
      </c>
      <c r="AO13" s="259">
        <f>AO11/'A)NSA Nb'!AO11</f>
        <v>0.5135663423683775</v>
      </c>
      <c r="AP13" s="259">
        <f>AP11/'A)NSA Nb'!AP11</f>
        <v>0.5155736753012331</v>
      </c>
      <c r="AQ13" s="259">
        <f>AQ11/'A)NSA Nb'!AQ11</f>
        <v>0.51783936179842738</v>
      </c>
      <c r="AR13" s="259">
        <f>AR11/'A)NSA Nb'!AR11</f>
        <v>0.51970862081510127</v>
      </c>
      <c r="AS13" s="259">
        <f>AS11/'A)NSA Nb'!AS11</f>
        <v>0.52126988039568412</v>
      </c>
      <c r="AT13" s="259">
        <f>AT11/'A)NSA Nb'!AT11</f>
        <v>0.52335430149320639</v>
      </c>
      <c r="AU13" s="259">
        <f>AU11/'A)NSA Nb'!AU11</f>
        <v>0.52668596304767135</v>
      </c>
      <c r="AV13" s="259">
        <f>AV11/'A)NSA Nb'!AV11</f>
        <v>0.52795644271314079</v>
      </c>
      <c r="AW13" s="259">
        <f>AW11/'A)NSA Nb'!AW11</f>
        <v>0.52963458366499538</v>
      </c>
      <c r="AX13" s="432">
        <f>AX11/'A)NSA Nb'!AX11</f>
        <v>0.53208241687953151</v>
      </c>
      <c r="AY13" s="259">
        <f>AY11/'A)NSA Nb'!AY11</f>
        <v>0.53499941389834083</v>
      </c>
      <c r="AZ13" s="259">
        <f>AZ11/'A)NSA Nb'!AZ11</f>
        <v>0.53713808280542563</v>
      </c>
      <c r="BA13" s="259">
        <f>BA11/'A)NSA Nb'!BA11</f>
        <v>0.53877488670502571</v>
      </c>
      <c r="BB13" s="259">
        <f>BB11/'A)NSA Nb'!BB11</f>
        <v>0.54145847676566627</v>
      </c>
      <c r="BC13" s="259">
        <f>BC11/'A)NSA Nb'!BC11</f>
        <v>0.54473444895315914</v>
      </c>
      <c r="BD13" s="259">
        <f>BD11/'A)NSA Nb'!BD11</f>
        <v>0.54693193221919023</v>
      </c>
      <c r="BE13" s="259">
        <f>BE11/'A)NSA Nb'!BE11</f>
        <v>0.54874165490622751</v>
      </c>
      <c r="BF13" s="259">
        <f>BF11/'A)NSA Nb'!BF11</f>
        <v>0.55114866686282427</v>
      </c>
      <c r="BG13" s="259">
        <f>BG11/'A)NSA Nb'!BG11</f>
        <v>0.55438602719301355</v>
      </c>
      <c r="BH13" s="259">
        <f>BH11/'A)NSA Nb'!BH11</f>
        <v>0.55561646244417451</v>
      </c>
      <c r="BI13" s="259">
        <f>BI11/'A)NSA Nb'!BI11</f>
        <v>0.57155952842038205</v>
      </c>
      <c r="BJ13" s="259">
        <f>BJ11/'A)NSA Nb'!BJ11</f>
        <v>0.57466096704820857</v>
      </c>
    </row>
    <row r="14" spans="1:62" x14ac:dyDescent="0.25">
      <c r="A14" s="17" t="s">
        <v>12</v>
      </c>
      <c r="L14" s="35"/>
      <c r="M14" s="145"/>
      <c r="S14" s="177"/>
      <c r="T14" s="177"/>
      <c r="U14" s="177"/>
      <c r="V14" s="177"/>
      <c r="W14" s="177"/>
      <c r="X14" s="177"/>
      <c r="Y14" s="177"/>
      <c r="Z14" s="177"/>
      <c r="AA14" s="177"/>
      <c r="AB14" s="177"/>
      <c r="AC14" s="177"/>
      <c r="AD14" s="177"/>
      <c r="AE14" s="177"/>
      <c r="AF14" s="177"/>
      <c r="AG14" s="177"/>
      <c r="AH14" s="177"/>
      <c r="AI14" s="177"/>
      <c r="AJ14" s="177"/>
      <c r="AM14" s="177"/>
      <c r="AN14" s="177"/>
      <c r="AO14" s="177"/>
      <c r="AP14" s="177"/>
      <c r="AQ14" s="177"/>
      <c r="AR14" s="177"/>
      <c r="AS14" s="177"/>
      <c r="AT14" s="177"/>
      <c r="AU14" s="177"/>
      <c r="AV14" s="177"/>
      <c r="AW14" s="177"/>
      <c r="AX14" s="407"/>
    </row>
    <row r="15" spans="1:62" x14ac:dyDescent="0.25">
      <c r="A15" s="5"/>
      <c r="B15" s="2" t="str">
        <f t="shared" ref="B15:G15" si="23">B8</f>
        <v>4eme T 2009</v>
      </c>
      <c r="C15" s="38" t="str">
        <f t="shared" si="23"/>
        <v>1er T 2010</v>
      </c>
      <c r="D15" s="38" t="str">
        <f t="shared" si="23"/>
        <v>2eme T 2010</v>
      </c>
      <c r="E15" s="38" t="str">
        <f t="shared" si="23"/>
        <v>3eme T 2010</v>
      </c>
      <c r="F15" s="38" t="str">
        <f t="shared" si="23"/>
        <v>4eme T 2010</v>
      </c>
      <c r="G15" s="38" t="str">
        <f t="shared" si="23"/>
        <v>1er T 2011</v>
      </c>
      <c r="H15" s="38" t="str">
        <f t="shared" ref="H15:M15" si="24">H8</f>
        <v>2eme T 2011</v>
      </c>
      <c r="I15" s="38" t="str">
        <f t="shared" si="24"/>
        <v>3eme T 2011</v>
      </c>
      <c r="J15" s="38" t="str">
        <f t="shared" si="24"/>
        <v>4eme T 2011</v>
      </c>
      <c r="K15" s="38" t="str">
        <f t="shared" si="24"/>
        <v>1er T 2012</v>
      </c>
      <c r="L15" s="38" t="str">
        <f t="shared" si="24"/>
        <v>2eme T 2012</v>
      </c>
      <c r="M15" s="38" t="str">
        <f t="shared" si="24"/>
        <v>3eme T 2012</v>
      </c>
      <c r="N15" s="38" t="str">
        <f t="shared" ref="N15:S15" si="25">N8</f>
        <v>4eme T 2012</v>
      </c>
      <c r="O15" s="38" t="str">
        <f t="shared" si="25"/>
        <v>1er T 2013</v>
      </c>
      <c r="P15" s="38" t="str">
        <f t="shared" si="25"/>
        <v>2eme T 2013</v>
      </c>
      <c r="Q15" s="38" t="str">
        <f t="shared" si="25"/>
        <v>3ème T 2013</v>
      </c>
      <c r="R15" s="178" t="str">
        <f t="shared" si="25"/>
        <v>4ème T 2013</v>
      </c>
      <c r="S15" s="178" t="str">
        <f t="shared" si="25"/>
        <v>1er T 2014</v>
      </c>
      <c r="T15" s="178" t="str">
        <f t="shared" ref="T15:U15" si="26">T8</f>
        <v>2eme T 2014</v>
      </c>
      <c r="U15" s="178" t="str">
        <f t="shared" si="26"/>
        <v>3T 2014</v>
      </c>
      <c r="V15" s="178" t="str">
        <f t="shared" ref="V15:W15" si="27">V8</f>
        <v>4ème T 2014</v>
      </c>
      <c r="W15" s="178" t="str">
        <f t="shared" si="27"/>
        <v>1er T 2015</v>
      </c>
      <c r="X15" s="178" t="str">
        <f t="shared" ref="X15:Y15" si="28">X8</f>
        <v>2e T 2015</v>
      </c>
      <c r="Y15" s="178" t="str">
        <f t="shared" si="28"/>
        <v>3e T 2015</v>
      </c>
      <c r="Z15" s="178" t="str">
        <f t="shared" ref="Z15:AA15" si="29">Z8</f>
        <v>4e T 2015</v>
      </c>
      <c r="AA15" s="178" t="str">
        <f t="shared" si="29"/>
        <v>1er T 2016</v>
      </c>
      <c r="AB15" s="178" t="str">
        <f t="shared" ref="AB15:AC15" si="30">AB8</f>
        <v>2e T 2016</v>
      </c>
      <c r="AC15" s="178" t="str">
        <f t="shared" si="30"/>
        <v>3e T 2016</v>
      </c>
      <c r="AD15" s="178" t="str">
        <f t="shared" ref="AD15:AE15" si="31">AD8</f>
        <v>4e T 2016</v>
      </c>
      <c r="AE15" s="178" t="str">
        <f t="shared" si="31"/>
        <v>2017 - T1</v>
      </c>
      <c r="AF15" s="178" t="str">
        <f t="shared" ref="AF15:AG15" si="32">AF8</f>
        <v>2017 - T2</v>
      </c>
      <c r="AG15" s="178" t="str">
        <f t="shared" si="32"/>
        <v>2017- T3</v>
      </c>
      <c r="AH15" s="178" t="str">
        <f t="shared" ref="AH15:AI15" si="33">AH8</f>
        <v>2017 - T4</v>
      </c>
      <c r="AI15" s="178" t="str">
        <f t="shared" si="33"/>
        <v>2018 - T1</v>
      </c>
      <c r="AJ15" s="178" t="str">
        <f t="shared" ref="AJ15:AK15" si="34">AJ8</f>
        <v>2018 - T2</v>
      </c>
      <c r="AK15" s="178" t="str">
        <f t="shared" si="34"/>
        <v>2018 - T3</v>
      </c>
      <c r="AL15" s="178" t="str">
        <f t="shared" ref="AL15:AM15" si="35">AL8</f>
        <v>2018 - T4</v>
      </c>
      <c r="AM15" s="178" t="str">
        <f t="shared" si="35"/>
        <v>2019 - T1</v>
      </c>
      <c r="AN15" s="178" t="str">
        <f t="shared" ref="AN15:AP15" si="36">AN8</f>
        <v>2019 - T2</v>
      </c>
      <c r="AO15" s="178" t="str">
        <f t="shared" si="36"/>
        <v>2019 - T3</v>
      </c>
      <c r="AP15" s="178" t="str">
        <f t="shared" si="36"/>
        <v>2019 - T4</v>
      </c>
      <c r="AQ15" s="178" t="str">
        <f t="shared" ref="AQ15:AR15" si="37">AQ8</f>
        <v>2020 - T1</v>
      </c>
      <c r="AR15" s="178" t="str">
        <f t="shared" si="37"/>
        <v>2020 - T2</v>
      </c>
      <c r="AS15" s="178" t="str">
        <f t="shared" ref="AS15:AT15" si="38">AS8</f>
        <v>2020 - T3</v>
      </c>
      <c r="AT15" s="178" t="str">
        <f t="shared" si="38"/>
        <v>2020- T4</v>
      </c>
      <c r="AU15" s="178" t="str">
        <f t="shared" ref="AU15:AV15" si="39">AU8</f>
        <v>2021- T1</v>
      </c>
      <c r="AV15" s="178" t="str">
        <f t="shared" si="39"/>
        <v>2021- T2</v>
      </c>
      <c r="AW15" s="178" t="str">
        <f t="shared" ref="AW15:AY15" si="40">AW8</f>
        <v>2021- T3</v>
      </c>
      <c r="AX15" s="403" t="str">
        <f t="shared" si="40"/>
        <v>2021- T4</v>
      </c>
      <c r="AY15" s="178" t="str">
        <f t="shared" si="40"/>
        <v>2022- T1</v>
      </c>
      <c r="AZ15" s="178" t="str">
        <f t="shared" ref="AZ15" si="41">AZ8</f>
        <v>2022- T2</v>
      </c>
      <c r="BA15" s="178" t="str">
        <f t="shared" ref="BA15:BB15" si="42">BA8</f>
        <v>2022- T3</v>
      </c>
      <c r="BB15" s="178" t="str">
        <f t="shared" si="42"/>
        <v>2022- T4</v>
      </c>
      <c r="BC15" s="22" t="str">
        <f t="shared" ref="BC15:BD15" si="43">BC8</f>
        <v>2023- T1</v>
      </c>
      <c r="BD15" s="22" t="str">
        <f t="shared" si="43"/>
        <v>2023- T2</v>
      </c>
      <c r="BE15" s="22" t="str">
        <f t="shared" ref="BE15:BF15" si="44">BE8</f>
        <v>2023- T3</v>
      </c>
      <c r="BF15" s="22" t="str">
        <f t="shared" si="44"/>
        <v>2023- T4</v>
      </c>
      <c r="BG15" s="22" t="str">
        <f t="shared" ref="BG15:BH15" si="45">BG8</f>
        <v>2024- T1</v>
      </c>
      <c r="BH15" s="22" t="str">
        <f t="shared" si="45"/>
        <v>2024- T2</v>
      </c>
      <c r="BI15" s="22" t="str">
        <f t="shared" ref="BI15:BJ15" si="46">BI8</f>
        <v>2024- T3</v>
      </c>
      <c r="BJ15" s="22" t="str">
        <f t="shared" si="46"/>
        <v>2024- T4</v>
      </c>
    </row>
    <row r="16" spans="1:62" x14ac:dyDescent="0.25">
      <c r="A16" s="20" t="s">
        <v>27</v>
      </c>
      <c r="B16" s="16">
        <f>[63]SAS_NSA_4T2009!$E$169</f>
        <v>9356.24</v>
      </c>
      <c r="C16" s="16">
        <f>[11]SAS_NSA_1T2010!$E$169</f>
        <v>9380.16</v>
      </c>
      <c r="D16" s="16">
        <f>[12]SAS_NSA_2T2010!$E$169</f>
        <v>9453.24</v>
      </c>
      <c r="E16" s="16">
        <f>[13]SAS_NSA_3T2010!$E$169</f>
        <v>9449.2800000000007</v>
      </c>
      <c r="F16" s="16">
        <f>[14]SAS_NSA_2010_4T!$E$169</f>
        <v>9447.84</v>
      </c>
      <c r="G16" s="16">
        <f>[15]SAS_NSA_2011_1T!$E$169</f>
        <v>9449.8799999999992</v>
      </c>
      <c r="H16" s="16">
        <f>[16]SAS_NSA_2011_2T!$E$169</f>
        <v>9631.84</v>
      </c>
      <c r="I16" s="16">
        <f>[17]SAS_NSA_2011_3T!$E$169</f>
        <v>9629.64</v>
      </c>
      <c r="J16" s="16">
        <f>[18]SAS_NSA_2011_4T!$E$169</f>
        <v>9631.7999999999993</v>
      </c>
      <c r="K16" s="16">
        <f>[19]SAS_NSA_2012_1T!$E$169</f>
        <v>9622</v>
      </c>
      <c r="L16" s="16">
        <f>'[20]120919-14H22S23-PROGRAM-TdB_STO'!$E$169</f>
        <v>9824.24</v>
      </c>
      <c r="M16" s="16">
        <f>'[21]121105-15H12S18-PROGRAM-TdB_STO'!$E$169</f>
        <v>9823.2800000000007</v>
      </c>
      <c r="N16" s="16">
        <f>[22]SAS_NSA_2012_4T!$E$169</f>
        <v>9823.48</v>
      </c>
      <c r="O16" s="16">
        <f>[23]SAS_NSA_2013_1T!$E$169</f>
        <v>9831.84</v>
      </c>
      <c r="P16" s="16">
        <f>[24]SAS_NSA_2013_2T!$E$169</f>
        <v>9943.48</v>
      </c>
      <c r="Q16" s="16">
        <f>[25]SAS_NSA_2013_3T!$E$169</f>
        <v>9938.32</v>
      </c>
      <c r="R16" s="206">
        <f>[26]SAS_NSA_2013_4T!$E$169</f>
        <v>9911.76</v>
      </c>
      <c r="S16" s="206">
        <f>[27]SAS_NSA_2014_1T!$E$169</f>
        <v>9946.92</v>
      </c>
      <c r="T16" s="206">
        <f>[28]SAS_NSA_2014_2T!$E$169</f>
        <v>9864.68</v>
      </c>
      <c r="U16" s="206">
        <f>[29]SAS_NSA_2014_3T!$E$169</f>
        <v>9873.76</v>
      </c>
      <c r="V16" s="206">
        <f>[30]SAS_NSA_2014_4T!$E$169</f>
        <v>9870.4</v>
      </c>
      <c r="W16" s="206">
        <f>[31]SAS_NSA_2015_1T!$E$169</f>
        <v>9857.56</v>
      </c>
      <c r="X16" s="206">
        <f>[32]SAS_NSA_2015_2T!$E$169</f>
        <v>9853.4</v>
      </c>
      <c r="Y16" s="206">
        <f>[33]SAS_NSA_2015_3T!$E$169</f>
        <v>9848.32</v>
      </c>
      <c r="Z16" s="206">
        <f>[34]SAS_NSA_2015_4T!$E$169</f>
        <v>9854.64</v>
      </c>
      <c r="AA16" s="206">
        <f>[35]SAS_NSA_2016_1T!$E$169</f>
        <v>10005.36</v>
      </c>
      <c r="AB16" s="206">
        <f>[36]SAS_NSA_2016_2T!$E$169</f>
        <v>9995.32</v>
      </c>
      <c r="AC16" s="206">
        <f>[37]SAS_NSA_2016_3T!$E$169</f>
        <v>9984.0400000000009</v>
      </c>
      <c r="AD16" s="206">
        <f>[38]SAS_NSA_2016_4T!$E$169</f>
        <v>10064.64</v>
      </c>
      <c r="AE16" s="206">
        <f>[39]SAS_NSA_2017_1T!$E$169</f>
        <v>10052.799999999999</v>
      </c>
      <c r="AF16" s="206">
        <f>[40]SAS_NSA_2017_2T!$E$169</f>
        <v>10033.36</v>
      </c>
      <c r="AG16" s="206">
        <f>[41]SAS_NSA_2017_3T!$E$169</f>
        <v>10028.959999999999</v>
      </c>
      <c r="AH16" s="206">
        <f>[42]SAS_NSA_2017_4T!$E$169</f>
        <v>10252.64</v>
      </c>
      <c r="AI16" s="206">
        <f>[43]SAS_NSA_2018_1T!$D$233*4</f>
        <v>10145.56</v>
      </c>
      <c r="AJ16" s="206">
        <f>[44]SAS_NSA_2018_2T!$E$171</f>
        <v>10139.879999999999</v>
      </c>
      <c r="AK16" s="16">
        <f>4*[45]SAS_NSA_2018_3T!$D$233</f>
        <v>10123.68</v>
      </c>
      <c r="AL16" s="16">
        <f>4*[46]SAS_NSA_2018_4T!$D$233</f>
        <v>10112.76</v>
      </c>
      <c r="AM16" s="206">
        <f>4*[47]SAS_NSA_2019_1T!$D$233</f>
        <v>10129.08</v>
      </c>
      <c r="AN16" s="206">
        <f>4*[48]SAS_NSA_2019_2T!$D$233</f>
        <v>10120.08</v>
      </c>
      <c r="AO16" s="206">
        <f>4*[49]SAS_NSA_2019_3T!$D$233</f>
        <v>10118.4</v>
      </c>
      <c r="AP16" s="206">
        <f>4*[50]SAS_NSA_2019_4T!$D$233</f>
        <v>10114.799999999999</v>
      </c>
      <c r="AQ16" s="206">
        <f>4*[51]SAS_NSA_2020_1T!$D$214</f>
        <v>10190.4</v>
      </c>
      <c r="AR16" s="206">
        <f>4*[52]SAS_NSA_2020_2T!$D$214</f>
        <v>10172.08</v>
      </c>
      <c r="AS16" s="206">
        <f>4*[53]SAS_NSA_2020_3T!$D$214</f>
        <v>10160.08</v>
      </c>
      <c r="AT16" s="206">
        <f>[194]SAS_NSA_2020_4T!$E$118</f>
        <v>10152.918994801999</v>
      </c>
      <c r="AU16" s="206">
        <f>[195]SAS_NSA_2021_1T!$E118</f>
        <v>10178.816036509999</v>
      </c>
      <c r="AV16" s="206">
        <f>[196]SAS_NSA_2021_2T!$E118</f>
        <v>10173.929225765</v>
      </c>
      <c r="AW16" s="206">
        <f>[57]SAS_NSA_2021_3T!$E$214</f>
        <v>10187.6</v>
      </c>
      <c r="AX16" s="408">
        <f>[58]SAS_NSA_2021_4T!$E$118</f>
        <v>10597.35198872736</v>
      </c>
      <c r="AY16" s="206">
        <f>[59]SAS_NSA_2022_1T!$E$118</f>
        <v>11056.9727819198</v>
      </c>
      <c r="AZ16" s="206">
        <f>[60]SAS_NSA_2022_2T!$E$118</f>
        <v>11038.116553624881</v>
      </c>
      <c r="BA16" s="206">
        <f>[61]SAS_NSA_2022_3T!$E$118</f>
        <v>11458.978943255601</v>
      </c>
      <c r="BB16" s="206">
        <f>[62]SAS_NSA_2022_4T!$E$118</f>
        <v>11419.547897177479</v>
      </c>
      <c r="BC16" s="206">
        <f>[2]SAS_NSA_2023_1T!$E$118</f>
        <v>11492.42752362608</v>
      </c>
      <c r="BD16" s="206">
        <f>[3]SAS_NSA_2023_2T!$E$118</f>
        <v>11515.49366680112</v>
      </c>
      <c r="BE16" s="206">
        <f>[4]SAS_NSA_2023_3T!$E$118</f>
        <v>11510.07393803792</v>
      </c>
      <c r="BF16" s="206">
        <f>[5]SAS_NSA_2023_4T!$E$118</f>
        <v>11504.569087051839</v>
      </c>
      <c r="BG16" s="206">
        <f>[6]SAS_NSA_2024_1T!$E$118</f>
        <v>11971.8342087868</v>
      </c>
      <c r="BH16" s="206">
        <f>[7]SAS_NSA_2024_2T!$E$118</f>
        <v>11973.96196637908</v>
      </c>
      <c r="BI16" s="206">
        <f>[8]SAS_NSA_2024_3T!$E$118</f>
        <v>11942.026671301801</v>
      </c>
      <c r="BJ16" s="206">
        <f>[9]SAS_NSA_2024_4T!$E$118</f>
        <v>11910.493033356999</v>
      </c>
    </row>
    <row r="17" spans="1:62" x14ac:dyDescent="0.25">
      <c r="A17" s="20" t="s">
        <v>28</v>
      </c>
      <c r="B17" s="16">
        <f>[63]SAS_NSA_4T2009!$E$170</f>
        <v>8397.68</v>
      </c>
      <c r="C17" s="42">
        <f>[11]SAS_NSA_1T2010!$E$170</f>
        <v>8352.44</v>
      </c>
      <c r="D17" s="42">
        <f>[12]SAS_NSA_2T2010!$E$170</f>
        <v>8973.24</v>
      </c>
      <c r="E17" s="42">
        <f>[13]SAS_NSA_3T2010!$E$170</f>
        <v>8973.56</v>
      </c>
      <c r="F17" s="42">
        <f>[14]SAS_NSA_2010_4T!$E$170</f>
        <v>8961.76</v>
      </c>
      <c r="G17" s="42">
        <f>[15]SAS_NSA_2011_1T!$E$170</f>
        <v>8969.64</v>
      </c>
      <c r="H17" s="42">
        <f>[16]SAS_NSA_2011_2T!$E$170</f>
        <v>9157.2000000000007</v>
      </c>
      <c r="I17" s="42">
        <f>[17]SAS_NSA_2011_3T!$E$170</f>
        <v>9164.9599999999991</v>
      </c>
      <c r="J17" s="42">
        <f>[18]SAS_NSA_2011_4T!$E$170</f>
        <v>9160.7199999999993</v>
      </c>
      <c r="K17" s="16">
        <f>[19]SAS_NSA_2012_1T!$E$170</f>
        <v>9113.76</v>
      </c>
      <c r="L17" s="16">
        <f>'[20]120919-14H22S23-PROGRAM-TdB_STO'!$E$170</f>
        <v>9314.64</v>
      </c>
      <c r="M17" s="16">
        <f>'[21]121105-15H12S18-PROGRAM-TdB_STO'!$E$170</f>
        <v>9316.24</v>
      </c>
      <c r="N17" s="16">
        <f>[22]SAS_NSA_2012_4T!$E$170</f>
        <v>9307.48</v>
      </c>
      <c r="O17" s="16">
        <f>[23]SAS_NSA_2013_1T!$E$170</f>
        <v>9284.08</v>
      </c>
      <c r="P17" s="16">
        <f>[24]SAS_NSA_2013_2T!$E$170</f>
        <v>9385.6</v>
      </c>
      <c r="Q17" s="16">
        <f>[25]SAS_NSA_2013_3T!$E$170</f>
        <v>9372.48</v>
      </c>
      <c r="R17" s="206">
        <f>[26]SAS_NSA_2013_4T!$E$170</f>
        <v>9335.8799999999992</v>
      </c>
      <c r="S17" s="206">
        <f>[27]SAS_NSA_2014_1T!$E$170</f>
        <v>9360.7199999999993</v>
      </c>
      <c r="T17" s="206">
        <f>[28]SAS_NSA_2014_2T!$E$170</f>
        <v>8596.48</v>
      </c>
      <c r="U17" s="206">
        <f>[29]SAS_NSA_2014_3T!$E$170</f>
        <v>8620.76</v>
      </c>
      <c r="V17" s="206">
        <f>[30]SAS_NSA_2014_4T!$E$170</f>
        <v>8619.4</v>
      </c>
      <c r="W17" s="206">
        <f>[31]SAS_NSA_2015_1T!$E$170</f>
        <v>8609.2800000000007</v>
      </c>
      <c r="X17" s="206">
        <f>[32]SAS_NSA_2015_2T!$E$170</f>
        <v>8611.24</v>
      </c>
      <c r="Y17" s="206">
        <f>[33]SAS_NSA_2015_3T!$E$170</f>
        <v>8617.32</v>
      </c>
      <c r="Z17" s="206">
        <f>[34]SAS_NSA_2015_4T!$E$170</f>
        <v>8625.2800000000007</v>
      </c>
      <c r="AA17" s="206">
        <f>[35]SAS_NSA_2016_1T!$E$170</f>
        <v>8658.4</v>
      </c>
      <c r="AB17" s="206">
        <f>[36]SAS_NSA_2016_2T!$E$170</f>
        <v>8653.4</v>
      </c>
      <c r="AC17" s="206">
        <f>[37]SAS_NSA_2016_3T!$E$170</f>
        <v>8652.24</v>
      </c>
      <c r="AD17" s="206">
        <f>[38]SAS_NSA_2016_4T!$E$170</f>
        <v>8671.7199999999993</v>
      </c>
      <c r="AE17" s="206">
        <f>[39]SAS_NSA_2017_1T!$E$170</f>
        <v>8662.76</v>
      </c>
      <c r="AF17" s="206">
        <f>[40]SAS_NSA_2017_2T!$E$170</f>
        <v>8650.36</v>
      </c>
      <c r="AG17" s="206">
        <f>[41]SAS_NSA_2017_3T!$E$170</f>
        <v>8649.92</v>
      </c>
      <c r="AH17" s="206">
        <f>[42]SAS_NSA_2017_4T!$E$170</f>
        <v>8737.32</v>
      </c>
      <c r="AI17" s="206">
        <f>[43]SAS_NSA_2018_1T!$D$234*4</f>
        <v>8704.0400000000009</v>
      </c>
      <c r="AJ17" s="206">
        <f>[44]SAS_NSA_2018_2T!$E$172</f>
        <v>8696.64</v>
      </c>
      <c r="AK17" s="16">
        <f>4*[45]SAS_NSA_2018_3T!$D$234</f>
        <v>8689.9599999999991</v>
      </c>
      <c r="AL17" s="16">
        <f>4*[46]SAS_NSA_2018_4T!$D$234</f>
        <v>8685.1200000000008</v>
      </c>
      <c r="AM17" s="206">
        <f>4*[47]SAS_NSA_2019_1T!$D$234</f>
        <v>8701.7199999999993</v>
      </c>
      <c r="AN17" s="206">
        <f>4*[48]SAS_NSA_2019_2T!$D$234</f>
        <v>8690.48</v>
      </c>
      <c r="AO17" s="206">
        <f>4*[49]SAS_NSA_2019_3T!$D$234</f>
        <v>8698.52</v>
      </c>
      <c r="AP17" s="206">
        <f>4*[50]SAS_NSA_2019_4T!$D$234</f>
        <v>8677</v>
      </c>
      <c r="AQ17" s="206">
        <f>4*[51]SAS_NSA_2020_1T!$D$215</f>
        <v>8751.48</v>
      </c>
      <c r="AR17" s="206">
        <f>4*[52]SAS_NSA_2020_2T!$D$215</f>
        <v>8748.32</v>
      </c>
      <c r="AS17" s="206">
        <f>4*[53]SAS_NSA_2020_3T!$D$215</f>
        <v>8732.24</v>
      </c>
      <c r="AT17" s="206">
        <f>[194]SAS_NSA_2020_4T!$E$119</f>
        <v>8685.0860178274397</v>
      </c>
      <c r="AU17" s="206">
        <f>[195]SAS_NSA_2021_1T!$E119</f>
        <v>8698.317739176</v>
      </c>
      <c r="AV17" s="206">
        <f>[196]SAS_NSA_2021_2T!$E119</f>
        <v>8688.07798590948</v>
      </c>
      <c r="AW17" s="206">
        <f>[57]SAS_NSA_2021_3T!$E$215</f>
        <v>8687.7999999999993</v>
      </c>
      <c r="AX17" s="408">
        <f>[58]SAS_NSA_2021_4T!$E$119</f>
        <v>8779.3984978695607</v>
      </c>
      <c r="AY17" s="206">
        <f>[59]SAS_NSA_2022_1T!$E$119</f>
        <v>9176.1451286411593</v>
      </c>
      <c r="AZ17" s="206">
        <f>[60]SAS_NSA_2022_2T!$E$119</f>
        <v>9151.1862064330398</v>
      </c>
      <c r="BA17" s="206">
        <f>[61]SAS_NSA_2022_3T!$E$119</f>
        <v>9495.7902637852803</v>
      </c>
      <c r="BB17" s="206">
        <f>[62]SAS_NSA_2022_4T!$E$119</f>
        <v>9452.2833981121603</v>
      </c>
      <c r="BC17" s="206">
        <f>[2]SAS_NSA_2023_1T!$E$119</f>
        <v>9511.1597030805606</v>
      </c>
      <c r="BD17" s="206">
        <f>[3]SAS_NSA_2023_2T!$E$119</f>
        <v>9500.8634294385593</v>
      </c>
      <c r="BE17" s="206">
        <f>[4]SAS_NSA_2023_3T!$E$119</f>
        <v>9485.0392202630792</v>
      </c>
      <c r="BF17" s="206">
        <f>[5]SAS_NSA_2023_4T!$E$119</f>
        <v>9475.9471972693209</v>
      </c>
      <c r="BG17" s="206">
        <f>[6]SAS_NSA_2024_1T!$E$119</f>
        <v>9872.9356094982395</v>
      </c>
      <c r="BH17" s="206">
        <f>[7]SAS_NSA_2024_2T!$E$119</f>
        <v>9866.5710545866405</v>
      </c>
      <c r="BI17" s="206">
        <f>[8]SAS_NSA_2024_3T!$E$119</f>
        <v>9780.2064682666005</v>
      </c>
      <c r="BJ17" s="206">
        <f>[9]SAS_NSA_2024_4T!$E$119</f>
        <v>9716.7254985919608</v>
      </c>
    </row>
    <row r="18" spans="1:62" x14ac:dyDescent="0.25">
      <c r="A18" s="20" t="s">
        <v>13</v>
      </c>
      <c r="B18" s="16">
        <f>[63]SAS_NSA_4T2009!$E$168</f>
        <v>9131.0400000000009</v>
      </c>
      <c r="C18" s="42">
        <f>[11]SAS_NSA_1T2010!$E$168</f>
        <v>9135.36</v>
      </c>
      <c r="D18" s="42">
        <f>[12]SAS_NSA_2T2010!$E$168</f>
        <v>9307.84</v>
      </c>
      <c r="E18" s="42">
        <f>[13]SAS_NSA_3T2010!$E$168</f>
        <v>9303.24</v>
      </c>
      <c r="F18" s="42">
        <f>[14]SAS_NSA_2010_4T!$E$168</f>
        <v>9296.92</v>
      </c>
      <c r="G18" s="42">
        <f>[15]SAS_NSA_2011_1T!$E$168</f>
        <v>9298.56</v>
      </c>
      <c r="H18" s="42">
        <f>[16]SAS_NSA_2011_2T!$E$168</f>
        <v>9480.44</v>
      </c>
      <c r="I18" s="42">
        <f>[17]SAS_NSA_2011_3T!$E$168</f>
        <v>9479.76</v>
      </c>
      <c r="J18" s="42">
        <f>[18]SAS_NSA_2011_4T!$E$168</f>
        <v>9478.2800000000007</v>
      </c>
      <c r="K18" s="16">
        <f>[19]SAS_NSA_2012_1T!$E$168</f>
        <v>9454.2000000000007</v>
      </c>
      <c r="L18" s="16">
        <f>'[20]120919-14H22S23-PROGRAM-TdB_STO'!$E$168</f>
        <v>9654.16</v>
      </c>
      <c r="M18" s="16">
        <f>'[21]121105-15H12S18-PROGRAM-TdB_STO'!$E$168</f>
        <v>9652.36</v>
      </c>
      <c r="N18" s="16">
        <f>[22]SAS_NSA_2012_4T!$E$168</f>
        <v>9647.76</v>
      </c>
      <c r="O18" s="16">
        <f>[23]SAS_NSA_2013_1T!$E$168</f>
        <v>9643.4</v>
      </c>
      <c r="P18" s="16">
        <f>[24]SAS_NSA_2013_2T!$E$168</f>
        <v>9749.68</v>
      </c>
      <c r="Q18" s="16">
        <f>[25]SAS_NSA_2013_3T!$E$168</f>
        <v>9740.0400000000009</v>
      </c>
      <c r="R18" s="206">
        <f>[26]SAS_NSA_2013_4T!$E$168</f>
        <v>9708.32</v>
      </c>
      <c r="S18" s="206">
        <f>[27]SAS_NSA_2014_1T!$E$168</f>
        <v>9737.9599999999991</v>
      </c>
      <c r="T18" s="206">
        <f>[28]SAS_NSA_2014_2T!$E$168</f>
        <v>9178.08</v>
      </c>
      <c r="U18" s="206">
        <f>[29]SAS_NSA_2014_3T!$E$168</f>
        <v>9194.52</v>
      </c>
      <c r="V18" s="206">
        <f>[30]SAS_NSA_2014_4T!$E$168</f>
        <v>9194.32</v>
      </c>
      <c r="W18" s="206">
        <f>[31]SAS_NSA_2015_1T!$E$168</f>
        <v>9183.7999999999993</v>
      </c>
      <c r="X18" s="206">
        <f>[32]SAS_NSA_2015_2T!$E$168</f>
        <v>9183.2000000000007</v>
      </c>
      <c r="Y18" s="206">
        <f>[33]SAS_NSA_2015_3T!$E$168</f>
        <v>9184.4</v>
      </c>
      <c r="Z18" s="206">
        <f>[34]SAS_NSA_2015_4T!$E$168</f>
        <v>9192.48</v>
      </c>
      <c r="AA18" s="206">
        <f>[35]SAS_NSA_2016_1T!$E$168</f>
        <v>9281.44</v>
      </c>
      <c r="AB18" s="206">
        <f>[36]SAS_NSA_2016_2T!$E$168</f>
        <v>9274.76</v>
      </c>
      <c r="AC18" s="206">
        <f>[37]SAS_NSA_2016_3T!$E$168</f>
        <v>9269.48</v>
      </c>
      <c r="AD18" s="206">
        <f>[38]SAS_NSA_2016_4T!$E$168</f>
        <v>9318.6</v>
      </c>
      <c r="AE18" s="206">
        <f>[39]SAS_NSA_2017_1T!$E$168</f>
        <v>9310.08</v>
      </c>
      <c r="AF18" s="206">
        <f>[40]SAS_NSA_2017_2T!$E$168</f>
        <v>9295.52</v>
      </c>
      <c r="AG18" s="206">
        <f>[41]SAS_NSA_2017_3T!$E$168</f>
        <v>9294.36</v>
      </c>
      <c r="AH18" s="206">
        <f>[42]SAS_NSA_2017_4T!$E$168</f>
        <v>9447.56</v>
      </c>
      <c r="AI18" s="206">
        <f>[43]SAS_NSA_2018_1T!$D$232*4</f>
        <v>9381.7999999999993</v>
      </c>
      <c r="AJ18" s="206">
        <f>[44]SAS_NSA_2018_2T!$E$170</f>
        <v>9376.4</v>
      </c>
      <c r="AK18" s="16">
        <f>4*[45]SAS_NSA_2018_3T!$D$232</f>
        <v>9366.08</v>
      </c>
      <c r="AL18" s="16">
        <f>4*[46]SAS_NSA_2018_4T!$D$232</f>
        <v>9360.2000000000007</v>
      </c>
      <c r="AM18" s="206">
        <f>4*[47]SAS_NSA_2019_1T!$D$232</f>
        <v>9378.7199999999993</v>
      </c>
      <c r="AN18" s="206">
        <f>4*[48]SAS_NSA_2019_2T!$D$232</f>
        <v>9369.6</v>
      </c>
      <c r="AO18" s="206">
        <f>4*[49]SAS_NSA_2019_3T!$D$232</f>
        <v>9373.84</v>
      </c>
      <c r="AP18" s="206">
        <f>4*[50]SAS_NSA_2019_4T!$D$232</f>
        <v>9362.92</v>
      </c>
      <c r="AQ18" s="206">
        <f>4*[51]SAS_NSA_2020_1T!$D$213</f>
        <v>9440.24</v>
      </c>
      <c r="AR18" s="206">
        <f>4*[52]SAS_NSA_2020_2T!$D$213</f>
        <v>9430.8799999999992</v>
      </c>
      <c r="AS18" s="206">
        <f>4*[53]SAS_NSA_2020_3T!$D$213</f>
        <v>9417.64</v>
      </c>
      <c r="AT18" s="206">
        <f>[194]SAS_NSA_2020_4T!$E$117</f>
        <v>9390.2615788666408</v>
      </c>
      <c r="AU18" s="206">
        <f>[195]SAS_NSA_2021_1T!$E$117</f>
        <v>9411.3771612353594</v>
      </c>
      <c r="AV18" s="206">
        <f>[196]SAS_NSA_2021_2T!$E$117</f>
        <v>9404.5122026748795</v>
      </c>
      <c r="AW18" s="206">
        <f>[57]SAS_NSA_2021_3T!$E$213</f>
        <v>9412.08</v>
      </c>
      <c r="AX18" s="408">
        <f>[58]SAS_NSA_2021_4T!$E$117</f>
        <v>9660.0760113436809</v>
      </c>
      <c r="AY18" s="206">
        <f>[59]SAS_NSA_2022_1T!$E$117</f>
        <v>10090.869716044201</v>
      </c>
      <c r="AZ18" s="206">
        <f>[60]SAS_NSA_2022_2T!$E$117</f>
        <v>10070.419108615561</v>
      </c>
      <c r="BA18" s="206">
        <f>[61]SAS_NSA_2022_3T!$E$117</f>
        <v>10453.5886395216</v>
      </c>
      <c r="BB18" s="206">
        <f>[62]SAS_NSA_2022_4T!$E$117</f>
        <v>10415.784964988199</v>
      </c>
      <c r="BC18" s="206">
        <f>[2]SAS_NSA_2023_1T!$E$117</f>
        <v>10485.435642171</v>
      </c>
      <c r="BD18" s="206">
        <f>[3]SAS_NSA_2023_2T!$E$117</f>
        <v>10493.6318279474</v>
      </c>
      <c r="BE18" s="206">
        <f>[4]SAS_NSA_2023_3T!$E$117</f>
        <v>10485.03744435716</v>
      </c>
      <c r="BF18" s="206">
        <f>[5]SAS_NSA_2023_4T!$E$117</f>
        <v>10480.32107126072</v>
      </c>
      <c r="BG18" s="206">
        <f>[6]SAS_NSA_2024_1T!$E$117</f>
        <v>10915.807376930999</v>
      </c>
      <c r="BH18" s="206">
        <f>[7]SAS_NSA_2024_2T!$E$117</f>
        <v>10915.61018060596</v>
      </c>
      <c r="BI18" s="206">
        <f>[8]SAS_NSA_2024_3T!$E$117</f>
        <v>10843.83568907112</v>
      </c>
      <c r="BJ18" s="206">
        <f>[9]SAS_NSA_2024_4T!$E$117</f>
        <v>10798.52237888532</v>
      </c>
    </row>
    <row r="19" spans="1:62" ht="13" thickBot="1" x14ac:dyDescent="0.3">
      <c r="A19" s="6"/>
      <c r="B19" s="15"/>
      <c r="C19" s="53"/>
      <c r="D19" s="53"/>
      <c r="E19" s="53"/>
      <c r="F19" s="53"/>
      <c r="G19" s="53"/>
      <c r="H19" s="53"/>
      <c r="I19" s="53"/>
      <c r="J19" s="53"/>
      <c r="K19" s="154"/>
      <c r="L19" s="154"/>
      <c r="M19" s="154"/>
      <c r="N19" s="154"/>
      <c r="O19" s="154"/>
      <c r="P19" s="53"/>
      <c r="Q19" s="53"/>
      <c r="R19" s="207"/>
      <c r="S19" s="213"/>
      <c r="T19" s="213"/>
      <c r="U19" s="213"/>
      <c r="V19" s="213"/>
      <c r="W19" s="213"/>
      <c r="X19" s="213"/>
      <c r="Y19" s="213"/>
      <c r="Z19" s="213"/>
      <c r="AA19" s="213"/>
      <c r="AB19" s="213"/>
      <c r="AC19" s="241"/>
      <c r="AD19" s="241"/>
      <c r="AE19" s="241"/>
      <c r="AF19" s="241">
        <f>AF17/AF16</f>
        <v>0.86215983479113678</v>
      </c>
      <c r="AG19" s="241">
        <f t="shared" ref="AG19" si="47">AG17/AG16</f>
        <v>0.86249421674829696</v>
      </c>
      <c r="AH19" s="241">
        <f>AH17/AH16</f>
        <v>0.85220196944396764</v>
      </c>
      <c r="AI19" s="241">
        <f t="shared" ref="AI19:AK19" si="48">AI17/AI16</f>
        <v>0.85791617219749339</v>
      </c>
      <c r="AJ19" s="241">
        <f t="shared" si="48"/>
        <v>0.85766695463851639</v>
      </c>
      <c r="AK19" s="241">
        <f t="shared" si="48"/>
        <v>0.8583795615823494</v>
      </c>
      <c r="AL19" s="241">
        <f t="shared" ref="AL19" si="49">AL17/AL16</f>
        <v>0.85882785708352627</v>
      </c>
      <c r="AM19" s="241"/>
      <c r="AN19" s="241"/>
      <c r="AO19" s="241"/>
      <c r="AP19" s="241">
        <f t="shared" ref="AP19" si="50">AP17/AP16</f>
        <v>0.85785186063985452</v>
      </c>
      <c r="AQ19" s="241"/>
      <c r="AR19" s="241"/>
      <c r="AS19" s="241"/>
      <c r="AT19" s="241"/>
      <c r="AU19" s="241"/>
      <c r="AV19" s="241"/>
      <c r="AW19" s="241"/>
      <c r="AX19" s="433"/>
    </row>
    <row r="20" spans="1:62" x14ac:dyDescent="0.25">
      <c r="A20" s="19"/>
      <c r="B20" s="10"/>
      <c r="C20" s="40"/>
      <c r="D20" s="40"/>
      <c r="E20" s="40"/>
      <c r="F20" s="40"/>
      <c r="G20" s="40"/>
      <c r="H20" s="40"/>
      <c r="I20" s="40"/>
      <c r="J20" s="40"/>
      <c r="K20" s="146"/>
      <c r="L20" s="146"/>
      <c r="M20" s="146"/>
      <c r="N20" s="146"/>
      <c r="O20" s="146"/>
      <c r="P20" s="40"/>
      <c r="Q20" s="40"/>
      <c r="R20" s="180"/>
      <c r="S20" s="214"/>
      <c r="T20" s="214"/>
      <c r="U20" s="214"/>
      <c r="V20" s="214"/>
      <c r="W20" s="214"/>
      <c r="X20" s="214"/>
      <c r="Y20" s="214"/>
      <c r="Z20" s="214"/>
      <c r="AA20" s="214"/>
      <c r="AB20" s="214"/>
      <c r="AC20" s="214"/>
      <c r="AD20" s="214"/>
      <c r="AE20" s="214"/>
      <c r="AF20" s="214"/>
      <c r="AG20" s="214"/>
      <c r="AH20" s="214"/>
      <c r="AI20" s="214"/>
      <c r="AJ20" s="214"/>
      <c r="AM20" s="214"/>
      <c r="AN20" s="214"/>
      <c r="AO20" s="214"/>
      <c r="AQ20" s="214"/>
      <c r="AR20" s="214"/>
      <c r="AS20" s="214"/>
      <c r="AT20" s="214"/>
      <c r="AU20" s="214"/>
      <c r="AV20" s="214"/>
      <c r="AW20" s="214"/>
      <c r="AX20" s="434"/>
    </row>
    <row r="21" spans="1:62" ht="13" x14ac:dyDescent="0.3">
      <c r="A21" s="1" t="s">
        <v>20</v>
      </c>
      <c r="K21" s="145"/>
      <c r="L21" s="145"/>
      <c r="M21" s="145"/>
      <c r="N21" s="145"/>
      <c r="O21" s="145"/>
      <c r="AG21" s="175"/>
      <c r="AH21" s="175"/>
      <c r="AI21" s="175"/>
      <c r="AJ21" s="175"/>
      <c r="AM21" s="175"/>
      <c r="AN21" s="175"/>
      <c r="AO21" s="175"/>
      <c r="AQ21" s="175"/>
      <c r="AR21" s="175"/>
      <c r="AS21" s="175"/>
      <c r="AT21" s="175"/>
      <c r="AU21" s="175"/>
      <c r="AV21" s="175"/>
      <c r="AW21" s="175"/>
      <c r="AX21" s="435"/>
    </row>
    <row r="22" spans="1:62" x14ac:dyDescent="0.25">
      <c r="A22" s="17" t="s">
        <v>21</v>
      </c>
      <c r="K22" s="145"/>
      <c r="L22" s="145"/>
      <c r="M22" s="145"/>
      <c r="N22" s="145"/>
      <c r="O22" s="145"/>
      <c r="AG22" s="175"/>
      <c r="AH22" s="175"/>
      <c r="AI22" s="175"/>
      <c r="AJ22" s="175"/>
      <c r="AM22" s="175"/>
      <c r="AN22" s="175"/>
      <c r="AO22" s="175"/>
      <c r="AQ22" s="175"/>
      <c r="AR22" s="175"/>
      <c r="AS22" s="175"/>
      <c r="AT22" s="175"/>
      <c r="AU22" s="175"/>
      <c r="AV22" s="175"/>
      <c r="AW22" s="175"/>
      <c r="AX22" s="435"/>
      <c r="BB22" s="388" t="s">
        <v>241</v>
      </c>
    </row>
    <row r="23" spans="1:62" x14ac:dyDescent="0.25">
      <c r="A23" s="5"/>
      <c r="B23" s="2" t="str">
        <f t="shared" ref="B23:G23" si="51">B8</f>
        <v>4eme T 2009</v>
      </c>
      <c r="C23" s="38" t="str">
        <f t="shared" si="51"/>
        <v>1er T 2010</v>
      </c>
      <c r="D23" s="38" t="str">
        <f t="shared" si="51"/>
        <v>2eme T 2010</v>
      </c>
      <c r="E23" s="38" t="str">
        <f t="shared" si="51"/>
        <v>3eme T 2010</v>
      </c>
      <c r="F23" s="38" t="str">
        <f t="shared" si="51"/>
        <v>4eme T 2010</v>
      </c>
      <c r="G23" s="38" t="str">
        <f t="shared" si="51"/>
        <v>1er T 2011</v>
      </c>
      <c r="H23" s="38" t="str">
        <f t="shared" ref="H23:M23" si="52">H8</f>
        <v>2eme T 2011</v>
      </c>
      <c r="I23" s="38" t="str">
        <f t="shared" si="52"/>
        <v>3eme T 2011</v>
      </c>
      <c r="J23" s="38" t="str">
        <f t="shared" si="52"/>
        <v>4eme T 2011</v>
      </c>
      <c r="K23" s="38" t="str">
        <f t="shared" si="52"/>
        <v>1er T 2012</v>
      </c>
      <c r="L23" s="38" t="str">
        <f t="shared" si="52"/>
        <v>2eme T 2012</v>
      </c>
      <c r="M23" s="38" t="str">
        <f t="shared" si="52"/>
        <v>3eme T 2012</v>
      </c>
      <c r="N23" s="38" t="str">
        <f t="shared" ref="N23:S23" si="53">N8</f>
        <v>4eme T 2012</v>
      </c>
      <c r="O23" s="38" t="str">
        <f t="shared" si="53"/>
        <v>1er T 2013</v>
      </c>
      <c r="P23" s="38" t="str">
        <f t="shared" si="53"/>
        <v>2eme T 2013</v>
      </c>
      <c r="Q23" s="38" t="str">
        <f t="shared" si="53"/>
        <v>3ème T 2013</v>
      </c>
      <c r="R23" s="178" t="str">
        <f t="shared" si="53"/>
        <v>4ème T 2013</v>
      </c>
      <c r="S23" s="178" t="str">
        <f t="shared" si="53"/>
        <v>1er T 2014</v>
      </c>
      <c r="T23" s="178" t="str">
        <f t="shared" ref="T23:U23" si="54">T8</f>
        <v>2eme T 2014</v>
      </c>
      <c r="U23" s="178" t="str">
        <f t="shared" si="54"/>
        <v>3T 2014</v>
      </c>
      <c r="V23" s="178" t="str">
        <f t="shared" ref="V23:W23" si="55">V8</f>
        <v>4ème T 2014</v>
      </c>
      <c r="W23" s="178" t="str">
        <f t="shared" si="55"/>
        <v>1er T 2015</v>
      </c>
      <c r="X23" s="178" t="str">
        <f t="shared" ref="X23:Y23" si="56">X8</f>
        <v>2e T 2015</v>
      </c>
      <c r="Y23" s="178" t="str">
        <f t="shared" si="56"/>
        <v>3e T 2015</v>
      </c>
      <c r="Z23" s="178" t="str">
        <f t="shared" ref="Z23:AA23" si="57">Z8</f>
        <v>4e T 2015</v>
      </c>
      <c r="AA23" s="178" t="str">
        <f t="shared" si="57"/>
        <v>1er T 2016</v>
      </c>
      <c r="AB23" s="178" t="str">
        <f t="shared" ref="AB23:AC23" si="58">AB8</f>
        <v>2e T 2016</v>
      </c>
      <c r="AC23" s="178" t="str">
        <f t="shared" si="58"/>
        <v>3e T 2016</v>
      </c>
      <c r="AD23" s="178" t="str">
        <f t="shared" ref="AD23:AE23" si="59">AD8</f>
        <v>4e T 2016</v>
      </c>
      <c r="AE23" s="178" t="str">
        <f t="shared" si="59"/>
        <v>2017 - T1</v>
      </c>
      <c r="AF23" s="178" t="str">
        <f t="shared" ref="AF23:AG23" si="60">AF8</f>
        <v>2017 - T2</v>
      </c>
      <c r="AG23" s="178" t="str">
        <f t="shared" si="60"/>
        <v>2017- T3</v>
      </c>
      <c r="AH23" s="178" t="str">
        <f t="shared" ref="AH23:AI23" si="61">AH8</f>
        <v>2017 - T4</v>
      </c>
      <c r="AI23" s="178" t="str">
        <f t="shared" si="61"/>
        <v>2018 - T1</v>
      </c>
      <c r="AJ23" s="178" t="str">
        <f t="shared" ref="AJ23:AK23" si="62">AJ8</f>
        <v>2018 - T2</v>
      </c>
      <c r="AK23" s="178" t="str">
        <f t="shared" si="62"/>
        <v>2018 - T3</v>
      </c>
      <c r="AL23" s="178" t="str">
        <f t="shared" ref="AL23:AM23" si="63">AL8</f>
        <v>2018 - T4</v>
      </c>
      <c r="AM23" s="178" t="str">
        <f t="shared" si="63"/>
        <v>2019 - T1</v>
      </c>
      <c r="AN23" s="178" t="str">
        <f t="shared" ref="AN23:AP23" si="64">AN8</f>
        <v>2019 - T2</v>
      </c>
      <c r="AO23" s="178" t="str">
        <f t="shared" si="64"/>
        <v>2019 - T3</v>
      </c>
      <c r="AP23" s="178" t="str">
        <f t="shared" si="64"/>
        <v>2019 - T4</v>
      </c>
      <c r="AQ23" s="178" t="str">
        <f t="shared" ref="AQ23:AR23" si="65">AQ8</f>
        <v>2020 - T1</v>
      </c>
      <c r="AR23" s="178" t="str">
        <f t="shared" si="65"/>
        <v>2020 - T2</v>
      </c>
      <c r="AS23" s="178" t="str">
        <f t="shared" ref="AS23:AT23" si="66">AS8</f>
        <v>2020 - T3</v>
      </c>
      <c r="AT23" s="178" t="str">
        <f t="shared" si="66"/>
        <v>2020- T4</v>
      </c>
      <c r="AU23" s="178" t="str">
        <f t="shared" ref="AU23:AV23" si="67">AU8</f>
        <v>2021- T1</v>
      </c>
      <c r="AV23" s="178" t="str">
        <f t="shared" si="67"/>
        <v>2021- T2</v>
      </c>
      <c r="AW23" s="178" t="str">
        <f t="shared" ref="AW23:AY23" si="68">AW8</f>
        <v>2021- T3</v>
      </c>
      <c r="AX23" s="403" t="str">
        <f t="shared" si="68"/>
        <v>2021- T4</v>
      </c>
      <c r="AY23" s="178" t="str">
        <f t="shared" si="68"/>
        <v>2022- T1</v>
      </c>
      <c r="AZ23" s="178" t="str">
        <f t="shared" ref="AZ23" si="69">AZ8</f>
        <v>2022- T2</v>
      </c>
      <c r="BA23" s="178" t="str">
        <f t="shared" ref="BA23:BB23" si="70">BA8</f>
        <v>2022- T3</v>
      </c>
      <c r="BB23" s="178" t="str">
        <f t="shared" si="70"/>
        <v>2022- T4</v>
      </c>
      <c r="BC23" s="22" t="str">
        <f t="shared" ref="BC23:BD23" si="71">BC8</f>
        <v>2023- T1</v>
      </c>
      <c r="BD23" s="22" t="str">
        <f t="shared" si="71"/>
        <v>2023- T2</v>
      </c>
      <c r="BE23" s="22" t="str">
        <f t="shared" ref="BE23:BF23" si="72">BE8</f>
        <v>2023- T3</v>
      </c>
      <c r="BF23" s="22" t="str">
        <f t="shared" si="72"/>
        <v>2023- T4</v>
      </c>
      <c r="BG23" s="22" t="str">
        <f t="shared" ref="BG23:BH23" si="73">BG8</f>
        <v>2024- T1</v>
      </c>
      <c r="BH23" s="22" t="str">
        <f t="shared" si="73"/>
        <v>2024- T2</v>
      </c>
      <c r="BI23" s="22" t="str">
        <f t="shared" ref="BI23:BJ23" si="74">BI8</f>
        <v>2024- T3</v>
      </c>
      <c r="BJ23" s="22" t="str">
        <f t="shared" si="74"/>
        <v>2024- T4</v>
      </c>
    </row>
    <row r="24" spans="1:62" x14ac:dyDescent="0.25">
      <c r="A24" s="22" t="s">
        <v>16</v>
      </c>
      <c r="B24" s="3">
        <f>[63]SAS_NSA_4T2009!$C$194</f>
        <v>399264</v>
      </c>
      <c r="C24" s="39">
        <f>[11]SAS_NSA_1T2010!$C$194</f>
        <v>400628</v>
      </c>
      <c r="D24" s="39">
        <f>[12]SAS_NSA_2T2010!$C$194</f>
        <v>399204</v>
      </c>
      <c r="E24" s="39">
        <f>[13]SAS_NSA_3T2010!$C$194</f>
        <v>397359</v>
      </c>
      <c r="F24" s="39">
        <f>[14]SAS_NSA_2010_4T!$C$194</f>
        <v>397195</v>
      </c>
      <c r="G24" s="39">
        <f>[15]SAS_NSA_2011_1T!$C$194</f>
        <v>397445</v>
      </c>
      <c r="H24" s="39">
        <f>[16]SAS_NSA_2011_2T!$C$194</f>
        <v>395439</v>
      </c>
      <c r="I24" s="39">
        <f>[17]SAS_NSA_2011_3T!$C$194</f>
        <v>392967</v>
      </c>
      <c r="J24" s="39">
        <f>[18]SAS_NSA_2011_4T!$C$194</f>
        <v>391577</v>
      </c>
      <c r="K24" s="39">
        <f>[19]SAS_NSA_2012_1T!$C$196</f>
        <v>391844</v>
      </c>
      <c r="L24" s="39">
        <f>'[20]120919-14H22S23-PROGRAM-TdB_STO'!$C$196</f>
        <v>389180</v>
      </c>
      <c r="M24" s="39">
        <f>'[21]121105-15H12S18-PROGRAM-TdB_STO'!$C$196</f>
        <v>386038</v>
      </c>
      <c r="N24" s="39">
        <f>[22]SAS_NSA_2012_4T!$C$196</f>
        <v>384654</v>
      </c>
      <c r="O24" s="39">
        <f>[23]SAS_NSA_2013_1T!$C$196</f>
        <v>385032</v>
      </c>
      <c r="P24" s="39">
        <f>[24]SAS_NSA_2013_2T!$C$196</f>
        <v>383100</v>
      </c>
      <c r="Q24" s="39">
        <f>[25]SAS_NSA_2013_3T!$C$196</f>
        <v>381812</v>
      </c>
      <c r="R24" s="179">
        <f>[26]SAS_NSA_2013_4T!$C$196</f>
        <v>381168</v>
      </c>
      <c r="S24" s="179">
        <f>[27]SAS_NSA_2014_1T!$C$196</f>
        <v>380620</v>
      </c>
      <c r="T24" s="179">
        <f>[28]SAS_NSA_2014_2T!$C$196</f>
        <v>525966</v>
      </c>
      <c r="U24" s="179">
        <f>[29]SAS_NSA_2014_3T!$C$196</f>
        <v>522883</v>
      </c>
      <c r="V24" s="179">
        <f>[30]SAS_NSA_2014_4T!$C$196</f>
        <v>521237</v>
      </c>
      <c r="W24" s="179">
        <f>[31]SAS_NSA_2015_1T!$C$196</f>
        <v>519929</v>
      </c>
      <c r="X24" s="179">
        <f>[32]SAS_NSA_2015_2T!$C$196</f>
        <v>515077</v>
      </c>
      <c r="Y24" s="179">
        <f>[33]SAS_NSA_2015_3T!$C$196</f>
        <v>510904</v>
      </c>
      <c r="Z24" s="179">
        <f>[34]SAS_NSA_2015_4T!$C$196</f>
        <v>509178</v>
      </c>
      <c r="AA24" s="179">
        <f>[35]SAS_NSA_2016_1T!$C$196</f>
        <v>508642</v>
      </c>
      <c r="AB24" s="179">
        <f>[36]SAS_NSA_2016_2T!$C$196</f>
        <v>505519</v>
      </c>
      <c r="AC24" s="179">
        <f>[37]SAS_NSA_2016_3T!$C$196</f>
        <v>502551</v>
      </c>
      <c r="AD24" s="179">
        <f>[38]SAS_NSA_2016_4T!$C$196</f>
        <v>500604</v>
      </c>
      <c r="AE24" s="179">
        <f>[39]SAS_NSA_2017_1T!$C$196</f>
        <v>499221</v>
      </c>
      <c r="AF24" s="179">
        <f>[40]SAS_NSA_2017_2T!$C$196</f>
        <v>495664</v>
      </c>
      <c r="AG24" s="179">
        <f>[41]SAS_NSA_2017_3T!$C$196</f>
        <v>493098</v>
      </c>
      <c r="AH24" s="179">
        <f>[42]SAS_NSA_2017_4T!$C$196</f>
        <v>492412</v>
      </c>
      <c r="AI24" s="179">
        <f>[43]SAS_NSA_2018_1T!$C$260</f>
        <v>492455</v>
      </c>
      <c r="AJ24" s="179">
        <f>[44]SAS_NSA_2018_2T!$C$198</f>
        <v>489782</v>
      </c>
      <c r="AK24" s="336">
        <f>[45]SAS_NSA_2018_3T!$C$260</f>
        <v>487044</v>
      </c>
      <c r="AL24" s="336">
        <f>[46]SAS_NSA_2018_4T!$C$260</f>
        <v>486009</v>
      </c>
      <c r="AM24" s="179">
        <f>[47]SAS_NSA_2019_1T!$C$260</f>
        <v>485323</v>
      </c>
      <c r="AN24" s="179">
        <f>[48]SAS_NSA_2019_2T!$C$260</f>
        <v>482041</v>
      </c>
      <c r="AO24" s="179">
        <f>[49]SAS_NSA_2019_3T!$C260</f>
        <v>479518</v>
      </c>
      <c r="AP24" s="179">
        <f>[50]SAS_NSA_2019_4T!$C$260</f>
        <v>479326</v>
      </c>
      <c r="AQ24" s="179">
        <f>[51]SAS_NSA_2020_1T!$C$237</f>
        <v>479324</v>
      </c>
      <c r="AR24" s="179">
        <f>[52]SAS_NSA_2020_2T!$C$237</f>
        <v>476321</v>
      </c>
      <c r="AS24" s="179">
        <f>[53]SAS_NSA_2020_3T!$C$237</f>
        <v>473289</v>
      </c>
      <c r="AT24" s="179">
        <f>[54]SAS_NSA_2020_4T!$C$237</f>
        <v>472353</v>
      </c>
      <c r="AU24" s="179">
        <f>[55]SAS_NSA_2021_1T!$C$237</f>
        <v>471044</v>
      </c>
      <c r="AV24" s="179">
        <f>[56]SAS_NSA_2021_2T!$C$237</f>
        <v>467195</v>
      </c>
      <c r="AW24" s="179">
        <f>[57]SAS_NSA_2021_3T!$C$237</f>
        <v>464543</v>
      </c>
      <c r="AX24" s="404">
        <f>[58]SAS_NSA_2021_4T!$C125</f>
        <v>464439</v>
      </c>
      <c r="AY24" s="179">
        <f>[59]SAS_NSA_2022_1T!$C$125</f>
        <v>526107</v>
      </c>
      <c r="AZ24" s="179">
        <f>[60]SAS_NSA_2022_2T!$C$125</f>
        <v>521382</v>
      </c>
      <c r="BA24" s="179">
        <f>[61]SAS_NSA_2022_3T!$C$125</f>
        <v>517877</v>
      </c>
      <c r="BB24" s="385">
        <f>[62]SAS_NSA_2022_4T!$C$125</f>
        <v>517888</v>
      </c>
      <c r="BC24" s="22">
        <f>[2]SAS_NSA_2023_1T!$C$125</f>
        <v>515564</v>
      </c>
      <c r="BD24" s="22">
        <f>[3]SAS_NSA_2023_2T!$C$125</f>
        <v>511948</v>
      </c>
      <c r="BE24" s="22">
        <f>[4]SAS_NSA_2023_3T!$C$125</f>
        <v>509269</v>
      </c>
      <c r="BF24" s="22">
        <f>[5]SAS_NSA_2023_4T!$C$125</f>
        <v>507607</v>
      </c>
      <c r="BG24" s="22">
        <f>[6]SAS_NSA_2024_1T!$C$125</f>
        <v>506292</v>
      </c>
      <c r="BH24" s="22">
        <f>[7]SAS_NSA_2024_2T!$C$125</f>
        <v>501983</v>
      </c>
      <c r="BI24" s="22">
        <f>[8]SAS_NSA_2024_3T!$C$125</f>
        <v>514569</v>
      </c>
      <c r="BJ24" s="22">
        <f>[9]SAS_NSA_2024_4T!$C$125</f>
        <v>513877</v>
      </c>
    </row>
    <row r="25" spans="1:62" x14ac:dyDescent="0.25">
      <c r="A25" s="22" t="s">
        <v>17</v>
      </c>
      <c r="B25" s="3">
        <f>[63]SAS_NSA_4T2009!$C$195</f>
        <v>1267</v>
      </c>
      <c r="C25" s="39">
        <f>[11]SAS_NSA_1T2010!$C$195</f>
        <v>1317</v>
      </c>
      <c r="D25" s="39">
        <f>[12]SAS_NSA_2T2010!$C$195</f>
        <v>2642</v>
      </c>
      <c r="E25" s="39">
        <f>[13]SAS_NSA_3T2010!$C$195</f>
        <v>2778</v>
      </c>
      <c r="F25" s="39">
        <f>[14]SAS_NSA_2010_4T!$C$195</f>
        <v>2858</v>
      </c>
      <c r="G25" s="39">
        <f>[15]SAS_NSA_2011_1T!$C$195</f>
        <v>2916</v>
      </c>
      <c r="H25" s="39">
        <f>[16]SAS_NSA_2011_2T!$C$195</f>
        <v>3008</v>
      </c>
      <c r="I25" s="39">
        <f>[17]SAS_NSA_2011_3T!$C$195</f>
        <v>3085</v>
      </c>
      <c r="J25" s="39">
        <f>[18]SAS_NSA_2011_4T!$C$195</f>
        <v>3195</v>
      </c>
      <c r="K25" s="39">
        <f>[19]SAS_NSA_2012_1T!$C$197</f>
        <v>3279</v>
      </c>
      <c r="L25" s="39">
        <f>'[20]120919-14H22S23-PROGRAM-TdB_STO'!$C$197</f>
        <v>3364</v>
      </c>
      <c r="M25" s="39">
        <f>'[21]121105-15H12S18-PROGRAM-TdB_STO'!$C$197</f>
        <v>3508</v>
      </c>
      <c r="N25" s="39">
        <f>[22]SAS_NSA_2012_4T!$C$197</f>
        <v>3628</v>
      </c>
      <c r="O25" s="39">
        <f>[23]SAS_NSA_2013_1T!$C$197</f>
        <v>3747</v>
      </c>
      <c r="P25" s="39">
        <f>[24]SAS_NSA_2013_2T!$C$197</f>
        <v>3819</v>
      </c>
      <c r="Q25" s="39">
        <f>[25]SAS_NSA_2013_3T!$C$197</f>
        <v>3935</v>
      </c>
      <c r="R25" s="179">
        <f>[26]SAS_NSA_2013_4T!$C$197</f>
        <v>4042</v>
      </c>
      <c r="S25" s="179">
        <f>[27]SAS_NSA_2014_1T!$C$197</f>
        <v>4131</v>
      </c>
      <c r="T25" s="179">
        <f>[28]SAS_NSA_2014_2T!$C$197</f>
        <v>4218</v>
      </c>
      <c r="U25" s="179">
        <f>[29]SAS_NSA_2014_3T!$C$197</f>
        <v>4263</v>
      </c>
      <c r="V25" s="179">
        <f>[30]SAS_NSA_2014_4T!$C$197</f>
        <v>4617</v>
      </c>
      <c r="W25" s="179">
        <f>[31]SAS_NSA_2015_1T!$C$197</f>
        <v>4688</v>
      </c>
      <c r="X25" s="179">
        <f>[32]SAS_NSA_2015_2T!$C$197</f>
        <v>4793</v>
      </c>
      <c r="Y25" s="179">
        <f>[33]SAS_NSA_2015_3T!$C$197</f>
        <v>4954</v>
      </c>
      <c r="Z25" s="179">
        <f>[34]SAS_NSA_2015_4T!$C$197</f>
        <v>5045</v>
      </c>
      <c r="AA25" s="179">
        <f>[35]SAS_NSA_2016_1T!$C$197</f>
        <v>5130</v>
      </c>
      <c r="AB25" s="179">
        <f>[36]SAS_NSA_2016_2T!$C$197</f>
        <v>5227</v>
      </c>
      <c r="AC25" s="179">
        <f>[37]SAS_NSA_2016_3T!$C$197</f>
        <v>5328</v>
      </c>
      <c r="AD25" s="179">
        <f>[38]SAS_NSA_2016_4T!$C$197</f>
        <v>5508</v>
      </c>
      <c r="AE25" s="179">
        <f>[39]SAS_NSA_2017_1T!$C$197</f>
        <v>5619</v>
      </c>
      <c r="AF25" s="179">
        <f>[40]SAS_NSA_2017_2T!$C$197</f>
        <v>5727</v>
      </c>
      <c r="AG25" s="179">
        <f>[41]SAS_NSA_2017_3T!$C$197</f>
        <v>5819</v>
      </c>
      <c r="AH25" s="179">
        <f>[42]SAS_NSA_2017_4T!$C$197</f>
        <v>5899</v>
      </c>
      <c r="AI25" s="179">
        <f>[43]SAS_NSA_2018_1T!$C$261</f>
        <v>5993</v>
      </c>
      <c r="AJ25" s="179">
        <f>[44]SAS_NSA_2018_2T!$C$199</f>
        <v>6067</v>
      </c>
      <c r="AK25" s="336">
        <f>[45]SAS_NSA_2018_3T!$C$261</f>
        <v>6225</v>
      </c>
      <c r="AL25" s="336">
        <f>[46]SAS_NSA_2018_4T!$C$261</f>
        <v>6396</v>
      </c>
      <c r="AM25" s="179">
        <f>[47]SAS_NSA_2019_1T!$C$261</f>
        <v>6486</v>
      </c>
      <c r="AN25" s="179">
        <f>[48]SAS_NSA_2019_2T!$C$261</f>
        <v>6596</v>
      </c>
      <c r="AO25" s="179">
        <f>[49]SAS_NSA_2019_3T!$C261</f>
        <v>6764</v>
      </c>
      <c r="AP25" s="179">
        <f>[50]SAS_NSA_2019_4T!$C$261</f>
        <v>6912</v>
      </c>
      <c r="AQ25" s="179">
        <f>[51]SAS_NSA_2020_1T!$C$238</f>
        <v>7043</v>
      </c>
      <c r="AR25" s="179">
        <f>[52]SAS_NSA_2020_2T!$C$238</f>
        <v>7161</v>
      </c>
      <c r="AS25" s="179">
        <f>[53]SAS_NSA_2020_3T!$C$238</f>
        <v>7250</v>
      </c>
      <c r="AT25" s="179">
        <f>[54]SAS_NSA_2020_4T!$C$238</f>
        <v>7424</v>
      </c>
      <c r="AU25" s="179">
        <f>[55]SAS_NSA_2021_1T!$C$238</f>
        <v>7547</v>
      </c>
      <c r="AV25" s="179">
        <f>[56]SAS_NSA_2021_2T!$C$238</f>
        <v>7644</v>
      </c>
      <c r="AW25" s="179">
        <f>[57]SAS_NSA_2021_3T!$C$238</f>
        <v>7731</v>
      </c>
      <c r="AX25" s="404">
        <f>[58]SAS_NSA_2021_4T!$C126</f>
        <v>7849</v>
      </c>
      <c r="AY25" s="179">
        <f>[59]SAS_NSA_2022_1T!$C$126</f>
        <v>27496</v>
      </c>
      <c r="AZ25" s="179">
        <f>[60]SAS_NSA_2022_2T!$C$126</f>
        <v>27453</v>
      </c>
      <c r="BA25" s="179">
        <f>[61]SAS_NSA_2022_3T!$C$126</f>
        <v>27494</v>
      </c>
      <c r="BB25" s="385">
        <f>[62]SAS_NSA_2022_4T!$C$126</f>
        <v>27613</v>
      </c>
      <c r="BC25" s="22">
        <f>[2]SAS_NSA_2023_1T!$C$126</f>
        <v>27588</v>
      </c>
      <c r="BD25" s="22">
        <f>[3]SAS_NSA_2023_2T!$C$126</f>
        <v>27592</v>
      </c>
      <c r="BE25" s="22">
        <f>[4]SAS_NSA_2023_3T!$C$126</f>
        <v>27654</v>
      </c>
      <c r="BF25" s="22">
        <f>[5]SAS_NSA_2023_4T!$C$126</f>
        <v>27919</v>
      </c>
      <c r="BG25" s="22">
        <f>[6]SAS_NSA_2024_1T!$C$126</f>
        <v>27949</v>
      </c>
      <c r="BH25" s="22">
        <f>[7]SAS_NSA_2024_2T!$C$126</f>
        <v>27842</v>
      </c>
      <c r="BI25" s="22">
        <f>[8]SAS_NSA_2024_3T!$C$126</f>
        <v>25948</v>
      </c>
      <c r="BJ25" s="22">
        <f>[9]SAS_NSA_2024_4T!$C$126</f>
        <v>26049</v>
      </c>
    </row>
    <row r="26" spans="1:62" x14ac:dyDescent="0.25">
      <c r="A26" s="22" t="s">
        <v>18</v>
      </c>
      <c r="B26" s="3">
        <f>[63]SAS_NSA_4T2009!$C$196</f>
        <v>62108</v>
      </c>
      <c r="C26" s="39">
        <f>[11]SAS_NSA_1T2010!$C$196</f>
        <v>62506</v>
      </c>
      <c r="D26" s="39">
        <f>[12]SAS_NSA_2T2010!$C$196</f>
        <v>103220</v>
      </c>
      <c r="E26" s="39">
        <f>[13]SAS_NSA_3T2010!$C$196</f>
        <v>104946</v>
      </c>
      <c r="F26" s="39">
        <f>[14]SAS_NSA_2010_4T!$C$196</f>
        <v>106349</v>
      </c>
      <c r="G26" s="39">
        <f>[15]SAS_NSA_2011_1T!$C$196</f>
        <v>108464</v>
      </c>
      <c r="H26" s="39">
        <f>[16]SAS_NSA_2011_2T!$C$196</f>
        <v>109829</v>
      </c>
      <c r="I26" s="39">
        <f>[17]SAS_NSA_2011_3T!$C$196</f>
        <v>111303</v>
      </c>
      <c r="J26" s="39">
        <f>[18]SAS_NSA_2011_4T!$C$196</f>
        <v>112636</v>
      </c>
      <c r="K26" s="39">
        <f>[19]SAS_NSA_2012_1T!$C$198</f>
        <v>114294</v>
      </c>
      <c r="L26" s="39">
        <f>'[20]120919-14H22S23-PROGRAM-TdB_STO'!$C$198</f>
        <v>115167</v>
      </c>
      <c r="M26" s="39">
        <f>'[21]121105-15H12S18-PROGRAM-TdB_STO'!$C$198</f>
        <v>116291</v>
      </c>
      <c r="N26" s="39">
        <f>[22]SAS_NSA_2012_4T!$C$198</f>
        <v>117434</v>
      </c>
      <c r="O26" s="39">
        <f>[23]SAS_NSA_2013_1T!$C$198</f>
        <v>118271</v>
      </c>
      <c r="P26" s="39">
        <f>[24]SAS_NSA_2013_2T!$C$198</f>
        <v>118805</v>
      </c>
      <c r="Q26" s="39">
        <f>[25]SAS_NSA_2013_3T!$C$198</f>
        <v>119796</v>
      </c>
      <c r="R26" s="179">
        <f>[26]SAS_NSA_2013_4T!$C$198</f>
        <v>120967</v>
      </c>
      <c r="S26" s="179">
        <f>[27]SAS_NSA_2014_1T!$C$198</f>
        <v>122001</v>
      </c>
      <c r="T26" s="179">
        <f>[28]SAS_NSA_2014_2T!$C$198</f>
        <v>199879</v>
      </c>
      <c r="U26" s="179">
        <f>[29]SAS_NSA_2014_3T!$C$198</f>
        <v>200274</v>
      </c>
      <c r="V26" s="179">
        <f>[30]SAS_NSA_2014_4T!$C$198</f>
        <v>202813</v>
      </c>
      <c r="W26" s="179">
        <f>[31]SAS_NSA_2015_1T!$C$198</f>
        <v>202173</v>
      </c>
      <c r="X26" s="179">
        <f>[32]SAS_NSA_2015_2T!$C$198</f>
        <v>200838</v>
      </c>
      <c r="Y26" s="179">
        <f>[33]SAS_NSA_2015_3T!$C$198</f>
        <v>200375</v>
      </c>
      <c r="Z26" s="179">
        <f>[34]SAS_NSA_2015_4T!$C$198</f>
        <v>200347</v>
      </c>
      <c r="AA26" s="179">
        <f>[35]SAS_NSA_2016_1T!$C$198</f>
        <v>199554</v>
      </c>
      <c r="AB26" s="179">
        <f>[36]SAS_NSA_2016_2T!$C$198</f>
        <v>198129</v>
      </c>
      <c r="AC26" s="179">
        <f>[37]SAS_NSA_2016_3T!$C$198</f>
        <v>197363</v>
      </c>
      <c r="AD26" s="179">
        <f>[38]SAS_NSA_2016_4T!$C$198</f>
        <v>197023</v>
      </c>
      <c r="AE26" s="179">
        <f>[39]SAS_NSA_2017_1T!$C$198</f>
        <v>195876</v>
      </c>
      <c r="AF26" s="179">
        <f>[40]SAS_NSA_2017_2T!$C$198</f>
        <v>193684</v>
      </c>
      <c r="AG26" s="179">
        <f>[41]SAS_NSA_2017_3T!$C$198</f>
        <v>192570</v>
      </c>
      <c r="AH26" s="179">
        <f>[42]SAS_NSA_2017_4T!$C$198</f>
        <v>191730</v>
      </c>
      <c r="AI26" s="179">
        <f>[43]SAS_NSA_2018_1T!$C$262</f>
        <v>190134</v>
      </c>
      <c r="AJ26" s="179">
        <f>[44]SAS_NSA_2018_2T!$C$200</f>
        <v>187822</v>
      </c>
      <c r="AK26" s="290">
        <f>[45]SAS_NSA_2018_3T!$C$262</f>
        <v>187117</v>
      </c>
      <c r="AL26" s="336">
        <f>[46]SAS_NSA_2018_4T!$C$262</f>
        <v>187001</v>
      </c>
      <c r="AM26" s="179">
        <f>[47]SAS_NSA_2019_1T!$C$262</f>
        <v>185949</v>
      </c>
      <c r="AN26" s="179">
        <f>[48]SAS_NSA_2019_2T!$C$262</f>
        <v>184003</v>
      </c>
      <c r="AO26" s="179">
        <f>[49]SAS_NSA_2019_3T!$C262</f>
        <v>182811</v>
      </c>
      <c r="AP26" s="179">
        <f>[50]SAS_NSA_2019_4T!$C$262</f>
        <v>182146</v>
      </c>
      <c r="AQ26" s="179">
        <f>[51]SAS_NSA_2020_1T!$C$239</f>
        <v>181116</v>
      </c>
      <c r="AR26" s="179">
        <f>[52]SAS_NSA_2020_2T!$C$239</f>
        <v>178979</v>
      </c>
      <c r="AS26" s="179">
        <f>[53]SAS_NSA_2020_3T!$C$239</f>
        <v>177377</v>
      </c>
      <c r="AT26" s="179">
        <f>[54]SAS_NSA_2020_4T!$C$239</f>
        <v>176720</v>
      </c>
      <c r="AU26" s="179">
        <f>[55]SAS_NSA_2021_1T!$C$239</f>
        <v>174578</v>
      </c>
      <c r="AV26" s="179">
        <f>[56]SAS_NSA_2021_2T!$C$239</f>
        <v>172329</v>
      </c>
      <c r="AW26" s="179">
        <f>[57]SAS_NSA_2021_3T!$C$239</f>
        <v>171150</v>
      </c>
      <c r="AX26" s="404">
        <f>[58]SAS_NSA_2021_4T!$C127</f>
        <v>170349</v>
      </c>
      <c r="AY26" s="179">
        <f>[59]SAS_NSA_2022_1T!$C$127</f>
        <v>89807</v>
      </c>
      <c r="AZ26" s="179">
        <f>[60]SAS_NSA_2022_2T!$C$127</f>
        <v>89453</v>
      </c>
      <c r="BA26" s="179">
        <f>[61]SAS_NSA_2022_3T!$C$127</f>
        <v>89391</v>
      </c>
      <c r="BB26" s="385">
        <f>[62]SAS_NSA_2022_4T!$C$127</f>
        <v>89856</v>
      </c>
      <c r="BC26" s="22">
        <f>[2]SAS_NSA_2023_1T!$C$127</f>
        <v>89273</v>
      </c>
      <c r="BD26" s="22">
        <f>[3]SAS_NSA_2023_2T!$C$127</f>
        <v>89291</v>
      </c>
      <c r="BE26" s="22">
        <f>[4]SAS_NSA_2023_3T!$C$127</f>
        <v>89393</v>
      </c>
      <c r="BF26" s="22">
        <f>[5]SAS_NSA_2023_4T!$C$127</f>
        <v>89980</v>
      </c>
      <c r="BG26" s="22">
        <f>[6]SAS_NSA_2024_1T!$C$127</f>
        <v>89921</v>
      </c>
      <c r="BH26" s="22">
        <f>[7]SAS_NSA_2024_2T!$C$127</f>
        <v>89313</v>
      </c>
      <c r="BI26" s="22">
        <f>[8]SAS_NSA_2024_3T!$C$127</f>
        <v>90920</v>
      </c>
      <c r="BJ26" s="22">
        <f>[9]SAS_NSA_2024_4T!$C$127</f>
        <v>91294</v>
      </c>
    </row>
    <row r="27" spans="1:62" x14ac:dyDescent="0.25">
      <c r="A27" s="8" t="s">
        <v>4</v>
      </c>
      <c r="B27" s="3">
        <f t="shared" ref="B27:P27" si="75">B11-(B24+B25+B26)</f>
        <v>357</v>
      </c>
      <c r="C27" s="39">
        <f t="shared" si="75"/>
        <v>395</v>
      </c>
      <c r="D27" s="39">
        <f t="shared" si="75"/>
        <v>684</v>
      </c>
      <c r="E27" s="39">
        <f t="shared" si="75"/>
        <v>919</v>
      </c>
      <c r="F27" s="39">
        <f t="shared" si="75"/>
        <v>704</v>
      </c>
      <c r="G27" s="39">
        <f t="shared" si="75"/>
        <v>1775</v>
      </c>
      <c r="H27" s="39">
        <f t="shared" si="75"/>
        <v>742</v>
      </c>
      <c r="I27" s="39">
        <f t="shared" si="75"/>
        <v>740</v>
      </c>
      <c r="J27" s="39">
        <f t="shared" si="75"/>
        <v>740</v>
      </c>
      <c r="K27" s="111">
        <f t="shared" si="75"/>
        <v>2052</v>
      </c>
      <c r="L27" s="39">
        <f t="shared" si="75"/>
        <v>961</v>
      </c>
      <c r="M27" s="39">
        <f t="shared" si="75"/>
        <v>849</v>
      </c>
      <c r="N27" s="39">
        <f t="shared" si="75"/>
        <v>832</v>
      </c>
      <c r="O27" s="39">
        <f t="shared" si="75"/>
        <v>2020</v>
      </c>
      <c r="P27" s="39">
        <f t="shared" si="75"/>
        <v>917</v>
      </c>
      <c r="Q27" s="39">
        <f t="shared" ref="Q27:R27" si="76">Q11-(Q24+Q25+Q26)</f>
        <v>911</v>
      </c>
      <c r="R27" s="179">
        <f t="shared" si="76"/>
        <v>1485</v>
      </c>
      <c r="S27" s="179">
        <f t="shared" ref="S27:T27" si="77">S11-(S24+S25+S26)</f>
        <v>1286</v>
      </c>
      <c r="T27" s="179">
        <f t="shared" si="77"/>
        <v>1041</v>
      </c>
      <c r="U27" s="179">
        <f t="shared" ref="U27:V27" si="78">U11-(U24+U25+U26)</f>
        <v>1173</v>
      </c>
      <c r="V27" s="179">
        <f t="shared" si="78"/>
        <v>1300</v>
      </c>
      <c r="W27" s="179">
        <f t="shared" ref="W27:X27" si="79">W11-(W24+W25+W26)</f>
        <v>1326</v>
      </c>
      <c r="X27" s="179">
        <f t="shared" si="79"/>
        <v>1273</v>
      </c>
      <c r="Y27" s="179">
        <f t="shared" ref="Y27:Z27" si="80">Y11-(Y24+Y25+Y26)</f>
        <v>1233</v>
      </c>
      <c r="Z27" s="179">
        <f t="shared" si="80"/>
        <v>1257</v>
      </c>
      <c r="AA27" s="179">
        <f t="shared" ref="AA27" si="81">AA11-(AA24+AA25+AA26)</f>
        <v>1309</v>
      </c>
      <c r="AB27" s="179">
        <f t="shared" ref="AB27:AG27" si="82">AB11-(AB24+AB25+AB26)</f>
        <v>1306</v>
      </c>
      <c r="AC27" s="179">
        <f t="shared" si="82"/>
        <v>1337</v>
      </c>
      <c r="AD27" s="179">
        <f t="shared" si="82"/>
        <v>1404</v>
      </c>
      <c r="AE27" s="179">
        <f t="shared" si="82"/>
        <v>1455</v>
      </c>
      <c r="AF27" s="179">
        <f t="shared" si="82"/>
        <v>1450</v>
      </c>
      <c r="AG27" s="179">
        <f t="shared" si="82"/>
        <v>1457</v>
      </c>
      <c r="AH27" s="179">
        <f>AH11-(AH24+AH25+AH26)</f>
        <v>1495</v>
      </c>
      <c r="AI27" s="179">
        <f>AI11-(AI24+AI25+AI26)</f>
        <v>1643</v>
      </c>
      <c r="AJ27" s="179">
        <f t="shared" ref="AJ27:AL27" si="83">AJ11-(AJ24+AJ25+AJ26)</f>
        <v>1549</v>
      </c>
      <c r="AK27" s="179">
        <f t="shared" si="83"/>
        <v>1631</v>
      </c>
      <c r="AL27" s="179">
        <f t="shared" si="83"/>
        <v>1636</v>
      </c>
      <c r="AM27" s="179">
        <f>AM11-(AM24+AM25+AM26)</f>
        <v>1626</v>
      </c>
      <c r="AN27" s="333">
        <f>AN11-(AN24+AN25+AN26)</f>
        <v>1647</v>
      </c>
      <c r="AO27" s="333">
        <f t="shared" ref="AO27:AP27" si="84">AO11-(AO24+AO25+AO26)</f>
        <v>1941</v>
      </c>
      <c r="AP27" s="333">
        <f t="shared" si="84"/>
        <v>1985</v>
      </c>
      <c r="AQ27" s="333">
        <f t="shared" ref="AQ27:AR27" si="85">AQ11-(AQ24+AQ25+AQ26)</f>
        <v>1828</v>
      </c>
      <c r="AR27" s="333">
        <f t="shared" si="85"/>
        <v>1829</v>
      </c>
      <c r="AS27" s="333">
        <f t="shared" ref="AS27:AV27" si="86">AS11-(AS24+AS25+AS26)</f>
        <v>1885</v>
      </c>
      <c r="AT27" s="333">
        <f>[194]SAS_NSA_2020_4T!$C$128-([194]SAS_NSA_2020_4T!$C$133-AT11)</f>
        <v>1934</v>
      </c>
      <c r="AU27" s="333">
        <f t="shared" si="86"/>
        <v>2446</v>
      </c>
      <c r="AV27" s="333">
        <f t="shared" si="86"/>
        <v>2031</v>
      </c>
      <c r="AW27" s="333">
        <f>[57]SAS_NSA_2021_3T!$C$240+(AW11-[57]SAS_NSA_2021_3T!$C$223)</f>
        <v>1994</v>
      </c>
      <c r="AX27" s="404">
        <f>AX11-AX24-AX25-AX26</f>
        <v>2058</v>
      </c>
      <c r="AY27" s="179">
        <f t="shared" ref="AY27:BA27" si="87">AY11-AY24-AY25-AY26</f>
        <v>121</v>
      </c>
      <c r="AZ27" s="179">
        <f t="shared" si="87"/>
        <v>99</v>
      </c>
      <c r="BA27" s="179">
        <f t="shared" si="87"/>
        <v>98</v>
      </c>
      <c r="BB27" s="385">
        <f t="shared" ref="BB27" si="88">BB11-BB24-BB25-BB26</f>
        <v>103</v>
      </c>
      <c r="BC27" s="22">
        <f t="shared" ref="BC27:BD27" si="89">BC11-BC24-BC25-BC26</f>
        <v>125</v>
      </c>
      <c r="BD27" s="22">
        <f t="shared" si="89"/>
        <v>109</v>
      </c>
      <c r="BE27" s="22">
        <f t="shared" ref="BE27:BF27" si="90">BE11-BE24-BE25-BE26</f>
        <v>94</v>
      </c>
      <c r="BF27" s="22">
        <f t="shared" si="90"/>
        <v>126</v>
      </c>
      <c r="BG27" s="22">
        <f t="shared" ref="BG27:BH27" si="91">BG11-BG24-BG25-BG26</f>
        <v>498</v>
      </c>
      <c r="BH27" s="22">
        <f t="shared" si="91"/>
        <v>171</v>
      </c>
      <c r="BI27" s="22">
        <f t="shared" ref="BI27:BJ27" si="92">BI11-BI24-BI25-BI26</f>
        <v>166</v>
      </c>
      <c r="BJ27" s="22">
        <f t="shared" si="92"/>
        <v>210</v>
      </c>
    </row>
    <row r="28" spans="1:62" x14ac:dyDescent="0.25">
      <c r="A28" s="23"/>
      <c r="B28" s="10"/>
      <c r="C28" s="10"/>
      <c r="D28" s="10"/>
      <c r="E28" s="10"/>
      <c r="F28" s="10"/>
      <c r="G28" s="10"/>
      <c r="H28" s="10"/>
      <c r="I28" s="10"/>
      <c r="J28" s="10"/>
      <c r="K28" s="155"/>
      <c r="L28" s="155"/>
      <c r="M28" s="155"/>
      <c r="N28" s="155"/>
      <c r="O28" s="155"/>
      <c r="P28" s="155"/>
      <c r="Q28" s="155"/>
      <c r="R28" s="208"/>
      <c r="S28" s="208"/>
      <c r="T28" s="208"/>
      <c r="U28" s="208"/>
      <c r="V28" s="208"/>
      <c r="W28" s="208"/>
      <c r="X28" s="208"/>
      <c r="Y28" s="208"/>
      <c r="Z28" s="208"/>
      <c r="AA28" s="208"/>
      <c r="AB28" s="240">
        <f t="shared" ref="AB28:AJ28" si="93">AB27/X27-1</f>
        <v>2.5923016496465001E-2</v>
      </c>
      <c r="AC28" s="240">
        <f t="shared" si="93"/>
        <v>8.4347120843471179E-2</v>
      </c>
      <c r="AD28" s="240">
        <f t="shared" si="93"/>
        <v>0.11694510739856812</v>
      </c>
      <c r="AE28" s="240">
        <f t="shared" si="93"/>
        <v>0.11153552330022909</v>
      </c>
      <c r="AF28" s="240">
        <f t="shared" si="93"/>
        <v>0.1102603369065851</v>
      </c>
      <c r="AG28" s="240">
        <f t="shared" si="93"/>
        <v>8.9753178758414265E-2</v>
      </c>
      <c r="AH28" s="240">
        <f t="shared" si="93"/>
        <v>6.4814814814814881E-2</v>
      </c>
      <c r="AI28" s="240">
        <f t="shared" si="93"/>
        <v>0.12920962199312713</v>
      </c>
      <c r="AJ28" s="240">
        <f t="shared" si="93"/>
        <v>6.8275862068965409E-2</v>
      </c>
      <c r="AM28" s="240"/>
      <c r="AN28" s="240"/>
      <c r="AO28" s="349">
        <f t="shared" ref="AO28:AU28" si="94">SUM(AO24:AO27)</f>
        <v>671034</v>
      </c>
      <c r="AP28" s="349">
        <f t="shared" si="94"/>
        <v>670369</v>
      </c>
      <c r="AQ28" s="349">
        <f t="shared" si="94"/>
        <v>669311</v>
      </c>
      <c r="AR28" s="349">
        <f t="shared" si="94"/>
        <v>664290</v>
      </c>
      <c r="AS28" s="349">
        <f t="shared" si="94"/>
        <v>659801</v>
      </c>
      <c r="AT28" s="349">
        <f>SUM(AT24:AT27)</f>
        <v>658431</v>
      </c>
      <c r="AU28" s="349">
        <f t="shared" si="94"/>
        <v>655615</v>
      </c>
      <c r="AV28" s="349">
        <f t="shared" ref="AV28:AW28" si="95">SUM(AV24:AV27)</f>
        <v>649199</v>
      </c>
      <c r="AW28" s="349">
        <f t="shared" si="95"/>
        <v>645418</v>
      </c>
      <c r="AX28" s="436">
        <f t="shared" ref="AX28:BA28" si="96">SUM(AX24:AX27)</f>
        <v>644695</v>
      </c>
      <c r="AY28" s="349">
        <f t="shared" si="96"/>
        <v>643531</v>
      </c>
      <c r="AZ28" s="349">
        <f>SUM(AZ24:AZ27)</f>
        <v>638387</v>
      </c>
      <c r="BA28" s="349">
        <f t="shared" si="96"/>
        <v>634860</v>
      </c>
      <c r="BB28" s="386">
        <f t="shared" ref="BB28" si="97">SUM(BB24:BB27)</f>
        <v>635460</v>
      </c>
      <c r="BC28" s="4">
        <f t="shared" ref="BC28:BD28" si="98">SUM(BC24:BC27)</f>
        <v>632550</v>
      </c>
      <c r="BD28" s="4">
        <f t="shared" si="98"/>
        <v>628940</v>
      </c>
      <c r="BE28" s="4">
        <f t="shared" ref="BE28:BF28" si="99">SUM(BE24:BE27)</f>
        <v>626410</v>
      </c>
      <c r="BF28" s="4">
        <f t="shared" si="99"/>
        <v>625632</v>
      </c>
      <c r="BG28" s="4">
        <f t="shared" ref="BG28:BH28" si="100">SUM(BG24:BG27)</f>
        <v>624660</v>
      </c>
      <c r="BH28" s="4">
        <f t="shared" si="100"/>
        <v>619309</v>
      </c>
      <c r="BI28" s="4">
        <f t="shared" ref="BI28:BJ28" si="101">SUM(BI24:BI27)</f>
        <v>631603</v>
      </c>
      <c r="BJ28" s="4">
        <f t="shared" si="101"/>
        <v>631430</v>
      </c>
    </row>
    <row r="29" spans="1:62" ht="13" x14ac:dyDescent="0.3">
      <c r="A29" s="25" t="s">
        <v>42</v>
      </c>
      <c r="K29" s="145"/>
      <c r="L29" s="145"/>
      <c r="M29" s="145"/>
      <c r="N29" s="145"/>
      <c r="O29" s="145"/>
      <c r="P29" s="145"/>
      <c r="Q29" s="145"/>
      <c r="S29" s="177"/>
      <c r="T29" s="177"/>
      <c r="U29" s="177"/>
      <c r="V29" s="177"/>
      <c r="W29" s="177"/>
      <c r="X29" s="177"/>
      <c r="Y29" s="177"/>
      <c r="Z29" s="177"/>
      <c r="AA29" s="177"/>
      <c r="AB29" s="177"/>
      <c r="AC29" s="177"/>
      <c r="AD29" s="177"/>
      <c r="AE29" s="177"/>
      <c r="AF29" s="177"/>
      <c r="AG29" s="177"/>
      <c r="AH29" s="177"/>
      <c r="AI29" s="177"/>
      <c r="AJ29" s="177"/>
      <c r="AM29" s="177"/>
      <c r="AN29" s="177"/>
      <c r="AO29" s="177"/>
      <c r="AQ29" s="177"/>
      <c r="AR29" s="177"/>
      <c r="AS29" s="177"/>
      <c r="AT29" s="177"/>
      <c r="AU29" s="177"/>
      <c r="AV29" s="177"/>
      <c r="AW29" s="177"/>
      <c r="AX29" s="407"/>
    </row>
    <row r="30" spans="1:62" x14ac:dyDescent="0.25">
      <c r="A30" s="17" t="s">
        <v>12</v>
      </c>
      <c r="K30" s="145"/>
      <c r="L30" s="145"/>
      <c r="M30" s="145"/>
      <c r="N30" s="145"/>
      <c r="O30" s="145"/>
      <c r="P30" s="145"/>
      <c r="Q30" s="145"/>
      <c r="S30" s="177"/>
      <c r="T30" s="177"/>
      <c r="U30" s="177"/>
      <c r="V30" s="177"/>
      <c r="W30" s="177"/>
      <c r="X30" s="177"/>
      <c r="Y30" s="177"/>
      <c r="Z30" s="177"/>
      <c r="AA30" s="177"/>
      <c r="AB30" s="177"/>
      <c r="AC30" s="177"/>
      <c r="AD30" s="177"/>
      <c r="AE30" s="177"/>
      <c r="AF30" s="177"/>
      <c r="AG30" s="177"/>
      <c r="AH30" s="177"/>
      <c r="AI30" s="177"/>
      <c r="AJ30" s="177"/>
      <c r="AM30" s="177"/>
      <c r="AN30" s="177"/>
      <c r="AO30" s="177"/>
      <c r="AQ30" s="177"/>
      <c r="AR30" s="177"/>
      <c r="AS30" s="177"/>
      <c r="AT30" s="177"/>
      <c r="AU30" s="177"/>
      <c r="AV30" s="177"/>
      <c r="AW30" s="177"/>
      <c r="AX30" s="407"/>
    </row>
    <row r="31" spans="1:62" x14ac:dyDescent="0.25">
      <c r="A31" s="17" t="s">
        <v>21</v>
      </c>
      <c r="K31" s="145"/>
      <c r="L31" s="145"/>
      <c r="M31" s="145"/>
      <c r="N31" s="145"/>
      <c r="O31" s="145"/>
      <c r="P31" s="145"/>
      <c r="Q31" s="145"/>
      <c r="S31" s="177"/>
      <c r="T31" s="177"/>
      <c r="U31" s="177"/>
      <c r="V31" s="177"/>
      <c r="W31" s="177"/>
      <c r="X31" s="177"/>
      <c r="Y31" s="177"/>
      <c r="Z31" s="177"/>
      <c r="AA31" s="177"/>
      <c r="AB31" s="177"/>
      <c r="AC31" s="177"/>
      <c r="AD31" s="177"/>
      <c r="AE31" s="177"/>
      <c r="AF31" s="177"/>
      <c r="AG31" s="281"/>
      <c r="AH31" s="281"/>
      <c r="AI31" s="281"/>
      <c r="AJ31" s="281"/>
      <c r="AM31" s="281"/>
      <c r="AN31" s="281"/>
      <c r="AO31" s="281"/>
      <c r="AQ31" s="281"/>
      <c r="AR31" s="281"/>
      <c r="AS31" s="281"/>
      <c r="AT31" s="281"/>
      <c r="AU31" s="281"/>
      <c r="AV31" s="281"/>
      <c r="AW31" s="281"/>
      <c r="AX31" s="437"/>
      <c r="BB31" s="388" t="s">
        <v>241</v>
      </c>
    </row>
    <row r="32" spans="1:62" x14ac:dyDescent="0.25">
      <c r="B32" s="2" t="str">
        <f t="shared" ref="B32:G32" si="102">B8</f>
        <v>4eme T 2009</v>
      </c>
      <c r="C32" s="38" t="str">
        <f t="shared" si="102"/>
        <v>1er T 2010</v>
      </c>
      <c r="D32" s="38" t="str">
        <f t="shared" si="102"/>
        <v>2eme T 2010</v>
      </c>
      <c r="E32" s="38" t="str">
        <f t="shared" si="102"/>
        <v>3eme T 2010</v>
      </c>
      <c r="F32" s="38" t="str">
        <f t="shared" si="102"/>
        <v>4eme T 2010</v>
      </c>
      <c r="G32" s="38" t="str">
        <f t="shared" si="102"/>
        <v>1er T 2011</v>
      </c>
      <c r="H32" s="38" t="str">
        <f t="shared" ref="H32:M32" si="103">H8</f>
        <v>2eme T 2011</v>
      </c>
      <c r="I32" s="38" t="str">
        <f t="shared" si="103"/>
        <v>3eme T 2011</v>
      </c>
      <c r="J32" s="38" t="str">
        <f t="shared" si="103"/>
        <v>4eme T 2011</v>
      </c>
      <c r="K32" s="38" t="str">
        <f t="shared" si="103"/>
        <v>1er T 2012</v>
      </c>
      <c r="L32" s="38" t="str">
        <f t="shared" si="103"/>
        <v>2eme T 2012</v>
      </c>
      <c r="M32" s="38" t="str">
        <f t="shared" si="103"/>
        <v>3eme T 2012</v>
      </c>
      <c r="N32" s="38" t="str">
        <f t="shared" ref="N32:S32" si="104">N8</f>
        <v>4eme T 2012</v>
      </c>
      <c r="O32" s="38" t="str">
        <f t="shared" si="104"/>
        <v>1er T 2013</v>
      </c>
      <c r="P32" s="38" t="str">
        <f t="shared" si="104"/>
        <v>2eme T 2013</v>
      </c>
      <c r="Q32" s="38" t="str">
        <f t="shared" si="104"/>
        <v>3ème T 2013</v>
      </c>
      <c r="R32" s="178" t="str">
        <f t="shared" si="104"/>
        <v>4ème T 2013</v>
      </c>
      <c r="S32" s="178" t="str">
        <f t="shared" si="104"/>
        <v>1er T 2014</v>
      </c>
      <c r="T32" s="178" t="str">
        <f t="shared" ref="T32:U32" si="105">T8</f>
        <v>2eme T 2014</v>
      </c>
      <c r="U32" s="178" t="str">
        <f t="shared" si="105"/>
        <v>3T 2014</v>
      </c>
      <c r="V32" s="178" t="str">
        <f t="shared" ref="V32:W32" si="106">V8</f>
        <v>4ème T 2014</v>
      </c>
      <c r="W32" s="178" t="str">
        <f t="shared" si="106"/>
        <v>1er T 2015</v>
      </c>
      <c r="X32" s="178" t="str">
        <f t="shared" ref="X32:Y32" si="107">X8</f>
        <v>2e T 2015</v>
      </c>
      <c r="Y32" s="178" t="str">
        <f t="shared" si="107"/>
        <v>3e T 2015</v>
      </c>
      <c r="Z32" s="178" t="str">
        <f t="shared" ref="Z32:AA32" si="108">Z8</f>
        <v>4e T 2015</v>
      </c>
      <c r="AA32" s="178" t="str">
        <f t="shared" si="108"/>
        <v>1er T 2016</v>
      </c>
      <c r="AB32" s="178" t="str">
        <f t="shared" ref="AB32:AC32" si="109">AB8</f>
        <v>2e T 2016</v>
      </c>
      <c r="AC32" s="178" t="str">
        <f t="shared" si="109"/>
        <v>3e T 2016</v>
      </c>
      <c r="AD32" s="178" t="str">
        <f t="shared" ref="AD32:AE32" si="110">AD8</f>
        <v>4e T 2016</v>
      </c>
      <c r="AE32" s="178" t="str">
        <f t="shared" si="110"/>
        <v>2017 - T1</v>
      </c>
      <c r="AF32" s="178" t="str">
        <f t="shared" ref="AF32:AG32" si="111">AF8</f>
        <v>2017 - T2</v>
      </c>
      <c r="AG32" s="178" t="str">
        <f t="shared" si="111"/>
        <v>2017- T3</v>
      </c>
      <c r="AH32" s="178" t="str">
        <f t="shared" ref="AH32:AI32" si="112">AH8</f>
        <v>2017 - T4</v>
      </c>
      <c r="AI32" s="178" t="str">
        <f t="shared" si="112"/>
        <v>2018 - T1</v>
      </c>
      <c r="AJ32" s="178" t="str">
        <f t="shared" ref="AJ32:AK32" si="113">AJ8</f>
        <v>2018 - T2</v>
      </c>
      <c r="AK32" s="178" t="str">
        <f t="shared" si="113"/>
        <v>2018 - T3</v>
      </c>
      <c r="AL32" s="178" t="str">
        <f t="shared" ref="AL32:AM32" si="114">AL8</f>
        <v>2018 - T4</v>
      </c>
      <c r="AM32" s="178" t="str">
        <f t="shared" si="114"/>
        <v>2019 - T1</v>
      </c>
      <c r="AN32" s="178" t="str">
        <f t="shared" ref="AN32:AP32" si="115">AN8</f>
        <v>2019 - T2</v>
      </c>
      <c r="AO32" s="178" t="str">
        <f t="shared" si="115"/>
        <v>2019 - T3</v>
      </c>
      <c r="AP32" s="178" t="str">
        <f t="shared" si="115"/>
        <v>2019 - T4</v>
      </c>
      <c r="AQ32" s="178" t="str">
        <f t="shared" ref="AQ32:AR32" si="116">AQ8</f>
        <v>2020 - T1</v>
      </c>
      <c r="AR32" s="178" t="str">
        <f t="shared" si="116"/>
        <v>2020 - T2</v>
      </c>
      <c r="AS32" s="178" t="str">
        <f t="shared" ref="AS32:AT32" si="117">AS8</f>
        <v>2020 - T3</v>
      </c>
      <c r="AT32" s="178" t="str">
        <f t="shared" si="117"/>
        <v>2020- T4</v>
      </c>
      <c r="AU32" s="178" t="str">
        <f t="shared" ref="AU32:AV32" si="118">AU8</f>
        <v>2021- T1</v>
      </c>
      <c r="AV32" s="178" t="str">
        <f t="shared" si="118"/>
        <v>2021- T2</v>
      </c>
      <c r="AW32" s="178" t="str">
        <f t="shared" ref="AW32:AY32" si="119">AW8</f>
        <v>2021- T3</v>
      </c>
      <c r="AX32" s="403" t="str">
        <f t="shared" si="119"/>
        <v>2021- T4</v>
      </c>
      <c r="AY32" s="178" t="str">
        <f t="shared" si="119"/>
        <v>2022- T1</v>
      </c>
      <c r="AZ32" s="178" t="str">
        <f t="shared" ref="AZ32" si="120">AZ8</f>
        <v>2022- T2</v>
      </c>
      <c r="BA32" s="178" t="str">
        <f t="shared" ref="BA32:BB32" si="121">BA8</f>
        <v>2022- T3</v>
      </c>
      <c r="BB32" s="178" t="str">
        <f t="shared" si="121"/>
        <v>2022- T4</v>
      </c>
      <c r="BC32" s="22" t="str">
        <f t="shared" ref="BC32:BD32" si="122">BC8</f>
        <v>2023- T1</v>
      </c>
      <c r="BD32" s="22" t="str">
        <f t="shared" si="122"/>
        <v>2023- T2</v>
      </c>
      <c r="BE32" s="22" t="str">
        <f t="shared" ref="BE32:BF32" si="123">BE8</f>
        <v>2023- T3</v>
      </c>
      <c r="BF32" s="22" t="str">
        <f t="shared" si="123"/>
        <v>2023- T4</v>
      </c>
      <c r="BG32" s="22" t="str">
        <f t="shared" ref="BG32:BH32" si="124">BG8</f>
        <v>2024- T1</v>
      </c>
      <c r="BH32" s="22" t="str">
        <f t="shared" si="124"/>
        <v>2024- T2</v>
      </c>
      <c r="BI32" s="22" t="str">
        <f t="shared" ref="BI32:BJ32" si="125">BI8</f>
        <v>2024- T3</v>
      </c>
      <c r="BJ32" s="22" t="str">
        <f t="shared" si="125"/>
        <v>2024- T4</v>
      </c>
    </row>
    <row r="33" spans="1:62" x14ac:dyDescent="0.25">
      <c r="A33" s="22" t="s">
        <v>16</v>
      </c>
      <c r="B33" s="21">
        <f>[63]SAS_NSA_4T2009!$E$194</f>
        <v>8822.08</v>
      </c>
      <c r="C33" s="45">
        <f>[11]SAS_NSA_1T2010!$E$194</f>
        <v>8823.8799999999992</v>
      </c>
      <c r="D33" s="45">
        <f>[12]SAS_NSA_2T2010!$E$194</f>
        <v>8883.7199999999993</v>
      </c>
      <c r="E33" s="45">
        <f>[13]SAS_NSA_3T2010!$E$194</f>
        <v>8870.9599999999991</v>
      </c>
      <c r="F33" s="45">
        <f>[14]SAS_NSA_2010_4T!$E$194</f>
        <v>8857.1200000000008</v>
      </c>
      <c r="G33" s="45">
        <f>[15]SAS_NSA_2011_1T!$E$194</f>
        <v>8852.1200000000008</v>
      </c>
      <c r="H33" s="45">
        <f>[16]SAS_NSA_2011_2T!$E$194</f>
        <v>9014.7999999999993</v>
      </c>
      <c r="I33" s="45">
        <f>[17]SAS_NSA_2011_3T!$E$194</f>
        <v>9004.68</v>
      </c>
      <c r="J33" s="45">
        <f>[18]SAS_NSA_2011_4T!$E$194</f>
        <v>8995.68</v>
      </c>
      <c r="K33" s="45">
        <f>[19]SAS_NSA_2012_1T!$E$196</f>
        <v>8962.76</v>
      </c>
      <c r="L33" s="45">
        <f>'[20]120919-14H22S23-PROGRAM-TdB_STO'!$E$196</f>
        <v>9145.2000000000007</v>
      </c>
      <c r="M33" s="45">
        <f>'[21]121105-15H12S18-PROGRAM-TdB_STO'!$E$196</f>
        <v>9138.48</v>
      </c>
      <c r="N33" s="45">
        <f>[22]SAS_NSA_2012_4T!$E$196</f>
        <v>9126.36</v>
      </c>
      <c r="O33" s="45">
        <f>[23]SAS_NSA_2013_1T!$E$196</f>
        <v>9116.44</v>
      </c>
      <c r="P33" s="45">
        <f>[24]SAS_NSA_2013_2T!$E$196</f>
        <v>9207.9599999999991</v>
      </c>
      <c r="Q33" s="45">
        <f>[25]SAS_NSA_2013_3T!$E$196</f>
        <v>9192.2800000000007</v>
      </c>
      <c r="R33" s="184">
        <f>[26]SAS_NSA_2013_4T!$E$196</f>
        <v>9149.16</v>
      </c>
      <c r="S33" s="184">
        <f>[27]SAS_NSA_2014_1T!$E$196</f>
        <v>9177.56</v>
      </c>
      <c r="T33" s="184">
        <f>[28]SAS_NSA_2014_2T!$E$196</f>
        <v>8534.64</v>
      </c>
      <c r="U33" s="184">
        <f>[29]SAS_NSA_2014_3T!$E$196</f>
        <v>8545.84</v>
      </c>
      <c r="V33" s="184">
        <f>[30]SAS_NSA_2014_4T!$E$196</f>
        <v>8538.6</v>
      </c>
      <c r="W33" s="184">
        <f>[31]SAS_NSA_2015_1T!$E$196</f>
        <v>8523.68</v>
      </c>
      <c r="X33" s="184">
        <f>[32]SAS_NSA_2015_2T!$E$196</f>
        <v>8517.7999999999993</v>
      </c>
      <c r="Y33" s="184">
        <f>[33]SAS_NSA_2015_3T!$E$196</f>
        <v>8512.52</v>
      </c>
      <c r="Z33" s="184">
        <f>[34]SAS_NSA_2015_4T!$E$196</f>
        <v>8514.7999999999993</v>
      </c>
      <c r="AA33" s="184">
        <f>[35]SAS_NSA_2016_1T!$E$196</f>
        <v>8609.84</v>
      </c>
      <c r="AB33" s="184">
        <f>[36]SAS_NSA_2016_2T!$E$196</f>
        <v>8600.44</v>
      </c>
      <c r="AC33" s="184">
        <f>[37]SAS_NSA_2016_3T!$E$196</f>
        <v>8590.1200000000008</v>
      </c>
      <c r="AD33" s="184">
        <f>[38]SAS_NSA_2016_4T!$E$196</f>
        <v>8643.2800000000007</v>
      </c>
      <c r="AE33" s="184">
        <f>[39]SAS_NSA_2017_1T!$E$196</f>
        <v>8632.08</v>
      </c>
      <c r="AF33" s="184">
        <f>[40]SAS_NSA_2017_2T!$E$196</f>
        <v>8616.4</v>
      </c>
      <c r="AG33" s="184">
        <f>[41]SAS_NSA_2017_3T!$E$196</f>
        <v>8612.4</v>
      </c>
      <c r="AH33" s="184">
        <f>[42]SAS_NSA_2017_4T!$E$196</f>
        <v>8774.4</v>
      </c>
      <c r="AI33" s="184">
        <f>[43]SAS_NSA_2018_1T!$D$260*4</f>
        <v>8700.64</v>
      </c>
      <c r="AJ33" s="184">
        <f>[44]SAS_NSA_2018_2T!$E$198</f>
        <v>8695.7199999999993</v>
      </c>
      <c r="AK33" s="184">
        <f>4*[45]SAS_NSA_2018_3T!$D$260</f>
        <v>8680.9599999999991</v>
      </c>
      <c r="AL33" s="184">
        <f>4*[46]SAS_NSA_2018_4T!$D$260</f>
        <v>8673.32</v>
      </c>
      <c r="AM33" s="184">
        <f>4*[47]SAS_NSA_2019_1T!$D$260</f>
        <v>8689.2800000000007</v>
      </c>
      <c r="AN33" s="184">
        <f>4*[48]SAS_NSA_2019_2T!$D$260</f>
        <v>8679.7999999999993</v>
      </c>
      <c r="AO33" s="184">
        <f>4*[49]SAS_NSA_2019_3T!$D$260</f>
        <v>8675.1200000000008</v>
      </c>
      <c r="AP33" s="184">
        <f>4*[50]SAS_NSA_2019_4T!$D$260</f>
        <v>8672.44</v>
      </c>
      <c r="AQ33" s="184">
        <f>4*[51]SAS_NSA_2020_1T!$D$237</f>
        <v>8746.44</v>
      </c>
      <c r="AR33" s="184">
        <f>4*[52]SAS_NSA_2020_2T!$D$237</f>
        <v>8728.1200000000008</v>
      </c>
      <c r="AS33" s="184">
        <f>4*[53]SAS_NSA_2020_3T!$D$237</f>
        <v>8716.4</v>
      </c>
      <c r="AT33" s="184">
        <f>[194]SAS_NSA_2020_4T!$E$125</f>
        <v>8716.4126320781197</v>
      </c>
      <c r="AU33" s="184">
        <f>[195]SAS_NSA_2021_1T!$E125</f>
        <v>8739.9721215003192</v>
      </c>
      <c r="AV33" s="184">
        <f>[56]SAS_NSA_2021_2T!$E$237</f>
        <v>8737.4</v>
      </c>
      <c r="AW33" s="184">
        <f>[57]SAS_NSA_2021_3T!$E$237</f>
        <v>8748.8799999999992</v>
      </c>
      <c r="AX33" s="411">
        <f>[58]SAS_NSA_2021_4T!$E125</f>
        <v>9037.1520307295596</v>
      </c>
      <c r="AY33" s="184">
        <f>[59]SAS_NSA_2022_1T!$E$125</f>
        <v>9719.7019769742801</v>
      </c>
      <c r="AZ33" s="184">
        <f>[60]SAS_NSA_2022_2T!$E$125</f>
        <v>9696.1593840984006</v>
      </c>
      <c r="BA33" s="184">
        <f>[61]SAS_NSA_2022_3T!$E$125</f>
        <v>10061.39254687888</v>
      </c>
      <c r="BB33" s="401">
        <f>[62]SAS_NSA_2022_4T!$E$125</f>
        <v>10026.98799740484</v>
      </c>
      <c r="BC33" s="459">
        <f>[2]SAS_NSA_2023_1T!$E$125</f>
        <v>10088.726443273759</v>
      </c>
      <c r="BD33" s="459">
        <f>[3]SAS_NSA_2023_2T!$E$125</f>
        <v>10095.865892629719</v>
      </c>
      <c r="BE33" s="459">
        <f>[4]SAS_NSA_2023_3T!$E$125</f>
        <v>10085.27009497928</v>
      </c>
      <c r="BF33" s="459">
        <f>[5]SAS_NSA_2023_4T!$E$125</f>
        <v>10078.32835244588</v>
      </c>
      <c r="BG33" s="459">
        <f>[6]SAS_NSA_2024_1T!$E$125</f>
        <v>10494.347396364161</v>
      </c>
      <c r="BH33" s="459">
        <f>[7]SAS_NSA_2024_2T!$E$125</f>
        <v>10492.091564853799</v>
      </c>
      <c r="BI33" s="459">
        <f>[8]SAS_NSA_2024_3T!$E$125</f>
        <v>10414.9565636484</v>
      </c>
      <c r="BJ33" s="459">
        <f>[9]SAS_NSA_2024_4T!$E$125</f>
        <v>10362.930856994961</v>
      </c>
    </row>
    <row r="34" spans="1:62" x14ac:dyDescent="0.25">
      <c r="A34" s="22" t="s">
        <v>17</v>
      </c>
      <c r="B34" s="21">
        <f>[63]SAS_NSA_4T2009!$E$195</f>
        <v>3382.48</v>
      </c>
      <c r="C34" s="45">
        <f>[11]SAS_NSA_1T2010!$E$195</f>
        <v>3401.92</v>
      </c>
      <c r="D34" s="45">
        <f>[12]SAS_NSA_2T2010!$E$195</f>
        <v>3817.12</v>
      </c>
      <c r="E34" s="45">
        <f>[13]SAS_NSA_3T2010!$E$195</f>
        <v>3799.84</v>
      </c>
      <c r="F34" s="45">
        <f>[14]SAS_NSA_2010_4T!$E$195</f>
        <v>3764.12</v>
      </c>
      <c r="G34" s="45">
        <f>[15]SAS_NSA_2011_1T!$E$195</f>
        <v>3754.44</v>
      </c>
      <c r="H34" s="45">
        <f>[16]SAS_NSA_2011_2T!$E$195</f>
        <v>3830.12</v>
      </c>
      <c r="I34" s="45">
        <f>[17]SAS_NSA_2011_3T!$E$195</f>
        <v>3814.2</v>
      </c>
      <c r="J34" s="45">
        <f>[18]SAS_NSA_2011_4T!$E$195</f>
        <v>3808.76</v>
      </c>
      <c r="K34" s="45">
        <f>[19]SAS_NSA_2012_1T!$E$197</f>
        <v>3782.2</v>
      </c>
      <c r="L34" s="45">
        <f>'[20]120919-14H22S23-PROGRAM-TdB_STO'!$E$197</f>
        <v>3861.96</v>
      </c>
      <c r="M34" s="45">
        <f>'[21]121105-15H12S18-PROGRAM-TdB_STO'!$E$197</f>
        <v>3832.88</v>
      </c>
      <c r="N34" s="45">
        <f>[22]SAS_NSA_2012_4T!$E$197</f>
        <v>3830.16</v>
      </c>
      <c r="O34" s="45">
        <f>[23]SAS_NSA_2013_1T!$E$197</f>
        <v>3802.32</v>
      </c>
      <c r="P34" s="45">
        <f>[24]SAS_NSA_2013_2T!$E$197</f>
        <v>3827.28</v>
      </c>
      <c r="Q34" s="45">
        <f>[25]SAS_NSA_2013_3T!$E$197</f>
        <v>3804.16</v>
      </c>
      <c r="R34" s="184">
        <f>[26]SAS_NSA_2013_4T!$E$197</f>
        <v>3765.84</v>
      </c>
      <c r="S34" s="184">
        <f>[27]SAS_NSA_2014_1T!$E$197</f>
        <v>3763.96</v>
      </c>
      <c r="T34" s="184">
        <f>[28]SAS_NSA_2014_2T!$E$197</f>
        <v>3740.88</v>
      </c>
      <c r="U34" s="184">
        <f>[29]SAS_NSA_2014_3T!$E$197</f>
        <v>3738.76</v>
      </c>
      <c r="V34" s="184">
        <f>[30]SAS_NSA_2014_4T!$E$197</f>
        <v>3688.8</v>
      </c>
      <c r="W34" s="184">
        <f>[31]SAS_NSA_2015_1T!$E$197</f>
        <v>3671.16</v>
      </c>
      <c r="X34" s="184">
        <f>[32]SAS_NSA_2015_2T!$E$197</f>
        <v>3649</v>
      </c>
      <c r="Y34" s="184">
        <f>[33]SAS_NSA_2015_3T!$E$197</f>
        <v>3640.8</v>
      </c>
      <c r="Z34" s="184">
        <f>[34]SAS_NSA_2015_4T!$E$197</f>
        <v>3635.56</v>
      </c>
      <c r="AA34" s="184">
        <f>[35]SAS_NSA_2016_1T!$E$197</f>
        <v>3641.72</v>
      </c>
      <c r="AB34" s="184">
        <f>[36]SAS_NSA_2016_2T!$E$197</f>
        <v>3608.8</v>
      </c>
      <c r="AC34" s="184">
        <f>[37]SAS_NSA_2016_3T!$E$197</f>
        <v>3588.96</v>
      </c>
      <c r="AD34" s="184">
        <f>[38]SAS_NSA_2016_4T!$E$197</f>
        <v>3585.24</v>
      </c>
      <c r="AE34" s="184">
        <f>[39]SAS_NSA_2017_1T!$E$197</f>
        <v>3576.24</v>
      </c>
      <c r="AF34" s="184">
        <f>[40]SAS_NSA_2017_2T!$E$197</f>
        <v>3563.44</v>
      </c>
      <c r="AG34" s="184">
        <f>[41]SAS_NSA_2017_3T!$E$197</f>
        <v>3569.04</v>
      </c>
      <c r="AH34" s="184">
        <f>[42]SAS_NSA_2017_4T!$E$197</f>
        <v>3569.44</v>
      </c>
      <c r="AI34" s="184">
        <f>[43]SAS_NSA_2018_1T!$D$261*4</f>
        <v>3565.08</v>
      </c>
      <c r="AJ34" s="184">
        <f>[44]SAS_NSA_2018_2T!$E$199</f>
        <v>3563.2</v>
      </c>
      <c r="AK34" s="184">
        <f>4*[45]SAS_NSA_2018_3T!$D$261</f>
        <v>3525.36</v>
      </c>
      <c r="AL34" s="184">
        <f>4*[46]SAS_NSA_2018_4T!$D$261</f>
        <v>3507.12</v>
      </c>
      <c r="AM34" s="184">
        <f>4*[47]SAS_NSA_2019_1T!$D$261</f>
        <v>3508.8</v>
      </c>
      <c r="AN34" s="184">
        <f>4*[48]SAS_NSA_2019_2T!$D$261</f>
        <v>3501.56</v>
      </c>
      <c r="AO34" s="184">
        <f>4*[49]SAS_NSA_2019_3T!$D$261</f>
        <v>3493.56</v>
      </c>
      <c r="AP34" s="184">
        <f>4*[50]SAS_NSA_2019_4T!$D$261</f>
        <v>3485.6</v>
      </c>
      <c r="AQ34" s="184">
        <f>4*[51]SAS_NSA_2020_1T!$D$238</f>
        <v>3479</v>
      </c>
      <c r="AR34" s="184">
        <f>4*[52]SAS_NSA_2020_2T!$D$238</f>
        <v>3516.72</v>
      </c>
      <c r="AS34" s="184">
        <f>4*[53]SAS_NSA_2020_3T!$D$238</f>
        <v>3493.2</v>
      </c>
      <c r="AT34" s="184">
        <f>[194]SAS_NSA_2020_4T!$E$126</f>
        <v>3480.2672413793121</v>
      </c>
      <c r="AU34" s="184">
        <f>[195]SAS_NSA_2021_1T!$E126</f>
        <v>3476.307406916656</v>
      </c>
      <c r="AV34" s="184">
        <f>[56]SAS_NSA_2021_2T!$E$238</f>
        <v>3471.76</v>
      </c>
      <c r="AW34" s="184">
        <f>[57]SAS_NSA_2021_3T!$E$238</f>
        <v>3478.28</v>
      </c>
      <c r="AX34" s="411">
        <f>[58]SAS_NSA_2021_4T!$E126</f>
        <v>3474.4711428207438</v>
      </c>
      <c r="AY34" s="184">
        <f>[59]SAS_NSA_2022_1T!$E$126</f>
        <v>6584.1931917370002</v>
      </c>
      <c r="AZ34" s="184">
        <f>[60]SAS_NSA_2022_2T!$E$126</f>
        <v>6533.8392161148004</v>
      </c>
      <c r="BA34" s="184">
        <f>[61]SAS_NSA_2022_3T!$E$126</f>
        <v>6744.3311267913195</v>
      </c>
      <c r="BB34" s="401">
        <f>[62]SAS_NSA_2022_4T!$E$126</f>
        <v>6671.2250027161199</v>
      </c>
      <c r="BC34" s="459">
        <f>[2]SAS_NSA_2023_1T!$E$126</f>
        <v>6682.1802232854798</v>
      </c>
      <c r="BD34" s="459">
        <f>[3]SAS_NSA_2023_2T!$E$126</f>
        <v>6633.1256886053998</v>
      </c>
      <c r="BE34" s="459">
        <f>[4]SAS_NSA_2023_3T!$E$126</f>
        <v>6583.6718015476799</v>
      </c>
      <c r="BF34" s="459">
        <f>[5]SAS_NSA_2023_4T!$E$126</f>
        <v>6542.0558042909997</v>
      </c>
      <c r="BG34" s="459">
        <f>[6]SAS_NSA_2024_1T!$E$126</f>
        <v>6785.1644065977198</v>
      </c>
      <c r="BH34" s="459">
        <f>[7]SAS_NSA_2024_2T!$E$126</f>
        <v>6744.5733783492396</v>
      </c>
      <c r="BI34" s="459">
        <f>[8]SAS_NSA_2024_3T!$E$126</f>
        <v>6472.1598581778799</v>
      </c>
      <c r="BJ34" s="459">
        <f>[9]SAS_NSA_2024_4T!$E$126</f>
        <v>6408.0505201735205</v>
      </c>
    </row>
    <row r="35" spans="1:62" x14ac:dyDescent="0.25">
      <c r="A35" s="22" t="s">
        <v>18</v>
      </c>
      <c r="B35" s="21">
        <f>[63]SAS_NSA_4T2009!$E$196</f>
        <v>11236.56</v>
      </c>
      <c r="C35" s="45">
        <f>[11]SAS_NSA_1T2010!$E$196</f>
        <v>11252.8</v>
      </c>
      <c r="D35" s="45">
        <f>[12]SAS_NSA_2T2010!$E$196</f>
        <v>11088.8</v>
      </c>
      <c r="E35" s="45">
        <f>[13]SAS_NSA_3T2010!$E$196</f>
        <v>11085.92</v>
      </c>
      <c r="F35" s="45">
        <f>[14]SAS_NSA_2010_4T!$E$196</f>
        <v>11088.2</v>
      </c>
      <c r="G35" s="45">
        <f>[15]SAS_NSA_2011_1T!$E$196</f>
        <v>11091.88</v>
      </c>
      <c r="H35" s="45">
        <f>[16]SAS_NSA_2011_2T!$E$196</f>
        <v>11311.6</v>
      </c>
      <c r="I35" s="45">
        <f>[17]SAS_NSA_2011_3T!$E$196</f>
        <v>11314.44</v>
      </c>
      <c r="J35" s="45">
        <f>[18]SAS_NSA_2011_4T!$E$196</f>
        <v>11316.84</v>
      </c>
      <c r="K35" s="45">
        <f>[19]SAS_NSA_2012_1T!$E$198</f>
        <v>11303.64</v>
      </c>
      <c r="L35" s="45">
        <f>'[20]120919-14H22S23-PROGRAM-TdB_STO'!$E$198</f>
        <v>11543.4</v>
      </c>
      <c r="M35" s="45">
        <f>'[21]121105-15H12S18-PROGRAM-TdB_STO'!$E$198</f>
        <v>11533.84</v>
      </c>
      <c r="N35" s="45">
        <f>[22]SAS_NSA_2012_4T!$E$198</f>
        <v>11535.48</v>
      </c>
      <c r="O35" s="45">
        <f>[23]SAS_NSA_2013_1T!$E$198</f>
        <v>11547.56</v>
      </c>
      <c r="P35" s="45">
        <f>[24]SAS_NSA_2013_2T!$E$198</f>
        <v>11686.92</v>
      </c>
      <c r="Q35" s="45">
        <f>[25]SAS_NSA_2013_3T!$E$198</f>
        <v>11680.92</v>
      </c>
      <c r="R35" s="184">
        <f>[26]SAS_NSA_2013_4T!$E$198</f>
        <v>11669.28</v>
      </c>
      <c r="S35" s="184">
        <f>[27]SAS_NSA_2014_1T!$E$198</f>
        <v>11688.8</v>
      </c>
      <c r="T35" s="184">
        <f>[28]SAS_NSA_2014_2T!$E$198</f>
        <v>10986</v>
      </c>
      <c r="U35" s="184">
        <f>[29]SAS_NSA_2014_3T!$E$198</f>
        <v>11004.28</v>
      </c>
      <c r="V35" s="184">
        <f>[30]SAS_NSA_2014_4T!$E$198</f>
        <v>11004.96</v>
      </c>
      <c r="W35" s="184">
        <f>[31]SAS_NSA_2015_1T!$E$198</f>
        <v>11009.5</v>
      </c>
      <c r="X35" s="184">
        <f>[32]SAS_NSA_2015_2T!$E$198</f>
        <v>11021.84</v>
      </c>
      <c r="Y35" s="184">
        <f>[33]SAS_NSA_2015_3T!$E$198</f>
        <v>11034.8</v>
      </c>
      <c r="Z35" s="184">
        <f>[34]SAS_NSA_2015_4T!$E$198</f>
        <v>11054.8</v>
      </c>
      <c r="AA35" s="184">
        <f>[35]SAS_NSA_2016_1T!$E$198</f>
        <v>11138.32</v>
      </c>
      <c r="AB35" s="184">
        <f>[36]SAS_NSA_2016_2T!$E$198</f>
        <v>11144.84</v>
      </c>
      <c r="AC35" s="184">
        <f>[37]SAS_NSA_2016_3T!$E$198</f>
        <v>11152.88</v>
      </c>
      <c r="AD35" s="184">
        <f>[38]SAS_NSA_2016_4T!$E$198</f>
        <v>11195.36</v>
      </c>
      <c r="AE35" s="184">
        <f>[39]SAS_NSA_2017_1T!$E$198</f>
        <v>11202.84</v>
      </c>
      <c r="AF35" s="184">
        <f>[40]SAS_NSA_2017_2T!$E$198</f>
        <v>11203.2</v>
      </c>
      <c r="AG35" s="184">
        <f>[41]SAS_NSA_2017_3T!$E$198</f>
        <v>11213.6</v>
      </c>
      <c r="AH35" s="184">
        <f>[42]SAS_NSA_2017_4T!$E$198</f>
        <v>11357.44</v>
      </c>
      <c r="AI35" s="184">
        <f>[43]SAS_NSA_2018_1T!$D$262*4</f>
        <v>11329.64</v>
      </c>
      <c r="AJ35" s="184">
        <f>[44]SAS_NSA_2018_2T!$E$200</f>
        <v>11339.32</v>
      </c>
      <c r="AK35" s="184">
        <f>4*[45]SAS_NSA_2018_3T!$D$262</f>
        <v>11344.08</v>
      </c>
      <c r="AL35" s="184">
        <f>4*[46]SAS_NSA_2018_4T!$D$262</f>
        <v>11345.64</v>
      </c>
      <c r="AM35" s="184">
        <f>4*[47]SAS_NSA_2019_1T!$D$262</f>
        <v>11383.04</v>
      </c>
      <c r="AN35" s="184">
        <f>4*[48]SAS_NSA_2019_2T!$D$262</f>
        <v>11387.12</v>
      </c>
      <c r="AO35" s="184">
        <f>4*[49]SAS_NSA_2019_3T!$D$262</f>
        <v>11424.52</v>
      </c>
      <c r="AP35" s="184">
        <f>4*[50]SAS_NSA_2019_4T!$D$262</f>
        <v>11403.24</v>
      </c>
      <c r="AQ35" s="184">
        <f>4*[51]SAS_NSA_2020_1T!$D$239</f>
        <v>11508.56</v>
      </c>
      <c r="AR35" s="184">
        <f>4*[52]SAS_NSA_2020_2T!$D$239</f>
        <v>11537.96</v>
      </c>
      <c r="AS35" s="184">
        <f>4*[53]SAS_NSA_2020_3T!$D$239</f>
        <v>11531.24</v>
      </c>
      <c r="AT35" s="184">
        <f>[194]SAS_NSA_2020_4T!$E$127</f>
        <v>11532.38168854684</v>
      </c>
      <c r="AU35" s="184">
        <f>[195]SAS_NSA_2021_1T!$E127</f>
        <v>11579.78095750896</v>
      </c>
      <c r="AV35" s="184">
        <f>[56]SAS_NSA_2021_2T!$E$239</f>
        <v>11575.36</v>
      </c>
      <c r="AW35" s="184">
        <f>[57]SAS_NSA_2021_3T!$E$239</f>
        <v>11579.6</v>
      </c>
      <c r="AX35" s="411">
        <f>[58]SAS_NSA_2021_4T!$E127</f>
        <v>11748.54215757064</v>
      </c>
      <c r="AY35" s="184">
        <f>[59]SAS_NSA_2022_1T!$E$127</f>
        <v>13338.87402986404</v>
      </c>
      <c r="AZ35" s="184">
        <f>[60]SAS_NSA_2022_2T!$E$127</f>
        <v>13337.185024538039</v>
      </c>
      <c r="BA35" s="184">
        <f>[61]SAS_NSA_2022_3T!$E$127</f>
        <v>13866.590641115999</v>
      </c>
      <c r="BB35" s="401">
        <f>[62]SAS_NSA_2022_4T!$E$127</f>
        <v>13807.342770655279</v>
      </c>
      <c r="BC35" s="459">
        <f>[2]SAS_NSA_2023_1T!$E$127</f>
        <v>13951.80500263236</v>
      </c>
      <c r="BD35" s="459">
        <f>[3]SAS_NSA_2023_2T!$E$127</f>
        <v>13967.15727228948</v>
      </c>
      <c r="BE35" s="459">
        <f>[4]SAS_NSA_2023_3T!$E$127</f>
        <v>13969.398454017641</v>
      </c>
      <c r="BF35" s="459">
        <f>[5]SAS_NSA_2023_4T!$E$127</f>
        <v>13970.060413425201</v>
      </c>
      <c r="BG35" s="459">
        <f>[6]SAS_NSA_2024_1T!$E$127</f>
        <v>14572.674592142001</v>
      </c>
      <c r="BH35" s="459">
        <f>[7]SAS_NSA_2024_2T!$E$127</f>
        <v>14596.251878225999</v>
      </c>
      <c r="BI35" s="459">
        <f>[8]SAS_NSA_2024_3T!$E$127</f>
        <v>14518.760316762</v>
      </c>
      <c r="BJ35" s="459">
        <f>[9]SAS_NSA_2024_4T!$E$127</f>
        <v>14503.123622581999</v>
      </c>
    </row>
    <row r="36" spans="1:62" x14ac:dyDescent="0.25">
      <c r="A36" s="366" t="s">
        <v>13</v>
      </c>
      <c r="B36" s="363"/>
      <c r="C36" s="364"/>
      <c r="D36" s="364"/>
      <c r="E36" s="364"/>
      <c r="F36" s="364"/>
      <c r="G36" s="364"/>
      <c r="H36" s="364"/>
      <c r="I36" s="364"/>
      <c r="J36" s="364"/>
      <c r="K36" s="364"/>
      <c r="L36" s="364"/>
      <c r="M36" s="364"/>
      <c r="N36" s="364"/>
      <c r="O36" s="364"/>
      <c r="P36" s="364"/>
      <c r="Q36" s="364"/>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184">
        <f>[194]SAS_NSA_2020_4T!$E$124</f>
        <v>9390.2615788666408</v>
      </c>
      <c r="AU36" s="184">
        <f>[195]SAS_NSA_2021_1T!$E$124</f>
        <v>9411.3771612353594</v>
      </c>
      <c r="AV36" s="184">
        <f>[196]SAS_NSA_2021_2T!$E$124</f>
        <v>9404.5122026748795</v>
      </c>
      <c r="AW36" s="184">
        <f>[57]SAS_NSA_2021_3T!$E$236</f>
        <v>9412.08</v>
      </c>
      <c r="AX36" s="411">
        <f>[58]SAS_NSA_2021_4T!$E$124</f>
        <v>9660.0760113436809</v>
      </c>
      <c r="AY36" s="184">
        <f>[59]SAS_NSA_2022_1T!$E$124</f>
        <v>10090.869716044201</v>
      </c>
      <c r="AZ36" s="184">
        <f>[60]SAS_NSA_2022_2T!$E$124</f>
        <v>10070.419108615561</v>
      </c>
      <c r="BA36" s="184">
        <f>[61]SAS_NSA_2022_3T!$E$124</f>
        <v>10453.5886395216</v>
      </c>
      <c r="BB36" s="401">
        <f>[62]SAS_NSA_2022_4T!$E$124</f>
        <v>10415.784964988199</v>
      </c>
      <c r="BC36" s="459">
        <f>[2]SAS_NSA_2023_1T!$E$124</f>
        <v>10485.435642171</v>
      </c>
      <c r="BD36" s="459">
        <f>[3]SAS_NSA_2023_2T!$E$124</f>
        <v>10493.6318279474</v>
      </c>
      <c r="BE36" s="459">
        <f>[4]SAS_NSA_2023_3T!$E$124</f>
        <v>10485.03744435716</v>
      </c>
      <c r="BF36" s="459">
        <f>[5]SAS_NSA_2023_4T!$E$124</f>
        <v>10480.32107126072</v>
      </c>
      <c r="BG36" s="459">
        <f>[6]SAS_NSA_2024_1T!$E$124</f>
        <v>10915.807376930999</v>
      </c>
      <c r="BH36" s="459">
        <f>[7]SAS_NSA_2024_2T!$E$124</f>
        <v>10915.61018060596</v>
      </c>
      <c r="BI36" s="459">
        <f>[8]SAS_NSA_2024_3T!$E$124</f>
        <v>10843.83568907112</v>
      </c>
      <c r="BJ36" s="459">
        <f>[9]SAS_NSA_2024_4T!$E$124</f>
        <v>10798.52237888532</v>
      </c>
    </row>
    <row r="37" spans="1:62" ht="13" thickBot="1" x14ac:dyDescent="0.3">
      <c r="A37" s="6"/>
      <c r="B37" s="15"/>
      <c r="C37" s="53"/>
      <c r="D37" s="53"/>
      <c r="E37" s="53"/>
      <c r="F37" s="53"/>
      <c r="G37" s="53"/>
      <c r="H37" s="53"/>
      <c r="I37" s="53"/>
      <c r="J37" s="53"/>
      <c r="K37" s="154"/>
      <c r="L37" s="154"/>
      <c r="M37" s="154"/>
      <c r="N37" s="154"/>
      <c r="O37" s="154"/>
      <c r="P37" s="53"/>
      <c r="Q37" s="53"/>
      <c r="R37" s="207"/>
      <c r="S37" s="213"/>
      <c r="T37" s="213"/>
      <c r="U37" s="213"/>
      <c r="V37" s="213"/>
      <c r="W37" s="213"/>
      <c r="X37" s="213"/>
      <c r="Y37" s="213"/>
      <c r="Z37" s="213"/>
      <c r="AA37" s="213"/>
      <c r="AB37" s="213"/>
      <c r="AC37" s="213"/>
      <c r="AD37" s="213"/>
      <c r="AE37" s="213"/>
      <c r="AF37" s="213"/>
      <c r="AG37" s="213"/>
      <c r="AH37" s="213"/>
      <c r="AI37" s="213"/>
      <c r="AJ37" s="213"/>
      <c r="AM37" s="213"/>
      <c r="AN37" s="213"/>
      <c r="AO37" s="213"/>
      <c r="AP37" s="213"/>
      <c r="AQ37" s="213"/>
      <c r="AR37" s="213"/>
      <c r="AS37" s="213"/>
      <c r="AT37" s="213"/>
      <c r="AU37" s="213"/>
      <c r="AV37" s="213"/>
      <c r="AW37" s="213"/>
      <c r="AX37" s="438"/>
    </row>
    <row r="38" spans="1:62" s="35" customFormat="1" x14ac:dyDescent="0.25">
      <c r="A38" s="160"/>
      <c r="B38" s="40"/>
      <c r="C38" s="40"/>
      <c r="D38" s="40"/>
      <c r="E38" s="40"/>
      <c r="F38" s="40"/>
      <c r="G38" s="40"/>
      <c r="H38" s="40"/>
      <c r="I38" s="40"/>
      <c r="J38" s="40"/>
      <c r="K38" s="146"/>
      <c r="L38" s="146"/>
      <c r="M38" s="146"/>
      <c r="N38" s="146"/>
      <c r="O38" s="146"/>
      <c r="P38" s="40"/>
      <c r="Q38" s="40"/>
      <c r="R38" s="180"/>
      <c r="S38" s="214"/>
      <c r="T38" s="214"/>
      <c r="U38" s="214"/>
      <c r="V38" s="214"/>
      <c r="W38" s="214"/>
      <c r="X38" s="214"/>
      <c r="Y38" s="214"/>
      <c r="Z38" s="214"/>
      <c r="AA38" s="214"/>
      <c r="AB38" s="214"/>
      <c r="AC38" s="214"/>
      <c r="AD38" s="214"/>
      <c r="AE38" s="214"/>
      <c r="AF38" s="214"/>
      <c r="AG38" s="214"/>
      <c r="AH38" s="214"/>
      <c r="AI38" s="214"/>
      <c r="AJ38" s="214"/>
      <c r="AM38" s="214"/>
      <c r="AN38" s="214"/>
      <c r="AO38" s="214"/>
      <c r="AQ38" s="214"/>
      <c r="AR38" s="214"/>
      <c r="AS38" s="214"/>
      <c r="AT38" s="214"/>
      <c r="AU38" s="214"/>
      <c r="AV38" s="214"/>
      <c r="AW38" s="214"/>
      <c r="AX38" s="434"/>
    </row>
    <row r="39" spans="1:62" ht="13" x14ac:dyDescent="0.3">
      <c r="A39" s="25" t="s">
        <v>19</v>
      </c>
      <c r="K39" s="145"/>
      <c r="L39" s="145"/>
      <c r="M39" s="145"/>
      <c r="N39" s="145"/>
      <c r="O39" s="145"/>
      <c r="AF39" s="260">
        <f>(AF46-AB46)/AB46</f>
        <v>-1.9228900801345008E-2</v>
      </c>
      <c r="AG39" s="260">
        <f>(AG46-AC46)/AC46</f>
        <v>-1.9297205266502401E-2</v>
      </c>
      <c r="AH39" s="260">
        <f>(AH46-AD46)/AD46</f>
        <v>-1.845604004888303E-2</v>
      </c>
      <c r="AI39" s="175"/>
      <c r="AJ39" s="175"/>
      <c r="AM39" s="175"/>
      <c r="AN39" s="175"/>
      <c r="AO39" s="175"/>
      <c r="AQ39" s="175"/>
      <c r="AR39" s="175"/>
      <c r="AS39" s="175"/>
      <c r="AT39" s="175"/>
      <c r="AU39" s="175"/>
      <c r="AV39" s="175"/>
      <c r="AW39" s="175"/>
      <c r="AX39" s="435"/>
    </row>
    <row r="40" spans="1:62" ht="13" x14ac:dyDescent="0.3">
      <c r="A40" s="14"/>
      <c r="B40" s="2" t="str">
        <f t="shared" ref="B40:G40" si="126">B8</f>
        <v>4eme T 2009</v>
      </c>
      <c r="C40" s="38" t="str">
        <f t="shared" si="126"/>
        <v>1er T 2010</v>
      </c>
      <c r="D40" s="38" t="str">
        <f t="shared" si="126"/>
        <v>2eme T 2010</v>
      </c>
      <c r="E40" s="38" t="str">
        <f t="shared" si="126"/>
        <v>3eme T 2010</v>
      </c>
      <c r="F40" s="38" t="str">
        <f t="shared" si="126"/>
        <v>4eme T 2010</v>
      </c>
      <c r="G40" s="38" t="str">
        <f t="shared" si="126"/>
        <v>1er T 2011</v>
      </c>
      <c r="H40" s="38" t="str">
        <f t="shared" ref="H40:M40" si="127">H8</f>
        <v>2eme T 2011</v>
      </c>
      <c r="I40" s="38" t="str">
        <f t="shared" si="127"/>
        <v>3eme T 2011</v>
      </c>
      <c r="J40" s="38" t="str">
        <f t="shared" si="127"/>
        <v>4eme T 2011</v>
      </c>
      <c r="K40" s="38" t="str">
        <f t="shared" si="127"/>
        <v>1er T 2012</v>
      </c>
      <c r="L40" s="38" t="str">
        <f t="shared" si="127"/>
        <v>2eme T 2012</v>
      </c>
      <c r="M40" s="38" t="str">
        <f t="shared" si="127"/>
        <v>3eme T 2012</v>
      </c>
      <c r="N40" s="38" t="str">
        <f t="shared" ref="N40:S40" si="128">N8</f>
        <v>4eme T 2012</v>
      </c>
      <c r="O40" s="38" t="str">
        <f t="shared" si="128"/>
        <v>1er T 2013</v>
      </c>
      <c r="P40" s="38" t="str">
        <f t="shared" si="128"/>
        <v>2eme T 2013</v>
      </c>
      <c r="Q40" s="38" t="str">
        <f t="shared" si="128"/>
        <v>3ème T 2013</v>
      </c>
      <c r="R40" s="178" t="str">
        <f t="shared" si="128"/>
        <v>4ème T 2013</v>
      </c>
      <c r="S40" s="178" t="str">
        <f t="shared" si="128"/>
        <v>1er T 2014</v>
      </c>
      <c r="T40" s="178" t="str">
        <f t="shared" ref="T40:U40" si="129">T8</f>
        <v>2eme T 2014</v>
      </c>
      <c r="U40" s="178" t="str">
        <f t="shared" si="129"/>
        <v>3T 2014</v>
      </c>
      <c r="V40" s="178" t="str">
        <f t="shared" ref="V40:W40" si="130">V8</f>
        <v>4ème T 2014</v>
      </c>
      <c r="W40" s="178" t="str">
        <f t="shared" si="130"/>
        <v>1er T 2015</v>
      </c>
      <c r="X40" s="178" t="str">
        <f t="shared" ref="X40:Y40" si="131">X8</f>
        <v>2e T 2015</v>
      </c>
      <c r="Y40" s="178" t="str">
        <f t="shared" si="131"/>
        <v>3e T 2015</v>
      </c>
      <c r="Z40" s="178" t="str">
        <f t="shared" ref="Z40:AA40" si="132">Z8</f>
        <v>4e T 2015</v>
      </c>
      <c r="AA40" s="178" t="str">
        <f t="shared" si="132"/>
        <v>1er T 2016</v>
      </c>
      <c r="AB40" s="178" t="str">
        <f t="shared" ref="AB40:AC40" si="133">AB8</f>
        <v>2e T 2016</v>
      </c>
      <c r="AC40" s="178" t="str">
        <f t="shared" si="133"/>
        <v>3e T 2016</v>
      </c>
      <c r="AD40" s="178" t="str">
        <f t="shared" ref="AD40:AE40" si="134">AD8</f>
        <v>4e T 2016</v>
      </c>
      <c r="AE40" s="178" t="str">
        <f t="shared" si="134"/>
        <v>2017 - T1</v>
      </c>
      <c r="AF40" s="178" t="str">
        <f t="shared" ref="AF40:AG40" si="135">AF8</f>
        <v>2017 - T2</v>
      </c>
      <c r="AG40" s="178" t="str">
        <f t="shared" si="135"/>
        <v>2017- T3</v>
      </c>
      <c r="AH40" s="178" t="str">
        <f t="shared" ref="AH40:AI40" si="136">AH8</f>
        <v>2017 - T4</v>
      </c>
      <c r="AI40" s="178" t="str">
        <f t="shared" si="136"/>
        <v>2018 - T1</v>
      </c>
      <c r="AJ40" s="178" t="str">
        <f t="shared" ref="AJ40:AK40" si="137">AJ8</f>
        <v>2018 - T2</v>
      </c>
      <c r="AK40" s="178" t="str">
        <f t="shared" si="137"/>
        <v>2018 - T3</v>
      </c>
      <c r="AL40" s="178" t="str">
        <f t="shared" ref="AL40:AM40" si="138">AL8</f>
        <v>2018 - T4</v>
      </c>
      <c r="AM40" s="178" t="str">
        <f t="shared" si="138"/>
        <v>2019 - T1</v>
      </c>
      <c r="AN40" s="178" t="str">
        <f t="shared" ref="AN40:AP40" si="139">AN8</f>
        <v>2019 - T2</v>
      </c>
      <c r="AO40" s="178" t="str">
        <f t="shared" si="139"/>
        <v>2019 - T3</v>
      </c>
      <c r="AP40" s="178" t="str">
        <f t="shared" si="139"/>
        <v>2019 - T4</v>
      </c>
      <c r="AQ40" s="178" t="str">
        <f t="shared" ref="AQ40:AR40" si="140">AQ8</f>
        <v>2020 - T1</v>
      </c>
      <c r="AR40" s="178" t="str">
        <f t="shared" si="140"/>
        <v>2020 - T2</v>
      </c>
      <c r="AS40" s="178" t="str">
        <f t="shared" ref="AS40:AT40" si="141">AS8</f>
        <v>2020 - T3</v>
      </c>
      <c r="AT40" s="178" t="str">
        <f t="shared" si="141"/>
        <v>2020- T4</v>
      </c>
      <c r="AU40" s="178" t="str">
        <f t="shared" ref="AU40:AV40" si="142">AU8</f>
        <v>2021- T1</v>
      </c>
      <c r="AV40" s="178" t="str">
        <f t="shared" si="142"/>
        <v>2021- T2</v>
      </c>
      <c r="AW40" s="178" t="str">
        <f t="shared" ref="AW40:AY40" si="143">AW8</f>
        <v>2021- T3</v>
      </c>
      <c r="AX40" s="403" t="str">
        <f t="shared" si="143"/>
        <v>2021- T4</v>
      </c>
      <c r="AY40" s="178" t="str">
        <f t="shared" si="143"/>
        <v>2022- T1</v>
      </c>
      <c r="AZ40" s="178" t="str">
        <f t="shared" ref="AZ40" si="144">AZ8</f>
        <v>2022- T2</v>
      </c>
      <c r="BA40" s="178" t="str">
        <f t="shared" ref="BA40:BB40" si="145">BA8</f>
        <v>2022- T3</v>
      </c>
      <c r="BB40" s="178" t="str">
        <f t="shared" si="145"/>
        <v>2022- T4</v>
      </c>
      <c r="BC40" s="22" t="str">
        <f t="shared" ref="BC40:BD40" si="146">BC8</f>
        <v>2023- T1</v>
      </c>
      <c r="BD40" s="22" t="str">
        <f t="shared" si="146"/>
        <v>2023- T2</v>
      </c>
      <c r="BE40" s="22" t="str">
        <f t="shared" ref="BE40:BF40" si="147">BE8</f>
        <v>2023- T3</v>
      </c>
      <c r="BF40" s="22" t="str">
        <f t="shared" si="147"/>
        <v>2023- T4</v>
      </c>
      <c r="BG40" s="22" t="str">
        <f t="shared" ref="BG40:BH40" si="148">BG8</f>
        <v>2024- T1</v>
      </c>
      <c r="BH40" s="22" t="str">
        <f t="shared" si="148"/>
        <v>2024- T2</v>
      </c>
      <c r="BI40" s="22" t="str">
        <f t="shared" ref="BI40:BJ40" si="149">BI8</f>
        <v>2024- T3</v>
      </c>
      <c r="BJ40" s="22" t="str">
        <f t="shared" si="149"/>
        <v>2024- T4</v>
      </c>
    </row>
    <row r="41" spans="1:62" x14ac:dyDescent="0.25">
      <c r="A41" s="8" t="s">
        <v>135</v>
      </c>
      <c r="B41" s="9">
        <f>[63]SAS_NSA_4T2009!$C$181</f>
        <v>399235</v>
      </c>
      <c r="C41" s="46">
        <f>[11]SAS_NSA_1T2010!$C$181</f>
        <v>400585</v>
      </c>
      <c r="D41" s="46">
        <f>[12]SAS_NSA_2T2010!$C$181</f>
        <v>399163</v>
      </c>
      <c r="E41" s="46">
        <f>[13]SAS_NSA_3T2010!$C$181</f>
        <v>397318</v>
      </c>
      <c r="F41" s="46">
        <f>[14]SAS_NSA_2010_4T!$C$181</f>
        <v>397147</v>
      </c>
      <c r="G41" s="46">
        <f>[15]SAS_NSA_2011_1T!$C$181</f>
        <v>397478</v>
      </c>
      <c r="H41" s="46">
        <f>[16]SAS_NSA_2011_2T!$C$181</f>
        <v>395396</v>
      </c>
      <c r="I41" s="46">
        <f>[17]SAS_NSA_2011_3T!$C$181</f>
        <v>392929</v>
      </c>
      <c r="J41" s="46">
        <f>[18]SAS_NSA_2011_4T!$C$181</f>
        <v>391537</v>
      </c>
      <c r="K41" s="46">
        <f>[19]SAS_NSA_2012_1T!$C$181</f>
        <v>391156</v>
      </c>
      <c r="L41" s="46">
        <f>'[20]120919-14H22S23-PROGRAM-TdB_STO'!$C$181</f>
        <v>388288</v>
      </c>
      <c r="M41" s="46">
        <f>'[21]121105-15H12S18-PROGRAM-TdB_STO'!$C$181</f>
        <v>385056</v>
      </c>
      <c r="N41" s="46">
        <f>[22]SAS_NSA_2012_4T!$C$181</f>
        <v>383534</v>
      </c>
      <c r="O41" s="46">
        <f>[23]SAS_NSA_2013_1T!$C$181</f>
        <v>383672</v>
      </c>
      <c r="P41" s="46">
        <f>[24]SAS_NSA_2013_2T!$C$181</f>
        <v>381478</v>
      </c>
      <c r="Q41" s="46">
        <f>[25]SAS_NSA_2013_3T!$C$181</f>
        <v>379982</v>
      </c>
      <c r="R41" s="186">
        <f>[26]SAS_NSA_2013_4T!$C$181</f>
        <v>379177</v>
      </c>
      <c r="S41" s="186">
        <f>[27]SAS_NSA_2014_1T!$C$181</f>
        <v>378441</v>
      </c>
      <c r="T41" s="186">
        <f>[28]SAS_NSA_2014_2T!$C$181</f>
        <v>438827</v>
      </c>
      <c r="U41" s="186">
        <f>[29]SAS_NSA_2014_3T!$C$181</f>
        <v>436512</v>
      </c>
      <c r="V41" s="186">
        <f>[30]SAS_NSA_2014_4T!$C$181</f>
        <v>435806</v>
      </c>
      <c r="W41" s="186">
        <f>[31]SAS_NSA_2015_1T!$C$181</f>
        <v>435467</v>
      </c>
      <c r="X41" s="186">
        <f>[32]SAS_NSA_2015_2T!$C$181</f>
        <v>432121</v>
      </c>
      <c r="Y41" s="186">
        <f>[33]SAS_NSA_2015_3T!$C$181</f>
        <v>429219</v>
      </c>
      <c r="Z41" s="186">
        <f>[34]SAS_NSA_2015_4T!$C$181</f>
        <v>428556</v>
      </c>
      <c r="AA41" s="186">
        <f>[35]SAS_NSA_2016_1T!$C$181</f>
        <v>428979</v>
      </c>
      <c r="AB41" s="186">
        <f>[36]SAS_NSA_2016_2T!$C$181</f>
        <v>426996</v>
      </c>
      <c r="AC41" s="186">
        <f>[37]SAS_NSA_2016_3T!$C$181</f>
        <v>425036</v>
      </c>
      <c r="AD41" s="186">
        <f>[38]SAS_NSA_2016_4T!$C$181</f>
        <v>424124</v>
      </c>
      <c r="AE41" s="186">
        <f>[39]SAS_NSA_2017_1T!$C$181</f>
        <v>423854</v>
      </c>
      <c r="AF41" s="186">
        <f>[40]SAS_NSA_2017_2T!$C$181</f>
        <v>421437</v>
      </c>
      <c r="AG41" s="186">
        <f>[41]SAS_NSA_2017_3T!$C$181</f>
        <v>419790</v>
      </c>
      <c r="AH41" s="186">
        <f>[42]SAS_NSA_2017_4T!$C$181</f>
        <v>420008</v>
      </c>
      <c r="AI41" s="186">
        <f>[43]SAS_NSA_2018_1T!$C$245</f>
        <v>420807</v>
      </c>
      <c r="AJ41" s="186">
        <f>[44]SAS_NSA_2018_2T!$C$183</f>
        <v>418969</v>
      </c>
      <c r="AK41" s="186">
        <f>[45]SAS_NSA_2018_3T!$C$245</f>
        <v>417217</v>
      </c>
      <c r="AL41" s="186">
        <f>[46]SAS_NSA_2018_4T!$C$245</f>
        <v>417168</v>
      </c>
      <c r="AM41" s="186">
        <f>[47]SAS_NSA_2019_1T!$C$245</f>
        <v>417434</v>
      </c>
      <c r="AN41" s="186">
        <f>[48]SAS_NSA_2019_2T!$C$245</f>
        <v>415095</v>
      </c>
      <c r="AO41" s="186">
        <f>[49]SAS_NSA_2019_3T!$C245</f>
        <v>413329</v>
      </c>
      <c r="AP41" s="186">
        <f>[50]SAS_NSA_2019_4T!$C$245</f>
        <v>413937</v>
      </c>
      <c r="AQ41" s="186">
        <f>[51]SAS_NSA_2020_1T!$C224</f>
        <v>414648</v>
      </c>
      <c r="AR41" s="186">
        <f>[52]SAS_NSA_2020_2T!$C224</f>
        <v>412451</v>
      </c>
      <c r="AS41" s="186">
        <f>[53]SAS_NSA_2020_3T!$C224</f>
        <v>410274</v>
      </c>
      <c r="AT41" s="186">
        <f>[194]SAS_NSA_2020_4T!$C134</f>
        <v>410238</v>
      </c>
      <c r="AU41" s="186">
        <f>[55]SAS_NSA_2021_1T!$C$224</f>
        <v>409828</v>
      </c>
      <c r="AV41" s="186">
        <f>[56]SAS_NSA_2021_2T!$C$224</f>
        <v>406795</v>
      </c>
      <c r="AW41" s="186">
        <f>[57]SAS_NSA_2021_3T!$C$224</f>
        <v>404960</v>
      </c>
      <c r="AX41" s="413">
        <f>[58]SAS_NSA_2021_4T!$C133</f>
        <v>405540</v>
      </c>
      <c r="AY41" s="186">
        <f>[59]SAS_NSA_2022_1T!$C$133</f>
        <v>406617</v>
      </c>
      <c r="AZ41" s="186">
        <f>[60]SAS_NSA_2022_2T!$C$133</f>
        <v>404388</v>
      </c>
      <c r="BA41" s="186">
        <f>[61]SAS_NSA_2022_3T!$C$133</f>
        <v>402898</v>
      </c>
      <c r="BB41" s="186">
        <f>[62]SAS_NSA_2022_4T!$C$133</f>
        <v>404654</v>
      </c>
      <c r="BC41" s="22">
        <f>[2]SAS_NSA_2023_1T!$C$133</f>
        <v>404982</v>
      </c>
      <c r="BD41" s="22">
        <f>[3]SAS_NSA_2023_2T!$C$133</f>
        <v>403554</v>
      </c>
      <c r="BE41" s="22">
        <f>[4]SAS_NSA_2023_3T!$C$133</f>
        <v>402701</v>
      </c>
      <c r="BF41" s="22">
        <f>[5]SAS_NSA_2023_4T!$C$133</f>
        <v>402817</v>
      </c>
      <c r="BG41" s="22">
        <f>[6]SAS_NSA_2024_1T!$C$133</f>
        <v>403548</v>
      </c>
      <c r="BH41" s="22">
        <f>[7]SAS_NSA_2024_2T!$C$133</f>
        <v>401346</v>
      </c>
      <c r="BI41" s="22">
        <f>[8]SAS_NSA_2024_3T!$C$133</f>
        <v>405848</v>
      </c>
      <c r="BJ41" s="22">
        <f>[9]SAS_NSA_2024_4T!$C$133</f>
        <v>406414</v>
      </c>
    </row>
    <row r="42" spans="1:62" s="1" customFormat="1" ht="13" x14ac:dyDescent="0.3">
      <c r="A42" s="157" t="s">
        <v>137</v>
      </c>
      <c r="B42" s="158"/>
      <c r="C42" s="159"/>
      <c r="D42" s="159"/>
      <c r="E42" s="159"/>
      <c r="F42" s="159"/>
      <c r="G42" s="159"/>
      <c r="H42" s="159"/>
      <c r="I42" s="159"/>
      <c r="J42" s="159"/>
      <c r="K42" s="46">
        <f>[19]SAS_NSA_2012_1T!$C$182</f>
        <v>635</v>
      </c>
      <c r="L42" s="46">
        <f>'[20]120919-14H22S23-PROGRAM-TdB_STO'!$C$182</f>
        <v>812</v>
      </c>
      <c r="M42" s="46">
        <f>'[21]121105-15H12S18-PROGRAM-TdB_STO'!$C$182</f>
        <v>895</v>
      </c>
      <c r="N42" s="46">
        <f>[22]SAS_NSA_2012_4T!$C$182</f>
        <v>1024</v>
      </c>
      <c r="O42" s="46">
        <f>[23]SAS_NSA_2013_1T!$C$182</f>
        <v>1293</v>
      </c>
      <c r="P42" s="46">
        <f>[24]SAS_NSA_2013_2T!$C$182</f>
        <v>1512</v>
      </c>
      <c r="Q42" s="46">
        <f>[25]SAS_NSA_2013_3T!$C$182</f>
        <v>1711</v>
      </c>
      <c r="R42" s="186">
        <f>[26]SAS_NSA_2013_4T!$C$182</f>
        <v>1868</v>
      </c>
      <c r="S42" s="186">
        <f>[27]SAS_NSA_2014_1T!$C$182</f>
        <v>2052</v>
      </c>
      <c r="T42" s="186">
        <f>[28]SAS_NSA_2014_2T!$C$182</f>
        <v>80398</v>
      </c>
      <c r="U42" s="186">
        <f>[29]SAS_NSA_2014_3T!$C$182</f>
        <v>79675</v>
      </c>
      <c r="V42" s="186">
        <f>[30]SAS_NSA_2014_4T!$C$182</f>
        <v>78817</v>
      </c>
      <c r="W42" s="186">
        <f>[31]SAS_NSA_2015_1T!$C$182</f>
        <v>77958</v>
      </c>
      <c r="X42" s="186">
        <f>[32]SAS_NSA_2015_2T!$C$182</f>
        <v>76599</v>
      </c>
      <c r="Y42" s="186">
        <f>[33]SAS_NSA_2015_3T!$C$182</f>
        <v>75418</v>
      </c>
      <c r="Z42" s="186">
        <f>[34]SAS_NSA_2015_4T!$C$182</f>
        <v>74441</v>
      </c>
      <c r="AA42" s="186">
        <f>[35]SAS_NSA_2016_1T!$C$182</f>
        <v>73599</v>
      </c>
      <c r="AB42" s="186">
        <f>[36]SAS_NSA_2016_2T!$C$182</f>
        <v>72595</v>
      </c>
      <c r="AC42" s="186">
        <f>[37]SAS_NSA_2016_3T!$C$182</f>
        <v>71685</v>
      </c>
      <c r="AD42" s="186">
        <f>[38]SAS_NSA_2016_4T!$C$182</f>
        <v>70735</v>
      </c>
      <c r="AE42" s="186">
        <f>[39]SAS_NSA_2017_1T!$C$182</f>
        <v>69738</v>
      </c>
      <c r="AF42" s="186">
        <f>[40]SAS_NSA_2017_2T!$C$182</f>
        <v>68703</v>
      </c>
      <c r="AG42" s="186">
        <f>[41]SAS_NSA_2017_3T!$C$182</f>
        <v>67856</v>
      </c>
      <c r="AH42" s="186">
        <f>[42]SAS_NSA_2017_4T!$C$182</f>
        <v>67058</v>
      </c>
      <c r="AI42" s="186">
        <f>[43]SAS_NSA_2018_1T!$C$246</f>
        <v>66382</v>
      </c>
      <c r="AJ42" s="186">
        <f>[44]SAS_NSA_2018_2T!$C$184</f>
        <v>65667</v>
      </c>
      <c r="AK42" s="186">
        <f>[45]SAS_NSA_2018_3T!$C$246</f>
        <v>64772</v>
      </c>
      <c r="AL42" s="186">
        <f>[46]SAS_NSA_2018_4T!$C$246</f>
        <v>63866</v>
      </c>
      <c r="AM42" s="186">
        <f>[47]SAS_NSA_2019_1T!$C$246</f>
        <v>63024</v>
      </c>
      <c r="AN42" s="186">
        <f>[48]SAS_NSA_2019_2T!$C$246</f>
        <v>62188</v>
      </c>
      <c r="AO42" s="186">
        <f>[49]SAS_NSA_2019_3T!$C246</f>
        <v>61503</v>
      </c>
      <c r="AP42" s="186">
        <f>[50]SAS_NSA_2019_4T!$C$246</f>
        <v>60761</v>
      </c>
      <c r="AQ42" s="186">
        <f>[51]SAS_NSA_2020_1T!$C225</f>
        <v>60132</v>
      </c>
      <c r="AR42" s="186">
        <f>[52]SAS_NSA_2020_2T!$C225</f>
        <v>59422</v>
      </c>
      <c r="AS42" s="186">
        <f>[53]SAS_NSA_2020_3T!$C225</f>
        <v>58673</v>
      </c>
      <c r="AT42" s="186">
        <f>[194]SAS_NSA_2020_4T!$C135</f>
        <v>57848</v>
      </c>
      <c r="AU42" s="186">
        <f>[55]SAS_NSA_2021_1T!$C$225</f>
        <v>57046</v>
      </c>
      <c r="AV42" s="186">
        <f>[56]SAS_NSA_2021_2T!$C$225</f>
        <v>56330</v>
      </c>
      <c r="AW42" s="186">
        <f>[57]SAS_NSA_2021_3T!$C$225</f>
        <v>55577</v>
      </c>
      <c r="AX42" s="413">
        <f>[58]SAS_NSA_2021_4T!$C134</f>
        <v>405540</v>
      </c>
      <c r="AY42" s="186">
        <f>[59]SAS_NSA_2022_1T!$C$134</f>
        <v>54305</v>
      </c>
      <c r="AZ42" s="186">
        <f>[60]SAS_NSA_2022_2T!$C$134</f>
        <v>53630</v>
      </c>
      <c r="BA42" s="186">
        <f>[61]SAS_NSA_2022_3T!$C$134</f>
        <v>53054</v>
      </c>
      <c r="BB42" s="186">
        <f>[62]SAS_NSA_2022_4T!$C$134</f>
        <v>52511</v>
      </c>
      <c r="BC42" s="22">
        <f>[2]SAS_NSA_2023_1T!$C$134</f>
        <v>51846</v>
      </c>
      <c r="BD42" s="22">
        <f>[3]SAS_NSA_2023_2T!$C$134</f>
        <v>51156</v>
      </c>
      <c r="BE42" s="22">
        <f>[4]SAS_NSA_2023_3T!$C$134</f>
        <v>50613</v>
      </c>
      <c r="BF42" s="22">
        <f>[5]SAS_NSA_2023_4T!$C$134</f>
        <v>49898</v>
      </c>
      <c r="BG42" s="22">
        <f>[6]SAS_NSA_2024_1T!$C$134</f>
        <v>49331</v>
      </c>
      <c r="BH42" s="22">
        <f>[7]SAS_NSA_2024_2T!$C$134</f>
        <v>48742</v>
      </c>
      <c r="BI42" s="22">
        <f>[8]SAS_NSA_2024_3T!$C$134</f>
        <v>51864</v>
      </c>
      <c r="BJ42" s="22">
        <f>[9]SAS_NSA_2024_4T!$C$134</f>
        <v>51353</v>
      </c>
    </row>
    <row r="43" spans="1:62" s="1" customFormat="1" ht="13" x14ac:dyDescent="0.3">
      <c r="A43" s="157" t="s">
        <v>138</v>
      </c>
      <c r="B43" s="158"/>
      <c r="C43" s="159"/>
      <c r="D43" s="159"/>
      <c r="E43" s="159"/>
      <c r="F43" s="159"/>
      <c r="G43" s="159"/>
      <c r="H43" s="159"/>
      <c r="I43" s="159"/>
      <c r="J43" s="159"/>
      <c r="K43" s="46">
        <f>[19]SAS_NSA_2012_1T!$C$183</f>
        <v>31</v>
      </c>
      <c r="L43" s="46">
        <f>'[20]120919-14H22S23-PROGRAM-TdB_STO'!$C$183</f>
        <v>40</v>
      </c>
      <c r="M43" s="46">
        <f>'[21]121105-15H12S18-PROGRAM-TdB_STO'!$C$183</f>
        <v>44</v>
      </c>
      <c r="N43" s="46">
        <f>[22]SAS_NSA_2012_4T!$C$183</f>
        <v>52</v>
      </c>
      <c r="O43" s="46">
        <f>[23]SAS_NSA_2013_1T!$C$183</f>
        <v>54</v>
      </c>
      <c r="P43" s="46">
        <f>[24]SAS_NSA_2013_2T!$C$183</f>
        <v>68</v>
      </c>
      <c r="Q43" s="46">
        <f>[25]SAS_NSA_2013_3T!$C$183</f>
        <v>76</v>
      </c>
      <c r="R43" s="186">
        <f>[26]SAS_NSA_2013_4T!$C$183</f>
        <v>81</v>
      </c>
      <c r="S43" s="186">
        <f>[27]SAS_NSA_2014_1T!$C$183</f>
        <v>85</v>
      </c>
      <c r="T43" s="186">
        <f>[28]SAS_NSA_2014_2T!$C$183</f>
        <v>6692</v>
      </c>
      <c r="U43" s="186">
        <f>[29]SAS_NSA_2014_3T!$C$183</f>
        <v>6643</v>
      </c>
      <c r="V43" s="186">
        <f>[30]SAS_NSA_2014_4T!$C$183</f>
        <v>6567</v>
      </c>
      <c r="W43" s="186">
        <f>[31]SAS_NSA_2015_1T!$C$183</f>
        <v>6460</v>
      </c>
      <c r="X43" s="186">
        <f>[32]SAS_NSA_2015_2T!$C$183</f>
        <v>6312</v>
      </c>
      <c r="Y43" s="186">
        <f>[33]SAS_NSA_2015_3T!$C$183</f>
        <v>6221</v>
      </c>
      <c r="Z43" s="186">
        <f>[34]SAS_NSA_2015_4T!$C$183</f>
        <v>6135</v>
      </c>
      <c r="AA43" s="186">
        <f>[35]SAS_NSA_2016_1T!$C$183</f>
        <v>6017</v>
      </c>
      <c r="AB43" s="186">
        <f>[36]SAS_NSA_2016_2T!$C$183</f>
        <v>5885</v>
      </c>
      <c r="AC43" s="186">
        <f>[37]SAS_NSA_2016_3T!$C$183</f>
        <v>5785</v>
      </c>
      <c r="AD43" s="186">
        <f>[38]SAS_NSA_2016_4T!$C$183</f>
        <v>5707</v>
      </c>
      <c r="AE43" s="186">
        <f>[39]SAS_NSA_2017_1T!$C$183</f>
        <v>5585</v>
      </c>
      <c r="AF43" s="186">
        <f>[40]SAS_NSA_2017_2T!$C$183</f>
        <v>5476</v>
      </c>
      <c r="AG43" s="186">
        <f>[41]SAS_NSA_2017_3T!$C$183</f>
        <v>5404</v>
      </c>
      <c r="AH43" s="186">
        <f>[42]SAS_NSA_2017_4T!$C$183</f>
        <v>5301</v>
      </c>
      <c r="AI43" s="186">
        <f>[43]SAS_NSA_2018_1T!$C$247</f>
        <v>5218</v>
      </c>
      <c r="AJ43" s="186">
        <f>[44]SAS_NSA_2018_2T!$C$185</f>
        <v>5095</v>
      </c>
      <c r="AK43" s="186">
        <f>[45]SAS_NSA_2018_3T!$C$247</f>
        <v>5007</v>
      </c>
      <c r="AL43" s="186">
        <f>[46]SAS_NSA_2018_4T!$C$247</f>
        <v>4924</v>
      </c>
      <c r="AM43" s="186">
        <f>[47]SAS_NSA_2019_1T!$C$247</f>
        <v>4817</v>
      </c>
      <c r="AN43" s="186">
        <f>[48]SAS_NSA_2019_2T!$C$247</f>
        <v>4706</v>
      </c>
      <c r="AO43" s="186">
        <f>[49]SAS_NSA_2019_3T!$C247</f>
        <v>4642</v>
      </c>
      <c r="AP43" s="186">
        <f>[50]SAS_NSA_2019_4T!$C$247</f>
        <v>4585</v>
      </c>
      <c r="AQ43" s="186">
        <f>[51]SAS_NSA_2020_1T!$C226</f>
        <v>4503</v>
      </c>
      <c r="AR43" s="186">
        <f>[52]SAS_NSA_2020_2T!$C226</f>
        <v>4403</v>
      </c>
      <c r="AS43" s="186">
        <f>[53]SAS_NSA_2020_3T!$C226</f>
        <v>4301</v>
      </c>
      <c r="AT43" s="186">
        <f>[194]SAS_NSA_2020_4T!$C136</f>
        <v>4229</v>
      </c>
      <c r="AU43" s="186">
        <f>[55]SAS_NSA_2021_1T!$C$226</f>
        <v>4142</v>
      </c>
      <c r="AV43" s="186">
        <f>[56]SAS_NSA_2021_2T!$C$226</f>
        <v>4030</v>
      </c>
      <c r="AW43" s="186">
        <f>[57]SAS_NSA_2021_3T!$C$226</f>
        <v>3962</v>
      </c>
      <c r="AX43" s="413">
        <f>[58]SAS_NSA_2021_4T!$C135</f>
        <v>54946</v>
      </c>
      <c r="AY43" s="186">
        <f>[59]SAS_NSA_2022_1T!$C$135</f>
        <v>3818</v>
      </c>
      <c r="AZ43" s="186">
        <f>[60]SAS_NSA_2022_2T!$C$135</f>
        <v>3721</v>
      </c>
      <c r="BA43" s="186">
        <f>[61]SAS_NSA_2022_3T!$C$135</f>
        <v>3647</v>
      </c>
      <c r="BB43" s="186">
        <f>[62]SAS_NSA_2022_4T!$C$135</f>
        <v>3575</v>
      </c>
      <c r="BC43" s="236">
        <f>[2]SAS_NSA_2023_1T!$C$135</f>
        <v>3479</v>
      </c>
      <c r="BD43" s="236">
        <f>[3]SAS_NSA_2023_2T!$C$135</f>
        <v>3419</v>
      </c>
      <c r="BE43" s="236">
        <f>[4]SAS_NSA_2023_3T!$C$135</f>
        <v>3346</v>
      </c>
      <c r="BF43" s="236">
        <f>[5]SAS_NSA_2023_4T!$C$135</f>
        <v>3312</v>
      </c>
      <c r="BG43" s="236">
        <f>[6]SAS_NSA_2024_1T!$C$135</f>
        <v>3242</v>
      </c>
      <c r="BH43" s="236">
        <f>[7]SAS_NSA_2024_2T!$C$135</f>
        <v>3174</v>
      </c>
      <c r="BI43" s="236">
        <f>[8]SAS_NSA_2024_3T!$C$135</f>
        <v>4186</v>
      </c>
      <c r="BJ43" s="236">
        <f>[9]SAS_NSA_2024_4T!$C$135</f>
        <v>4205</v>
      </c>
    </row>
    <row r="44" spans="1:62" x14ac:dyDescent="0.25">
      <c r="A44" s="8" t="s">
        <v>136</v>
      </c>
      <c r="B44" s="9">
        <f>[63]SAS_NSA_4T2009!$C$182</f>
        <v>63379</v>
      </c>
      <c r="C44" s="46">
        <f>[11]SAS_NSA_1T2010!$C$182</f>
        <v>63826</v>
      </c>
      <c r="D44" s="46">
        <f>[12]SAS_NSA_2T2010!$C$182</f>
        <v>105843</v>
      </c>
      <c r="E44" s="46">
        <f>[13]SAS_NSA_3T2010!$C$182</f>
        <v>107705</v>
      </c>
      <c r="F44" s="46">
        <f>[14]SAS_NSA_2010_4T!$C$182</f>
        <v>109182</v>
      </c>
      <c r="G44" s="46">
        <f>[15]SAS_NSA_2011_1T!$C$182</f>
        <v>111383</v>
      </c>
      <c r="H44" s="46">
        <f>[16]SAS_NSA_2011_2T!$C$182</f>
        <v>112819</v>
      </c>
      <c r="I44" s="46">
        <f>[17]SAS_NSA_2011_3T!$C$182</f>
        <v>114368</v>
      </c>
      <c r="J44" s="46">
        <f>[18]SAS_NSA_2011_4T!$C$182</f>
        <v>115814</v>
      </c>
      <c r="K44" s="46">
        <f>[19]SAS_NSA_2012_1T!$C$184</f>
        <v>117563</v>
      </c>
      <c r="L44" s="46">
        <f>'[20]120919-14H22S23-PROGRAM-TdB_STO'!$C$184</f>
        <v>118520</v>
      </c>
      <c r="M44" s="46">
        <f>'[21]121105-15H12S18-PROGRAM-TdB_STO'!$C$184</f>
        <v>119789</v>
      </c>
      <c r="N44" s="46">
        <f>[22]SAS_NSA_2012_4T!$C$184</f>
        <v>121049</v>
      </c>
      <c r="O44" s="46">
        <f>[23]SAS_NSA_2013_1T!$C$184</f>
        <v>122020</v>
      </c>
      <c r="P44" s="46">
        <f>[24]SAS_NSA_2013_2T!$C$184</f>
        <v>122614</v>
      </c>
      <c r="Q44" s="46">
        <f>[25]SAS_NSA_2013_3T!$C$184</f>
        <v>123722</v>
      </c>
      <c r="R44" s="186">
        <f>[26]SAS_NSA_2013_4T!$C$184</f>
        <v>125004</v>
      </c>
      <c r="S44" s="186">
        <f>[27]SAS_NSA_2014_1T!$C$184</f>
        <v>126123</v>
      </c>
      <c r="T44" s="186">
        <f>[28]SAS_NSA_2014_2T!$C$184</f>
        <v>204065</v>
      </c>
      <c r="U44" s="186">
        <f>[29]SAS_NSA_2014_3T!$C$184</f>
        <v>204507</v>
      </c>
      <c r="V44" s="186">
        <f>[30]SAS_NSA_2014_4T!$C$184</f>
        <v>207402</v>
      </c>
      <c r="W44" s="186">
        <f>[31]SAS_NSA_2015_1T!$C$184</f>
        <v>206834</v>
      </c>
      <c r="X44" s="186">
        <f>[32]SAS_NSA_2015_2T!$C$184</f>
        <v>205608</v>
      </c>
      <c r="Y44" s="186">
        <f>[33]SAS_NSA_2015_3T!$C$184</f>
        <v>205311</v>
      </c>
      <c r="Z44" s="186">
        <f>[34]SAS_NSA_2015_4T!$C$184</f>
        <v>205373</v>
      </c>
      <c r="AA44" s="186">
        <f>[35]SAS_NSA_2016_1T!$C$184</f>
        <v>204666</v>
      </c>
      <c r="AB44" s="186">
        <f>[36]SAS_NSA_2016_2T!$C$184</f>
        <v>203335</v>
      </c>
      <c r="AC44" s="186">
        <f>[37]SAS_NSA_2016_3T!$C$184</f>
        <v>202667</v>
      </c>
      <c r="AD44" s="186">
        <f>[38]SAS_NSA_2016_4T!$C$184</f>
        <v>202507</v>
      </c>
      <c r="AE44" s="186">
        <f>[39]SAS_NSA_2017_1T!$C$184</f>
        <v>201474</v>
      </c>
      <c r="AF44" s="186">
        <f>[40]SAS_NSA_2017_2T!$C$184</f>
        <v>199390</v>
      </c>
      <c r="AG44" s="186">
        <f>[41]SAS_NSA_2017_3T!$C$184</f>
        <v>198368</v>
      </c>
      <c r="AH44" s="186">
        <f>[42]SAS_NSA_2017_4T!$C$184</f>
        <v>197609</v>
      </c>
      <c r="AI44" s="186">
        <f>[43]SAS_NSA_2018_1T!$C$248</f>
        <v>196109</v>
      </c>
      <c r="AJ44" s="186">
        <f>[44]SAS_NSA_2018_2T!$C$186</f>
        <v>193867</v>
      </c>
      <c r="AK44" s="186">
        <f>[45]SAS_NSA_2018_3T!$C$248</f>
        <v>193324</v>
      </c>
      <c r="AL44" s="186">
        <f>[46]SAS_NSA_2018_4T!$C$248</f>
        <v>193374</v>
      </c>
      <c r="AM44" s="186">
        <f>[47]SAS_NSA_2019_1T!$C$248</f>
        <v>192413</v>
      </c>
      <c r="AN44" s="186">
        <f>[48]SAS_NSA_2019_2T!$C$248</f>
        <v>190573</v>
      </c>
      <c r="AO44" s="186">
        <f>[49]SAS_NSA_2019_3T!$C248</f>
        <v>189547</v>
      </c>
      <c r="AP44" s="186">
        <f>[50]SAS_NSA_2019_4T!$C$248</f>
        <v>189028</v>
      </c>
      <c r="AQ44" s="186">
        <f>[51]SAS_NSA_2020_1T!$C227</f>
        <v>188131</v>
      </c>
      <c r="AR44" s="186">
        <f>[52]SAS_NSA_2020_2T!$C227</f>
        <v>186114</v>
      </c>
      <c r="AS44" s="186">
        <f>[53]SAS_NSA_2020_3T!$C227</f>
        <v>184600</v>
      </c>
      <c r="AT44" s="186">
        <f>[194]SAS_NSA_2020_4T!$C137</f>
        <v>185944</v>
      </c>
      <c r="AU44" s="186">
        <f>[195]SAS_NSA_2021_1T!$C137</f>
        <v>184029</v>
      </c>
      <c r="AV44" s="186">
        <f>[196]SAS_NSA_2021_2T!$C$137</f>
        <v>181854</v>
      </c>
      <c r="AW44" s="186">
        <f>[197]SAS_NSA_2021_3T!$C$137</f>
        <v>180759</v>
      </c>
      <c r="AX44" s="413">
        <f>[58]SAS_NSA_2021_4T!$C$136</f>
        <v>3911</v>
      </c>
      <c r="AY44" s="186">
        <f>[59]SAS_NSA_2022_1T!$C$136</f>
        <v>178597</v>
      </c>
      <c r="AZ44" s="186">
        <f>[60]SAS_NSA_2022_2T!$C$136</f>
        <v>176477</v>
      </c>
      <c r="BA44" s="186">
        <f>[61]SAS_NSA_2022_3T!$C$136</f>
        <v>175089</v>
      </c>
      <c r="BB44" s="186">
        <f>[62]SAS_NSA_2022_4T!$C$136</f>
        <v>174541</v>
      </c>
      <c r="BC44" s="22">
        <f>[2]SAS_NSA_2023_1T!$C$136</f>
        <v>172044</v>
      </c>
      <c r="BD44" s="22">
        <f>[3]SAS_NSA_2023_2T!$C$136</f>
        <v>170634</v>
      </c>
      <c r="BE44" s="22">
        <f>[4]SAS_NSA_2023_3T!$C$136</f>
        <v>169587</v>
      </c>
      <c r="BF44" s="22">
        <f>[5]SAS_NSA_2023_4T!$C$136</f>
        <v>169410</v>
      </c>
      <c r="BG44" s="22">
        <f>[6]SAS_NSA_2024_1T!$C$136</f>
        <v>167970</v>
      </c>
      <c r="BH44" s="22">
        <f>[7]SAS_NSA_2024_2T!$C$136</f>
        <v>165810</v>
      </c>
      <c r="BI44" s="22">
        <f>[8]SAS_NSA_2024_3T!$C$136</f>
        <v>169470</v>
      </c>
      <c r="BJ44" s="22">
        <f>[9]SAS_NSA_2024_4T!$C$136</f>
        <v>169180</v>
      </c>
    </row>
    <row r="45" spans="1:62" x14ac:dyDescent="0.25">
      <c r="A45" s="8" t="s">
        <v>4</v>
      </c>
      <c r="B45" s="9">
        <f t="shared" ref="B45:J45" si="150">B11-(B41+B44)</f>
        <v>382</v>
      </c>
      <c r="C45" s="46">
        <f t="shared" si="150"/>
        <v>435</v>
      </c>
      <c r="D45" s="46">
        <f t="shared" si="150"/>
        <v>744</v>
      </c>
      <c r="E45" s="46">
        <f t="shared" si="150"/>
        <v>979</v>
      </c>
      <c r="F45" s="46">
        <f t="shared" si="150"/>
        <v>777</v>
      </c>
      <c r="G45" s="46">
        <f t="shared" si="150"/>
        <v>1739</v>
      </c>
      <c r="H45" s="46">
        <f t="shared" si="150"/>
        <v>803</v>
      </c>
      <c r="I45" s="46">
        <f t="shared" si="150"/>
        <v>798</v>
      </c>
      <c r="J45" s="46">
        <f t="shared" si="150"/>
        <v>797</v>
      </c>
      <c r="K45" s="161">
        <f t="shared" ref="K45:P45" si="151">K11-(K41+K42+K43+K44)</f>
        <v>2084</v>
      </c>
      <c r="L45" s="46">
        <f t="shared" si="151"/>
        <v>1012</v>
      </c>
      <c r="M45" s="46">
        <f t="shared" si="151"/>
        <v>902</v>
      </c>
      <c r="N45" s="46">
        <f t="shared" si="151"/>
        <v>889</v>
      </c>
      <c r="O45" s="46">
        <f t="shared" si="151"/>
        <v>2031</v>
      </c>
      <c r="P45" s="46">
        <f t="shared" si="151"/>
        <v>969</v>
      </c>
      <c r="Q45" s="46">
        <f t="shared" ref="Q45:R45" si="152">Q11-(Q41+Q42+Q43+Q44)</f>
        <v>963</v>
      </c>
      <c r="R45" s="186">
        <f t="shared" si="152"/>
        <v>1532</v>
      </c>
      <c r="S45" s="186">
        <f t="shared" ref="S45:T45" si="153">S11-(S41+S42+S43+S44)</f>
        <v>1337</v>
      </c>
      <c r="T45" s="186">
        <f t="shared" si="153"/>
        <v>1122</v>
      </c>
      <c r="U45" s="186">
        <f t="shared" ref="U45:V45" si="154">U11-(U41+U42+U43+U44)</f>
        <v>1256</v>
      </c>
      <c r="V45" s="186">
        <f t="shared" si="154"/>
        <v>1375</v>
      </c>
      <c r="W45" s="186">
        <f t="shared" ref="W45:X45" si="155">W11-(W41+W42+W43+W44)</f>
        <v>1397</v>
      </c>
      <c r="X45" s="186">
        <f t="shared" si="155"/>
        <v>1341</v>
      </c>
      <c r="Y45" s="186">
        <f t="shared" ref="Y45:Z45" si="156">Y11-(Y41+Y42+Y43+Y44)</f>
        <v>1297</v>
      </c>
      <c r="Z45" s="186">
        <f t="shared" si="156"/>
        <v>1322</v>
      </c>
      <c r="AA45" s="186">
        <f t="shared" ref="AA45" si="157">AA11-(AA41+AA42+AA43+AA44)</f>
        <v>1374</v>
      </c>
      <c r="AB45" s="186">
        <f t="shared" ref="AB45:AH45" si="158">AB11-(AB41+AB42+AB43+AB44)</f>
        <v>1370</v>
      </c>
      <c r="AC45" s="186">
        <f t="shared" si="158"/>
        <v>1406</v>
      </c>
      <c r="AD45" s="186">
        <f t="shared" si="158"/>
        <v>1466</v>
      </c>
      <c r="AE45" s="186">
        <f t="shared" si="158"/>
        <v>1520</v>
      </c>
      <c r="AF45" s="186">
        <f t="shared" si="158"/>
        <v>1519</v>
      </c>
      <c r="AG45" s="186">
        <f t="shared" si="158"/>
        <v>1526</v>
      </c>
      <c r="AH45" s="186">
        <f t="shared" si="158"/>
        <v>1560</v>
      </c>
      <c r="AI45" s="186">
        <f t="shared" ref="AI45:AL45" si="159">AI11-(AI41+AI42+AI43+AI44)</f>
        <v>1709</v>
      </c>
      <c r="AJ45" s="186">
        <f t="shared" si="159"/>
        <v>1622</v>
      </c>
      <c r="AK45" s="186">
        <f t="shared" si="159"/>
        <v>1697</v>
      </c>
      <c r="AL45" s="186">
        <f t="shared" si="159"/>
        <v>1710</v>
      </c>
      <c r="AM45" s="186">
        <f t="shared" ref="AM45:AR45" si="160">AM11-(AM41+AM42+AM43+AM44)</f>
        <v>1696</v>
      </c>
      <c r="AN45" s="337">
        <f t="shared" si="160"/>
        <v>1725</v>
      </c>
      <c r="AO45" s="337">
        <f t="shared" si="160"/>
        <v>2013</v>
      </c>
      <c r="AP45" s="337">
        <f t="shared" si="160"/>
        <v>2058</v>
      </c>
      <c r="AQ45" s="337">
        <f t="shared" si="160"/>
        <v>1897</v>
      </c>
      <c r="AR45" s="337">
        <f t="shared" si="160"/>
        <v>1900</v>
      </c>
      <c r="AS45" s="337">
        <f t="shared" ref="AS45" si="161">AS11-(AS41+AS42+AS43+AS44)</f>
        <v>1953</v>
      </c>
      <c r="AT45" s="186">
        <f>[194]SAS_NSA_2020_4T!$C138-([194]SAS_NSA_2020_4T!$C$133-AT28)</f>
        <v>172</v>
      </c>
      <c r="AU45" s="186">
        <f>AU28-AU41-AU42-AU43-AU44</f>
        <v>570</v>
      </c>
      <c r="AV45" s="337">
        <f t="shared" ref="AV45" si="162">AV11-(AV41+AV42+AV43+AV44)</f>
        <v>190</v>
      </c>
      <c r="AW45" s="337">
        <f>AW11-SUM(AW41:AW44)</f>
        <v>160</v>
      </c>
      <c r="AX45" s="413">
        <f>AX28-SUM(AX41:AX44)</f>
        <v>-225242</v>
      </c>
      <c r="AY45" s="337">
        <f t="shared" ref="AY45:BA45" si="163">AY28-SUM(AY41:AY44)</f>
        <v>194</v>
      </c>
      <c r="AZ45" s="337">
        <f t="shared" si="163"/>
        <v>171</v>
      </c>
      <c r="BA45" s="337">
        <f t="shared" si="163"/>
        <v>172</v>
      </c>
      <c r="BB45" s="337">
        <f t="shared" ref="BB45" si="164">BB28-SUM(BB41:BB44)</f>
        <v>179</v>
      </c>
      <c r="BC45" s="22">
        <f t="shared" ref="BC45:BD45" si="165">BC28-SUM(BC41:BC44)</f>
        <v>199</v>
      </c>
      <c r="BD45" s="22">
        <f t="shared" si="165"/>
        <v>177</v>
      </c>
      <c r="BE45" s="22">
        <f t="shared" ref="BE45:BF45" si="166">BE28-SUM(BE41:BE44)</f>
        <v>163</v>
      </c>
      <c r="BF45" s="22">
        <f t="shared" si="166"/>
        <v>195</v>
      </c>
      <c r="BG45" s="22">
        <f t="shared" ref="BG45:BH45" si="167">BG28-SUM(BG41:BG44)</f>
        <v>569</v>
      </c>
      <c r="BH45" s="22">
        <f t="shared" si="167"/>
        <v>237</v>
      </c>
      <c r="BI45" s="22">
        <f t="shared" ref="BI45:BJ45" si="168">BI28-SUM(BI41:BI44)</f>
        <v>235</v>
      </c>
      <c r="BJ45" s="22">
        <f t="shared" si="168"/>
        <v>278</v>
      </c>
    </row>
    <row r="46" spans="1:62" x14ac:dyDescent="0.25">
      <c r="L46" s="145"/>
      <c r="M46" s="145"/>
      <c r="P46" s="145"/>
      <c r="Q46" s="145"/>
      <c r="S46" s="177"/>
      <c r="T46" s="177"/>
      <c r="U46" s="177"/>
      <c r="V46" s="177"/>
      <c r="W46" s="177"/>
      <c r="X46" s="177"/>
      <c r="Y46" s="177"/>
      <c r="Z46" s="177"/>
      <c r="AA46" s="177"/>
      <c r="AB46" s="204">
        <f t="shared" ref="AB46:AE46" si="169">SUM(AB41:AB45)</f>
        <v>710181</v>
      </c>
      <c r="AC46" s="204">
        <f t="shared" si="169"/>
        <v>706579</v>
      </c>
      <c r="AD46" s="204">
        <f t="shared" si="169"/>
        <v>704539</v>
      </c>
      <c r="AE46" s="204">
        <f t="shared" si="169"/>
        <v>702171</v>
      </c>
      <c r="AF46" s="204">
        <f>SUM(AF41:AF45)</f>
        <v>696525</v>
      </c>
      <c r="AG46" s="204">
        <f>SUM(AG41:AG45)</f>
        <v>692944</v>
      </c>
      <c r="AH46" s="204">
        <f t="shared" ref="AH46" si="170">SUM(AH41:AH45)</f>
        <v>691536</v>
      </c>
      <c r="AI46" s="177"/>
      <c r="AJ46" s="177"/>
      <c r="AK46" s="259"/>
      <c r="AL46" s="259"/>
      <c r="AM46" s="177"/>
      <c r="AN46" s="177"/>
      <c r="AO46" s="198">
        <f t="shared" ref="AO46:AT46" si="171">SUM(AO41:AO45)</f>
        <v>671034</v>
      </c>
      <c r="AP46" s="198">
        <f t="shared" si="171"/>
        <v>670369</v>
      </c>
      <c r="AQ46" s="198">
        <f t="shared" si="171"/>
        <v>669311</v>
      </c>
      <c r="AR46" s="198">
        <f t="shared" si="171"/>
        <v>664290</v>
      </c>
      <c r="AS46" s="198">
        <f t="shared" si="171"/>
        <v>659801</v>
      </c>
      <c r="AT46" s="198">
        <f t="shared" si="171"/>
        <v>658431</v>
      </c>
      <c r="AU46" s="198">
        <f t="shared" ref="AU46:AV46" si="172">SUM(AU41:AU45)</f>
        <v>655615</v>
      </c>
      <c r="AV46" s="198">
        <f t="shared" si="172"/>
        <v>649199</v>
      </c>
      <c r="AW46" s="198">
        <f>SUM(AW41:AW45)</f>
        <v>645418</v>
      </c>
      <c r="AX46" s="428">
        <f>SUM(AX41:AX45)</f>
        <v>644695</v>
      </c>
      <c r="AY46" s="198">
        <f t="shared" ref="AY46:BA46" si="173">SUM(AY41:AY45)</f>
        <v>643531</v>
      </c>
      <c r="AZ46" s="198">
        <f t="shared" si="173"/>
        <v>638387</v>
      </c>
      <c r="BA46" s="198">
        <f t="shared" si="173"/>
        <v>634860</v>
      </c>
      <c r="BB46" s="198">
        <f t="shared" ref="BB46" si="174">SUM(BB41:BB45)</f>
        <v>635460</v>
      </c>
      <c r="BC46" s="4">
        <f t="shared" ref="BC46:BD46" si="175">SUM(BC41:BC45)</f>
        <v>632550</v>
      </c>
      <c r="BD46" s="4">
        <f t="shared" si="175"/>
        <v>628940</v>
      </c>
      <c r="BE46" s="4">
        <f t="shared" ref="BE46:BF46" si="176">SUM(BE41:BE45)</f>
        <v>626410</v>
      </c>
      <c r="BF46" s="4">
        <f t="shared" si="176"/>
        <v>625632</v>
      </c>
      <c r="BG46" s="4">
        <f t="shared" ref="BG46:BH46" si="177">SUM(BG41:BG45)</f>
        <v>624660</v>
      </c>
      <c r="BH46" s="4">
        <f t="shared" si="177"/>
        <v>619309</v>
      </c>
      <c r="BI46" s="4">
        <f t="shared" ref="BI46:BJ46" si="178">SUM(BI41:BI45)</f>
        <v>631603</v>
      </c>
      <c r="BJ46" s="4">
        <f t="shared" si="178"/>
        <v>631430</v>
      </c>
    </row>
    <row r="47" spans="1:62" x14ac:dyDescent="0.25">
      <c r="K47" s="153"/>
      <c r="L47" s="153"/>
      <c r="M47" s="153"/>
      <c r="N47" s="153"/>
      <c r="O47" s="153"/>
      <c r="P47" s="153"/>
      <c r="Q47" s="153"/>
      <c r="R47" s="198"/>
      <c r="S47" s="198"/>
      <c r="T47" s="198"/>
      <c r="U47" s="198"/>
      <c r="V47" s="198"/>
      <c r="W47" s="198"/>
      <c r="X47" s="198"/>
      <c r="Y47" s="198"/>
      <c r="Z47" s="198"/>
      <c r="AA47" s="198"/>
      <c r="AB47" s="198"/>
      <c r="AC47" s="198">
        <f>AC44+AC45</f>
        <v>204073</v>
      </c>
      <c r="AD47" s="198">
        <f>AD44+AD45</f>
        <v>203973</v>
      </c>
      <c r="AE47" s="198"/>
      <c r="AF47" s="197">
        <f>AF41/SUM(AF$41:AF$45)</f>
        <v>0.60505653063421982</v>
      </c>
      <c r="AG47" s="197">
        <f t="shared" ref="AG47:AH49" si="179">AG41/SUM(AG$41:AG$45)</f>
        <v>0.60580652982059158</v>
      </c>
      <c r="AH47" s="197">
        <f t="shared" si="179"/>
        <v>0.60735522084172044</v>
      </c>
      <c r="AI47" s="198"/>
      <c r="AJ47" s="198"/>
      <c r="AM47" s="198"/>
      <c r="AN47" s="198"/>
      <c r="AO47" s="198"/>
      <c r="AQ47" s="198"/>
      <c r="AR47" s="198"/>
      <c r="AS47" s="198"/>
      <c r="AT47" s="198"/>
      <c r="AU47" s="198"/>
      <c r="AV47" s="198"/>
      <c r="AW47" s="198"/>
      <c r="AX47" s="428"/>
    </row>
    <row r="48" spans="1:62" x14ac:dyDescent="0.25">
      <c r="A48" s="12"/>
      <c r="B48" s="13"/>
      <c r="J48" s="47"/>
      <c r="K48" s="150"/>
      <c r="L48" s="150"/>
      <c r="M48" s="150"/>
      <c r="N48" s="150"/>
      <c r="O48" s="150"/>
      <c r="P48" s="150"/>
      <c r="Q48" s="150"/>
      <c r="R48" s="187"/>
      <c r="S48" s="187"/>
      <c r="T48" s="187"/>
      <c r="U48" s="187"/>
      <c r="V48" s="187"/>
      <c r="W48" s="187"/>
      <c r="X48" s="187"/>
      <c r="Y48" s="187"/>
      <c r="Z48" s="187"/>
      <c r="AA48" s="187"/>
      <c r="AB48" s="187"/>
      <c r="AC48" s="187"/>
      <c r="AD48" s="187"/>
      <c r="AE48" s="187"/>
      <c r="AF48" s="197">
        <f>AF42/SUM(AF$41:AF$45)</f>
        <v>9.8636804134812101E-2</v>
      </c>
      <c r="AG48" s="197">
        <f t="shared" si="179"/>
        <v>9.7924218984506678E-2</v>
      </c>
      <c r="AH48" s="197">
        <f t="shared" si="179"/>
        <v>9.6969644385830958E-2</v>
      </c>
      <c r="AI48" s="187"/>
      <c r="AJ48" s="187"/>
      <c r="AM48" s="187"/>
      <c r="AN48" s="187"/>
      <c r="AO48" s="187"/>
      <c r="AQ48" s="187"/>
      <c r="AR48" s="187"/>
      <c r="AS48" s="187"/>
      <c r="AT48" s="187"/>
      <c r="AU48" s="187"/>
      <c r="AV48" s="187"/>
      <c r="AW48" s="187"/>
      <c r="AX48" s="414"/>
    </row>
    <row r="49" spans="1:62" ht="13" x14ac:dyDescent="0.3">
      <c r="A49" s="25" t="s">
        <v>43</v>
      </c>
      <c r="C49" s="54"/>
      <c r="D49" s="54"/>
      <c r="E49" s="54"/>
      <c r="G49" s="54"/>
      <c r="H49" s="54"/>
      <c r="I49" s="54"/>
      <c r="J49" s="54"/>
      <c r="K49" s="153"/>
      <c r="L49" s="153"/>
      <c r="M49" s="153"/>
      <c r="N49" s="153"/>
      <c r="O49" s="153"/>
      <c r="P49" s="153"/>
      <c r="Q49" s="153"/>
      <c r="R49" s="198"/>
      <c r="S49" s="198"/>
      <c r="T49" s="198"/>
      <c r="U49" s="198"/>
      <c r="V49" s="198"/>
      <c r="W49" s="198"/>
      <c r="X49" s="198"/>
      <c r="Y49" s="198"/>
      <c r="Z49" s="198"/>
      <c r="AA49" s="198"/>
      <c r="AB49" s="198"/>
      <c r="AC49" s="198"/>
      <c r="AD49" s="198"/>
      <c r="AE49" s="198"/>
      <c r="AF49" s="197">
        <f>AF43/SUM(AF$41:AF$45)</f>
        <v>7.8618857901726433E-3</v>
      </c>
      <c r="AG49" s="197">
        <f t="shared" si="179"/>
        <v>7.798609988685954E-3</v>
      </c>
      <c r="AH49" s="197">
        <f t="shared" si="179"/>
        <v>7.6655445269660583E-3</v>
      </c>
      <c r="AI49" s="198"/>
      <c r="AJ49" s="198"/>
      <c r="AM49" s="198"/>
      <c r="AN49" s="198"/>
      <c r="AO49" s="198"/>
      <c r="AQ49" s="198"/>
      <c r="AR49" s="198"/>
      <c r="AS49" s="198"/>
      <c r="AT49" s="198"/>
      <c r="AU49" s="198"/>
      <c r="AV49" s="198"/>
      <c r="AW49" s="198"/>
      <c r="AX49" s="428"/>
    </row>
    <row r="50" spans="1:62" x14ac:dyDescent="0.25">
      <c r="A50" s="17" t="s">
        <v>7</v>
      </c>
      <c r="K50" s="145"/>
      <c r="L50" s="145"/>
      <c r="M50" s="145"/>
      <c r="N50" s="145"/>
      <c r="O50" s="145"/>
      <c r="P50" s="145"/>
      <c r="Q50" s="145"/>
      <c r="S50" s="177"/>
      <c r="T50" s="177"/>
      <c r="U50" s="177"/>
      <c r="V50" s="177"/>
      <c r="W50" s="177"/>
      <c r="X50" s="177"/>
      <c r="Y50" s="177"/>
      <c r="Z50" s="177"/>
      <c r="AA50" s="177"/>
      <c r="AB50" s="177"/>
      <c r="AC50" s="177"/>
      <c r="AD50" s="177"/>
      <c r="AE50" s="177"/>
      <c r="AF50" s="197">
        <f>(AF44+AF45)/SUM(AF$41:AF$45)</f>
        <v>0.28844477944079538</v>
      </c>
      <c r="AG50" s="197">
        <f>(AG44+AG45)/SUM(AG$41:AG$45)</f>
        <v>0.28847064120621579</v>
      </c>
      <c r="AH50" s="197">
        <f>(AH44+AH45)/SUM(AH$41:AH$45)</f>
        <v>0.28800959024548251</v>
      </c>
      <c r="AI50" s="177"/>
      <c r="AJ50" s="177"/>
      <c r="AM50" s="177"/>
      <c r="AN50" s="177"/>
      <c r="AO50" s="177"/>
      <c r="AQ50" s="177"/>
      <c r="AR50" s="177"/>
      <c r="AS50" s="177"/>
      <c r="AT50" s="177"/>
      <c r="AU50" s="177"/>
      <c r="AV50" s="177"/>
      <c r="AW50" s="177"/>
      <c r="AX50" s="407"/>
    </row>
    <row r="51" spans="1:62" x14ac:dyDescent="0.25">
      <c r="B51" s="2" t="str">
        <f t="shared" ref="B51:G51" si="180">B8</f>
        <v>4eme T 2009</v>
      </c>
      <c r="C51" s="38" t="str">
        <f t="shared" si="180"/>
        <v>1er T 2010</v>
      </c>
      <c r="D51" s="38" t="str">
        <f t="shared" si="180"/>
        <v>2eme T 2010</v>
      </c>
      <c r="E51" s="38" t="str">
        <f t="shared" si="180"/>
        <v>3eme T 2010</v>
      </c>
      <c r="F51" s="38" t="str">
        <f t="shared" si="180"/>
        <v>4eme T 2010</v>
      </c>
      <c r="G51" s="38" t="str">
        <f t="shared" si="180"/>
        <v>1er T 2011</v>
      </c>
      <c r="H51" s="38" t="str">
        <f t="shared" ref="H51:M51" si="181">H8</f>
        <v>2eme T 2011</v>
      </c>
      <c r="I51" s="38" t="str">
        <f t="shared" si="181"/>
        <v>3eme T 2011</v>
      </c>
      <c r="J51" s="38" t="str">
        <f t="shared" si="181"/>
        <v>4eme T 2011</v>
      </c>
      <c r="K51" s="38" t="str">
        <f t="shared" si="181"/>
        <v>1er T 2012</v>
      </c>
      <c r="L51" s="38" t="str">
        <f t="shared" si="181"/>
        <v>2eme T 2012</v>
      </c>
      <c r="M51" s="38" t="str">
        <f t="shared" si="181"/>
        <v>3eme T 2012</v>
      </c>
      <c r="N51" s="38" t="str">
        <f t="shared" ref="N51:S51" si="182">N8</f>
        <v>4eme T 2012</v>
      </c>
      <c r="O51" s="38" t="str">
        <f t="shared" si="182"/>
        <v>1er T 2013</v>
      </c>
      <c r="P51" s="38" t="str">
        <f t="shared" si="182"/>
        <v>2eme T 2013</v>
      </c>
      <c r="Q51" s="38" t="str">
        <f t="shared" si="182"/>
        <v>3ème T 2013</v>
      </c>
      <c r="R51" s="178" t="str">
        <f t="shared" si="182"/>
        <v>4ème T 2013</v>
      </c>
      <c r="S51" s="178" t="str">
        <f t="shared" si="182"/>
        <v>1er T 2014</v>
      </c>
      <c r="T51" s="178" t="str">
        <f t="shared" ref="T51:U51" si="183">T8</f>
        <v>2eme T 2014</v>
      </c>
      <c r="U51" s="178" t="str">
        <f t="shared" si="183"/>
        <v>3T 2014</v>
      </c>
      <c r="V51" s="178" t="str">
        <f t="shared" ref="V51:W51" si="184">V8</f>
        <v>4ème T 2014</v>
      </c>
      <c r="W51" s="178" t="str">
        <f t="shared" si="184"/>
        <v>1er T 2015</v>
      </c>
      <c r="X51" s="178" t="str">
        <f t="shared" ref="X51:Y51" si="185">X8</f>
        <v>2e T 2015</v>
      </c>
      <c r="Y51" s="178" t="str">
        <f t="shared" si="185"/>
        <v>3e T 2015</v>
      </c>
      <c r="Z51" s="178" t="str">
        <f t="shared" ref="Z51:AA51" si="186">Z8</f>
        <v>4e T 2015</v>
      </c>
      <c r="AA51" s="178" t="str">
        <f t="shared" si="186"/>
        <v>1er T 2016</v>
      </c>
      <c r="AB51" s="178" t="str">
        <f t="shared" ref="AB51:AC51" si="187">AB8</f>
        <v>2e T 2016</v>
      </c>
      <c r="AC51" s="178" t="str">
        <f t="shared" si="187"/>
        <v>3e T 2016</v>
      </c>
      <c r="AD51" s="178" t="str">
        <f t="shared" ref="AD51:AE51" si="188">AD8</f>
        <v>4e T 2016</v>
      </c>
      <c r="AE51" s="178" t="str">
        <f t="shared" si="188"/>
        <v>2017 - T1</v>
      </c>
      <c r="AF51" s="178" t="str">
        <f t="shared" ref="AF51:AG51" si="189">AF8</f>
        <v>2017 - T2</v>
      </c>
      <c r="AG51" s="178" t="str">
        <f t="shared" si="189"/>
        <v>2017- T3</v>
      </c>
      <c r="AH51" s="178" t="str">
        <f t="shared" ref="AH51:AI51" si="190">AH8</f>
        <v>2017 - T4</v>
      </c>
      <c r="AI51" s="178" t="str">
        <f t="shared" si="190"/>
        <v>2018 - T1</v>
      </c>
      <c r="AJ51" s="178" t="str">
        <f t="shared" ref="AJ51:AK51" si="191">AJ8</f>
        <v>2018 - T2</v>
      </c>
      <c r="AK51" s="178" t="str">
        <f t="shared" si="191"/>
        <v>2018 - T3</v>
      </c>
      <c r="AL51" s="178" t="str">
        <f t="shared" ref="AL51:AM51" si="192">AL8</f>
        <v>2018 - T4</v>
      </c>
      <c r="AM51" s="178" t="str">
        <f t="shared" si="192"/>
        <v>2019 - T1</v>
      </c>
      <c r="AN51" s="178" t="str">
        <f t="shared" ref="AN51:AP51" si="193">AN8</f>
        <v>2019 - T2</v>
      </c>
      <c r="AO51" s="178" t="str">
        <f t="shared" si="193"/>
        <v>2019 - T3</v>
      </c>
      <c r="AP51" s="178" t="str">
        <f t="shared" si="193"/>
        <v>2019 - T4</v>
      </c>
      <c r="AQ51" s="178" t="str">
        <f t="shared" ref="AQ51:AR51" si="194">AQ8</f>
        <v>2020 - T1</v>
      </c>
      <c r="AR51" s="178" t="str">
        <f t="shared" si="194"/>
        <v>2020 - T2</v>
      </c>
      <c r="AS51" s="178" t="str">
        <f t="shared" ref="AS51:AT51" si="195">AS8</f>
        <v>2020 - T3</v>
      </c>
      <c r="AT51" s="178" t="str">
        <f t="shared" si="195"/>
        <v>2020- T4</v>
      </c>
      <c r="AU51" s="178" t="str">
        <f t="shared" ref="AU51:AV51" si="196">AU8</f>
        <v>2021- T1</v>
      </c>
      <c r="AV51" s="178" t="str">
        <f t="shared" si="196"/>
        <v>2021- T2</v>
      </c>
      <c r="AW51" s="178" t="str">
        <f t="shared" ref="AW51:AY51" si="197">AW8</f>
        <v>2021- T3</v>
      </c>
      <c r="AX51" s="403" t="str">
        <f t="shared" si="197"/>
        <v>2021- T4</v>
      </c>
      <c r="AY51" s="178" t="str">
        <f t="shared" si="197"/>
        <v>2022- T1</v>
      </c>
      <c r="AZ51" s="178" t="str">
        <f t="shared" ref="AZ51" si="198">AZ8</f>
        <v>2022- T2</v>
      </c>
      <c r="BA51" s="178" t="str">
        <f t="shared" ref="BA51:BB51" si="199">BA8</f>
        <v>2022- T3</v>
      </c>
      <c r="BB51" s="178" t="str">
        <f t="shared" si="199"/>
        <v>2022- T4</v>
      </c>
      <c r="BC51" s="22" t="str">
        <f t="shared" ref="BC51:BD51" si="200">BC8</f>
        <v>2023- T1</v>
      </c>
      <c r="BD51" s="22" t="str">
        <f t="shared" si="200"/>
        <v>2023- T2</v>
      </c>
      <c r="BE51" s="22" t="str">
        <f t="shared" ref="BE51:BF51" si="201">BE8</f>
        <v>2023- T3</v>
      </c>
      <c r="BF51" s="22" t="str">
        <f t="shared" si="201"/>
        <v>2023- T4</v>
      </c>
      <c r="BG51" s="22" t="str">
        <f t="shared" ref="BG51:BH51" si="202">BG8</f>
        <v>2024- T1</v>
      </c>
      <c r="BH51" s="22" t="str">
        <f t="shared" si="202"/>
        <v>2024- T2</v>
      </c>
      <c r="BI51" s="22" t="str">
        <f t="shared" ref="BI51:BJ51" si="203">BI8</f>
        <v>2024- T3</v>
      </c>
      <c r="BJ51" s="22" t="str">
        <f t="shared" si="203"/>
        <v>2024- T4</v>
      </c>
    </row>
    <row r="52" spans="1:62" x14ac:dyDescent="0.25">
      <c r="A52" s="8" t="s">
        <v>135</v>
      </c>
      <c r="B52" s="16">
        <f>[63]SAS_NSA_4T2009!$E$181</f>
        <v>8821.7199999999993</v>
      </c>
      <c r="C52" s="42">
        <f>[11]SAS_NSA_1T2010!$E$181</f>
        <v>8823.76</v>
      </c>
      <c r="D52" s="42">
        <f>[12]SAS_NSA_2T2010!$E$181</f>
        <v>8883.6</v>
      </c>
      <c r="E52" s="42">
        <f>[13]SAS_NSA_3T2010!$E$181</f>
        <v>8870.76</v>
      </c>
      <c r="F52" s="42">
        <f>[14]SAS_NSA_2010_4T!$E$181</f>
        <v>8856.84</v>
      </c>
      <c r="G52" s="42">
        <f>[15]SAS_NSA_2011_1T!$E$181</f>
        <v>8850.2800000000007</v>
      </c>
      <c r="H52" s="42">
        <f>[16]SAS_NSA_2011_2T!$E$181</f>
        <v>9014.68</v>
      </c>
      <c r="I52" s="42">
        <f>[17]SAS_NSA_2011_3T!$E$181</f>
        <v>9004.48</v>
      </c>
      <c r="J52" s="42">
        <f>[18]SAS_NSA_2011_4T!$E$181</f>
        <v>8995.52</v>
      </c>
      <c r="K52" s="42">
        <f>[19]SAS_NSA_2012_1T!$E$181</f>
        <v>8970.36</v>
      </c>
      <c r="L52" s="42">
        <f>'[20]120919-14H22S23-PROGRAM-TdB_STO'!$E$181</f>
        <v>9156.0400000000009</v>
      </c>
      <c r="M52" s="42">
        <f>'[21]121105-15H12S18-PROGRAM-TdB_STO'!$E$181</f>
        <v>9150.16</v>
      </c>
      <c r="N52" s="42">
        <f>[22]SAS_NSA_2012_4T!$E$181</f>
        <v>9139.64</v>
      </c>
      <c r="O52" s="42">
        <f>[23]SAS_NSA_2013_1T!$E$181</f>
        <v>9133.08</v>
      </c>
      <c r="P52" s="42">
        <f>[24]SAS_NSA_2013_2T!$E$181</f>
        <v>9228.9599999999991</v>
      </c>
      <c r="Q52" s="42">
        <f>[25]SAS_NSA_2013_3T!$E$181</f>
        <v>9215.84</v>
      </c>
      <c r="R52" s="181">
        <f>[26]SAS_NSA_2013_4T!$E$181</f>
        <v>9174.56</v>
      </c>
      <c r="S52" s="181">
        <f>[27]SAS_NSA_2014_1T!$E$181</f>
        <v>9205.4</v>
      </c>
      <c r="T52" s="181">
        <f>[28]SAS_NSA_2014_2T!$E$181</f>
        <v>8951.64</v>
      </c>
      <c r="U52" s="181">
        <f>[29]SAS_NSA_2014_3T!$E$181</f>
        <v>8967.36</v>
      </c>
      <c r="V52" s="181">
        <f>[30]SAS_NSA_2014_4T!$E$181</f>
        <v>8957.68</v>
      </c>
      <c r="W52" s="181">
        <f>[31]SAS_NSA_2015_1T!$E$181</f>
        <v>8942.64</v>
      </c>
      <c r="X52" s="181">
        <f>[32]SAS_NSA_2015_2T!$E$181</f>
        <v>8934.7999999999993</v>
      </c>
      <c r="Y52" s="181">
        <f>[33]SAS_NSA_2015_3T!$E$181</f>
        <v>8927.76</v>
      </c>
      <c r="Z52" s="181">
        <f>[34]SAS_NSA_2015_4T!$E$181</f>
        <v>8928.16</v>
      </c>
      <c r="AA52" s="181">
        <f>[35]SAS_NSA_2016_1T!$E$181</f>
        <v>9041</v>
      </c>
      <c r="AB52" s="181">
        <f>[36]SAS_NSA_2016_2T!$E$181</f>
        <v>9029.56</v>
      </c>
      <c r="AC52" s="181">
        <f>[37]SAS_NSA_2016_3T!$E$181</f>
        <v>9017.4</v>
      </c>
      <c r="AD52" s="181">
        <f>[38]SAS_NSA_2016_4T!$E$181</f>
        <v>9078.2800000000007</v>
      </c>
      <c r="AE52" s="181">
        <f>[39]SAS_NSA_2017_1T!$E$181</f>
        <v>9063.9599999999991</v>
      </c>
      <c r="AF52" s="181">
        <f>[40]SAS_NSA_2017_2T!$E$181</f>
        <v>9045.84</v>
      </c>
      <c r="AG52" s="181">
        <f>[41]SAS_NSA_2017_3T!$E$181</f>
        <v>9040.4</v>
      </c>
      <c r="AH52" s="181">
        <f>[42]SAS_NSA_2017_4T!$E$181</f>
        <v>9220.9599999999991</v>
      </c>
      <c r="AI52" s="181">
        <f>[43]SAS_NSA_2018_1T!$D$245*4</f>
        <v>9133.9599999999991</v>
      </c>
      <c r="AJ52" s="181">
        <f>[44]SAS_NSA_2018_2T!$E$183</f>
        <v>9127.16</v>
      </c>
      <c r="AK52" s="181">
        <f>4*[45]SAS_NSA_2018_3T!$D$245</f>
        <v>9110.2800000000007</v>
      </c>
      <c r="AL52" s="181">
        <f>4*[46]SAS_NSA_2018_4T!$D$245</f>
        <v>9099.9599999999991</v>
      </c>
      <c r="AM52" s="181">
        <f>4*[47]SAS_NSA_2019_1T!$D$245</f>
        <v>9112.16</v>
      </c>
      <c r="AN52" s="181">
        <f>4*[48]SAS_NSA_2019_2T!$D$245</f>
        <v>9101.9599999999991</v>
      </c>
      <c r="AO52" s="181">
        <f>4*[49]SAS_NSA_2019_3T!$D245</f>
        <v>9096.8799999999992</v>
      </c>
      <c r="AP52" s="181">
        <f>4*[50]SAS_NSA_2019_4T!$D$245</f>
        <v>9092.68</v>
      </c>
      <c r="AQ52" s="181">
        <f>4*[51]SAS_NSA_2020_1T!$D224</f>
        <v>9163.64</v>
      </c>
      <c r="AR52" s="181">
        <f>4*[52]SAS_NSA_2020_2T!$D224</f>
        <v>9145</v>
      </c>
      <c r="AS52" s="181">
        <f>4*[53]SAS_NSA_2020_3T!$D224</f>
        <v>9132.1200000000008</v>
      </c>
      <c r="AT52" s="181">
        <f>[194]SAS_NSA_2020_4T!$E134</f>
        <v>9130.4450782228796</v>
      </c>
      <c r="AU52" s="181">
        <f>[195]SAS_NSA_2021_1T!$E134</f>
        <v>9153.6727073974798</v>
      </c>
      <c r="AV52" s="181">
        <f>[56]SAS_NSA_2021_2T!$E$224</f>
        <v>9151.2000000000007</v>
      </c>
      <c r="AW52" s="181">
        <f>[57]SAS_NSA_2021_3T!$E$224</f>
        <v>9163.76</v>
      </c>
      <c r="AX52" s="408">
        <f>[58]SAS_NSA_2021_4T!$E133</f>
        <v>9492.3098387335594</v>
      </c>
      <c r="AY52" s="181">
        <f>[59]SAS_NSA_2022_1T!$E$133</f>
        <v>9954.5491211631597</v>
      </c>
      <c r="AZ52" s="181">
        <f>[60]SAS_NSA_2022_2T!$E$133</f>
        <v>9937.8836068330402</v>
      </c>
      <c r="BA52" s="181">
        <f>[61]SAS_NSA_2022_3T!$E$133</f>
        <v>10315.49675600276</v>
      </c>
      <c r="BB52" s="181">
        <f>[62]SAS_NSA_2022_4T!$E$133</f>
        <v>10285.603740479521</v>
      </c>
      <c r="BC52" s="181">
        <f>[2]SAS_NSA_2023_1T!$E$133</f>
        <v>10345.34162999836</v>
      </c>
      <c r="BD52" s="181">
        <f>[3]SAS_NSA_2023_2T!$E$133</f>
        <v>10358.82586221424</v>
      </c>
      <c r="BE52" s="181">
        <f>[4]SAS_NSA_2023_3T!$E$133</f>
        <v>10352.270781547601</v>
      </c>
      <c r="BF52" s="181">
        <f>[5]SAS_NSA_2023_4T!$E$133</f>
        <v>10346.7458324748</v>
      </c>
      <c r="BG52" s="181">
        <f>[6]SAS_NSA_2024_1T!$E$133</f>
        <v>10769.270857494041</v>
      </c>
      <c r="BH52" s="181">
        <f>[7]SAS_NSA_2024_2T!$E$133</f>
        <v>10772.345158541521</v>
      </c>
      <c r="BI52" s="181">
        <f>[8]SAS_NSA_2024_3T!$E$133</f>
        <v>10741.51162996984</v>
      </c>
      <c r="BJ52" s="181">
        <f>[9]SAS_NSA_2024_4T!$E$133</f>
        <v>10705.499318429</v>
      </c>
    </row>
    <row r="53" spans="1:62" s="1" customFormat="1" ht="13" x14ac:dyDescent="0.3">
      <c r="A53" s="157" t="s">
        <v>137</v>
      </c>
      <c r="B53" s="158"/>
      <c r="C53" s="159"/>
      <c r="D53" s="159"/>
      <c r="E53" s="159"/>
      <c r="F53" s="159"/>
      <c r="G53" s="159"/>
      <c r="H53" s="159"/>
      <c r="I53" s="159"/>
      <c r="J53" s="159"/>
      <c r="K53" s="42">
        <f>[19]SAS_NSA_2012_1T!$E$182</f>
        <v>4212.04</v>
      </c>
      <c r="L53" s="42">
        <f>'[20]120919-14H22S23-PROGRAM-TdB_STO'!$E$182</f>
        <v>4191.16</v>
      </c>
      <c r="M53" s="42">
        <f>'[21]121105-15H12S18-PROGRAM-TdB_STO'!$E$182</f>
        <v>4355.3999999999996</v>
      </c>
      <c r="N53" s="42">
        <f>[22]SAS_NSA_2012_4T!$E$182</f>
        <v>4362.3599999999997</v>
      </c>
      <c r="O53" s="42">
        <f>[23]SAS_NSA_2013_1T!$E$182</f>
        <v>4154.72</v>
      </c>
      <c r="P53" s="42">
        <f>[24]SAS_NSA_2013_2T!$E$182</f>
        <v>4134.2</v>
      </c>
      <c r="Q53" s="42">
        <f>[25]SAS_NSA_2013_3T!$E$182</f>
        <v>4176.3599999999997</v>
      </c>
      <c r="R53" s="181">
        <f>[26]SAS_NSA_2013_4T!$E$182</f>
        <v>4191.92</v>
      </c>
      <c r="S53" s="181">
        <f>[27]SAS_NSA_2014_1T!$E$182</f>
        <v>4237.6000000000004</v>
      </c>
      <c r="T53" s="181">
        <f>[28]SAS_NSA_2014_2T!$E$182</f>
        <v>6328.96</v>
      </c>
      <c r="U53" s="181">
        <f>[29]SAS_NSA_2014_3T!$E$182</f>
        <v>6313.12</v>
      </c>
      <c r="V53" s="181">
        <f>[30]SAS_NSA_2014_4T!$E$182</f>
        <v>6294.8</v>
      </c>
      <c r="W53" s="181">
        <f>[31]SAS_NSA_2015_1T!$E$182</f>
        <v>6258</v>
      </c>
      <c r="X53" s="181">
        <f>[32]SAS_NSA_2015_2T!$E$182</f>
        <v>6240</v>
      </c>
      <c r="Y53" s="181">
        <f>[33]SAS_NSA_2015_3T!$E$182</f>
        <v>6224.76</v>
      </c>
      <c r="Z53" s="181">
        <f>[34]SAS_NSA_2015_4T!$E$182</f>
        <v>6212.04</v>
      </c>
      <c r="AA53" s="181">
        <f>[35]SAS_NSA_2016_1T!$E$182</f>
        <v>6183.12</v>
      </c>
      <c r="AB53" s="181">
        <f>[36]SAS_NSA_2016_2T!$E$182</f>
        <v>6162.88</v>
      </c>
      <c r="AC53" s="181">
        <f>[37]SAS_NSA_2016_3T!$E$182</f>
        <v>6143.2</v>
      </c>
      <c r="AD53" s="181">
        <f>[38]SAS_NSA_2016_4T!$E$182</f>
        <v>6126.64</v>
      </c>
      <c r="AE53" s="181">
        <f>[39]SAS_NSA_2017_1T!$E$182</f>
        <v>6099.68</v>
      </c>
      <c r="AF53" s="181">
        <f>[40]SAS_NSA_2017_2T!$E$182</f>
        <v>6074.6</v>
      </c>
      <c r="AG53" s="181">
        <f>[41]SAS_NSA_2017_3T!$E$182</f>
        <v>6058.48</v>
      </c>
      <c r="AH53" s="181">
        <f>[42]SAS_NSA_2017_4T!$E$182</f>
        <v>6081.36</v>
      </c>
      <c r="AI53" s="181">
        <f>[43]SAS_NSA_2018_1T!$D$246*4</f>
        <v>6054.32</v>
      </c>
      <c r="AJ53" s="181">
        <f>[44]SAS_NSA_2018_2T!$E$184</f>
        <v>6033.32</v>
      </c>
      <c r="AK53" s="181">
        <f>4*[45]SAS_NSA_2018_3T!$D$246</f>
        <v>6005.16</v>
      </c>
      <c r="AL53" s="181">
        <f>4*[46]SAS_NSA_2018_4T!$D$246</f>
        <v>5978.44</v>
      </c>
      <c r="AM53" s="181">
        <f>4*[47]SAS_NSA_2019_1T!$D$246</f>
        <v>5968.8</v>
      </c>
      <c r="AN53" s="181">
        <f>4*[48]SAS_NSA_2019_2T!$D$246</f>
        <v>5942.64</v>
      </c>
      <c r="AO53" s="181">
        <f>4*[49]SAS_NSA_2019_3T!$D246</f>
        <v>5921.76</v>
      </c>
      <c r="AP53" s="181">
        <f>4*[50]SAS_NSA_2019_4T!$D$246</f>
        <v>5894.12</v>
      </c>
      <c r="AQ53" s="181">
        <f>4*[51]SAS_NSA_2020_1T!$D225</f>
        <v>5936.12</v>
      </c>
      <c r="AR53" s="181">
        <f>4*[52]SAS_NSA_2020_2T!$D225</f>
        <v>5907.52</v>
      </c>
      <c r="AS53" s="181">
        <f>4*[53]SAS_NSA_2020_3T!$D225</f>
        <v>5881.88</v>
      </c>
      <c r="AT53" s="181">
        <f>[194]SAS_NSA_2020_4T!$E135</f>
        <v>5854.4086571705202</v>
      </c>
      <c r="AU53" s="181">
        <f>[195]SAS_NSA_2021_1T!$E135</f>
        <v>5843.1002348981601</v>
      </c>
      <c r="AV53" s="181">
        <f>[56]SAS_NSA_2021_2T!$E$225</f>
        <v>5829</v>
      </c>
      <c r="AW53" s="181">
        <f>[57]SAS_NSA_2021_3T!$E$225</f>
        <v>5808.84</v>
      </c>
      <c r="AX53" s="408">
        <f>[58]SAS_NSA_2021_4T!$E134</f>
        <v>9492.3098387335594</v>
      </c>
      <c r="AY53" s="181">
        <f>[59]SAS_NSA_2022_1T!$E$134</f>
        <v>6555.5445723229996</v>
      </c>
      <c r="AZ53" s="181">
        <f>[60]SAS_NSA_2022_2T!$E$134</f>
        <v>6514.6549319410797</v>
      </c>
      <c r="BA53" s="181">
        <f>[61]SAS_NSA_2022_3T!$E$134</f>
        <v>6734.0008293436804</v>
      </c>
      <c r="BB53" s="181">
        <f>[62]SAS_NSA_2022_4T!$E$134</f>
        <v>6691.2223343680398</v>
      </c>
      <c r="BC53" s="181">
        <f>[2]SAS_NSA_2023_1T!$E$134</f>
        <v>6706.4052771670003</v>
      </c>
      <c r="BD53" s="181">
        <f>[3]SAS_NSA_2023_2T!$E$134</f>
        <v>6677.9437016186002</v>
      </c>
      <c r="BE53" s="181">
        <f>[4]SAS_NSA_2023_3T!$E$134</f>
        <v>6638.8591863750398</v>
      </c>
      <c r="BF53" s="181">
        <f>[5]SAS_NSA_2023_4T!$E$134</f>
        <v>6605.7273638221995</v>
      </c>
      <c r="BG53" s="181">
        <f>[6]SAS_NSA_2024_1T!$E$134</f>
        <v>6860.4975370456796</v>
      </c>
      <c r="BH53" s="181">
        <f>[7]SAS_NSA_2024_2T!$E$134</f>
        <v>6843.9635632514</v>
      </c>
      <c r="BI53" s="181">
        <f>[8]SAS_NSA_2024_3T!$E$134</f>
        <v>6791.7834335955604</v>
      </c>
      <c r="BJ53" s="181">
        <f>[9]SAS_NSA_2024_4T!$E$134</f>
        <v>6684.0563939789199</v>
      </c>
    </row>
    <row r="54" spans="1:62" s="1" customFormat="1" ht="13" x14ac:dyDescent="0.3">
      <c r="A54" s="157" t="s">
        <v>138</v>
      </c>
      <c r="B54" s="158"/>
      <c r="C54" s="159"/>
      <c r="D54" s="159"/>
      <c r="E54" s="159"/>
      <c r="F54" s="159"/>
      <c r="G54" s="159"/>
      <c r="H54" s="159"/>
      <c r="I54" s="159"/>
      <c r="J54" s="159"/>
      <c r="K54" s="42">
        <f>[19]SAS_NSA_2012_1T!$E$183</f>
        <v>2779.88</v>
      </c>
      <c r="L54" s="42">
        <f>'[20]120919-14H22S23-PROGRAM-TdB_STO'!$E$183</f>
        <v>2733.12</v>
      </c>
      <c r="M54" s="42">
        <f>'[21]121105-15H12S18-PROGRAM-TdB_STO'!$E$183</f>
        <v>2762</v>
      </c>
      <c r="N54" s="42">
        <f>[22]SAS_NSA_2012_4T!$E$183</f>
        <v>3236.16</v>
      </c>
      <c r="O54" s="42">
        <f>[23]SAS_NSA_2013_1T!$E$183</f>
        <v>2977.2</v>
      </c>
      <c r="P54" s="42">
        <f>[24]SAS_NSA_2013_2T!$E$183</f>
        <v>3295.36</v>
      </c>
      <c r="Q54" s="42">
        <f>[25]SAS_NSA_2013_3T!$E$183</f>
        <v>3288.36</v>
      </c>
      <c r="R54" s="181">
        <f>[26]SAS_NSA_2013_4T!$E$183</f>
        <v>3373</v>
      </c>
      <c r="S54" s="181">
        <f>[27]SAS_NSA_2014_1T!$E$183</f>
        <v>3508.08</v>
      </c>
      <c r="T54" s="181">
        <f>[28]SAS_NSA_2014_2T!$E$183</f>
        <v>7677.72</v>
      </c>
      <c r="U54" s="181">
        <f>[29]SAS_NSA_2014_3T!$E$183</f>
        <v>7613.16</v>
      </c>
      <c r="V54" s="181">
        <f>[30]SAS_NSA_2014_4T!$E$183</f>
        <v>7642.44</v>
      </c>
      <c r="W54" s="181">
        <f>[31]SAS_NSA_2015_1T!$E$183</f>
        <v>7608.6</v>
      </c>
      <c r="X54" s="181">
        <f>[32]SAS_NSA_2015_2T!$E$183</f>
        <v>7593.08</v>
      </c>
      <c r="Y54" s="181">
        <f>[33]SAS_NSA_2015_3T!$E$183</f>
        <v>7580.84</v>
      </c>
      <c r="Z54" s="181">
        <f>[34]SAS_NSA_2015_4T!$E$183</f>
        <v>7567.64</v>
      </c>
      <c r="AA54" s="181">
        <f>[35]SAS_NSA_2016_1T!$E$183</f>
        <v>7540.04</v>
      </c>
      <c r="AB54" s="181">
        <f>[36]SAS_NSA_2016_2T!$E$183</f>
        <v>7517.32</v>
      </c>
      <c r="AC54" s="181">
        <f>[37]SAS_NSA_2016_3T!$E$183</f>
        <v>7497.12</v>
      </c>
      <c r="AD54" s="181">
        <f>[38]SAS_NSA_2016_4T!$E$183</f>
        <v>7479.28</v>
      </c>
      <c r="AE54" s="181">
        <f>[39]SAS_NSA_2017_1T!$E$183</f>
        <v>7456.08</v>
      </c>
      <c r="AF54" s="181">
        <f>[40]SAS_NSA_2017_2T!$E$183</f>
        <v>7434.52</v>
      </c>
      <c r="AG54" s="181">
        <f>[41]SAS_NSA_2017_3T!$E$183</f>
        <v>7415.32</v>
      </c>
      <c r="AH54" s="181">
        <f>[42]SAS_NSA_2017_4T!$E$183</f>
        <v>7439.88</v>
      </c>
      <c r="AI54" s="181">
        <f>[43]SAS_NSA_2018_1T!$D$247*4</f>
        <v>7397.28</v>
      </c>
      <c r="AJ54" s="181">
        <f>[44]SAS_NSA_2018_2T!$E$185</f>
        <v>7513.92</v>
      </c>
      <c r="AK54" s="181">
        <f>4*[45]SAS_NSA_2018_3T!$D$247</f>
        <v>7500.8</v>
      </c>
      <c r="AL54" s="181">
        <f>4*[46]SAS_NSA_2018_4T!$D$247</f>
        <v>7464.12</v>
      </c>
      <c r="AM54" s="181">
        <f>4*[47]SAS_NSA_2019_1T!$D$247</f>
        <v>7617</v>
      </c>
      <c r="AN54" s="181">
        <f>4*[48]SAS_NSA_2019_2T!$D$247</f>
        <v>7598.8</v>
      </c>
      <c r="AO54" s="181">
        <f>4*[49]SAS_NSA_2019_3T!$D247</f>
        <v>7581.28</v>
      </c>
      <c r="AP54" s="181">
        <f>4*[50]SAS_NSA_2019_4T!$D$247</f>
        <v>7532.4</v>
      </c>
      <c r="AQ54" s="181">
        <f>4*[51]SAS_NSA_2020_1T!$D226</f>
        <v>7832.84</v>
      </c>
      <c r="AR54" s="181">
        <f>4*[52]SAS_NSA_2020_2T!$D226</f>
        <v>7727.76</v>
      </c>
      <c r="AS54" s="181">
        <f>4*[53]SAS_NSA_2020_3T!$D226</f>
        <v>7700.64</v>
      </c>
      <c r="AT54" s="181">
        <f>[194]SAS_NSA_2020_4T!$E136</f>
        <v>7671.6093639158398</v>
      </c>
      <c r="AU54" s="181">
        <f>[195]SAS_NSA_2021_1T!$E136</f>
        <v>7646.38532110092</v>
      </c>
      <c r="AV54" s="181">
        <f>[56]SAS_NSA_2021_2T!$E$226</f>
        <v>7595.88</v>
      </c>
      <c r="AW54" s="181">
        <f>[57]SAS_NSA_2021_3T!$E$226</f>
        <v>7544.48</v>
      </c>
      <c r="AX54" s="408">
        <f>[58]SAS_NSA_2021_4T!$E135</f>
        <v>5783.3661413023601</v>
      </c>
      <c r="AY54" s="181">
        <f>[59]SAS_NSA_2022_1T!$E$135</f>
        <v>8650.6076479832409</v>
      </c>
      <c r="AZ54" s="181">
        <f>[60]SAS_NSA_2022_2T!$E$135</f>
        <v>8185.5092717011603</v>
      </c>
      <c r="BA54" s="181">
        <f>[61]SAS_NSA_2022_3T!$E$135</f>
        <v>8477.2733753770408</v>
      </c>
      <c r="BB54" s="181">
        <f>[62]SAS_NSA_2022_4T!$E$135</f>
        <v>8438.0979020979194</v>
      </c>
      <c r="BC54" s="181">
        <f>[2]SAS_NSA_2023_1T!$E$135</f>
        <v>8480.9129060074793</v>
      </c>
      <c r="BD54" s="181">
        <f>[3]SAS_NSA_2023_2T!$E$135</f>
        <v>8435.1880666861598</v>
      </c>
      <c r="BE54" s="181">
        <f>[4]SAS_NSA_2023_3T!$E$135</f>
        <v>8392.9742976688394</v>
      </c>
      <c r="BF54" s="181">
        <f>[5]SAS_NSA_2023_4T!$E$135</f>
        <v>8361.5144927536403</v>
      </c>
      <c r="BG54" s="181">
        <f>[6]SAS_NSA_2024_1T!$E$135</f>
        <v>8776.6588525601601</v>
      </c>
      <c r="BH54" s="181">
        <f>[7]SAS_NSA_2024_2T!$E$135</f>
        <v>8688.6225582860807</v>
      </c>
      <c r="BI54" s="181">
        <f>[8]SAS_NSA_2024_3T!$E$135</f>
        <v>8816.4911610129202</v>
      </c>
      <c r="BJ54" s="181">
        <f>[9]SAS_NSA_2024_4T!$E$135</f>
        <v>8615.9219976218792</v>
      </c>
    </row>
    <row r="55" spans="1:62" x14ac:dyDescent="0.25">
      <c r="A55" s="8" t="s">
        <v>136</v>
      </c>
      <c r="B55" s="16">
        <f>[63]SAS_NSA_4T2009!$E$182</f>
        <v>11078.84</v>
      </c>
      <c r="C55" s="42">
        <f>[11]SAS_NSA_1T2010!$E$182</f>
        <v>11090.32</v>
      </c>
      <c r="D55" s="42">
        <f>[12]SAS_NSA_2T2010!$E$182</f>
        <v>10907.16</v>
      </c>
      <c r="E55" s="42">
        <f>[13]SAS_NSA_3T2010!$E$182</f>
        <v>10897.92</v>
      </c>
      <c r="F55" s="42">
        <f>[14]SAS_NSA_2010_4T!$E$182</f>
        <v>10896.36</v>
      </c>
      <c r="G55" s="42">
        <f>[15]SAS_NSA_2011_1T!$E$182</f>
        <v>10897.64</v>
      </c>
      <c r="H55" s="42">
        <f>[16]SAS_NSA_2011_2T!$E$182</f>
        <v>11112.08</v>
      </c>
      <c r="I55" s="42">
        <f>[17]SAS_NSA_2011_3T!$E$182</f>
        <v>11111.96</v>
      </c>
      <c r="J55" s="42">
        <f>[18]SAS_NSA_2011_4T!$E$182</f>
        <v>11108.68</v>
      </c>
      <c r="K55" s="42">
        <f>[19]SAS_NSA_2012_1T!$E$184</f>
        <v>11093.52</v>
      </c>
      <c r="L55" s="42">
        <f>'[20]120919-14H22S23-PROGRAM-TdB_STO'!$E$184</f>
        <v>11325.24</v>
      </c>
      <c r="M55" s="42">
        <f>'[21]121105-15H12S18-PROGRAM-TdB_STO'!$E$184</f>
        <v>11308.2</v>
      </c>
      <c r="N55" s="42">
        <f>[22]SAS_NSA_2012_4T!$E$184</f>
        <v>11303.2</v>
      </c>
      <c r="O55" s="42">
        <f>[23]SAS_NSA_2013_1T!$E$184</f>
        <v>11308.48</v>
      </c>
      <c r="P55" s="42">
        <f>[24]SAS_NSA_2013_2T!$E$184</f>
        <v>11442</v>
      </c>
      <c r="Q55" s="42">
        <f>[25]SAS_NSA_2013_3T!$E$184</f>
        <v>11430.28</v>
      </c>
      <c r="R55" s="181">
        <f>[26]SAS_NSA_2013_4T!$E$184</f>
        <v>11413.32</v>
      </c>
      <c r="S55" s="181">
        <f>[27]SAS_NSA_2014_1T!$E$184</f>
        <v>11429.04</v>
      </c>
      <c r="T55" s="181">
        <f>[28]SAS_NSA_2014_2T!$E$184</f>
        <v>10836.2</v>
      </c>
      <c r="U55" s="181">
        <f>[29]SAS_NSA_2014_3T!$E$184</f>
        <v>10852.68</v>
      </c>
      <c r="V55" s="181">
        <f>[30]SAS_NSA_2014_4T!$E$184</f>
        <v>10842.04</v>
      </c>
      <c r="W55" s="181">
        <f>[31]SAS_NSA_2015_1T!$E$184</f>
        <v>10842.9</v>
      </c>
      <c r="X55" s="181">
        <f>[32]SAS_NSA_2015_2T!$E$184</f>
        <v>10849.88</v>
      </c>
      <c r="Y55" s="181">
        <f>[33]SAS_NSA_2015_3T!$E$184</f>
        <v>10856.24</v>
      </c>
      <c r="Z55" s="181">
        <f>[34]SAS_NSA_2015_4T!$E$184</f>
        <v>10872.48</v>
      </c>
      <c r="AA55" s="181">
        <f>[35]SAS_NSA_2016_1T!$E$184</f>
        <v>10950.32</v>
      </c>
      <c r="AB55" s="181">
        <f>[36]SAS_NSA_2016_2T!$E$184</f>
        <v>10951.12</v>
      </c>
      <c r="AC55" s="181">
        <f>[37]SAS_NSA_2016_3T!$E$184</f>
        <v>10954.04</v>
      </c>
      <c r="AD55" s="181">
        <f>[38]SAS_NSA_2016_4T!$E$184</f>
        <v>10988.4</v>
      </c>
      <c r="AE55" s="181">
        <f>[39]SAS_NSA_2017_1T!$E$184</f>
        <v>10990.16</v>
      </c>
      <c r="AF55" s="181">
        <f>[40]SAS_NSA_2017_2T!$E$184</f>
        <v>10983.88</v>
      </c>
      <c r="AG55" s="181">
        <f>[41]SAS_NSA_2017_3T!$E$184</f>
        <v>10989.48</v>
      </c>
      <c r="AH55" s="181">
        <f>[42]SAS_NSA_2017_4T!$E$184</f>
        <v>11125.12</v>
      </c>
      <c r="AI55" s="181">
        <f>[43]SAS_NSA_2018_1T!$D$248*4</f>
        <v>11092.48</v>
      </c>
      <c r="AJ55" s="181">
        <f>[44]SAS_NSA_2018_2T!$E$186</f>
        <v>11096.04</v>
      </c>
      <c r="AK55" s="181">
        <f>4*[45]SAS_NSA_2018_3T!$D$248</f>
        <v>11092.2</v>
      </c>
      <c r="AL55" s="181">
        <f>4*[46]SAS_NSA_2018_4T!$D$248</f>
        <v>11086.48</v>
      </c>
      <c r="AM55" s="181">
        <f>4*[47]SAS_NSA_2019_1T!$D$248</f>
        <v>11117.64</v>
      </c>
      <c r="AN55" s="338">
        <f>4*[48]SAS_NSA_2019_2T!$D$248</f>
        <v>11114.36</v>
      </c>
      <c r="AO55" s="181">
        <f>4*[49]SAS_NSA_2019_3T!$D248</f>
        <v>11141.56</v>
      </c>
      <c r="AP55" s="181">
        <f>4*[50]SAS_NSA_2019_4T!$D$248</f>
        <v>11113.88</v>
      </c>
      <c r="AQ55" s="181">
        <f>4*[51]SAS_NSA_2020_1T!$D227</f>
        <v>11208.16</v>
      </c>
      <c r="AR55" s="181">
        <f>4*[52]SAS_NSA_2020_2T!$D227</f>
        <v>11229.48</v>
      </c>
      <c r="AS55" s="181">
        <f>4*[53]SAS_NSA_2020_3T!$D227</f>
        <v>11215.88</v>
      </c>
      <c r="AT55" s="181">
        <f>[194]SAS_NSA_2020_4T!$E137</f>
        <v>11102.421847437919</v>
      </c>
      <c r="AU55" s="181">
        <f>[195]SAS_NSA_2021_1T!$E137</f>
        <v>11131.031783034199</v>
      </c>
      <c r="AV55" s="181">
        <f>[196]SAS_NSA_2021_2T!$E$137</f>
        <v>11118.69563495992</v>
      </c>
      <c r="AW55" s="181">
        <f>[197]SAS_NSA_2021_3T!$E$137</f>
        <v>11116.56800491264</v>
      </c>
      <c r="AX55" s="408">
        <f>[58]SAS_NSA_2021_4T!$E$136</f>
        <v>7534.4638199948804</v>
      </c>
      <c r="AY55" s="181">
        <f>[59]SAS_NSA_2022_1T!$E$136</f>
        <v>11506.801480427999</v>
      </c>
      <c r="AZ55" s="181">
        <f>[60]SAS_NSA_2022_2T!$E$136</f>
        <v>11494.539413068</v>
      </c>
      <c r="BA55" s="181">
        <f>[61]SAS_NSA_2022_3T!$E$136</f>
        <v>11939.808965726001</v>
      </c>
      <c r="BB55" s="181">
        <f>[62]SAS_NSA_2022_4T!$E$136</f>
        <v>11879.05496129848</v>
      </c>
      <c r="BC55" s="181">
        <f>[2]SAS_NSA_2023_1T!$E$136</f>
        <v>11994.812582827641</v>
      </c>
      <c r="BD55" s="181">
        <f>[3]SAS_NSA_2023_2T!$E$136</f>
        <v>11997.9403635852</v>
      </c>
      <c r="BE55" s="181">
        <f>[4]SAS_NSA_2023_3T!$E$136</f>
        <v>11989.82136602452</v>
      </c>
      <c r="BF55" s="181">
        <f>[5]SAS_NSA_2023_4T!$E$136</f>
        <v>11980.99479369576</v>
      </c>
      <c r="BG55" s="181">
        <f>[6]SAS_NSA_2024_1T!$E$136</f>
        <v>12500.563814966959</v>
      </c>
      <c r="BH55" s="181">
        <f>[7]SAS_NSA_2024_2T!$E$136</f>
        <v>12502.382896085879</v>
      </c>
      <c r="BI55" s="181">
        <f>[8]SAS_NSA_2024_3T!$E$136</f>
        <v>12378.9443795362</v>
      </c>
      <c r="BJ55" s="181">
        <f>[9]SAS_NSA_2024_4T!$E$136</f>
        <v>12325.538125073879</v>
      </c>
    </row>
    <row r="56" spans="1:62" x14ac:dyDescent="0.25">
      <c r="A56" s="210" t="s">
        <v>13</v>
      </c>
      <c r="L56" s="145"/>
      <c r="M56" s="145"/>
      <c r="S56" s="177"/>
      <c r="T56" s="177"/>
      <c r="U56" s="177"/>
      <c r="V56" s="177"/>
      <c r="W56" s="177"/>
      <c r="X56" s="177"/>
      <c r="Y56" s="177"/>
      <c r="Z56" s="177"/>
      <c r="AA56" s="177"/>
      <c r="AB56" s="177"/>
      <c r="AC56" s="177"/>
      <c r="AD56" s="177"/>
      <c r="AE56" s="177"/>
      <c r="AF56" s="177"/>
      <c r="AG56" s="177"/>
      <c r="AH56" s="177"/>
      <c r="AI56" s="177"/>
      <c r="AJ56" s="177"/>
      <c r="AM56" s="177"/>
      <c r="AN56" s="177"/>
      <c r="AO56" s="177"/>
      <c r="AQ56" s="177"/>
      <c r="AR56" s="177"/>
      <c r="AS56" s="177"/>
      <c r="AT56" s="181">
        <f>[194]SAS_NSA_2020_4T!$E$133</f>
        <v>9390.2615788666408</v>
      </c>
      <c r="AU56" s="181">
        <f>[195]SAS_NSA_2021_1T!$E$133</f>
        <v>9411.3771612353594</v>
      </c>
      <c r="AV56" s="181">
        <f>[196]SAS_NSA_2021_2T!$E$133</f>
        <v>9404.5122026748795</v>
      </c>
      <c r="AW56" s="181">
        <f>[197]SAS_NSA_2021_3T!$E$133</f>
        <v>9412.0772751925197</v>
      </c>
      <c r="AX56" s="408">
        <f>[58]SAS_NSA_2021_4T!$E$132</f>
        <v>9660.0760113436809</v>
      </c>
      <c r="AY56" s="181">
        <f>[59]SAS_NSA_2022_1T!$E$132</f>
        <v>10090.869716044201</v>
      </c>
      <c r="AZ56" s="181">
        <f>[60]SAS_NSA_2022_2T!$E$132</f>
        <v>10070.419108615561</v>
      </c>
      <c r="BA56" s="181">
        <f>[61]SAS_NSA_2022_3T!$E$132</f>
        <v>10453.5886395216</v>
      </c>
      <c r="BB56" s="181">
        <f>[62]SAS_NSA_2022_4T!$E$132</f>
        <v>10415.784964988199</v>
      </c>
      <c r="BC56" s="181">
        <f>[2]SAS_NSA_2023_1T!$E$132</f>
        <v>10485.435642171</v>
      </c>
      <c r="BD56" s="181">
        <f>[3]SAS_NSA_2023_2T!$E$132</f>
        <v>10493.6318279474</v>
      </c>
      <c r="BE56" s="181">
        <f>[4]SAS_NSA_2023_3T!$E$132</f>
        <v>10485.03744435716</v>
      </c>
      <c r="BF56" s="181">
        <f>[5]SAS_NSA_2023_4T!$E$132</f>
        <v>10480.32107126072</v>
      </c>
      <c r="BG56" s="181">
        <f>[6]SAS_NSA_2024_1T!$E$132</f>
        <v>10915.807376930999</v>
      </c>
      <c r="BH56" s="181">
        <f>[7]SAS_NSA_2024_2T!$E$132</f>
        <v>10915.61018060596</v>
      </c>
      <c r="BI56" s="181">
        <f>[8]SAS_NSA_2024_3T!$E$132</f>
        <v>10843.83568907112</v>
      </c>
      <c r="BJ56" s="181">
        <f>[9]SAS_NSA_2024_4T!$E$132</f>
        <v>10798.52237888532</v>
      </c>
    </row>
    <row r="57" spans="1:62" x14ac:dyDescent="0.25">
      <c r="L57" s="145"/>
      <c r="M57" s="145"/>
      <c r="S57" s="177"/>
      <c r="T57" s="177"/>
      <c r="U57" s="177"/>
      <c r="V57" s="177"/>
      <c r="W57" s="177"/>
      <c r="X57" s="177"/>
      <c r="Y57" s="177"/>
      <c r="Z57" s="177"/>
      <c r="AA57" s="177"/>
      <c r="AB57" s="177"/>
      <c r="AC57" s="177"/>
      <c r="AD57" s="177"/>
      <c r="AE57" s="177"/>
      <c r="AF57" s="177"/>
      <c r="AG57" s="177"/>
      <c r="AH57" s="177"/>
      <c r="AI57" s="177"/>
      <c r="AJ57" s="177"/>
      <c r="AM57" s="177"/>
      <c r="AN57" s="177"/>
      <c r="AO57" s="177"/>
      <c r="AQ57" s="177"/>
      <c r="AR57" s="177"/>
      <c r="AS57" s="177"/>
      <c r="AT57" s="177"/>
      <c r="AU57" s="177"/>
      <c r="AV57" s="177"/>
      <c r="AW57" s="177"/>
      <c r="AX57" s="407"/>
    </row>
    <row r="58" spans="1:62" ht="13" thickBot="1" x14ac:dyDescent="0.3">
      <c r="A58" s="7"/>
      <c r="B58" s="7"/>
      <c r="C58" s="52"/>
      <c r="D58" s="52"/>
      <c r="E58" s="52"/>
      <c r="F58" s="52"/>
      <c r="G58" s="52"/>
      <c r="H58" s="52"/>
      <c r="I58" s="52"/>
      <c r="J58" s="52"/>
      <c r="K58" s="156"/>
      <c r="L58" s="156"/>
      <c r="M58" s="156"/>
      <c r="N58" s="156"/>
      <c r="O58" s="156"/>
      <c r="P58" s="52"/>
      <c r="Q58" s="52"/>
      <c r="R58" s="205"/>
      <c r="S58" s="205"/>
      <c r="T58" s="205"/>
      <c r="U58" s="205"/>
      <c r="V58" s="205"/>
      <c r="W58" s="205"/>
      <c r="X58" s="205"/>
      <c r="Y58" s="205"/>
      <c r="Z58" s="205"/>
      <c r="AA58" s="205"/>
      <c r="AB58" s="205"/>
      <c r="AC58" s="205"/>
      <c r="AD58" s="205"/>
      <c r="AE58" s="205"/>
      <c r="AF58" s="293"/>
      <c r="AG58" s="293"/>
      <c r="AH58" s="293"/>
      <c r="AI58" s="293"/>
      <c r="AJ58" s="293"/>
      <c r="AK58" s="293"/>
      <c r="AL58" s="293"/>
      <c r="AM58" s="348"/>
      <c r="AN58" s="205"/>
      <c r="AO58" s="205"/>
      <c r="AP58" s="205"/>
      <c r="AQ58" s="205"/>
      <c r="AR58" s="205"/>
      <c r="AS58" s="205"/>
      <c r="AT58" s="205"/>
      <c r="AU58" s="205"/>
      <c r="AV58" s="205"/>
      <c r="AW58" s="205"/>
      <c r="AX58" s="439"/>
    </row>
    <row r="59" spans="1:62" x14ac:dyDescent="0.25">
      <c r="K59" s="145"/>
      <c r="L59" s="145"/>
      <c r="M59" s="145"/>
      <c r="N59" s="145"/>
      <c r="O59" s="145"/>
      <c r="S59" s="177"/>
      <c r="T59" s="177"/>
      <c r="U59" s="177"/>
      <c r="V59" s="177"/>
      <c r="W59" s="177"/>
      <c r="X59" s="177"/>
      <c r="Y59" s="177"/>
      <c r="Z59" s="177"/>
      <c r="AA59" s="177"/>
      <c r="AB59" s="177"/>
      <c r="AC59" s="177"/>
      <c r="AD59" s="177"/>
      <c r="AE59" s="177"/>
      <c r="AF59" s="177"/>
      <c r="AG59" s="177"/>
      <c r="AH59" s="177"/>
      <c r="AI59" s="177"/>
      <c r="AJ59" s="177"/>
      <c r="AL59" s="293"/>
      <c r="AM59" s="177"/>
      <c r="AN59" s="177"/>
      <c r="AO59" s="177"/>
      <c r="AP59" s="177"/>
      <c r="AQ59" s="177"/>
      <c r="AR59" s="177"/>
      <c r="AS59" s="177"/>
      <c r="AT59" s="177"/>
      <c r="AU59" s="177"/>
      <c r="AV59" s="177"/>
      <c r="AW59" s="177"/>
      <c r="AX59" s="407"/>
    </row>
    <row r="60" spans="1:62" ht="13" x14ac:dyDescent="0.3">
      <c r="A60" s="334" t="s">
        <v>25</v>
      </c>
      <c r="K60" s="145"/>
      <c r="L60" s="145"/>
      <c r="M60" s="145"/>
      <c r="N60" s="145"/>
      <c r="O60" s="145"/>
      <c r="S60" s="177"/>
      <c r="T60" s="177"/>
      <c r="U60" s="177"/>
      <c r="V60" s="177"/>
      <c r="W60" s="177"/>
      <c r="X60" s="177"/>
      <c r="Y60" s="177"/>
      <c r="Z60" s="177"/>
      <c r="AA60" s="177"/>
      <c r="AB60" s="177"/>
      <c r="AC60" s="177"/>
      <c r="AD60" s="177"/>
      <c r="AE60" s="177"/>
      <c r="AF60" s="177"/>
      <c r="AG60" s="177"/>
      <c r="AH60" s="177"/>
      <c r="AI60" s="177"/>
      <c r="AJ60" s="177"/>
      <c r="AM60" s="177"/>
      <c r="AN60" s="177"/>
      <c r="AO60" s="177"/>
      <c r="AQ60" s="177"/>
      <c r="AR60" s="177"/>
      <c r="AS60" s="177"/>
      <c r="AT60" s="177"/>
      <c r="AU60" s="177"/>
      <c r="AV60" s="177"/>
      <c r="AW60" s="177"/>
      <c r="AX60" s="407"/>
      <c r="BB60" s="377" t="s">
        <v>241</v>
      </c>
    </row>
    <row r="61" spans="1:62" x14ac:dyDescent="0.25">
      <c r="A61" s="384" t="s">
        <v>246</v>
      </c>
      <c r="K61" s="145"/>
      <c r="L61" s="145"/>
      <c r="M61" s="145"/>
      <c r="N61" s="145"/>
      <c r="O61" s="145"/>
      <c r="S61" s="177"/>
      <c r="T61" s="177"/>
      <c r="U61" s="177"/>
      <c r="V61" s="177"/>
      <c r="W61" s="177"/>
      <c r="X61" s="177"/>
      <c r="Y61" s="177"/>
      <c r="Z61" s="177"/>
      <c r="AA61" s="177"/>
      <c r="AB61" s="177"/>
      <c r="AC61" s="177"/>
      <c r="AD61" s="177"/>
      <c r="AE61" s="177"/>
      <c r="AF61" s="177"/>
      <c r="AG61" s="177"/>
      <c r="AH61" s="177"/>
      <c r="AI61" s="177"/>
      <c r="AJ61" s="177"/>
      <c r="AM61" s="177"/>
      <c r="AN61" s="177"/>
      <c r="AO61" s="177"/>
      <c r="AQ61" s="177"/>
      <c r="AR61" s="177"/>
      <c r="AS61" s="177"/>
      <c r="AT61" s="177"/>
      <c r="AU61" s="177"/>
      <c r="AV61" s="177"/>
      <c r="AW61" s="177"/>
      <c r="AX61" s="407"/>
      <c r="BB61" s="383" t="s">
        <v>244</v>
      </c>
    </row>
    <row r="62" spans="1:62" x14ac:dyDescent="0.25">
      <c r="A62" s="5"/>
      <c r="B62" s="2" t="str">
        <f t="shared" ref="B62:G62" si="204">B8</f>
        <v>4eme T 2009</v>
      </c>
      <c r="C62" s="38" t="str">
        <f t="shared" si="204"/>
        <v>1er T 2010</v>
      </c>
      <c r="D62" s="38" t="str">
        <f t="shared" si="204"/>
        <v>2eme T 2010</v>
      </c>
      <c r="E62" s="38" t="str">
        <f t="shared" si="204"/>
        <v>3eme T 2010</v>
      </c>
      <c r="F62" s="38" t="str">
        <f t="shared" si="204"/>
        <v>4eme T 2010</v>
      </c>
      <c r="G62" s="38" t="str">
        <f t="shared" si="204"/>
        <v>1er T 2011</v>
      </c>
      <c r="H62" s="38" t="str">
        <f t="shared" ref="H62:M62" si="205">H8</f>
        <v>2eme T 2011</v>
      </c>
      <c r="I62" s="38" t="str">
        <f t="shared" si="205"/>
        <v>3eme T 2011</v>
      </c>
      <c r="J62" s="38" t="str">
        <f t="shared" si="205"/>
        <v>4eme T 2011</v>
      </c>
      <c r="K62" s="38" t="str">
        <f t="shared" si="205"/>
        <v>1er T 2012</v>
      </c>
      <c r="L62" s="38" t="str">
        <f t="shared" si="205"/>
        <v>2eme T 2012</v>
      </c>
      <c r="M62" s="38" t="str">
        <f t="shared" si="205"/>
        <v>3eme T 2012</v>
      </c>
      <c r="N62" s="38" t="str">
        <f t="shared" ref="N62:S62" si="206">N8</f>
        <v>4eme T 2012</v>
      </c>
      <c r="O62" s="38" t="str">
        <f t="shared" si="206"/>
        <v>1er T 2013</v>
      </c>
      <c r="P62" s="38" t="str">
        <f t="shared" si="206"/>
        <v>2eme T 2013</v>
      </c>
      <c r="Q62" s="38" t="str">
        <f t="shared" si="206"/>
        <v>3ème T 2013</v>
      </c>
      <c r="R62" s="178" t="str">
        <f t="shared" si="206"/>
        <v>4ème T 2013</v>
      </c>
      <c r="S62" s="178" t="str">
        <f t="shared" si="206"/>
        <v>1er T 2014</v>
      </c>
      <c r="T62" s="178" t="str">
        <f t="shared" ref="T62:U62" si="207">T8</f>
        <v>2eme T 2014</v>
      </c>
      <c r="U62" s="178" t="str">
        <f t="shared" si="207"/>
        <v>3T 2014</v>
      </c>
      <c r="V62" s="178" t="str">
        <f t="shared" ref="V62:W62" si="208">V8</f>
        <v>4ème T 2014</v>
      </c>
      <c r="W62" s="178" t="str">
        <f t="shared" si="208"/>
        <v>1er T 2015</v>
      </c>
      <c r="X62" s="178" t="str">
        <f t="shared" ref="X62:Y62" si="209">X8</f>
        <v>2e T 2015</v>
      </c>
      <c r="Y62" s="178" t="str">
        <f t="shared" si="209"/>
        <v>3e T 2015</v>
      </c>
      <c r="Z62" s="178" t="str">
        <f t="shared" ref="Z62:AA62" si="210">Z8</f>
        <v>4e T 2015</v>
      </c>
      <c r="AA62" s="178" t="str">
        <f t="shared" si="210"/>
        <v>1er T 2016</v>
      </c>
      <c r="AB62" s="178" t="str">
        <f t="shared" ref="AB62:AC62" si="211">AB8</f>
        <v>2e T 2016</v>
      </c>
      <c r="AC62" s="178" t="str">
        <f t="shared" si="211"/>
        <v>3e T 2016</v>
      </c>
      <c r="AD62" s="178" t="str">
        <f t="shared" ref="AD62:AE62" si="212">AD8</f>
        <v>4e T 2016</v>
      </c>
      <c r="AE62" s="178" t="str">
        <f t="shared" si="212"/>
        <v>2017 - T1</v>
      </c>
      <c r="AF62" s="178" t="str">
        <f t="shared" ref="AF62:AG62" si="213">AF8</f>
        <v>2017 - T2</v>
      </c>
      <c r="AG62" s="178" t="str">
        <f t="shared" si="213"/>
        <v>2017- T3</v>
      </c>
      <c r="AH62" s="178" t="str">
        <f t="shared" ref="AH62:AI62" si="214">AH8</f>
        <v>2017 - T4</v>
      </c>
      <c r="AI62" s="178" t="str">
        <f t="shared" si="214"/>
        <v>2018 - T1</v>
      </c>
      <c r="AJ62" s="178" t="str">
        <f t="shared" ref="AJ62:AK62" si="215">AJ8</f>
        <v>2018 - T2</v>
      </c>
      <c r="AK62" s="178" t="str">
        <f t="shared" si="215"/>
        <v>2018 - T3</v>
      </c>
      <c r="AL62" s="178" t="str">
        <f t="shared" ref="AL62:AM62" si="216">AL8</f>
        <v>2018 - T4</v>
      </c>
      <c r="AM62" s="178" t="str">
        <f t="shared" si="216"/>
        <v>2019 - T1</v>
      </c>
      <c r="AN62" s="178" t="str">
        <f t="shared" ref="AN62:AP62" si="217">AN8</f>
        <v>2019 - T2</v>
      </c>
      <c r="AO62" s="178" t="str">
        <f t="shared" si="217"/>
        <v>2019 - T3</v>
      </c>
      <c r="AP62" s="178" t="str">
        <f t="shared" si="217"/>
        <v>2019 - T4</v>
      </c>
      <c r="AQ62" s="178" t="str">
        <f t="shared" ref="AQ62:AR62" si="218">AQ8</f>
        <v>2020 - T1</v>
      </c>
      <c r="AR62" s="178" t="str">
        <f t="shared" si="218"/>
        <v>2020 - T2</v>
      </c>
      <c r="AS62" s="178" t="str">
        <f t="shared" ref="AS62:AT62" si="219">AS8</f>
        <v>2020 - T3</v>
      </c>
      <c r="AT62" s="178" t="str">
        <f t="shared" si="219"/>
        <v>2020- T4</v>
      </c>
      <c r="AU62" s="178" t="str">
        <f t="shared" ref="AU62:AV62" si="220">AU8</f>
        <v>2021- T1</v>
      </c>
      <c r="AV62" s="178" t="str">
        <f t="shared" si="220"/>
        <v>2021- T2</v>
      </c>
      <c r="AW62" s="178" t="str">
        <f t="shared" ref="AW62:AY62" si="221">AW8</f>
        <v>2021- T3</v>
      </c>
      <c r="AX62" s="403" t="str">
        <f t="shared" si="221"/>
        <v>2021- T4</v>
      </c>
      <c r="AY62" s="178" t="str">
        <f t="shared" si="221"/>
        <v>2022- T1</v>
      </c>
      <c r="AZ62" s="178" t="str">
        <f t="shared" ref="AZ62" si="222">AZ8</f>
        <v>2022- T2</v>
      </c>
      <c r="BA62" s="178" t="str">
        <f t="shared" ref="BA62:BB62" si="223">BA8</f>
        <v>2022- T3</v>
      </c>
      <c r="BB62" s="178" t="str">
        <f t="shared" si="223"/>
        <v>2022- T4</v>
      </c>
      <c r="BC62" s="22" t="str">
        <f t="shared" ref="BC62:BD62" si="224">BC8</f>
        <v>2023- T1</v>
      </c>
      <c r="BD62" s="22" t="str">
        <f t="shared" si="224"/>
        <v>2023- T2</v>
      </c>
      <c r="BE62" s="22" t="str">
        <f t="shared" ref="BE62:BF62" si="225">BE8</f>
        <v>2023- T3</v>
      </c>
      <c r="BF62" s="22" t="str">
        <f t="shared" si="225"/>
        <v>2023- T4</v>
      </c>
      <c r="BG62" s="22" t="str">
        <f t="shared" ref="BG62:BH62" si="226">BG8</f>
        <v>2024- T1</v>
      </c>
      <c r="BH62" s="22" t="str">
        <f t="shared" si="226"/>
        <v>2024- T2</v>
      </c>
      <c r="BI62" s="22" t="str">
        <f t="shared" ref="BI62:BJ62" si="227">BI8</f>
        <v>2024- T3</v>
      </c>
      <c r="BJ62" s="22" t="str">
        <f t="shared" si="227"/>
        <v>2024- T4</v>
      </c>
    </row>
    <row r="63" spans="1:62" x14ac:dyDescent="0.25">
      <c r="A63" s="8" t="s">
        <v>135</v>
      </c>
      <c r="B63" s="9">
        <f>[63]SAS_NSA_4T2009!$C$208</f>
        <v>264770</v>
      </c>
      <c r="C63" s="46">
        <f>[11]SAS_NSA_1T2010!$C$208</f>
        <v>264628</v>
      </c>
      <c r="D63" s="46">
        <f>[12]SAS_NSA_2T2010!$C$208</f>
        <v>262630</v>
      </c>
      <c r="E63" s="46">
        <f>[13]SAS_NSA_3T2010!$C$208</f>
        <v>260652</v>
      </c>
      <c r="F63" s="46">
        <f>[14]SAS_NSA_2010_4T!$C$208</f>
        <v>259778</v>
      </c>
      <c r="G63" s="46">
        <f>[15]SAS_NSA_2011_1T!$C$208</f>
        <v>259065</v>
      </c>
      <c r="H63" s="46">
        <f>[16]SAS_NSA_2011_2T!$C$208</f>
        <v>256807</v>
      </c>
      <c r="I63" s="46">
        <f>[17]SAS_NSA_2011_3T!$C$208</f>
        <v>254511</v>
      </c>
      <c r="J63" s="46">
        <f>[18]SAS_NSA_2011_4T!$C$208</f>
        <v>252990</v>
      </c>
      <c r="K63" s="46">
        <f>[19]SAS_NSA_2012_1T!$C$210</f>
        <v>251991</v>
      </c>
      <c r="L63" s="46">
        <f>'[20]120919-14H22S23-PROGRAM-TdB_STO'!$C$210</f>
        <v>249310</v>
      </c>
      <c r="M63" s="46">
        <f>'[21]121105-15H12S18-PROGRAM-TdB_STO'!$C$210</f>
        <v>246608</v>
      </c>
      <c r="N63" s="46">
        <f>[22]SAS_NSA_2012_4T!$C$210</f>
        <v>244861</v>
      </c>
      <c r="O63" s="46">
        <f>[23]SAS_NSA_2013_1T!$C$210</f>
        <v>243984</v>
      </c>
      <c r="P63" s="46">
        <f>[24]SAS_NSA_2013_2T!$C$210</f>
        <v>241688</v>
      </c>
      <c r="Q63" s="46">
        <f>[25]SAS_NSA_2013_3T!$C$210</f>
        <v>239995</v>
      </c>
      <c r="R63" s="186">
        <f>[26]SAS_NSA_2013_4T!$C$210</f>
        <v>238786</v>
      </c>
      <c r="S63" s="186">
        <f>[27]SAS_NSA_2014_1T!$C$210</f>
        <v>237633</v>
      </c>
      <c r="T63" s="186">
        <f>[28]SAS_NSA_2014_2T!$C$210</f>
        <v>272355</v>
      </c>
      <c r="U63" s="186">
        <f>[29]SAS_NSA_2014_3T!$C$210</f>
        <v>270143</v>
      </c>
      <c r="V63" s="186">
        <f>[30]SAS_NSA_2014_4T!$C$210</f>
        <v>268810</v>
      </c>
      <c r="W63" s="186">
        <f>[31]SAS_NSA_2015_1T!$C$210</f>
        <v>267606</v>
      </c>
      <c r="X63" s="186">
        <f>[32]SAS_NSA_2015_2T!$C$210</f>
        <v>264448</v>
      </c>
      <c r="Y63" s="186">
        <f>[33]SAS_NSA_2015_3T!$C$210</f>
        <v>261714</v>
      </c>
      <c r="Z63" s="186">
        <f>[34]SAS_NSA_2015_4T!$C$210</f>
        <v>260581</v>
      </c>
      <c r="AA63" s="186">
        <f>[35]SAS_NSA_2016_1T!$C$210</f>
        <v>259810</v>
      </c>
      <c r="AB63" s="186">
        <f>[36]SAS_NSA_2016_2T!$C$210</f>
        <v>257538</v>
      </c>
      <c r="AC63" s="186">
        <f>[37]SAS_NSA_2016_3T!$C$210</f>
        <v>255346</v>
      </c>
      <c r="AD63" s="186">
        <f>[38]SAS_NSA_2016_4T!$C$210</f>
        <v>254140</v>
      </c>
      <c r="AE63" s="186">
        <f>[39]SAS_NSA_2017_1T!$C$210</f>
        <v>253065</v>
      </c>
      <c r="AF63" s="186">
        <f>[40]SAS_NSA_2017_2T!$C$210</f>
        <v>250701</v>
      </c>
      <c r="AG63" s="186">
        <f>[41]SAS_NSA_2017_3T!$C$210</f>
        <v>248922</v>
      </c>
      <c r="AH63" s="186">
        <f>[42]SAS_NSA_2017_4T!$C$210</f>
        <v>248424</v>
      </c>
      <c r="AI63" s="186">
        <f>[43]SAS_NSA_2018_1T!$C$274</f>
        <v>247839</v>
      </c>
      <c r="AJ63" s="186">
        <f>[44]SAS_NSA_2018_2T!$C$212</f>
        <v>245801</v>
      </c>
      <c r="AK63" s="186">
        <f>[45]SAS_NSA_2018_3T!$C$274</f>
        <v>243660</v>
      </c>
      <c r="AL63" s="186">
        <f>[46]SAS_NSA_2018_4T!$C$274</f>
        <v>242980</v>
      </c>
      <c r="AM63" s="186">
        <f>[47]SAS_NSA_2019_1T!$C$274</f>
        <v>242117</v>
      </c>
      <c r="AN63" s="186">
        <f>[48]SAS_NSA_2019_2T!$C$274</f>
        <v>239752</v>
      </c>
      <c r="AO63" s="186">
        <f>[49]SAS_NSA_2019_3T!$C274</f>
        <v>237695</v>
      </c>
      <c r="AP63" s="186">
        <f>[50]SAS_NSA_2019_4T!$C$274</f>
        <v>237381</v>
      </c>
      <c r="AQ63" s="186">
        <f>[51]SAS_NSA_2020_1T!$C249</f>
        <v>236673</v>
      </c>
      <c r="AR63" s="186">
        <f>[52]SAS_NSA_2020_2T!$C249</f>
        <v>234238</v>
      </c>
      <c r="AS63" s="186">
        <f>[53]SAS_NSA_2020_3T!$C$249</f>
        <v>232035</v>
      </c>
      <c r="AT63" s="186">
        <f>[54]SAS_NSA_2020_4T!$C$249</f>
        <v>231383</v>
      </c>
      <c r="AU63" s="186">
        <f>[55]SAS_NSA_2021_1T!$C$249</f>
        <v>230059</v>
      </c>
      <c r="AV63" s="186">
        <f>[56]SAS_NSA_2021_2T!$C$249</f>
        <v>227219</v>
      </c>
      <c r="AW63" s="186">
        <f>[57]SAS_NSA_2021_3T!$C$249</f>
        <v>225211</v>
      </c>
      <c r="AX63" s="413">
        <f>[58]SAS_NSA_2021_4T!$C143</f>
        <v>333732</v>
      </c>
      <c r="AY63" s="186">
        <f>[59]SAS_NSA_2022_1T!$C$143</f>
        <v>173041</v>
      </c>
      <c r="AZ63" s="186">
        <f>[60]SAS_NSA_2022_2T!$C$143</f>
        <v>170621</v>
      </c>
      <c r="BA63" s="186">
        <f>[61]SAS_NSA_2022_3T!$C$143</f>
        <v>168732</v>
      </c>
      <c r="BB63" s="379">
        <f>[62]SAS_NSA_2022_4T!$C$143</f>
        <v>168990</v>
      </c>
      <c r="BC63" s="22">
        <f>[2]SAS_NSA_2023_1T!$C$143</f>
        <v>167628</v>
      </c>
      <c r="BD63" s="22">
        <f>[3]SAS_NSA_2023_2T!$C$143</f>
        <v>165507</v>
      </c>
      <c r="BE63" s="22">
        <f>[4]SAS_NSA_2023_3T!$C$143</f>
        <v>163968</v>
      </c>
      <c r="BF63" s="22">
        <f>[5]SAS_NSA_2023_4T!$C$143</f>
        <v>163331</v>
      </c>
      <c r="BG63" s="22">
        <f>[6]SAS_NSA_2024_1T!$C$143</f>
        <v>162454</v>
      </c>
      <c r="BH63" s="22">
        <f>[7]SAS_NSA_2024_2T!$C$143</f>
        <v>160171</v>
      </c>
      <c r="BI63" s="22">
        <f>[8]SAS_NSA_2024_3T!$C$143</f>
        <v>158355</v>
      </c>
      <c r="BJ63" s="22">
        <f>[9]SAS_NSA_2024_4T!$C$143</f>
        <v>157755</v>
      </c>
    </row>
    <row r="64" spans="1:62" ht="13" x14ac:dyDescent="0.25">
      <c r="A64" s="157" t="s">
        <v>137</v>
      </c>
      <c r="B64" s="9"/>
      <c r="C64" s="46"/>
      <c r="D64" s="46"/>
      <c r="E64" s="46"/>
      <c r="F64" s="46"/>
      <c r="G64" s="46"/>
      <c r="H64" s="46"/>
      <c r="I64" s="46"/>
      <c r="J64" s="46"/>
      <c r="K64" s="46">
        <f>[19]SAS_NSA_2012_1T!$C$211</f>
        <v>202</v>
      </c>
      <c r="L64" s="46">
        <f>'[20]120919-14H22S23-PROGRAM-TdB_STO'!$C$211</f>
        <v>236</v>
      </c>
      <c r="M64" s="46">
        <f>'[21]121105-15H12S18-PROGRAM-TdB_STO'!$C$211</f>
        <v>262</v>
      </c>
      <c r="N64" s="46">
        <f>[22]SAS_NSA_2012_4T!$C$211</f>
        <v>297</v>
      </c>
      <c r="O64" s="46">
        <f>[23]SAS_NSA_2013_1T!$C$211</f>
        <v>358</v>
      </c>
      <c r="P64" s="46">
        <f>[24]SAS_NSA_2013_2T!$C$211</f>
        <v>415</v>
      </c>
      <c r="Q64" s="46">
        <f>[25]SAS_NSA_2013_3T!$C$211</f>
        <v>460</v>
      </c>
      <c r="R64" s="186">
        <f>[26]SAS_NSA_2013_4T!$C$211</f>
        <v>492</v>
      </c>
      <c r="S64" s="186">
        <f>[27]SAS_NSA_2014_1T!$C$211</f>
        <v>543</v>
      </c>
      <c r="T64" s="186">
        <f>[28]SAS_NSA_2014_2T!$C$211</f>
        <v>31904</v>
      </c>
      <c r="U64" s="186">
        <f>[29]SAS_NSA_2014_3T!$C$211</f>
        <v>31320</v>
      </c>
      <c r="V64" s="186">
        <f>[30]SAS_NSA_2014_4T!$C$211</f>
        <v>30619</v>
      </c>
      <c r="W64" s="186">
        <f>[31]SAS_NSA_2015_1T!$C$211</f>
        <v>29881</v>
      </c>
      <c r="X64" s="186">
        <f>[32]SAS_NSA_2015_2T!$C$211</f>
        <v>28991</v>
      </c>
      <c r="Y64" s="186">
        <f>[33]SAS_NSA_2015_3T!$C$211</f>
        <v>28207</v>
      </c>
      <c r="Z64" s="186">
        <f>[34]SAS_NSA_2015_4T!$C$211</f>
        <v>27487</v>
      </c>
      <c r="AA64" s="186">
        <f>[35]SAS_NSA_2016_1T!$C$211</f>
        <v>26819</v>
      </c>
      <c r="AB64" s="186">
        <f>[36]SAS_NSA_2016_2T!$C$211</f>
        <v>26115</v>
      </c>
      <c r="AC64" s="186">
        <f>[37]SAS_NSA_2016_3T!$C$211</f>
        <v>25455</v>
      </c>
      <c r="AD64" s="186">
        <f>[38]SAS_NSA_2016_4T!$C$211</f>
        <v>24858</v>
      </c>
      <c r="AE64" s="186">
        <f>[39]SAS_NSA_2017_1T!$C$211</f>
        <v>24180</v>
      </c>
      <c r="AF64" s="186">
        <f>[40]SAS_NSA_2017_2T!$C$211</f>
        <v>23478</v>
      </c>
      <c r="AG64" s="186">
        <f>[41]SAS_NSA_2017_3T!$C$211</f>
        <v>22927</v>
      </c>
      <c r="AH64" s="186">
        <f>[42]SAS_NSA_2017_4T!$C$211</f>
        <v>22395</v>
      </c>
      <c r="AI64" s="186">
        <f>[43]SAS_NSA_2018_1T!$C$275</f>
        <v>21846</v>
      </c>
      <c r="AJ64" s="186">
        <f>[44]SAS_NSA_2018_2T!$C$213</f>
        <v>21335</v>
      </c>
      <c r="AK64" s="186">
        <f>[45]SAS_NSA_2018_3T!$C$275</f>
        <v>20739</v>
      </c>
      <c r="AL64" s="186">
        <f>[46]SAS_NSA_2018_4T!$C$275</f>
        <v>20179</v>
      </c>
      <c r="AM64" s="186">
        <f>[47]SAS_NSA_2019_1T!$C$275</f>
        <v>19611</v>
      </c>
      <c r="AN64" s="186">
        <f>[48]SAS_NSA_2019_2T!$C$275</f>
        <v>19067</v>
      </c>
      <c r="AO64" s="186">
        <f>[49]SAS_NSA_2019_3T!$C275</f>
        <v>18621</v>
      </c>
      <c r="AP64" s="186">
        <f>[50]SAS_NSA_2019_4T!$C$275</f>
        <v>18159</v>
      </c>
      <c r="AQ64" s="186">
        <f>[51]SAS_NSA_2020_1T!$C250</f>
        <v>17715</v>
      </c>
      <c r="AR64" s="186">
        <f>[52]SAS_NSA_2020_2T!$C250</f>
        <v>17271</v>
      </c>
      <c r="AS64" s="186">
        <f>[53]SAS_NSA_2020_3T!$C250</f>
        <v>16817</v>
      </c>
      <c r="AT64" s="186">
        <f>[54]SAS_NSA_2020_4T!$C$250</f>
        <v>16371</v>
      </c>
      <c r="AU64" s="186">
        <f>[55]SAS_NSA_2021_1T!$C$250</f>
        <v>15892</v>
      </c>
      <c r="AV64" s="186">
        <f>[56]SAS_NSA_2021_2T!$C$250</f>
        <v>15455</v>
      </c>
      <c r="AW64" s="186">
        <f>[57]SAS_NSA_2021_3T!$C$250</f>
        <v>15069</v>
      </c>
      <c r="AX64" s="413">
        <f>[58]SAS_NSA_2021_4T!$C144</f>
        <v>225095</v>
      </c>
      <c r="AY64" s="186">
        <f>[59]SAS_NSA_2022_1T!$C$144</f>
        <v>10773</v>
      </c>
      <c r="AZ64" s="186">
        <f>[60]SAS_NSA_2022_2T!$C$144</f>
        <v>10388</v>
      </c>
      <c r="BA64" s="186">
        <f>[61]SAS_NSA_2022_3T!$C$144</f>
        <v>10066</v>
      </c>
      <c r="BB64" s="379">
        <f>[62]SAS_NSA_2022_4T!$C$144</f>
        <v>9794</v>
      </c>
      <c r="BC64" s="22">
        <f>[2]SAS_NSA_2023_1T!$C$144</f>
        <v>9463</v>
      </c>
      <c r="BD64" s="22">
        <f>[3]SAS_NSA_2023_2T!$C$144</f>
        <v>9110</v>
      </c>
      <c r="BE64" s="22">
        <f>[4]SAS_NSA_2023_3T!$C$144</f>
        <v>8832</v>
      </c>
      <c r="BF64" s="22">
        <f>[5]SAS_NSA_2023_4T!$C$144</f>
        <v>8548</v>
      </c>
      <c r="BG64" s="22">
        <f>[6]SAS_NSA_2024_1T!$C$144</f>
        <v>8259</v>
      </c>
      <c r="BH64" s="22">
        <f>[7]SAS_NSA_2024_2T!$C$144</f>
        <v>7980</v>
      </c>
      <c r="BI64" s="22">
        <f>[8]SAS_NSA_2024_3T!$C$144</f>
        <v>7740</v>
      </c>
      <c r="BJ64" s="22">
        <f>[9]SAS_NSA_2024_4T!$C$144</f>
        <v>7468</v>
      </c>
    </row>
    <row r="65" spans="1:62" ht="13" x14ac:dyDescent="0.25">
      <c r="A65" s="157" t="s">
        <v>138</v>
      </c>
      <c r="B65" s="9"/>
      <c r="C65" s="46"/>
      <c r="D65" s="46"/>
      <c r="E65" s="46"/>
      <c r="F65" s="46"/>
      <c r="G65" s="46"/>
      <c r="H65" s="46"/>
      <c r="I65" s="46"/>
      <c r="J65" s="46"/>
      <c r="K65" s="46">
        <f>[19]SAS_NSA_2012_1T!$C$212</f>
        <v>2</v>
      </c>
      <c r="L65" s="46">
        <f>'[20]120919-14H22S23-PROGRAM-TdB_STO'!$C$212</f>
        <v>10</v>
      </c>
      <c r="M65" s="46">
        <f>'[21]121105-15H12S18-PROGRAM-TdB_STO'!$C$212</f>
        <v>10</v>
      </c>
      <c r="N65" s="46">
        <f>[22]SAS_NSA_2012_4T!$C$212</f>
        <v>14</v>
      </c>
      <c r="O65" s="46">
        <f>[23]SAS_NSA_2013_1T!$C$212</f>
        <v>15</v>
      </c>
      <c r="P65" s="46">
        <f>[24]SAS_NSA_2013_2T!$C$212</f>
        <v>18</v>
      </c>
      <c r="Q65" s="46">
        <f>[25]SAS_NSA_2013_3T!$C$212</f>
        <v>20</v>
      </c>
      <c r="R65" s="186">
        <f>[26]SAS_NSA_2013_4T!$C$212</f>
        <v>22</v>
      </c>
      <c r="S65" s="186">
        <f>[27]SAS_NSA_2014_1T!$C$212</f>
        <v>25</v>
      </c>
      <c r="T65" s="186">
        <f>[28]SAS_NSA_2014_2T!$C$212</f>
        <v>4476</v>
      </c>
      <c r="U65" s="186">
        <f>[29]SAS_NSA_2014_3T!$C$212</f>
        <v>4438</v>
      </c>
      <c r="V65" s="186">
        <f>[30]SAS_NSA_2014_4T!$C$212</f>
        <v>4380</v>
      </c>
      <c r="W65" s="186">
        <f>[31]SAS_NSA_2015_1T!$C$212</f>
        <v>4293</v>
      </c>
      <c r="X65" s="186">
        <f>[32]SAS_NSA_2015_2T!$C$212</f>
        <v>4195</v>
      </c>
      <c r="Y65" s="186">
        <f>[33]SAS_NSA_2015_3T!$C$212</f>
        <v>4133</v>
      </c>
      <c r="Z65" s="186">
        <f>[34]SAS_NSA_2015_4T!$C$212</f>
        <v>4067</v>
      </c>
      <c r="AA65" s="186">
        <f>[35]SAS_NSA_2016_1T!$C$212</f>
        <v>3974</v>
      </c>
      <c r="AB65" s="186">
        <f>[36]SAS_NSA_2016_2T!$C$212</f>
        <v>3873</v>
      </c>
      <c r="AC65" s="186">
        <f>[37]SAS_NSA_2016_3T!$C$212</f>
        <v>3794</v>
      </c>
      <c r="AD65" s="186">
        <f>[38]SAS_NSA_2016_4T!$C$212</f>
        <v>3735</v>
      </c>
      <c r="AE65" s="186">
        <f>[39]SAS_NSA_2017_1T!$C$212</f>
        <v>3647</v>
      </c>
      <c r="AF65" s="186">
        <f>[40]SAS_NSA_2017_2T!$C$212</f>
        <v>3568</v>
      </c>
      <c r="AG65" s="186">
        <f>[41]SAS_NSA_2017_3T!$C$212</f>
        <v>3508</v>
      </c>
      <c r="AH65" s="186">
        <f>[42]SAS_NSA_2017_4T!$C$212</f>
        <v>3427</v>
      </c>
      <c r="AI65" s="186">
        <f>[43]SAS_NSA_2018_1T!$C$276</f>
        <v>3372</v>
      </c>
      <c r="AJ65" s="186">
        <f>[44]SAS_NSA_2018_2T!$C$214</f>
        <v>3269</v>
      </c>
      <c r="AK65" s="186">
        <f>[45]SAS_NSA_2018_3T!$C$276</f>
        <v>3207</v>
      </c>
      <c r="AL65" s="186">
        <f>[46]SAS_NSA_2018_4T!$C$276</f>
        <v>3148</v>
      </c>
      <c r="AM65" s="186">
        <f>[47]SAS_NSA_2019_1T!$C$276</f>
        <v>3064</v>
      </c>
      <c r="AN65" s="186">
        <f>[48]SAS_NSA_2019_2T!$C$276</f>
        <v>2984</v>
      </c>
      <c r="AO65" s="186">
        <f>[49]SAS_NSA_2019_3T!$C276</f>
        <v>2930</v>
      </c>
      <c r="AP65" s="186">
        <f>[50]SAS_NSA_2019_4T!$C$276</f>
        <v>2890</v>
      </c>
      <c r="AQ65" s="186">
        <f>[51]SAS_NSA_2020_1T!$C251</f>
        <v>2826</v>
      </c>
      <c r="AR65" s="186">
        <f>[52]SAS_NSA_2020_2T!$C251</f>
        <v>2745</v>
      </c>
      <c r="AS65" s="186">
        <f>[53]SAS_NSA_2020_3T!$C251</f>
        <v>2668</v>
      </c>
      <c r="AT65" s="186">
        <f>[54]SAS_NSA_2020_4T!$C$251</f>
        <v>2615</v>
      </c>
      <c r="AU65" s="186">
        <f>[55]SAS_NSA_2021_1T!$C$251</f>
        <v>2544</v>
      </c>
      <c r="AV65" s="186">
        <f>[56]SAS_NSA_2021_2T!$C$251</f>
        <v>2460</v>
      </c>
      <c r="AW65" s="186">
        <f>[57]SAS_NSA_2021_3T!$C$251</f>
        <v>2411</v>
      </c>
      <c r="AX65" s="413">
        <f>[58]SAS_NSA_2021_4T!$C145</f>
        <v>14711</v>
      </c>
      <c r="AY65" s="186">
        <f>[59]SAS_NSA_2022_1T!$C$145</f>
        <v>1798</v>
      </c>
      <c r="AZ65" s="186">
        <f>[60]SAS_NSA_2022_2T!$C$145</f>
        <v>1742</v>
      </c>
      <c r="BA65" s="186">
        <f>[61]SAS_NSA_2022_3T!$C$145</f>
        <v>1699</v>
      </c>
      <c r="BB65" s="379">
        <f>[62]SAS_NSA_2022_4T!$C$145</f>
        <v>1651</v>
      </c>
      <c r="BC65" s="22">
        <f>[2]SAS_NSA_2023_1T!$C$145</f>
        <v>1580</v>
      </c>
      <c r="BD65" s="22">
        <f>[3]SAS_NSA_2023_2T!$C$145</f>
        <v>1542</v>
      </c>
      <c r="BE65" s="22">
        <f>[4]SAS_NSA_2023_3T!$C$145</f>
        <v>1490</v>
      </c>
      <c r="BF65" s="22">
        <f>[5]SAS_NSA_2023_4T!$C$145</f>
        <v>1466</v>
      </c>
      <c r="BG65" s="22">
        <f>[6]SAS_NSA_2024_1T!$C$145</f>
        <v>1414</v>
      </c>
      <c r="BH65" s="22">
        <f>[7]SAS_NSA_2024_2T!$C$145</f>
        <v>1368</v>
      </c>
      <c r="BI65" s="22">
        <f>[8]SAS_NSA_2024_3T!$C$145</f>
        <v>1341</v>
      </c>
      <c r="BJ65" s="22">
        <f>[9]SAS_NSA_2024_4T!$C$145</f>
        <v>1315</v>
      </c>
    </row>
    <row r="66" spans="1:62" x14ac:dyDescent="0.25">
      <c r="A66" s="8" t="s">
        <v>136</v>
      </c>
      <c r="B66" s="9">
        <f>[63]SAS_NSA_4T2009!$C$209</f>
        <v>46374</v>
      </c>
      <c r="C66" s="46">
        <f>[11]SAS_NSA_1T2010!$C$209</f>
        <v>46587</v>
      </c>
      <c r="D66" s="46">
        <f>[12]SAS_NSA_2T2010!$C$209</f>
        <v>70171</v>
      </c>
      <c r="E66" s="46">
        <f>[13]SAS_NSA_3T2010!$C$209</f>
        <v>71051</v>
      </c>
      <c r="F66" s="46">
        <f>[14]SAS_NSA_2010_4T!$C$209</f>
        <v>71770</v>
      </c>
      <c r="G66" s="46">
        <f>[15]SAS_NSA_2011_1T!$C$209</f>
        <v>72934</v>
      </c>
      <c r="H66" s="46">
        <f>[16]SAS_NSA_2011_2T!$C$209</f>
        <v>73642</v>
      </c>
      <c r="I66" s="46">
        <f>[17]SAS_NSA_2011_3T!$C$209</f>
        <v>74347</v>
      </c>
      <c r="J66" s="46">
        <f>[18]SAS_NSA_2011_4T!$C$209</f>
        <v>74967</v>
      </c>
      <c r="K66" s="46">
        <f>[19]SAS_NSA_2012_1T!$C$213</f>
        <v>75872</v>
      </c>
      <c r="L66" s="46">
        <f>'[20]120919-14H22S23-PROGRAM-TdB_STO'!$C$213</f>
        <v>76139</v>
      </c>
      <c r="M66" s="46">
        <f>'[21]121105-15H12S18-PROGRAM-TdB_STO'!$C$213</f>
        <v>76666</v>
      </c>
      <c r="N66" s="46">
        <f>[22]SAS_NSA_2012_4T!$C$213</f>
        <v>77210</v>
      </c>
      <c r="O66" s="46">
        <f>[23]SAS_NSA_2013_1T!$C$213</f>
        <v>77474</v>
      </c>
      <c r="P66" s="46">
        <f>[24]SAS_NSA_2013_2T!$C$213</f>
        <v>77585</v>
      </c>
      <c r="Q66" s="46">
        <f>[25]SAS_NSA_2013_3T!$C$213</f>
        <v>77976</v>
      </c>
      <c r="R66" s="186">
        <f>[26]SAS_NSA_2013_4T!$C$213</f>
        <v>78516</v>
      </c>
      <c r="S66" s="186">
        <f>[27]SAS_NSA_2014_1T!$C$213</f>
        <v>78969</v>
      </c>
      <c r="T66" s="186">
        <f>[28]SAS_NSA_2014_2T!$C$213</f>
        <v>123897</v>
      </c>
      <c r="U66" s="186">
        <f>[29]SAS_NSA_2014_3T!$C$213</f>
        <v>123829</v>
      </c>
      <c r="V66" s="186">
        <f>[30]SAS_NSA_2014_4T!$C$213</f>
        <v>123401</v>
      </c>
      <c r="W66" s="186">
        <f>[31]SAS_NSA_2015_1T!$C$213</f>
        <v>122472</v>
      </c>
      <c r="X66" s="186">
        <f>[32]SAS_NSA_2015_2T!$C$213</f>
        <v>121179</v>
      </c>
      <c r="Y66" s="186">
        <f>[33]SAS_NSA_2015_3T!$C$213</f>
        <v>120480</v>
      </c>
      <c r="Z66" s="186">
        <f>[34]SAS_NSA_2015_4T!$C$213</f>
        <v>120096</v>
      </c>
      <c r="AA66" s="186">
        <f>[35]SAS_NSA_2016_1T!$C$213</f>
        <v>119162</v>
      </c>
      <c r="AB66" s="186">
        <f>[36]SAS_NSA_2016_2T!$C$213</f>
        <v>117868</v>
      </c>
      <c r="AC66" s="186">
        <f>[37]SAS_NSA_2016_3T!$C$213</f>
        <v>116930</v>
      </c>
      <c r="AD66" s="186">
        <f>[38]SAS_NSA_2016_4T!$C$213</f>
        <v>116305</v>
      </c>
      <c r="AE66" s="186">
        <f>[39]SAS_NSA_2017_1T!$C$213</f>
        <v>115141</v>
      </c>
      <c r="AF66" s="186">
        <f>[40]SAS_NSA_2017_2T!$C$213</f>
        <v>113305</v>
      </c>
      <c r="AG66" s="186">
        <f>[41]SAS_NSA_2017_3T!$C$213</f>
        <v>112181</v>
      </c>
      <c r="AH66" s="186">
        <f>[42]SAS_NSA_2017_4T!$C$213</f>
        <v>111276</v>
      </c>
      <c r="AI66" s="186">
        <f>[43]SAS_NSA_2018_1T!$C$277</f>
        <v>109887</v>
      </c>
      <c r="AJ66" s="186">
        <f>[44]SAS_NSA_2018_2T!$C$215</f>
        <v>108115</v>
      </c>
      <c r="AK66" s="186">
        <f>[45]SAS_NSA_2018_3T!$C$277</f>
        <v>107178</v>
      </c>
      <c r="AL66" s="186">
        <f>[46]SAS_NSA_2018_4T!$C$277</f>
        <v>106646</v>
      </c>
      <c r="AM66" s="186">
        <f>[47]SAS_NSA_2019_1T!$C$277</f>
        <v>105503</v>
      </c>
      <c r="AN66" s="186">
        <f>[48]SAS_NSA_2019_2T!$C$277</f>
        <v>103928</v>
      </c>
      <c r="AO66" s="186">
        <f>[49]SAS_NSA_2019_3T!$C277</f>
        <v>102796</v>
      </c>
      <c r="AP66" s="186">
        <f>[50]SAS_NSA_2019_4T!$C$277</f>
        <v>101937</v>
      </c>
      <c r="AQ66" s="186">
        <f>[51]SAS_NSA_2020_1T!$C252</f>
        <v>100886</v>
      </c>
      <c r="AR66" s="186">
        <f>[52]SAS_NSA_2020_2T!$C252</f>
        <v>99213</v>
      </c>
      <c r="AS66" s="186">
        <f>[53]SAS_NSA_2020_3T!$C252</f>
        <v>97815</v>
      </c>
      <c r="AT66" s="186">
        <f>[54]SAS_NSA_2020_4T!$C$252</f>
        <v>97007</v>
      </c>
      <c r="AU66" s="186">
        <f>[55]SAS_NSA_2021_1T!$C$252</f>
        <v>95329</v>
      </c>
      <c r="AV66" s="186">
        <f>[56]SAS_NSA_2021_2T!$C$252</f>
        <v>93557</v>
      </c>
      <c r="AW66" s="186">
        <f>[57]SAS_NSA_2021_3T!$C$252</f>
        <v>92393</v>
      </c>
      <c r="AX66" s="413">
        <f>[58]SAS_NSA_2021_4T!$C146+[58]SAS_NSA_2021_4T!$C$147</f>
        <v>93896</v>
      </c>
      <c r="AY66" s="186">
        <f>[59]SAS_NSA_2022_1T!$C$146+[59]SAS_NSA_2022_1T!$C$147</f>
        <v>85221</v>
      </c>
      <c r="AZ66" s="186">
        <f>[60]SAS_NSA_2022_2T!$C$146+[60]SAS_NSA_2022_2T!$C$147</f>
        <v>83376</v>
      </c>
      <c r="BA66" s="186">
        <f>[61]SAS_NSA_2022_3T!$C$146+[61]SAS_NSA_2022_3T!$C$147</f>
        <v>82030</v>
      </c>
      <c r="BB66" s="379">
        <f>[62]SAS_NSA_2022_4T!$C$146+[62]SAS_NSA_2022_4T!$C$147</f>
        <v>81181</v>
      </c>
      <c r="BC66" s="22">
        <f>[2]SAS_NSA_2023_1T!$C$146+[2]SAS_NSA_2023_1T!$C$147</f>
        <v>79007</v>
      </c>
      <c r="BD66" s="22">
        <f>[3]SAS_NSA_2023_2T!$C$146+[3]SAS_NSA_2023_2T!$C$147</f>
        <v>77519</v>
      </c>
      <c r="BE66" s="22">
        <f>[4]SAS_NSA_2023_3T!$C$146+[4]SAS_NSA_2023_3T!$C$147</f>
        <v>76317</v>
      </c>
      <c r="BF66" s="22">
        <f>[5]SAS_NSA_2023_4T!$C$146+[5]SAS_NSA_2023_4T!$C$147</f>
        <v>75533</v>
      </c>
      <c r="BG66" s="22">
        <f>[6]SAS_NSA_2024_1T!$C$146+[6]SAS_NSA_2024_1T!$C$147</f>
        <v>74030</v>
      </c>
      <c r="BH66" s="22">
        <f>[7]SAS_NSA_2024_2T!$C$146+[7]SAS_NSA_2024_2T!$C$147</f>
        <v>72252</v>
      </c>
      <c r="BI66" s="22">
        <f>[8]SAS_NSA_2024_3T!$C$146+[8]SAS_NSA_2024_3T!$C$147</f>
        <v>70964</v>
      </c>
      <c r="BJ66" s="22">
        <f>[9]SAS_NSA_2024_4T!$C$146+[9]SAS_NSA_2024_4T!$C$147</f>
        <v>70052</v>
      </c>
    </row>
    <row r="67" spans="1:62" x14ac:dyDescent="0.25">
      <c r="A67" s="22" t="s">
        <v>60</v>
      </c>
      <c r="B67" s="9">
        <f t="shared" ref="B67:J67" si="228">SUM(B63:B66)</f>
        <v>311144</v>
      </c>
      <c r="C67" s="9">
        <f t="shared" si="228"/>
        <v>311215</v>
      </c>
      <c r="D67" s="9">
        <f t="shared" si="228"/>
        <v>332801</v>
      </c>
      <c r="E67" s="9">
        <f t="shared" si="228"/>
        <v>331703</v>
      </c>
      <c r="F67" s="9">
        <f t="shared" si="228"/>
        <v>331548</v>
      </c>
      <c r="G67" s="9">
        <f t="shared" si="228"/>
        <v>331999</v>
      </c>
      <c r="H67" s="9">
        <f t="shared" si="228"/>
        <v>330449</v>
      </c>
      <c r="I67" s="9">
        <f t="shared" si="228"/>
        <v>328858</v>
      </c>
      <c r="J67" s="9">
        <f t="shared" si="228"/>
        <v>327957</v>
      </c>
      <c r="K67" s="9">
        <f t="shared" ref="K67:P67" si="229">SUM(K63:K66)</f>
        <v>328067</v>
      </c>
      <c r="L67" s="9">
        <f t="shared" si="229"/>
        <v>325695</v>
      </c>
      <c r="M67" s="9">
        <f t="shared" si="229"/>
        <v>323546</v>
      </c>
      <c r="N67" s="9">
        <f t="shared" si="229"/>
        <v>322382</v>
      </c>
      <c r="O67" s="9">
        <f t="shared" si="229"/>
        <v>321831</v>
      </c>
      <c r="P67" s="9">
        <f t="shared" si="229"/>
        <v>319706</v>
      </c>
      <c r="Q67" s="9">
        <f t="shared" ref="Q67:R67" si="230">SUM(Q63:Q66)</f>
        <v>318451</v>
      </c>
      <c r="R67" s="209">
        <f t="shared" si="230"/>
        <v>317816</v>
      </c>
      <c r="S67" s="209">
        <f t="shared" ref="S67:T67" si="231">SUM(S63:S66)</f>
        <v>317170</v>
      </c>
      <c r="T67" s="209">
        <f t="shared" si="231"/>
        <v>432632</v>
      </c>
      <c r="U67" s="209">
        <f t="shared" ref="U67:V67" si="232">SUM(U63:U66)</f>
        <v>429730</v>
      </c>
      <c r="V67" s="209">
        <f t="shared" si="232"/>
        <v>427210</v>
      </c>
      <c r="W67" s="209">
        <f t="shared" ref="W67:X67" si="233">SUM(W63:W66)</f>
        <v>424252</v>
      </c>
      <c r="X67" s="209">
        <f t="shared" si="233"/>
        <v>418813</v>
      </c>
      <c r="Y67" s="209">
        <f t="shared" ref="Y67:Z67" si="234">SUM(Y63:Y66)</f>
        <v>414534</v>
      </c>
      <c r="Z67" s="209">
        <f t="shared" si="234"/>
        <v>412231</v>
      </c>
      <c r="AA67" s="209">
        <f t="shared" ref="AA67" si="235">SUM(AA63:AA66)</f>
        <v>409765</v>
      </c>
      <c r="AB67" s="209">
        <f t="shared" ref="AB67:AH67" si="236">SUM(AB63:AB66)</f>
        <v>405394</v>
      </c>
      <c r="AC67" s="209">
        <f t="shared" si="236"/>
        <v>401525</v>
      </c>
      <c r="AD67" s="209">
        <f t="shared" si="236"/>
        <v>399038</v>
      </c>
      <c r="AE67" s="209">
        <f t="shared" si="236"/>
        <v>396033</v>
      </c>
      <c r="AF67" s="209">
        <f t="shared" si="236"/>
        <v>391052</v>
      </c>
      <c r="AG67" s="209">
        <f t="shared" si="236"/>
        <v>387538</v>
      </c>
      <c r="AH67" s="209">
        <f t="shared" si="236"/>
        <v>385522</v>
      </c>
      <c r="AI67" s="209">
        <f t="shared" ref="AI67" si="237">SUM(AI63:AI66)</f>
        <v>382944</v>
      </c>
      <c r="AJ67" s="209">
        <f>SUM(AJ63:AJ66)</f>
        <v>378520</v>
      </c>
      <c r="AK67" s="209">
        <f t="shared" ref="AK67:AP67" si="238">SUM(AK63:AK66)</f>
        <v>374784</v>
      </c>
      <c r="AL67" s="209">
        <f t="shared" si="238"/>
        <v>372953</v>
      </c>
      <c r="AM67" s="209">
        <f t="shared" si="238"/>
        <v>370295</v>
      </c>
      <c r="AN67" s="209">
        <f t="shared" si="238"/>
        <v>365731</v>
      </c>
      <c r="AO67" s="209">
        <f t="shared" si="238"/>
        <v>362042</v>
      </c>
      <c r="AP67" s="209">
        <f t="shared" si="238"/>
        <v>360367</v>
      </c>
      <c r="AQ67" s="209">
        <f t="shared" ref="AQ67:AR67" si="239">SUM(AQ63:AQ66)</f>
        <v>358100</v>
      </c>
      <c r="AR67" s="209">
        <f t="shared" si="239"/>
        <v>353467</v>
      </c>
      <c r="AS67" s="209">
        <f t="shared" ref="AS67:AU67" si="240">SUM(AS63:AS66)</f>
        <v>349335</v>
      </c>
      <c r="AT67" s="209">
        <f t="shared" si="240"/>
        <v>347376</v>
      </c>
      <c r="AU67" s="209">
        <f t="shared" si="240"/>
        <v>343824</v>
      </c>
      <c r="AV67" s="209">
        <f>SUM(AV63:AV66)</f>
        <v>338691</v>
      </c>
      <c r="AW67" s="209">
        <f t="shared" ref="AW67" si="241">SUM(AW63:AW66)</f>
        <v>335084</v>
      </c>
      <c r="AX67" s="413">
        <f>[58]SAS_NSA_2021_4T!$C$142</f>
        <v>273716</v>
      </c>
      <c r="AY67" s="209">
        <f>[59]SAS_NSA_2022_1T!$C$142</f>
        <v>270833</v>
      </c>
      <c r="AZ67" s="209">
        <f>[60]SAS_NSA_2022_2T!$C$142</f>
        <v>266127</v>
      </c>
      <c r="BA67" s="209">
        <f>[61]SAS_NSA_2022_3T!$C$142</f>
        <v>262527</v>
      </c>
      <c r="BB67" s="379">
        <f>[62]SAS_NSA_2022_4T!$C$142</f>
        <v>261616</v>
      </c>
      <c r="BC67" s="22">
        <f>[2]SAS_NSA_2023_1T!$C$142</f>
        <v>257678</v>
      </c>
      <c r="BD67" s="22">
        <f>[3]SAS_NSA_2023_2T!$C$142</f>
        <v>253678</v>
      </c>
      <c r="BE67" s="22">
        <f>[4]SAS_NSA_2023_3T!$C$142</f>
        <v>250607</v>
      </c>
      <c r="BF67" s="22">
        <f>[5]SAS_NSA_2023_4T!$C$142</f>
        <v>248878</v>
      </c>
      <c r="BG67" s="22">
        <f>[6]SAS_NSA_2024_1T!$C$142</f>
        <v>246157</v>
      </c>
      <c r="BH67" s="22">
        <f>[7]SAS_NSA_2024_2T!$C$142</f>
        <v>241771</v>
      </c>
      <c r="BI67" s="22">
        <f>[8]SAS_NSA_2024_3T!$C$142</f>
        <v>238400</v>
      </c>
      <c r="BJ67" s="22">
        <f>[9]SAS_NSA_2024_4T!$C$142</f>
        <v>236590</v>
      </c>
    </row>
    <row r="68" spans="1:62" x14ac:dyDescent="0.25">
      <c r="A68" s="5"/>
      <c r="B68" s="10"/>
      <c r="C68" s="40"/>
      <c r="D68" s="40"/>
      <c r="E68" s="40"/>
      <c r="F68" s="40"/>
      <c r="G68" s="40"/>
      <c r="H68" s="40"/>
      <c r="I68" s="40"/>
      <c r="J68" s="40"/>
      <c r="K68" s="40"/>
      <c r="L68" s="146"/>
      <c r="M68" s="146"/>
      <c r="N68" s="40"/>
      <c r="O68" s="40"/>
      <c r="P68" s="146"/>
      <c r="Q68" s="146"/>
      <c r="R68" s="180"/>
      <c r="S68" s="180"/>
      <c r="T68" s="180"/>
      <c r="U68" s="180"/>
      <c r="V68" s="180"/>
      <c r="W68" s="180"/>
      <c r="X68" s="180"/>
      <c r="Y68" s="180"/>
      <c r="Z68" s="180"/>
      <c r="AA68" s="180"/>
      <c r="AB68" s="180"/>
      <c r="AC68" s="180"/>
      <c r="AD68" s="180"/>
      <c r="AE68" s="180"/>
      <c r="AF68" s="193">
        <f t="shared" ref="AF68:AG68" si="242">(AF67-AB67)/AB67</f>
        <v>-3.537792863239219E-2</v>
      </c>
      <c r="AG68" s="193">
        <f t="shared" si="242"/>
        <v>-3.4834692733951809E-2</v>
      </c>
      <c r="AH68" s="193"/>
      <c r="AI68" s="180"/>
      <c r="AJ68" s="180"/>
      <c r="AM68" s="180"/>
      <c r="AN68" s="180"/>
      <c r="AO68" s="180"/>
      <c r="AQ68" s="180"/>
      <c r="AR68" s="180"/>
      <c r="AS68" s="180"/>
      <c r="AT68" s="180"/>
      <c r="AU68" s="180"/>
      <c r="AV68" s="180"/>
      <c r="AW68" s="180"/>
      <c r="AX68" s="405"/>
    </row>
    <row r="69" spans="1:62" ht="26" x14ac:dyDescent="0.3">
      <c r="A69" s="334" t="s">
        <v>44</v>
      </c>
      <c r="L69" s="145"/>
      <c r="M69" s="145"/>
      <c r="P69" s="145"/>
      <c r="Q69" s="145"/>
      <c r="S69" s="177"/>
      <c r="T69" s="177"/>
      <c r="U69" s="177"/>
      <c r="V69" s="177"/>
      <c r="W69" s="177"/>
      <c r="X69" s="177"/>
      <c r="Y69" s="177"/>
      <c r="Z69" s="177"/>
      <c r="AA69" s="177"/>
      <c r="AB69" s="177"/>
      <c r="AC69" s="177"/>
      <c r="AD69" s="177"/>
      <c r="AE69" s="177"/>
      <c r="AF69" s="177"/>
      <c r="AG69" s="177"/>
      <c r="AH69" s="177"/>
      <c r="AI69" s="177"/>
      <c r="AJ69" s="339"/>
      <c r="AM69" s="177"/>
      <c r="AN69" s="177"/>
      <c r="AO69" s="177"/>
      <c r="AQ69" s="177"/>
      <c r="AR69" s="177"/>
      <c r="AS69" s="177"/>
      <c r="AT69" s="177"/>
      <c r="AU69" s="177"/>
      <c r="AV69" s="177"/>
      <c r="AW69" s="177"/>
      <c r="AX69" s="407"/>
      <c r="BB69" s="377" t="s">
        <v>241</v>
      </c>
    </row>
    <row r="70" spans="1:62" x14ac:dyDescent="0.25">
      <c r="A70" s="17" t="s">
        <v>7</v>
      </c>
      <c r="L70" s="145"/>
      <c r="M70" s="145"/>
      <c r="P70" s="145"/>
      <c r="Q70" s="145"/>
      <c r="S70" s="177"/>
      <c r="T70" s="177"/>
      <c r="U70" s="177"/>
      <c r="V70" s="177"/>
      <c r="W70" s="177"/>
      <c r="X70" s="177"/>
      <c r="Y70" s="177"/>
      <c r="Z70" s="177"/>
      <c r="AA70" s="177"/>
      <c r="AB70" s="177"/>
      <c r="AC70" s="177"/>
      <c r="AD70" s="177"/>
      <c r="AE70" s="177"/>
      <c r="AF70" s="177"/>
      <c r="AG70" s="177"/>
      <c r="AH70" s="177"/>
      <c r="AI70" s="177"/>
      <c r="AJ70" s="177"/>
      <c r="AM70" s="177"/>
      <c r="AN70" s="177"/>
      <c r="AO70" s="177"/>
      <c r="AQ70" s="177"/>
      <c r="AR70" s="177"/>
      <c r="AS70" s="177"/>
      <c r="AT70" s="177"/>
      <c r="AU70" s="177"/>
      <c r="AV70" s="177"/>
      <c r="AW70" s="177"/>
      <c r="AX70" s="407"/>
      <c r="BB70" s="383" t="s">
        <v>244</v>
      </c>
    </row>
    <row r="71" spans="1:62" x14ac:dyDescent="0.25">
      <c r="B71" s="2" t="str">
        <f t="shared" ref="B71:G71" si="243">B8</f>
        <v>4eme T 2009</v>
      </c>
      <c r="C71" s="38" t="str">
        <f t="shared" si="243"/>
        <v>1er T 2010</v>
      </c>
      <c r="D71" s="38" t="str">
        <f t="shared" si="243"/>
        <v>2eme T 2010</v>
      </c>
      <c r="E71" s="38" t="str">
        <f t="shared" si="243"/>
        <v>3eme T 2010</v>
      </c>
      <c r="F71" s="38" t="str">
        <f t="shared" si="243"/>
        <v>4eme T 2010</v>
      </c>
      <c r="G71" s="38" t="str">
        <f t="shared" si="243"/>
        <v>1er T 2011</v>
      </c>
      <c r="H71" s="38" t="str">
        <f t="shared" ref="H71:M71" si="244">H8</f>
        <v>2eme T 2011</v>
      </c>
      <c r="I71" s="38" t="str">
        <f t="shared" si="244"/>
        <v>3eme T 2011</v>
      </c>
      <c r="J71" s="38" t="str">
        <f t="shared" si="244"/>
        <v>4eme T 2011</v>
      </c>
      <c r="K71" s="38" t="str">
        <f t="shared" si="244"/>
        <v>1er T 2012</v>
      </c>
      <c r="L71" s="38" t="str">
        <f t="shared" si="244"/>
        <v>2eme T 2012</v>
      </c>
      <c r="M71" s="38" t="str">
        <f t="shared" si="244"/>
        <v>3eme T 2012</v>
      </c>
      <c r="N71" s="38" t="str">
        <f t="shared" ref="N71:S71" si="245">N8</f>
        <v>4eme T 2012</v>
      </c>
      <c r="O71" s="38" t="str">
        <f t="shared" si="245"/>
        <v>1er T 2013</v>
      </c>
      <c r="P71" s="38" t="str">
        <f t="shared" si="245"/>
        <v>2eme T 2013</v>
      </c>
      <c r="Q71" s="38" t="str">
        <f t="shared" si="245"/>
        <v>3ème T 2013</v>
      </c>
      <c r="R71" s="178" t="str">
        <f t="shared" si="245"/>
        <v>4ème T 2013</v>
      </c>
      <c r="S71" s="178" t="str">
        <f t="shared" si="245"/>
        <v>1er T 2014</v>
      </c>
      <c r="T71" s="178" t="str">
        <f t="shared" ref="T71:U71" si="246">T8</f>
        <v>2eme T 2014</v>
      </c>
      <c r="U71" s="178" t="str">
        <f t="shared" si="246"/>
        <v>3T 2014</v>
      </c>
      <c r="V71" s="178" t="str">
        <f t="shared" ref="V71:W71" si="247">V8</f>
        <v>4ème T 2014</v>
      </c>
      <c r="W71" s="178" t="str">
        <f t="shared" si="247"/>
        <v>1er T 2015</v>
      </c>
      <c r="X71" s="178" t="str">
        <f t="shared" ref="X71:Y71" si="248">X8</f>
        <v>2e T 2015</v>
      </c>
      <c r="Y71" s="178" t="str">
        <f t="shared" si="248"/>
        <v>3e T 2015</v>
      </c>
      <c r="Z71" s="178" t="str">
        <f t="shared" ref="Z71:AA71" si="249">Z8</f>
        <v>4e T 2015</v>
      </c>
      <c r="AA71" s="178" t="str">
        <f t="shared" si="249"/>
        <v>1er T 2016</v>
      </c>
      <c r="AB71" s="178" t="str">
        <f t="shared" ref="AB71:AC71" si="250">AB8</f>
        <v>2e T 2016</v>
      </c>
      <c r="AC71" s="178" t="str">
        <f t="shared" si="250"/>
        <v>3e T 2016</v>
      </c>
      <c r="AD71" s="178" t="str">
        <f t="shared" ref="AD71:AE71" si="251">AD8</f>
        <v>4e T 2016</v>
      </c>
      <c r="AE71" s="178" t="str">
        <f t="shared" si="251"/>
        <v>2017 - T1</v>
      </c>
      <c r="AF71" s="178" t="str">
        <f t="shared" ref="AF71:AG71" si="252">AF8</f>
        <v>2017 - T2</v>
      </c>
      <c r="AG71" s="178" t="str">
        <f t="shared" si="252"/>
        <v>2017- T3</v>
      </c>
      <c r="AH71" s="178" t="str">
        <f t="shared" ref="AH71:AI71" si="253">AH8</f>
        <v>2017 - T4</v>
      </c>
      <c r="AI71" s="178" t="str">
        <f t="shared" si="253"/>
        <v>2018 - T1</v>
      </c>
      <c r="AJ71" s="178" t="str">
        <f t="shared" ref="AJ71:AK71" si="254">AJ8</f>
        <v>2018 - T2</v>
      </c>
      <c r="AK71" s="178" t="str">
        <f t="shared" si="254"/>
        <v>2018 - T3</v>
      </c>
      <c r="AL71" s="178" t="str">
        <f t="shared" ref="AL71:AM71" si="255">AL8</f>
        <v>2018 - T4</v>
      </c>
      <c r="AM71" s="178" t="str">
        <f t="shared" si="255"/>
        <v>2019 - T1</v>
      </c>
      <c r="AN71" s="178" t="str">
        <f t="shared" ref="AN71:AP71" si="256">AN8</f>
        <v>2019 - T2</v>
      </c>
      <c r="AO71" s="178" t="str">
        <f t="shared" si="256"/>
        <v>2019 - T3</v>
      </c>
      <c r="AP71" s="178" t="str">
        <f t="shared" si="256"/>
        <v>2019 - T4</v>
      </c>
      <c r="AQ71" s="178" t="str">
        <f t="shared" ref="AQ71:AR71" si="257">AQ8</f>
        <v>2020 - T1</v>
      </c>
      <c r="AR71" s="178" t="str">
        <f t="shared" si="257"/>
        <v>2020 - T2</v>
      </c>
      <c r="AS71" s="178" t="str">
        <f t="shared" ref="AS71:AT71" si="258">AS8</f>
        <v>2020 - T3</v>
      </c>
      <c r="AT71" s="178" t="str">
        <f t="shared" si="258"/>
        <v>2020- T4</v>
      </c>
      <c r="AU71" s="178" t="str">
        <f t="shared" ref="AU71:AV71" si="259">AU8</f>
        <v>2021- T1</v>
      </c>
      <c r="AV71" s="178" t="str">
        <f t="shared" si="259"/>
        <v>2021- T2</v>
      </c>
      <c r="AW71" s="178" t="str">
        <f t="shared" ref="AW71:AY71" si="260">AW8</f>
        <v>2021- T3</v>
      </c>
      <c r="AX71" s="403" t="str">
        <f t="shared" si="260"/>
        <v>2021- T4</v>
      </c>
      <c r="AY71" s="178" t="str">
        <f t="shared" si="260"/>
        <v>2022- T1</v>
      </c>
      <c r="AZ71" s="178" t="str">
        <f t="shared" ref="AZ71" si="261">AZ8</f>
        <v>2022- T2</v>
      </c>
      <c r="BA71" s="178" t="str">
        <f t="shared" ref="BA71:BB71" si="262">BA8</f>
        <v>2022- T3</v>
      </c>
      <c r="BB71" s="178" t="str">
        <f t="shared" si="262"/>
        <v>2022- T4</v>
      </c>
      <c r="BC71" s="22" t="str">
        <f t="shared" ref="BC71:BD71" si="263">BC8</f>
        <v>2023- T1</v>
      </c>
      <c r="BD71" s="22" t="str">
        <f t="shared" si="263"/>
        <v>2023- T2</v>
      </c>
      <c r="BE71" s="22" t="str">
        <f t="shared" ref="BE71:BF71" si="264">BE8</f>
        <v>2023- T3</v>
      </c>
      <c r="BF71" s="22" t="str">
        <f t="shared" si="264"/>
        <v>2023- T4</v>
      </c>
      <c r="BG71" s="22" t="str">
        <f t="shared" ref="BG71:BH71" si="265">BG8</f>
        <v>2024- T1</v>
      </c>
      <c r="BH71" s="22" t="str">
        <f t="shared" si="265"/>
        <v>2024- T2</v>
      </c>
      <c r="BI71" s="22" t="str">
        <f t="shared" ref="BI71:BJ71" si="266">BI8</f>
        <v>2024- T3</v>
      </c>
      <c r="BJ71" s="22" t="str">
        <f t="shared" si="266"/>
        <v>2024- T4</v>
      </c>
    </row>
    <row r="72" spans="1:62" x14ac:dyDescent="0.25">
      <c r="A72" s="8" t="s">
        <v>135</v>
      </c>
      <c r="B72" s="16">
        <f>[63]SAS_NSA_4T2009!$E$208</f>
        <v>9409.48</v>
      </c>
      <c r="C72" s="42">
        <f>[11]SAS_NSA_1T2010!$E$208</f>
        <v>9436.52</v>
      </c>
      <c r="D72" s="42">
        <f>[12]SAS_NSA_2T2010!$E$208</f>
        <v>9519.92</v>
      </c>
      <c r="E72" s="42">
        <f>[13]SAS_NSA_3T2010!$E$208</f>
        <v>9521.7199999999993</v>
      </c>
      <c r="F72" s="42">
        <f>[14]SAS_NSA_2010_4T!$E$208</f>
        <v>9525</v>
      </c>
      <c r="G72" s="42">
        <f>[15]SAS_NSA_2011_1T!$E$208</f>
        <v>9539.32</v>
      </c>
      <c r="H72" s="42">
        <f>[16]SAS_NSA_2011_2T!$E$208</f>
        <v>9734.76</v>
      </c>
      <c r="I72" s="42">
        <f>[17]SAS_NSA_2011_3T!$E$208</f>
        <v>9739.8799999999992</v>
      </c>
      <c r="J72" s="42">
        <f>[18]SAS_NSA_2011_4T!$E$208</f>
        <v>9744.08</v>
      </c>
      <c r="K72" s="42">
        <f>[19]SAS_NSA_2012_1T!$E$210</f>
        <v>9736.6</v>
      </c>
      <c r="L72" s="42">
        <f>'[20]120919-14H22S23-PROGRAM-TdB_STO'!$E$210</f>
        <v>9957.0400000000009</v>
      </c>
      <c r="M72" s="42">
        <f>'[21]121105-15H12S18-PROGRAM-TdB_STO'!$E$210</f>
        <v>9964.08</v>
      </c>
      <c r="N72" s="42">
        <f>[22]SAS_NSA_2012_4T!$E$210</f>
        <v>9969.92</v>
      </c>
      <c r="O72" s="42">
        <f>[23]SAS_NSA_2013_1T!$E$210</f>
        <v>9986.2000000000007</v>
      </c>
      <c r="P72" s="42">
        <f>[24]SAS_NSA_2013_2T!$E$210</f>
        <v>10112.24</v>
      </c>
      <c r="Q72" s="42">
        <f>[25]SAS_NSA_2013_3T!$E$210</f>
        <v>10115.16</v>
      </c>
      <c r="R72" s="181">
        <f>[26]SAS_NSA_2013_4T!$E$210</f>
        <v>10089.48</v>
      </c>
      <c r="S72" s="181">
        <f>[27]SAS_NSA_2014_1T!$E$210</f>
        <v>10140.799999999999</v>
      </c>
      <c r="T72" s="181">
        <f>[28]SAS_NSA_2014_2T!$E$210</f>
        <v>9876.64</v>
      </c>
      <c r="U72" s="181">
        <f>[29]SAS_NSA_2014_3T!$E$210</f>
        <v>9909.0400000000009</v>
      </c>
      <c r="V72" s="181">
        <f>[30]SAS_NSA_2014_4T!$E$210</f>
        <v>9918.4</v>
      </c>
      <c r="W72" s="181">
        <f>[31]SAS_NSA_2015_1T!$E$210</f>
        <v>9928.64</v>
      </c>
      <c r="X72" s="181">
        <f>[32]SAS_NSA_2015_2T!$E$210</f>
        <v>9943.2800000000007</v>
      </c>
      <c r="Y72" s="181">
        <f>[33]SAS_NSA_2015_3T!$E$210</f>
        <v>9956.08</v>
      </c>
      <c r="Z72" s="181">
        <f>[34]SAS_NSA_2015_4T!$E$210</f>
        <v>9978.1200000000008</v>
      </c>
      <c r="AA72" s="181">
        <f>[35]SAS_NSA_2016_1T!$E$210</f>
        <v>10136.040000000001</v>
      </c>
      <c r="AB72" s="181">
        <f>[36]SAS_NSA_2016_2T!$E$210</f>
        <v>10149.040000000001</v>
      </c>
      <c r="AC72" s="181">
        <f>[37]SAS_NSA_2016_3T!$E$210</f>
        <v>10158.76</v>
      </c>
      <c r="AD72" s="181">
        <f>[38]SAS_NSA_2016_4T!$E$210</f>
        <v>10248.56</v>
      </c>
      <c r="AE72" s="181">
        <f>[39]SAS_NSA_2017_1T!$E$210</f>
        <v>10261.16</v>
      </c>
      <c r="AF72" s="181">
        <f>[40]SAS_NSA_2017_2T!$E$210</f>
        <v>10265.120000000001</v>
      </c>
      <c r="AG72" s="181">
        <f>[41]SAS_NSA_2017_3T!$E$210</f>
        <v>10282.48</v>
      </c>
      <c r="AH72" s="181">
        <f>[42]SAS_NSA_2017_4T!$E$210</f>
        <v>10512</v>
      </c>
      <c r="AI72" s="181">
        <f>[43]SAS_NSA_2018_1T!$D$274*4</f>
        <v>10445.44</v>
      </c>
      <c r="AJ72" s="181">
        <f>[44]SAS_NSA_2018_2T!$E$212</f>
        <v>10463.200000000001</v>
      </c>
      <c r="AK72" s="181">
        <f>[45]SAS_NSA_2018_3T!$D274*4</f>
        <v>10474.4</v>
      </c>
      <c r="AL72" s="181">
        <f>4*[46]SAS_NSA_2018_4T!$D$274</f>
        <v>10487.92</v>
      </c>
      <c r="AM72" s="181">
        <f>4*[47]SAS_NSA_2019_1T!$D$274</f>
        <v>10533.64</v>
      </c>
      <c r="AN72" s="181">
        <f>4*[48]SAS_NSA_2019_2T!$D$274</f>
        <v>10551.8</v>
      </c>
      <c r="AO72" s="181">
        <f>4*[49]SAS_NSA_2019_3T!$D274</f>
        <v>10574.2</v>
      </c>
      <c r="AP72" s="181">
        <f>4*[50]SAS_NSA_2019_4T!$D$274</f>
        <v>10596.12</v>
      </c>
      <c r="AQ72" s="181">
        <f>4*[51]SAS_NSA_2020_1T!$D249</f>
        <v>10704.36</v>
      </c>
      <c r="AR72" s="181">
        <f>4*[52]SAS_NSA_2020_2T!$D249</f>
        <v>10721.72</v>
      </c>
      <c r="AS72" s="181">
        <f>4*[53]SAS_NSA_2020_3T!$D249</f>
        <v>10733.12</v>
      </c>
      <c r="AT72" s="181">
        <f>[54]SAS_NSA_2020_4T!$E$249</f>
        <v>10756.96</v>
      </c>
      <c r="AU72" s="181">
        <f>[55]SAS_NSA_2021_1T!$E$249</f>
        <v>10821.56</v>
      </c>
      <c r="AV72" s="181">
        <f>[56]SAS_NSA_2021_2T!$E$249</f>
        <v>10853.72</v>
      </c>
      <c r="AW72" s="181">
        <f>[57]SAS_NSA_2021_3T!$E$249</f>
        <v>10900.68</v>
      </c>
      <c r="AX72" s="408">
        <f>[58]SAS_NSA_2021_4T!$E143</f>
        <v>11671.782783790601</v>
      </c>
      <c r="AY72" s="181">
        <f>[59]SAS_NSA_2022_1T!$E$143</f>
        <v>12229.0278257754</v>
      </c>
      <c r="AZ72" s="181">
        <f>[60]SAS_NSA_2022_2T!$E$143</f>
        <v>12255.06452312436</v>
      </c>
      <c r="BA72" s="181">
        <f>[61]SAS_NSA_2022_3T!$E$143</f>
        <v>12760.34961951496</v>
      </c>
      <c r="BB72" s="382">
        <f>[62]SAS_NSA_2022_4T!$E$143</f>
        <v>12743.4846558968</v>
      </c>
      <c r="BC72" s="338">
        <f>[2]SAS_NSA_2023_1T!$E$143</f>
        <v>12877.7923497268</v>
      </c>
      <c r="BD72" s="338">
        <f>[3]SAS_NSA_2023_2T!$E$143</f>
        <v>12945.459394466719</v>
      </c>
      <c r="BE72" s="338">
        <f>[4]SAS_NSA_2023_3T!$E$143</f>
        <v>12982.96694476972</v>
      </c>
      <c r="BF72" s="338">
        <f>[5]SAS_NSA_2023_4T!$E$143</f>
        <v>13009.689036374</v>
      </c>
      <c r="BG72" s="338">
        <f>[6]SAS_NSA_2024_1T!$E$143</f>
        <v>13595.86440469304</v>
      </c>
      <c r="BH72" s="338">
        <f>[7]SAS_NSA_2024_2T!$E$143</f>
        <v>13648.12299355064</v>
      </c>
      <c r="BI72" s="338">
        <f>[8]SAS_NSA_2024_3T!$E$143</f>
        <v>13685.656000757799</v>
      </c>
      <c r="BJ72" s="338">
        <f>[9]SAS_NSA_2024_4T!$E$143</f>
        <v>13703.81038952808</v>
      </c>
    </row>
    <row r="73" spans="1:62" ht="13" x14ac:dyDescent="0.25">
      <c r="A73" s="157" t="s">
        <v>137</v>
      </c>
      <c r="B73" s="117"/>
      <c r="C73" s="42"/>
      <c r="D73" s="42"/>
      <c r="E73" s="42"/>
      <c r="F73" s="42"/>
      <c r="G73" s="42"/>
      <c r="H73" s="42"/>
      <c r="I73" s="42"/>
      <c r="J73" s="42"/>
      <c r="K73" s="42">
        <f>[19]SAS_NSA_2012_1T!$E$211</f>
        <v>6138.16</v>
      </c>
      <c r="L73" s="42">
        <f>'[20]120919-14H22S23-PROGRAM-TdB_STO'!$E$211</f>
        <v>6170.12</v>
      </c>
      <c r="M73" s="42">
        <f>'[21]121105-15H12S18-PROGRAM-TdB_STO'!$E$211</f>
        <v>6305.6</v>
      </c>
      <c r="N73" s="42">
        <f>[22]SAS_NSA_2012_4T!$E$211</f>
        <v>6357.52</v>
      </c>
      <c r="O73" s="42">
        <f>[23]SAS_NSA_2013_1T!$E$211</f>
        <v>6056.08</v>
      </c>
      <c r="P73" s="42">
        <f>[24]SAS_NSA_2013_2T!$E$211</f>
        <v>6010.2</v>
      </c>
      <c r="Q73" s="42">
        <f>[25]SAS_NSA_2013_3T!$E$211</f>
        <v>6036.32</v>
      </c>
      <c r="R73" s="181">
        <f>[26]SAS_NSA_2013_4T!$E$211</f>
        <v>6105.12</v>
      </c>
      <c r="S73" s="181">
        <f>[27]SAS_NSA_2014_1T!$E$211</f>
        <v>6140.4</v>
      </c>
      <c r="T73" s="181">
        <f>[28]SAS_NSA_2014_2T!$E$211</f>
        <v>7177.32</v>
      </c>
      <c r="U73" s="181">
        <f>[29]SAS_NSA_2014_3T!$E$211</f>
        <v>7174.36</v>
      </c>
      <c r="V73" s="181">
        <f>[30]SAS_NSA_2014_4T!$E$211</f>
        <v>7174.24</v>
      </c>
      <c r="W73" s="181">
        <f>[31]SAS_NSA_2015_1T!$E$211</f>
        <v>7168.92</v>
      </c>
      <c r="X73" s="181">
        <f>[32]SAS_NSA_2015_2T!$E$211</f>
        <v>7166.72</v>
      </c>
      <c r="Y73" s="181">
        <f>[33]SAS_NSA_2015_3T!$E$211</f>
        <v>7165.88</v>
      </c>
      <c r="Z73" s="181">
        <f>[34]SAS_NSA_2015_4T!$E$211</f>
        <v>7175.04</v>
      </c>
      <c r="AA73" s="181">
        <f>[35]SAS_NSA_2016_1T!$E$211</f>
        <v>7167.12</v>
      </c>
      <c r="AB73" s="181">
        <f>[36]SAS_NSA_2016_2T!$E$211</f>
        <v>7165.12</v>
      </c>
      <c r="AC73" s="181">
        <f>[37]SAS_NSA_2016_3T!$E$211</f>
        <v>7165</v>
      </c>
      <c r="AD73" s="181">
        <f>[38]SAS_NSA_2016_4T!$E$211</f>
        <v>7165.08</v>
      </c>
      <c r="AE73" s="181">
        <f>[39]SAS_NSA_2017_1T!$E$211</f>
        <v>7158.96</v>
      </c>
      <c r="AF73" s="181">
        <f>[40]SAS_NSA_2017_2T!$E$211</f>
        <v>7154.32</v>
      </c>
      <c r="AG73" s="181">
        <f>[41]SAS_NSA_2017_3T!$E$211</f>
        <v>7155.88</v>
      </c>
      <c r="AH73" s="181">
        <f>[42]SAS_NSA_2017_4T!$E$211</f>
        <v>7207.2</v>
      </c>
      <c r="AI73" s="181">
        <f>[43]SAS_NSA_2018_1T!$D$275*4</f>
        <v>7201.4</v>
      </c>
      <c r="AJ73" s="181">
        <f>[44]SAS_NSA_2018_2T!$E$213</f>
        <v>7201.48</v>
      </c>
      <c r="AK73" s="181">
        <f>[45]SAS_NSA_2018_3T!$D275*4</f>
        <v>7197.12</v>
      </c>
      <c r="AL73" s="181">
        <f>4*[46]SAS_NSA_2018_4T!$D$275</f>
        <v>7194.12</v>
      </c>
      <c r="AM73" s="181">
        <f>4*[47]SAS_NSA_2019_1T!$D$275</f>
        <v>7213.16</v>
      </c>
      <c r="AN73" s="181">
        <f>4*[48]SAS_NSA_2019_2T!$D$275</f>
        <v>7210.44</v>
      </c>
      <c r="AO73" s="181">
        <f>4*[49]SAS_NSA_2019_3T!$D275</f>
        <v>7212.24</v>
      </c>
      <c r="AP73" s="181">
        <f>4*[50]SAS_NSA_2019_4T!$D$275</f>
        <v>7209.2</v>
      </c>
      <c r="AQ73" s="181">
        <f>4*[51]SAS_NSA_2020_1T!$D250</f>
        <v>7302.92</v>
      </c>
      <c r="AR73" s="181">
        <f>4*[52]SAS_NSA_2020_2T!$D250</f>
        <v>7298.92</v>
      </c>
      <c r="AS73" s="181">
        <f>4*[53]SAS_NSA_2020_3T!$D250</f>
        <v>7297.36</v>
      </c>
      <c r="AT73" s="181">
        <f>[54]SAS_NSA_2020_4T!$E$250</f>
        <v>7290.16</v>
      </c>
      <c r="AU73" s="181">
        <f>[55]SAS_NSA_2021_1T!$E$250</f>
        <v>7314.4</v>
      </c>
      <c r="AV73" s="181">
        <f>[56]SAS_NSA_2021_2T!$E$250</f>
        <v>7327</v>
      </c>
      <c r="AW73" s="181">
        <f>[57]SAS_NSA_2021_3T!$E$250</f>
        <v>7330.6</v>
      </c>
      <c r="AX73" s="408">
        <f>[58]SAS_NSA_2021_4T!$E144</f>
        <v>11377.4956707168</v>
      </c>
      <c r="AY73" s="181">
        <f>[59]SAS_NSA_2022_1T!$E$144</f>
        <v>8767.1901977165198</v>
      </c>
      <c r="AZ73" s="181">
        <f>[60]SAS_NSA_2022_2T!$E$144</f>
        <v>8759.3650365806807</v>
      </c>
      <c r="BA73" s="181">
        <f>[61]SAS_NSA_2022_3T!$E$144</f>
        <v>9098.8452215378402</v>
      </c>
      <c r="BB73" s="382">
        <f>[62]SAS_NSA_2022_4T!$E$144</f>
        <v>9068.4108637941608</v>
      </c>
      <c r="BC73" s="338">
        <f>[2]SAS_NSA_2023_1T!$E$144</f>
        <v>9158.0061291345191</v>
      </c>
      <c r="BD73" s="338">
        <f>[3]SAS_NSA_2023_2T!$E$144</f>
        <v>9167.9683863886003</v>
      </c>
      <c r="BE73" s="338">
        <f>[4]SAS_NSA_2023_3T!$E$144</f>
        <v>9163.3600543478406</v>
      </c>
      <c r="BF73" s="338">
        <f>[5]SAS_NSA_2023_4T!$E$144</f>
        <v>9164.7065980346397</v>
      </c>
      <c r="BG73" s="338">
        <f>[6]SAS_NSA_2024_1T!$E$144</f>
        <v>9607.3355127739596</v>
      </c>
      <c r="BH73" s="338">
        <f>[7]SAS_NSA_2024_2T!$E$144</f>
        <v>9625.4360902255594</v>
      </c>
      <c r="BI73" s="338">
        <f>[8]SAS_NSA_2024_3T!$E$144</f>
        <v>9622.1958656330808</v>
      </c>
      <c r="BJ73" s="338">
        <f>[9]SAS_NSA_2024_4T!$E$144</f>
        <v>9612.4574183181594</v>
      </c>
    </row>
    <row r="74" spans="1:62" ht="13" x14ac:dyDescent="0.25">
      <c r="A74" s="157" t="s">
        <v>138</v>
      </c>
      <c r="B74" s="117"/>
      <c r="C74" s="42"/>
      <c r="D74" s="42"/>
      <c r="E74" s="42"/>
      <c r="F74" s="42"/>
      <c r="G74" s="42"/>
      <c r="H74" s="42"/>
      <c r="I74" s="42"/>
      <c r="J74" s="42"/>
      <c r="K74" s="42">
        <f>[19]SAS_NSA_2012_1T!$E$212</f>
        <v>5092</v>
      </c>
      <c r="L74" s="42">
        <f>'[20]120919-14H22S23-PROGRAM-TdB_STO'!$E$212</f>
        <v>5266.4</v>
      </c>
      <c r="M74" s="42">
        <f>'[21]121105-15H12S18-PROGRAM-TdB_STO'!$E$212</f>
        <v>5422.4</v>
      </c>
      <c r="N74" s="42">
        <f>[22]SAS_NSA_2012_4T!$E$212</f>
        <v>6217.72</v>
      </c>
      <c r="O74" s="42">
        <f>[23]SAS_NSA_2013_1T!$E$212</f>
        <v>5989.88</v>
      </c>
      <c r="P74" s="42">
        <f>[24]SAS_NSA_2013_2T!$E$212</f>
        <v>6330</v>
      </c>
      <c r="Q74" s="42">
        <f>[25]SAS_NSA_2013_3T!$E$212</f>
        <v>6377.2</v>
      </c>
      <c r="R74" s="181">
        <f>[26]SAS_NSA_2013_4T!$E$212</f>
        <v>6121.8</v>
      </c>
      <c r="S74" s="181">
        <f>[27]SAS_NSA_2014_1T!$E$212</f>
        <v>6079.52</v>
      </c>
      <c r="T74" s="181">
        <f>[28]SAS_NSA_2014_2T!$E$212</f>
        <v>8321.64</v>
      </c>
      <c r="U74" s="181">
        <f>[29]SAS_NSA_2014_3T!$E$212</f>
        <v>8256.7199999999993</v>
      </c>
      <c r="V74" s="181">
        <f>[30]SAS_NSA_2014_4T!$E$212</f>
        <v>8308.6</v>
      </c>
      <c r="W74" s="181">
        <f>[31]SAS_NSA_2015_1T!$E$212</f>
        <v>8287.64</v>
      </c>
      <c r="X74" s="181">
        <f>[32]SAS_NSA_2015_2T!$E$212</f>
        <v>8278.68</v>
      </c>
      <c r="Y74" s="181">
        <f>[33]SAS_NSA_2015_3T!$E$212</f>
        <v>8279.36</v>
      </c>
      <c r="Z74" s="181">
        <f>[34]SAS_NSA_2015_4T!$E$212</f>
        <v>8277.1200000000008</v>
      </c>
      <c r="AA74" s="181">
        <f>[35]SAS_NSA_2016_1T!$E$212</f>
        <v>8272.08</v>
      </c>
      <c r="AB74" s="181">
        <f>[36]SAS_NSA_2016_2T!$E$212</f>
        <v>8261.4</v>
      </c>
      <c r="AC74" s="181">
        <f>[37]SAS_NSA_2016_3T!$E$212</f>
        <v>8262.56</v>
      </c>
      <c r="AD74" s="181">
        <f>[38]SAS_NSA_2016_4T!$E$212</f>
        <v>8249.36</v>
      </c>
      <c r="AE74" s="181">
        <f>[39]SAS_NSA_2017_1T!$E$212</f>
        <v>8241.32</v>
      </c>
      <c r="AF74" s="181">
        <f>[40]SAS_NSA_2017_2T!$E$212</f>
        <v>8238.76</v>
      </c>
      <c r="AG74" s="181">
        <f>[41]SAS_NSA_2017_3T!$E$212</f>
        <v>8235.16</v>
      </c>
      <c r="AH74" s="181">
        <f>[42]SAS_NSA_2017_4T!$E$212</f>
        <v>8281.68</v>
      </c>
      <c r="AI74" s="181">
        <f>[43]SAS_NSA_2018_1T!$D$276*4</f>
        <v>8254.6</v>
      </c>
      <c r="AJ74" s="181">
        <f>[44]SAS_NSA_2018_2T!$E$214</f>
        <v>8423.7999999999993</v>
      </c>
      <c r="AK74" s="181">
        <f>[45]SAS_NSA_2018_3T!$D276*4</f>
        <v>8425.7199999999993</v>
      </c>
      <c r="AL74" s="181">
        <f>4*[46]SAS_NSA_2018_4T!$D$276</f>
        <v>8401.08</v>
      </c>
      <c r="AM74" s="181">
        <f>4*[47]SAS_NSA_2019_1T!$D$276</f>
        <v>8620.24</v>
      </c>
      <c r="AN74" s="181">
        <f>4*[48]SAS_NSA_2019_2T!$D$276</f>
        <v>8613.2800000000007</v>
      </c>
      <c r="AO74" s="181">
        <f>4*[49]SAS_NSA_2019_3T!$D276</f>
        <v>8615.16</v>
      </c>
      <c r="AP74" s="181">
        <f>4*[50]SAS_NSA_2019_4T!$D$276</f>
        <v>8576.6</v>
      </c>
      <c r="AQ74" s="181">
        <f>4*[51]SAS_NSA_2020_1T!$D251</f>
        <v>9010.56</v>
      </c>
      <c r="AR74" s="181">
        <f>4*[52]SAS_NSA_2020_2T!$D251</f>
        <v>8912.36</v>
      </c>
      <c r="AS74" s="181">
        <f>4*[53]SAS_NSA_2020_3T!$D251</f>
        <v>8905.16</v>
      </c>
      <c r="AT74" s="181">
        <f>[54]SAS_NSA_2020_4T!$E$251</f>
        <v>8893.84</v>
      </c>
      <c r="AU74" s="181">
        <f>[55]SAS_NSA_2021_1T!$E$251</f>
        <v>8901.7999999999993</v>
      </c>
      <c r="AV74" s="181">
        <f>[56]SAS_NSA_2021_2T!$E$251</f>
        <v>8863.36</v>
      </c>
      <c r="AW74" s="181">
        <f>[57]SAS_NSA_2021_3T!$E$251</f>
        <v>8837.24</v>
      </c>
      <c r="AX74" s="408">
        <f>[58]SAS_NSA_2021_4T!$E145</f>
        <v>7329.9955135612799</v>
      </c>
      <c r="AY74" s="181">
        <f>[59]SAS_NSA_2022_1T!$E$145</f>
        <v>10358.177975528361</v>
      </c>
      <c r="AZ74" s="181">
        <f>[60]SAS_NSA_2022_2T!$E$145</f>
        <v>9767.4282433984008</v>
      </c>
      <c r="BA74" s="181">
        <f>[61]SAS_NSA_2022_3T!$E$145</f>
        <v>10165.74690994704</v>
      </c>
      <c r="BB74" s="382">
        <f>[62]SAS_NSA_2022_4T!$E$145</f>
        <v>10155.874015748041</v>
      </c>
      <c r="BC74" s="338">
        <f>[2]SAS_NSA_2023_1T!$E$145</f>
        <v>10278.87088607596</v>
      </c>
      <c r="BD74" s="338">
        <f>[3]SAS_NSA_2023_2T!$E$145</f>
        <v>10217.78728923476</v>
      </c>
      <c r="BE74" s="338">
        <f>[4]SAS_NSA_2023_3T!$E$145</f>
        <v>10229.774496644281</v>
      </c>
      <c r="BF74" s="338">
        <f>[5]SAS_NSA_2023_4T!$E$145</f>
        <v>10209.52523874488</v>
      </c>
      <c r="BG74" s="338">
        <f>[6]SAS_NSA_2024_1T!$E$145</f>
        <v>10809.038189533239</v>
      </c>
      <c r="BH74" s="338">
        <f>[7]SAS_NSA_2024_2T!$E$145</f>
        <v>10764.03801169592</v>
      </c>
      <c r="BI74" s="338">
        <f>[8]SAS_NSA_2024_3T!$E$145</f>
        <v>10762.08799403432</v>
      </c>
      <c r="BJ74" s="338">
        <f>[9]SAS_NSA_2024_4T!$E$145</f>
        <v>10783.05399239544</v>
      </c>
    </row>
    <row r="75" spans="1:62" x14ac:dyDescent="0.25">
      <c r="A75" s="8" t="s">
        <v>136</v>
      </c>
      <c r="B75" s="16">
        <f>[63]SAS_NSA_4T2009!$E$209</f>
        <v>11638</v>
      </c>
      <c r="C75" s="42">
        <f>[11]SAS_NSA_1T2010!$E$209</f>
        <v>11664.36</v>
      </c>
      <c r="D75" s="42">
        <f>[12]SAS_NSA_2T2010!$E$209</f>
        <v>11706.8</v>
      </c>
      <c r="E75" s="42">
        <f>[13]SAS_NSA_3T2010!$E$209</f>
        <v>11712.4</v>
      </c>
      <c r="F75" s="42">
        <f>[14]SAS_NSA_2010_4T!$E$209</f>
        <v>11721.32</v>
      </c>
      <c r="G75" s="42">
        <f>[15]SAS_NSA_2011_1T!$E$209</f>
        <v>11733.16</v>
      </c>
      <c r="H75" s="42">
        <f>[16]SAS_NSA_2011_2T!$E$209</f>
        <v>11975.56</v>
      </c>
      <c r="I75" s="42">
        <f>[17]SAS_NSA_2011_3T!$E$209</f>
        <v>11987.96</v>
      </c>
      <c r="J75" s="42">
        <f>[18]SAS_NSA_2011_4T!$E$209</f>
        <v>11999.76</v>
      </c>
      <c r="K75" s="42">
        <f>[19]SAS_NSA_2012_1T!$E$213</f>
        <v>11997.68</v>
      </c>
      <c r="L75" s="42">
        <f>'[20]120919-14H22S23-PROGRAM-TdB_STO'!$E$213</f>
        <v>12261.88</v>
      </c>
      <c r="M75" s="42">
        <f>'[21]121105-15H12S18-PROGRAM-TdB_STO'!$E$213</f>
        <v>12262.64</v>
      </c>
      <c r="N75" s="42">
        <f>[22]SAS_NSA_2012_4T!$E$213</f>
        <v>12269.68</v>
      </c>
      <c r="O75" s="42">
        <f>[23]SAS_NSA_2013_1T!$E$213</f>
        <v>12292.52</v>
      </c>
      <c r="P75" s="42">
        <f>[24]SAS_NSA_2013_2T!$E$213</f>
        <v>12450.2</v>
      </c>
      <c r="Q75" s="42">
        <f>[25]SAS_NSA_2013_3T!$E$213</f>
        <v>12455.2</v>
      </c>
      <c r="R75" s="181">
        <f>[26]SAS_NSA_2013_4T!$E$213</f>
        <v>12456.76</v>
      </c>
      <c r="S75" s="181">
        <f>[27]SAS_NSA_2014_1T!$E$213</f>
        <v>12480.84</v>
      </c>
      <c r="T75" s="181">
        <f>[28]SAS_NSA_2014_2T!$E$213</f>
        <v>11735.96</v>
      </c>
      <c r="U75" s="181">
        <f>[29]SAS_NSA_2014_3T!$E$213</f>
        <v>11766</v>
      </c>
      <c r="V75" s="181">
        <f>[30]SAS_NSA_2014_4T!$E$213</f>
        <v>11805.32</v>
      </c>
      <c r="W75" s="181">
        <f>[31]SAS_NSA_2015_1T!$E$213</f>
        <v>11825.7</v>
      </c>
      <c r="X75" s="181">
        <f>[32]SAS_NSA_2015_2T!$E$213</f>
        <v>11855.64</v>
      </c>
      <c r="Y75" s="181">
        <f>[33]SAS_NSA_2015_3T!$E$213</f>
        <v>11881.68</v>
      </c>
      <c r="Z75" s="181">
        <f>[34]SAS_NSA_2015_4T!$E$213</f>
        <v>11915.28</v>
      </c>
      <c r="AA75" s="181">
        <f>[35]SAS_NSA_2016_1T!$E$213</f>
        <v>12033.16</v>
      </c>
      <c r="AB75" s="181">
        <f>[36]SAS_NSA_2016_2T!$E$213</f>
        <v>12055.28</v>
      </c>
      <c r="AC75" s="181">
        <f>[37]SAS_NSA_2016_3T!$E$213</f>
        <v>12078.92</v>
      </c>
      <c r="AD75" s="181">
        <f>[38]SAS_NSA_2016_4T!$E$213</f>
        <v>12144.72</v>
      </c>
      <c r="AE75" s="181">
        <f>[39]SAS_NSA_2017_1T!$E$213</f>
        <v>12169.2</v>
      </c>
      <c r="AF75" s="181">
        <f>[40]SAS_NSA_2017_2T!$E$213</f>
        <v>12188.92</v>
      </c>
      <c r="AG75" s="181">
        <f>[41]SAS_NSA_2017_3T!$E$213</f>
        <v>12215.64</v>
      </c>
      <c r="AH75" s="181">
        <f>[42]SAS_NSA_2017_4T!$E$213</f>
        <v>12401.4</v>
      </c>
      <c r="AI75" s="181">
        <f>[43]SAS_NSA_2018_1T!$D$277*4</f>
        <v>12377.64</v>
      </c>
      <c r="AJ75" s="181">
        <f>[44]SAS_NSA_2018_2T!$E$215</f>
        <v>12402.92</v>
      </c>
      <c r="AK75" s="181">
        <f>[45]SAS_NSA_2018_3T!$D277*4</f>
        <v>12424.48</v>
      </c>
      <c r="AL75" s="181">
        <f>4*[46]SAS_NSA_2018_4T!$D$277</f>
        <v>12442.96</v>
      </c>
      <c r="AM75" s="181">
        <f>4*[47]SAS_NSA_2019_1T!$D$277</f>
        <v>12499.76</v>
      </c>
      <c r="AN75" s="181">
        <f>4*[48]SAS_NSA_2019_2T!$D$277</f>
        <v>12521.32</v>
      </c>
      <c r="AO75" s="181">
        <f>4*[49]SAS_NSA_2019_3T!$D277</f>
        <v>12577.88</v>
      </c>
      <c r="AP75" s="181">
        <f>4*[50]SAS_NSA_2019_4T!$D$277</f>
        <v>12573.88</v>
      </c>
      <c r="AQ75" s="181">
        <f>4*[51]SAS_NSA_2020_1T!$D252</f>
        <v>12705.64</v>
      </c>
      <c r="AR75" s="181">
        <f>4*[52]SAS_NSA_2020_2T!$D252</f>
        <v>12750.88</v>
      </c>
      <c r="AS75" s="181">
        <f>4*[53]SAS_NSA_2020_3T!$D252</f>
        <v>12763.48</v>
      </c>
      <c r="AT75" s="181">
        <f>[54]SAS_NSA_2020_4T!$E$252</f>
        <v>12781.48</v>
      </c>
      <c r="AU75" s="181">
        <f>[55]SAS_NSA_2021_1T!$E$252</f>
        <v>12853.36</v>
      </c>
      <c r="AV75" s="181">
        <f>[56]SAS_NSA_2021_2T!$E$252</f>
        <v>12873.16</v>
      </c>
      <c r="AW75" s="181">
        <f>[57]SAS_NSA_2021_3T!$E$252</f>
        <v>12901.4</v>
      </c>
      <c r="AX75" s="408">
        <f>[58]SAS_NSA_2021_4T!$E147</f>
        <v>13166.2830671066</v>
      </c>
      <c r="AY75" s="181">
        <f>[59]SAS_NSA_2022_1T!$E$146</f>
        <v>13585.40523282428</v>
      </c>
      <c r="AZ75" s="181">
        <f>[60]SAS_NSA_2022_2T!$E$146</f>
        <v>13615.20114218528</v>
      </c>
      <c r="BA75" s="181">
        <f>[61]SAS_NSA_2022_3T!$E$146</f>
        <v>14180.43115495776</v>
      </c>
      <c r="BB75" s="382">
        <f>[62]SAS_NSA_2022_4T!$E$146</f>
        <v>14132.971165220841</v>
      </c>
      <c r="BC75" s="338">
        <f>[2]SAS_NSA_2023_1T!$E$146</f>
        <v>14341.258749050399</v>
      </c>
      <c r="BD75" s="338">
        <f>[3]SAS_NSA_2023_2T!$E$146</f>
        <v>14397.578920202321</v>
      </c>
      <c r="BE75" s="338">
        <f>[4]SAS_NSA_2023_3T!$E$146</f>
        <v>14431.57779117624</v>
      </c>
      <c r="BF75" s="338">
        <f>[5]SAS_NSA_2023_4T!$E$146</f>
        <v>14464.826539531199</v>
      </c>
      <c r="BG75" s="338">
        <f>[6]SAS_NSA_2024_1T!$E$146</f>
        <v>15152.774012215559</v>
      </c>
      <c r="BH75" s="338">
        <f>[7]SAS_NSA_2024_2T!$E$146</f>
        <v>15199.949827636319</v>
      </c>
      <c r="BI75" s="338">
        <f>[8]SAS_NSA_2024_3T!$E$146</f>
        <v>15228.05875470476</v>
      </c>
      <c r="BJ75" s="338">
        <f>[9]SAS_NSA_2024_4T!$E$146</f>
        <v>15259.355923974361</v>
      </c>
    </row>
    <row r="76" spans="1:62" x14ac:dyDescent="0.25">
      <c r="A76" s="22" t="s">
        <v>60</v>
      </c>
      <c r="B76" s="117">
        <f>[63]SAS_NSA_4T2009!$E$207</f>
        <v>9741.68</v>
      </c>
      <c r="C76" s="42">
        <f>[11]SAS_NSA_1T2010!$E$207</f>
        <v>9770.08</v>
      </c>
      <c r="D76" s="42">
        <f>[12]SAS_NSA_2T2010!$E$207</f>
        <v>9981.16</v>
      </c>
      <c r="E76" s="42">
        <f>[13]SAS_NSA_3T2010!$E$207</f>
        <v>9991.08</v>
      </c>
      <c r="F76" s="42">
        <f>[14]SAS_NSA_2010_4T!$E$207</f>
        <v>10000.76</v>
      </c>
      <c r="G76" s="42">
        <f>[15]SAS_NSA_2011_1T!$E$207</f>
        <v>10021.4</v>
      </c>
      <c r="H76" s="42">
        <f>[16]SAS_NSA_2011_2T!$E$207</f>
        <v>10234.24</v>
      </c>
      <c r="I76" s="42">
        <f>[17]SAS_NSA_2011_3T!$E$207</f>
        <v>10248.280000000001</v>
      </c>
      <c r="J76" s="42">
        <f>[18]SAS_NSA_2011_4T!$E$207</f>
        <v>10259.84</v>
      </c>
      <c r="K76" s="42">
        <f>[19]SAS_NSA_2012_1T!$E$209</f>
        <v>10257.36</v>
      </c>
      <c r="L76" s="42">
        <f>'[20]120919-14H22S23-PROGRAM-TdB_STO'!$E$209</f>
        <v>10493.04</v>
      </c>
      <c r="M76" s="42">
        <f>'[21]121105-15H12S18-PROGRAM-TdB_STO'!$E$209</f>
        <v>10505.72</v>
      </c>
      <c r="N76" s="42">
        <f>[22]SAS_NSA_2012_4T!$E$209</f>
        <v>10517.32</v>
      </c>
      <c r="O76" s="42">
        <f>[23]SAS_NSA_2013_1T!$E$209</f>
        <v>10536.96</v>
      </c>
      <c r="P76" s="42">
        <f>[24]SAS_NSA_2013_2T!$E$209</f>
        <v>10674.16</v>
      </c>
      <c r="Q76" s="42">
        <f>[25]SAS_NSA_2013_3T!$E$209</f>
        <v>10682.12</v>
      </c>
      <c r="R76" s="181">
        <f>[26]SAS_NSA_2013_4T!$E$209</f>
        <v>10667.96</v>
      </c>
      <c r="S76" s="181">
        <f>[27]SAS_NSA_2014_1T!$E$209</f>
        <v>10716.36</v>
      </c>
      <c r="T76" s="181">
        <f>[28]SAS_NSA_2014_2T!$E$209</f>
        <v>10194.08</v>
      </c>
      <c r="U76" s="181">
        <f>[29]SAS_NSA_2014_3T!$E$209</f>
        <v>10227.879999999999</v>
      </c>
      <c r="V76" s="181">
        <f>[30]SAS_NSA_2014_4T!$E$209</f>
        <v>10250.4</v>
      </c>
      <c r="W76" s="181">
        <f>[31]SAS_NSA_2015_1T!$E$209</f>
        <v>10265.4</v>
      </c>
      <c r="X76" s="181">
        <f>[32]SAS_NSA_2015_2T!$E$209</f>
        <v>10287.92</v>
      </c>
      <c r="Y76" s="181">
        <f>[33]SAS_NSA_2015_3T!$E$209</f>
        <v>10309.280000000001</v>
      </c>
      <c r="Z76" s="181">
        <f>[34]SAS_NSA_2015_4T!$E$209</f>
        <v>10338.92</v>
      </c>
      <c r="AA76" s="181">
        <f>[35]SAS_NSA_2016_1T!$E$209</f>
        <v>10475.48</v>
      </c>
      <c r="AB76" s="181">
        <f>[36]SAS_NSA_2016_2T!$E$209</f>
        <v>10493.12</v>
      </c>
      <c r="AC76" s="181">
        <f>[37]SAS_NSA_2016_3T!$E$209</f>
        <v>10510.32</v>
      </c>
      <c r="AD76" s="181">
        <f>[38]SAS_NSA_2016_4T!$E$209</f>
        <v>10590.48</v>
      </c>
      <c r="AE76" s="181">
        <f>[39]SAS_NSA_2017_1T!$E$209</f>
        <v>10607.96</v>
      </c>
      <c r="AF76" s="181">
        <f>[40]SAS_NSA_2017_2T!$E$209</f>
        <v>10617.4</v>
      </c>
      <c r="AG76" s="181">
        <f>[41]SAS_NSA_2017_3T!$E$209</f>
        <v>10638.68</v>
      </c>
      <c r="AH76" s="181">
        <f>[42]SAS_NSA_2017_4T!$E$209</f>
        <v>10845.6</v>
      </c>
      <c r="AI76" s="181">
        <f>[43]SAS_NSA_2018_1T!$D$273*4</f>
        <v>10795.6</v>
      </c>
      <c r="AJ76" s="181">
        <f>[44]SAS_NSA_2018_2T!$E$211</f>
        <v>10815.84</v>
      </c>
      <c r="AK76" s="181">
        <f>4*[45]SAS_NSA_2018_3T!$D$273</f>
        <v>10833.28</v>
      </c>
      <c r="AL76" s="181">
        <f>4*[46]SAS_NSA_2018_4T!$D$273</f>
        <v>10851.2</v>
      </c>
      <c r="AM76" s="181">
        <f>4*[47]SAS_NSA_2019_1T!$D$273</f>
        <v>10902.2</v>
      </c>
      <c r="AN76" s="181">
        <f>4*[48]SAS_NSA_2019_2T!$D$273</f>
        <v>10921.52</v>
      </c>
      <c r="AO76" s="181">
        <f>4*[49]SAS_NSA_2019_3T!$D$273</f>
        <v>10954.44</v>
      </c>
      <c r="AP76" s="181">
        <f>4*[50]SAS_NSA_2019_4T!$D$273</f>
        <v>10968.76</v>
      </c>
      <c r="AQ76" s="181">
        <f>4*[51]SAS_NSA_2020_1T!$D248</f>
        <v>11086.6</v>
      </c>
      <c r="AR76" s="181">
        <f>4*[52]SAS_NSA_2020_2T!$D248</f>
        <v>11110.08</v>
      </c>
      <c r="AS76" s="181">
        <f>4*[53]SAS_NSA_2020_3T!$D248</f>
        <v>11122.36</v>
      </c>
      <c r="AT76" s="181">
        <f>[54]SAS_NSA_2020_4T!$E$248</f>
        <v>11145.04</v>
      </c>
      <c r="AU76" s="181">
        <f>[55]SAS_NSA_2021_1T!$E$248</f>
        <v>11208.68</v>
      </c>
      <c r="AV76" s="181">
        <f>[56]SAS_NSA_2021_2T!$E$248</f>
        <v>11236.24</v>
      </c>
      <c r="AW76" s="181">
        <f>[57]SAS_NSA_2021_3T!$E$248</f>
        <v>11277.04</v>
      </c>
      <c r="AX76" s="408">
        <f>[58]SAS_NSA_2021_4T!$E$142</f>
        <v>11913.42723114468</v>
      </c>
      <c r="AY76" s="181">
        <f>[59]SAS_NSA_2022_1T!$E$142</f>
        <v>12505.64040571128</v>
      </c>
      <c r="AZ76" s="181">
        <f>[60]SAS_NSA_2022_2T!$E$142</f>
        <v>12528.40029008708</v>
      </c>
      <c r="BA76" s="181">
        <f>[61]SAS_NSA_2022_3T!$E$142</f>
        <v>13046.816411264361</v>
      </c>
      <c r="BB76" s="382">
        <f>[62]SAS_NSA_2022_4T!$E$142</f>
        <v>13020.525548896079</v>
      </c>
      <c r="BC76" s="338">
        <f>[2]SAS_NSA_2023_1T!$E$142</f>
        <v>13173.88919504188</v>
      </c>
      <c r="BD76" s="338">
        <f>[3]SAS_NSA_2023_2T!$E$142</f>
        <v>13236.904674429799</v>
      </c>
      <c r="BE76" s="338">
        <f>[4]SAS_NSA_2023_3T!$E$142</f>
        <v>13273.06809466616</v>
      </c>
      <c r="BF76" s="338">
        <f>[5]SAS_NSA_2023_4T!$E$142</f>
        <v>13302.67719927032</v>
      </c>
      <c r="BG76" s="338">
        <f>[6]SAS_NSA_2024_1T!$E$142</f>
        <v>13914.135775135401</v>
      </c>
      <c r="BH76" s="338">
        <f>[7]SAS_NSA_2024_2T!$E$142</f>
        <v>13962.728002944919</v>
      </c>
      <c r="BI76" s="338">
        <f>[8]SAS_NSA_2024_3T!$E$142</f>
        <v>13996.64234899328</v>
      </c>
      <c r="BJ76" s="338">
        <f>[9]SAS_NSA_2024_4T!$E$142</f>
        <v>14018.92972653112</v>
      </c>
    </row>
    <row r="77" spans="1:62" ht="13" x14ac:dyDescent="0.3">
      <c r="C77" s="98"/>
      <c r="K77" s="145"/>
      <c r="N77" s="145"/>
      <c r="O77" s="145"/>
      <c r="P77" s="145"/>
      <c r="Q77" s="145"/>
      <c r="W77" s="1"/>
      <c r="X77" s="1"/>
      <c r="AG77" s="175"/>
      <c r="AH77" s="175"/>
      <c r="AI77" s="175"/>
      <c r="AJ77" s="340"/>
      <c r="AM77" s="175"/>
      <c r="AN77" s="175"/>
      <c r="AO77" s="175"/>
      <c r="AQ77" s="175"/>
      <c r="AR77" s="175"/>
      <c r="AS77" s="175"/>
      <c r="AT77" s="175"/>
      <c r="AU77" s="175"/>
      <c r="AV77" s="175"/>
      <c r="AW77" s="175"/>
      <c r="AX77" s="435"/>
      <c r="BC77" s="347"/>
      <c r="BD77" s="347"/>
      <c r="BE77" s="347"/>
      <c r="BF77" s="347"/>
      <c r="BG77" s="347"/>
      <c r="BH77" s="347"/>
      <c r="BI77" s="347"/>
      <c r="BJ77" s="347"/>
    </row>
    <row r="78" spans="1:62" s="1" customFormat="1" ht="13" x14ac:dyDescent="0.3">
      <c r="A78" s="1" t="s">
        <v>169</v>
      </c>
      <c r="C78" s="37"/>
      <c r="D78" s="37"/>
      <c r="E78" s="37"/>
      <c r="F78" s="37"/>
      <c r="G78" s="37"/>
      <c r="H78" s="37"/>
      <c r="I78" s="37"/>
      <c r="J78" s="37"/>
      <c r="K78" s="144"/>
      <c r="N78" s="144"/>
      <c r="O78" s="144"/>
      <c r="P78" s="144"/>
      <c r="Q78" s="144"/>
      <c r="R78" s="37"/>
      <c r="S78" s="201"/>
      <c r="T78" s="201"/>
      <c r="U78" s="201"/>
      <c r="V78" s="201"/>
      <c r="W78" s="1" t="s">
        <v>169</v>
      </c>
      <c r="Y78" s="175"/>
      <c r="Z78" s="175"/>
      <c r="AA78" s="201"/>
      <c r="AB78" s="201"/>
      <c r="AC78" s="201"/>
      <c r="AD78" s="201"/>
      <c r="AE78" s="201"/>
      <c r="AF78" s="201"/>
      <c r="AG78" s="201"/>
      <c r="AH78" s="201"/>
      <c r="AI78" s="201"/>
      <c r="AJ78" s="340"/>
      <c r="AM78" s="201"/>
      <c r="AN78" s="201"/>
      <c r="AO78" s="201"/>
      <c r="AQ78" s="201"/>
      <c r="AR78" s="201"/>
      <c r="AS78" s="201"/>
      <c r="AT78" s="201"/>
      <c r="AU78" s="201"/>
      <c r="AV78" s="201"/>
      <c r="AW78" s="201"/>
      <c r="AX78" s="440"/>
      <c r="BC78" s="4"/>
      <c r="BD78" s="4"/>
      <c r="BE78" s="4"/>
      <c r="BF78" s="4"/>
      <c r="BG78" s="4"/>
      <c r="BH78" s="4"/>
      <c r="BI78" s="4"/>
      <c r="BJ78" s="4"/>
    </row>
    <row r="79" spans="1:62" ht="13" x14ac:dyDescent="0.3">
      <c r="A79" s="35"/>
      <c r="B79" s="35"/>
      <c r="G79" s="145"/>
      <c r="H79" s="4"/>
      <c r="I79" s="4"/>
      <c r="J79" s="4"/>
      <c r="K79" s="4"/>
      <c r="N79" s="4"/>
      <c r="O79" s="4"/>
      <c r="P79" s="4"/>
      <c r="Q79" s="4"/>
      <c r="R79" s="210"/>
      <c r="S79" s="215"/>
      <c r="T79" s="215"/>
      <c r="U79" s="215"/>
      <c r="V79" s="215"/>
      <c r="W79" s="35"/>
      <c r="X79" s="35"/>
      <c r="Y79" s="201"/>
      <c r="Z79" s="201"/>
      <c r="AA79" s="236" t="s">
        <v>166</v>
      </c>
      <c r="AB79" s="236" t="s">
        <v>177</v>
      </c>
      <c r="AC79" s="236" t="str">
        <f t="shared" ref="AC79:AH79" si="267">AC71</f>
        <v>3e T 2016</v>
      </c>
      <c r="AD79" s="236" t="str">
        <f t="shared" si="267"/>
        <v>4e T 2016</v>
      </c>
      <c r="AE79" s="236" t="str">
        <f t="shared" si="267"/>
        <v>2017 - T1</v>
      </c>
      <c r="AF79" s="236" t="str">
        <f t="shared" si="267"/>
        <v>2017 - T2</v>
      </c>
      <c r="AG79" s="236" t="str">
        <f t="shared" si="267"/>
        <v>2017- T3</v>
      </c>
      <c r="AH79" s="236" t="str">
        <f t="shared" si="267"/>
        <v>2017 - T4</v>
      </c>
      <c r="AI79" s="236" t="str">
        <f t="shared" ref="AI79:AK79" si="268">AI71</f>
        <v>2018 - T1</v>
      </c>
      <c r="AJ79" s="236" t="str">
        <f t="shared" si="268"/>
        <v>2018 - T2</v>
      </c>
      <c r="AK79" s="236" t="str">
        <f t="shared" si="268"/>
        <v>2018 - T3</v>
      </c>
      <c r="AL79" s="236" t="str">
        <f t="shared" ref="AL79:AM79" si="269">AL71</f>
        <v>2018 - T4</v>
      </c>
      <c r="AM79" s="236" t="str">
        <f t="shared" si="269"/>
        <v>2019 - T1</v>
      </c>
      <c r="AN79" s="236" t="str">
        <f t="shared" ref="AN79:AP79" si="270">AN71</f>
        <v>2019 - T2</v>
      </c>
      <c r="AO79" s="236" t="str">
        <f t="shared" si="270"/>
        <v>2019 - T3</v>
      </c>
      <c r="AP79" s="236" t="str">
        <f t="shared" si="270"/>
        <v>2019 - T4</v>
      </c>
      <c r="AQ79" s="236" t="str">
        <f t="shared" ref="AQ79:AR79" si="271">AQ71</f>
        <v>2020 - T1</v>
      </c>
      <c r="AR79" s="236" t="str">
        <f t="shared" si="271"/>
        <v>2020 - T2</v>
      </c>
      <c r="AS79" s="236" t="str">
        <f t="shared" ref="AS79:AT79" si="272">AS71</f>
        <v>2020 - T3</v>
      </c>
      <c r="AT79" s="236" t="str">
        <f t="shared" si="272"/>
        <v>2020- T4</v>
      </c>
      <c r="AU79" s="236" t="str">
        <f t="shared" ref="AU79:AV79" si="273">AU71</f>
        <v>2021- T1</v>
      </c>
      <c r="AV79" s="236" t="str">
        <f t="shared" si="273"/>
        <v>2021- T2</v>
      </c>
      <c r="AW79" s="236" t="str">
        <f t="shared" ref="AW79:AY79" si="274">AW71</f>
        <v>2021- T3</v>
      </c>
      <c r="AX79" s="441" t="str">
        <f t="shared" si="274"/>
        <v>2021- T4</v>
      </c>
      <c r="AY79" s="236" t="str">
        <f t="shared" si="274"/>
        <v>2022- T1</v>
      </c>
      <c r="AZ79" s="236" t="str">
        <f t="shared" ref="AZ79" si="275">AZ71</f>
        <v>2022- T2</v>
      </c>
      <c r="BA79" s="236" t="str">
        <f t="shared" ref="BA79:BB79" si="276">BA71</f>
        <v>2022- T3</v>
      </c>
      <c r="BB79" s="387" t="str">
        <f t="shared" si="276"/>
        <v>2022- T4</v>
      </c>
      <c r="BC79" s="22" t="str">
        <f t="shared" ref="BC79:BD79" si="277">BC71</f>
        <v>2023- T1</v>
      </c>
      <c r="BD79" s="22" t="str">
        <f t="shared" si="277"/>
        <v>2023- T2</v>
      </c>
      <c r="BE79" s="22" t="str">
        <f t="shared" ref="BE79:BF79" si="278">BE71</f>
        <v>2023- T3</v>
      </c>
      <c r="BF79" s="22" t="str">
        <f t="shared" si="278"/>
        <v>2023- T4</v>
      </c>
      <c r="BG79" s="22" t="str">
        <f t="shared" ref="BG79:BH79" si="279">BG71</f>
        <v>2024- T1</v>
      </c>
      <c r="BH79" s="22" t="str">
        <f t="shared" si="279"/>
        <v>2024- T2</v>
      </c>
      <c r="BI79" s="22" t="str">
        <f t="shared" ref="BI79:BJ79" si="280">BI71</f>
        <v>2024- T3</v>
      </c>
      <c r="BJ79" s="22" t="str">
        <f t="shared" si="280"/>
        <v>2024- T4</v>
      </c>
    </row>
    <row r="80" spans="1:62" ht="13" x14ac:dyDescent="0.3">
      <c r="A80" s="35"/>
      <c r="B80" s="35"/>
      <c r="G80" s="145"/>
      <c r="H80" s="4"/>
      <c r="I80" s="4"/>
      <c r="J80" s="4"/>
      <c r="K80" s="4"/>
      <c r="N80" s="4"/>
      <c r="O80" s="4"/>
      <c r="P80" s="4"/>
      <c r="Q80" s="4"/>
      <c r="R80" s="210"/>
      <c r="S80" s="215"/>
      <c r="T80" s="215"/>
      <c r="U80" s="215"/>
      <c r="V80" s="215"/>
      <c r="W80" s="35"/>
      <c r="X80" s="35"/>
      <c r="Y80" s="201"/>
      <c r="Z80" s="201"/>
      <c r="AA80" s="236"/>
      <c r="AB80" s="236"/>
      <c r="AC80" s="236"/>
      <c r="AD80" s="236"/>
      <c r="AE80" s="236"/>
      <c r="AF80" s="236"/>
      <c r="AG80" s="236"/>
      <c r="AH80" s="236"/>
      <c r="AI80" s="236"/>
      <c r="AJ80" s="236"/>
      <c r="AM80" s="236"/>
      <c r="AN80" s="236"/>
      <c r="AO80" s="236"/>
      <c r="AQ80" s="236"/>
      <c r="AR80" s="236"/>
      <c r="AS80" s="236"/>
      <c r="AT80" s="236"/>
      <c r="AU80" s="236"/>
      <c r="AV80" s="236"/>
      <c r="AW80" s="236"/>
      <c r="AX80" s="441"/>
    </row>
    <row r="81" spans="1:62" x14ac:dyDescent="0.25">
      <c r="A81" s="237" t="s">
        <v>170</v>
      </c>
      <c r="B81" s="35"/>
      <c r="G81" s="145"/>
      <c r="H81" s="4"/>
      <c r="I81" s="4"/>
      <c r="J81" s="4"/>
      <c r="K81" s="4"/>
      <c r="N81" s="4"/>
      <c r="O81" s="4"/>
      <c r="P81" s="4"/>
      <c r="Q81" s="4"/>
      <c r="R81" s="210"/>
      <c r="S81" s="215"/>
      <c r="T81" s="215"/>
      <c r="U81" s="215"/>
      <c r="V81" s="215"/>
      <c r="W81" s="486" t="s">
        <v>170</v>
      </c>
      <c r="X81" s="487"/>
      <c r="Y81" s="487"/>
      <c r="Z81" s="488"/>
      <c r="AA81" s="186">
        <v>223889</v>
      </c>
      <c r="AB81" s="186">
        <f>[36]SAS_NSA_2016_2T!$C$281</f>
        <v>220861</v>
      </c>
      <c r="AC81" s="186">
        <f>[37]SAS_NSA_2016_3T!$C$281</f>
        <v>217610</v>
      </c>
      <c r="AD81" s="186">
        <f>[38]SAS_NSA_2016_4T!$C$281</f>
        <v>232901</v>
      </c>
      <c r="AE81" s="186">
        <f>[39]SAS_NSA_2017_1T!$C$281</f>
        <v>229164</v>
      </c>
      <c r="AF81" s="186">
        <f>[40]SAS_NSA_2017_2T!$C$281</f>
        <v>224936</v>
      </c>
      <c r="AG81" s="186">
        <f>[41]SAS_NSA_2017_3T!$C$281</f>
        <v>221576</v>
      </c>
      <c r="AH81" s="186">
        <f>[42]SAS_NSA_2017_4T!$C$281</f>
        <v>236954</v>
      </c>
      <c r="AI81" s="186">
        <f>[43]SAS_NSA_2018_1T!$C$353</f>
        <v>232609</v>
      </c>
      <c r="AJ81" s="186">
        <f>[44]SAS_NSA_2018_2T!$C$283</f>
        <v>228845</v>
      </c>
      <c r="AK81" s="186">
        <f>[45]SAS_NSA_2018_3T!$C$353</f>
        <v>225281</v>
      </c>
      <c r="AL81" s="186">
        <f>[46]SAS_NSA_2018_4T!$C$353</f>
        <v>226637</v>
      </c>
      <c r="AM81" s="186">
        <f>[47]SAS_NSA_2019_1T!$C$353</f>
        <v>222834</v>
      </c>
      <c r="AN81" s="186">
        <f>[48]SAS_NSA_2019_2T!$C$353</f>
        <v>218802</v>
      </c>
      <c r="AO81" s="186">
        <f>[49]SAS_NSA_2019_3T!$C$353</f>
        <v>215425</v>
      </c>
      <c r="AP81" s="186">
        <f>[50]SAS_NSA_2019_4T!$C$353</f>
        <v>216784</v>
      </c>
      <c r="AQ81" s="186">
        <f>[51]SAS_NSA_2020_1T!$C$316</f>
        <v>213421</v>
      </c>
      <c r="AR81" s="186">
        <f>[52]SAS_NSA_2020_2T!$C$316</f>
        <v>209631</v>
      </c>
      <c r="AS81" s="186">
        <f>[53]SAS_NSA_2020_3T!$C$316</f>
        <v>206335</v>
      </c>
      <c r="AT81" s="186">
        <f>[54]SAS_NSA_2020_4T!$C$316</f>
        <v>207741</v>
      </c>
      <c r="AU81" s="186">
        <f>[55]SAS_NSA_2021_1T!$C$316</f>
        <v>203630</v>
      </c>
      <c r="AV81" s="186">
        <f>[56]SAS_NSA_2021_2T!$C$316</f>
        <v>202102</v>
      </c>
      <c r="AW81" s="186">
        <f>[57]SAS_NSA_2021_3T!$C$316</f>
        <v>211179</v>
      </c>
      <c r="AX81" s="413">
        <f>[58]SAS_NSA_2021_4T!$C$152</f>
        <v>246309</v>
      </c>
      <c r="AY81" s="186">
        <f>[59]SAS_NSA_2022_1T!$C$152</f>
        <v>247658</v>
      </c>
      <c r="AZ81" s="186">
        <f>[60]SAS_NSA_2022_2T!$C$152</f>
        <v>245229</v>
      </c>
      <c r="BA81" s="186">
        <f>[61]SAS_NSA_2022_3T!$C$152</f>
        <v>242000</v>
      </c>
      <c r="BB81" s="186">
        <f>[62]SAS_NSA_2022_4T!$C$152</f>
        <v>240985</v>
      </c>
      <c r="BC81" s="186">
        <f>[2]SAS_NSA_2023_1T!$C$152</f>
        <v>237598</v>
      </c>
      <c r="BD81" s="186">
        <f>[3]SAS_NSA_2023_2T!$C$152</f>
        <v>238643</v>
      </c>
      <c r="BE81" s="186">
        <f>[4]SAS_NSA_2023_3T!$C$152</f>
        <v>236442</v>
      </c>
      <c r="BF81" s="186">
        <f>[5]SAS_NSA_2023_4T!$C$152</f>
        <v>235582</v>
      </c>
      <c r="BG81" s="186">
        <f>[6]SAS_NSA_2024_1T!$C$152</f>
        <v>233209</v>
      </c>
      <c r="BH81" s="186">
        <f>[7]SAS_NSA_2024_2T!$C$152</f>
        <v>230912</v>
      </c>
      <c r="BI81" s="186">
        <f>[8]SAS_NSA_2024_3T!$C$152</f>
        <v>228598</v>
      </c>
      <c r="BJ81" s="186">
        <f>[9]SAS_NSA_2024_4T!$C$152</f>
        <v>226297</v>
      </c>
    </row>
    <row r="82" spans="1:62" x14ac:dyDescent="0.25">
      <c r="A82" s="235" t="s">
        <v>92</v>
      </c>
      <c r="B82" s="35"/>
      <c r="G82" s="145"/>
      <c r="H82" s="4"/>
      <c r="I82" s="4"/>
      <c r="J82" s="4"/>
      <c r="K82" s="4"/>
      <c r="N82" s="4"/>
      <c r="O82" s="4"/>
      <c r="P82" s="4"/>
      <c r="Q82" s="4"/>
      <c r="R82" s="210"/>
      <c r="S82" s="215"/>
      <c r="T82" s="215"/>
      <c r="U82" s="215"/>
      <c r="V82" s="215"/>
      <c r="W82" s="489" t="s">
        <v>92</v>
      </c>
      <c r="X82" s="490"/>
      <c r="Y82" s="490"/>
      <c r="Z82" s="491"/>
      <c r="AA82" s="195">
        <v>25.3</v>
      </c>
      <c r="AB82" s="195">
        <f>[36]SAS_NSA_2016_2T!$D$281</f>
        <v>25.224900000000002</v>
      </c>
      <c r="AC82" s="195">
        <f>[37]SAS_NSA_2016_3T!$D$281</f>
        <v>25.1891</v>
      </c>
      <c r="AD82" s="195">
        <f>[38]SAS_NSA_2016_4T!$D$281</f>
        <v>35.956099999999999</v>
      </c>
      <c r="AE82" s="195">
        <f>[39]SAS_NSA_2017_1T!$D$281</f>
        <v>35.931399999999996</v>
      </c>
      <c r="AF82" s="195">
        <f>[40]SAS_NSA_2017_2T!$D$281</f>
        <v>35.854599999999998</v>
      </c>
      <c r="AG82" s="195">
        <f>[41]SAS_NSA_2017_3T!$D$281</f>
        <v>35.797499999999999</v>
      </c>
      <c r="AH82" s="195">
        <f>[42]SAS_NSA_2017_4T!$D$281</f>
        <v>44.895800000000001</v>
      </c>
      <c r="AI82" s="195">
        <f>[43]SAS_NSA_2018_1T!$D$353</f>
        <v>44.672600000000003</v>
      </c>
      <c r="AJ82" s="195">
        <f>[44]SAS_NSA_2018_2T!$D$283</f>
        <v>44.578899999999997</v>
      </c>
      <c r="AK82" s="195">
        <f>[45]SAS_NSA_2018_3T!$D$353</f>
        <v>44.495399999999997</v>
      </c>
      <c r="AL82" s="195">
        <f>[46]SAS_NSA_2018_4T!$D$353</f>
        <v>44.6021</v>
      </c>
      <c r="AM82" s="195">
        <f>[47]SAS_NSA_2019_1T!$D$353</f>
        <v>44.522300000000001</v>
      </c>
      <c r="AN82" s="195">
        <f>[48]SAS_NSA_2019_2T!$D$353</f>
        <v>44.4407</v>
      </c>
      <c r="AO82" s="195">
        <f>[49]SAS_NSA_2019_3T!$D$353</f>
        <v>44.764600000000002</v>
      </c>
      <c r="AP82" s="195">
        <f>[50]SAS_NSA_2019_4T!$D$353</f>
        <v>45.119</v>
      </c>
      <c r="AQ82" s="195">
        <f>[51]SAS_NSA_2020_1T!$D$316</f>
        <v>45.058900000000001</v>
      </c>
      <c r="AR82" s="195">
        <f>[52]SAS_NSA_2020_2T!$D$316</f>
        <v>44.994599999999998</v>
      </c>
      <c r="AS82" s="195">
        <f>[53]SAS_NSA_2020_3T!$D$316</f>
        <v>45.368600000000001</v>
      </c>
      <c r="AT82" s="195">
        <f>[54]SAS_NSA_2020_4T!$D$316</f>
        <v>45.844999999999999</v>
      </c>
      <c r="AU82" s="195">
        <f>[55]SAS_NSA_2021_1T!$D$316</f>
        <v>45.9527</v>
      </c>
      <c r="AV82" s="195">
        <f>[56]SAS_NSA_2021_2T!$D$316</f>
        <v>46.143300000000004</v>
      </c>
      <c r="AW82" s="195">
        <f>[57]SAS_NSA_2021_3T!$D$316</f>
        <v>46.805500000000002</v>
      </c>
      <c r="AX82" s="426">
        <f>[58]SAS_NSA_2021_4T!$D$152</f>
        <v>122.12733773004599</v>
      </c>
      <c r="AY82" s="195">
        <f>[59]SAS_NSA_2022_1T!$D$152</f>
        <v>133.62032396657801</v>
      </c>
      <c r="AZ82" s="195">
        <f>[60]SAS_NSA_2022_2T!$D$152</f>
        <v>133.600978428997</v>
      </c>
      <c r="BA82" s="195">
        <f>[61]SAS_NSA_2022_3T!$D$152</f>
        <v>138.80066986444501</v>
      </c>
      <c r="BB82" s="195">
        <f>[62]SAS_NSA_2022_4T!$D$152</f>
        <v>138.96234663220699</v>
      </c>
      <c r="BC82" s="195">
        <f>[2]SAS_NSA_2023_1T!$D$152</f>
        <v>138.879400387121</v>
      </c>
      <c r="BD82" s="195">
        <f>[3]SAS_NSA_2023_2T!$D$152</f>
        <v>140.62360314226299</v>
      </c>
      <c r="BE82" s="195">
        <f>[4]SAS_NSA_2023_3T!$D$152</f>
        <v>140.620006527024</v>
      </c>
      <c r="BF82" s="195">
        <f>[5]SAS_NSA_2023_4T!$D$152</f>
        <v>140.802165821085</v>
      </c>
      <c r="BG82" s="195">
        <f>[6]SAS_NSA_2024_1T!$D$152</f>
        <v>141.73031063832701</v>
      </c>
      <c r="BH82" s="195">
        <f>[7]SAS_NSA_2024_2T!$D$152</f>
        <v>141.56828107072499</v>
      </c>
      <c r="BI82" s="195">
        <f>[8]SAS_NSA_2024_3T!$D$152</f>
        <v>141.60126591900701</v>
      </c>
      <c r="BJ82" s="195">
        <f>[9]SAS_NSA_2024_4T!$D$152</f>
        <v>141.656852861076</v>
      </c>
    </row>
    <row r="83" spans="1:62" x14ac:dyDescent="0.25">
      <c r="A83" s="262" t="s">
        <v>197</v>
      </c>
      <c r="B83" s="35"/>
      <c r="G83" s="145"/>
      <c r="H83" s="4"/>
      <c r="I83" s="4"/>
      <c r="J83" s="4"/>
      <c r="K83" s="4"/>
      <c r="N83" s="4"/>
      <c r="O83" s="4"/>
      <c r="P83" s="4"/>
      <c r="Q83" s="4"/>
      <c r="R83" s="210"/>
      <c r="S83" s="215"/>
      <c r="T83" s="215"/>
      <c r="U83" s="215"/>
      <c r="V83" s="215"/>
      <c r="W83" s="215"/>
      <c r="X83" s="215"/>
      <c r="Y83" s="215"/>
      <c r="Z83" s="215"/>
      <c r="AA83" s="215"/>
      <c r="AB83" s="261">
        <f>AB82*12</f>
        <v>302.69880000000001</v>
      </c>
      <c r="AC83" s="261">
        <f t="shared" ref="AC83:AH83" si="281">AC82*12</f>
        <v>302.26920000000001</v>
      </c>
      <c r="AD83" s="261">
        <f t="shared" si="281"/>
        <v>431.47320000000002</v>
      </c>
      <c r="AE83" s="261">
        <f t="shared" si="281"/>
        <v>431.17679999999996</v>
      </c>
      <c r="AF83" s="261">
        <f t="shared" si="281"/>
        <v>430.25519999999995</v>
      </c>
      <c r="AG83" s="195">
        <f>AG82*12</f>
        <v>429.57</v>
      </c>
      <c r="AH83" s="195">
        <f t="shared" si="281"/>
        <v>538.74959999999999</v>
      </c>
      <c r="AI83" s="195">
        <f>AI82*12</f>
        <v>536.07120000000009</v>
      </c>
      <c r="AJ83" s="195">
        <f>AJ82*12</f>
        <v>534.94679999999994</v>
      </c>
      <c r="AK83" s="195">
        <f>12*[45]SAS_NSA_2018_3T!$D$353</f>
        <v>533.94479999999999</v>
      </c>
      <c r="AL83" s="195">
        <f>12*AL82</f>
        <v>535.22519999999997</v>
      </c>
      <c r="AM83" s="195">
        <f>12*[47]SAS_NSA_2019_1T!$D$353</f>
        <v>534.26760000000002</v>
      </c>
      <c r="AN83" s="195">
        <f>12*[48]SAS_NSA_2019_2T!$D$353</f>
        <v>533.28840000000002</v>
      </c>
      <c r="AO83" s="195">
        <f t="shared" ref="AO83:AU83" si="282">12*AO82</f>
        <v>537.17520000000002</v>
      </c>
      <c r="AP83" s="195">
        <f t="shared" si="282"/>
        <v>541.428</v>
      </c>
      <c r="AQ83" s="195">
        <f t="shared" si="282"/>
        <v>540.70680000000004</v>
      </c>
      <c r="AR83" s="195">
        <f t="shared" si="282"/>
        <v>539.93520000000001</v>
      </c>
      <c r="AS83" s="195">
        <f t="shared" si="282"/>
        <v>544.42319999999995</v>
      </c>
      <c r="AT83" s="195">
        <f t="shared" si="282"/>
        <v>550.14</v>
      </c>
      <c r="AU83" s="195">
        <f t="shared" si="282"/>
        <v>551.43240000000003</v>
      </c>
      <c r="AV83" s="195">
        <f t="shared" ref="AV83:AW83" si="283">12*AV82</f>
        <v>553.71960000000001</v>
      </c>
      <c r="AW83" s="195">
        <f t="shared" si="283"/>
        <v>561.66600000000005</v>
      </c>
      <c r="AX83" s="426">
        <f t="shared" ref="AX83" si="284">12*AX82</f>
        <v>1465.5280527605519</v>
      </c>
      <c r="AY83" s="195">
        <f>12*AY82</f>
        <v>1603.4438875989363</v>
      </c>
      <c r="AZ83" s="195">
        <f t="shared" ref="AZ83:BE83" si="285">AZ82*12</f>
        <v>1603.2117411479639</v>
      </c>
      <c r="BA83" s="195">
        <f t="shared" si="285"/>
        <v>1665.6080383733402</v>
      </c>
      <c r="BB83" s="195">
        <f t="shared" si="285"/>
        <v>1667.548159586484</v>
      </c>
      <c r="BC83" s="195">
        <f t="shared" si="285"/>
        <v>1666.5528046454519</v>
      </c>
      <c r="BD83" s="195">
        <f t="shared" si="285"/>
        <v>1687.4832377071559</v>
      </c>
      <c r="BE83" s="195">
        <f t="shared" si="285"/>
        <v>1687.4400783242882</v>
      </c>
      <c r="BF83" s="195">
        <f t="shared" ref="BF83:BG83" si="286">BF82*12</f>
        <v>1689.62598985302</v>
      </c>
      <c r="BG83" s="195">
        <f t="shared" si="286"/>
        <v>1700.7637276599241</v>
      </c>
      <c r="BH83" s="195">
        <f t="shared" ref="BH83:BI83" si="287">BH82*12</f>
        <v>1698.8193728486999</v>
      </c>
      <c r="BI83" s="195">
        <f t="shared" si="287"/>
        <v>1699.2151910280841</v>
      </c>
      <c r="BJ83" s="195">
        <f t="shared" ref="BJ83" si="288">BJ82*12</f>
        <v>1699.882234332912</v>
      </c>
    </row>
    <row r="84" spans="1:62" x14ac:dyDescent="0.25">
      <c r="A84" s="35"/>
      <c r="B84" s="35"/>
      <c r="G84" s="145"/>
      <c r="H84" s="4"/>
      <c r="I84" s="4"/>
      <c r="J84" s="4"/>
      <c r="K84" s="4"/>
      <c r="N84" s="4"/>
      <c r="O84" s="4"/>
      <c r="P84" s="4"/>
      <c r="Q84" s="4"/>
      <c r="R84" s="210"/>
      <c r="S84" s="215"/>
      <c r="T84" s="215"/>
      <c r="U84" s="215"/>
      <c r="V84" s="215"/>
      <c r="W84" s="215"/>
      <c r="X84" s="215"/>
      <c r="Y84" s="215"/>
      <c r="Z84" s="215"/>
      <c r="AA84" s="215"/>
      <c r="AB84" s="215"/>
      <c r="AC84" s="215"/>
      <c r="AD84" s="215"/>
      <c r="AE84" s="215"/>
      <c r="AF84" s="215"/>
      <c r="AN84" s="347"/>
      <c r="AO84" s="347"/>
      <c r="AQ84" s="347"/>
      <c r="AR84" s="347"/>
      <c r="AS84" s="347"/>
      <c r="AT84" s="347"/>
      <c r="AU84" s="347"/>
      <c r="AV84" s="347"/>
      <c r="AW84" s="347"/>
      <c r="AX84" s="347"/>
    </row>
    <row r="85" spans="1:62" x14ac:dyDescent="0.25">
      <c r="A85" s="35"/>
      <c r="B85" s="35"/>
      <c r="G85" s="145"/>
      <c r="H85" s="4"/>
      <c r="I85" s="4"/>
      <c r="J85" s="4"/>
      <c r="K85" s="4"/>
      <c r="N85" s="4"/>
      <c r="O85" s="4"/>
      <c r="P85" s="4"/>
      <c r="Q85" s="4"/>
      <c r="R85" s="210"/>
      <c r="S85" s="215"/>
      <c r="T85" s="215"/>
      <c r="U85" s="215"/>
      <c r="V85" s="215"/>
      <c r="W85" s="215"/>
      <c r="X85" s="215"/>
      <c r="Y85" s="215"/>
      <c r="Z85" s="215"/>
      <c r="AA85" s="215"/>
      <c r="AB85" s="215"/>
      <c r="AC85" s="215"/>
      <c r="AD85" s="215"/>
      <c r="AE85" s="174"/>
      <c r="AF85" s="215"/>
      <c r="AY85" s="347"/>
      <c r="AZ85" s="347"/>
      <c r="BA85" s="347"/>
      <c r="BB85" s="347"/>
    </row>
    <row r="86" spans="1:62" x14ac:dyDescent="0.25">
      <c r="A86" s="35"/>
      <c r="B86" s="35"/>
      <c r="G86" s="145"/>
      <c r="H86" s="4"/>
      <c r="I86" s="4"/>
      <c r="J86" s="4"/>
      <c r="K86" s="4"/>
      <c r="N86" s="4"/>
      <c r="O86" s="4"/>
      <c r="P86" s="4"/>
      <c r="Q86" s="4"/>
      <c r="R86" s="210"/>
      <c r="S86" s="215"/>
      <c r="T86" s="215"/>
      <c r="U86" s="215"/>
      <c r="V86" s="215"/>
      <c r="W86" s="215"/>
      <c r="X86" s="215"/>
      <c r="Y86" s="215"/>
      <c r="Z86" s="215"/>
      <c r="AA86" s="215"/>
      <c r="AB86" s="215"/>
      <c r="AC86" s="215"/>
      <c r="AD86" s="215"/>
      <c r="AE86" s="174"/>
      <c r="AF86" s="215"/>
    </row>
    <row r="87" spans="1:62" x14ac:dyDescent="0.25">
      <c r="A87" s="35"/>
      <c r="B87" s="35"/>
      <c r="G87" s="145"/>
      <c r="H87" s="4"/>
      <c r="I87" s="4"/>
      <c r="J87" s="4"/>
      <c r="K87" s="4"/>
      <c r="N87" s="4"/>
      <c r="O87" s="4"/>
      <c r="P87" s="4"/>
      <c r="Q87" s="4"/>
      <c r="R87" s="210"/>
      <c r="S87" s="215"/>
      <c r="T87" s="215"/>
      <c r="U87" s="215"/>
      <c r="V87" s="215"/>
      <c r="W87" s="215"/>
      <c r="X87" s="215"/>
      <c r="Y87" s="215"/>
      <c r="Z87" s="215"/>
      <c r="AA87" s="249"/>
      <c r="AB87" s="249"/>
      <c r="AC87" s="249"/>
      <c r="AD87" s="249"/>
      <c r="AE87" s="249"/>
      <c r="AF87" s="249"/>
    </row>
    <row r="88" spans="1:62" x14ac:dyDescent="0.25">
      <c r="A88" s="35"/>
      <c r="B88" s="35"/>
      <c r="G88" s="145"/>
      <c r="H88" s="4"/>
      <c r="I88" s="4"/>
      <c r="J88" s="4"/>
      <c r="K88" s="4"/>
      <c r="N88" s="4"/>
      <c r="O88" s="4"/>
      <c r="P88" s="4"/>
      <c r="Q88" s="4"/>
      <c r="R88" s="210"/>
      <c r="S88" s="215"/>
      <c r="T88" s="215"/>
      <c r="U88" s="215"/>
      <c r="V88" s="215"/>
      <c r="W88" s="215"/>
      <c r="X88" s="215"/>
      <c r="Y88" s="215"/>
      <c r="Z88" s="215"/>
      <c r="AA88" s="215"/>
      <c r="AB88" s="215"/>
      <c r="AC88" s="215"/>
      <c r="AD88" s="215"/>
      <c r="AE88" s="215"/>
      <c r="AF88" s="215"/>
    </row>
    <row r="89" spans="1:62" x14ac:dyDescent="0.25">
      <c r="A89" s="35"/>
      <c r="B89" s="35"/>
      <c r="G89" s="145"/>
      <c r="H89" s="4"/>
      <c r="I89" s="4"/>
      <c r="J89" s="4"/>
      <c r="K89" s="4"/>
      <c r="N89" s="4"/>
      <c r="O89" s="4"/>
      <c r="P89" s="4"/>
      <c r="Q89" s="4"/>
      <c r="R89" s="210"/>
      <c r="S89" s="215"/>
      <c r="T89" s="215"/>
      <c r="U89" s="215"/>
      <c r="V89" s="215"/>
      <c r="W89" s="215"/>
      <c r="X89" s="215"/>
      <c r="Y89" s="215"/>
      <c r="Z89" s="215"/>
      <c r="AA89" s="215"/>
      <c r="AB89" s="215"/>
      <c r="AC89" s="215"/>
      <c r="AD89" s="215"/>
      <c r="AE89" s="215"/>
      <c r="AF89" s="215"/>
    </row>
    <row r="90" spans="1:62" x14ac:dyDescent="0.25">
      <c r="C90" s="4"/>
    </row>
  </sheetData>
  <mergeCells count="2">
    <mergeCell ref="W81:Z81"/>
    <mergeCell ref="W82:Z82"/>
  </mergeCells>
  <phoneticPr fontId="2" type="noConversion"/>
  <pageMargins left="0.17" right="0.17" top="0.34" bottom="0.24" header="0.27559055118110237" footer="0.19685039370078741"/>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sheetPr>
  <dimension ref="A1:BJ36"/>
  <sheetViews>
    <sheetView zoomScaleNormal="100" workbookViewId="0">
      <pane xSplit="1" ySplit="8" topLeftCell="BC9" activePane="bottomRight" state="frozen"/>
      <selection pane="topRight" activeCell="B1" sqref="B1"/>
      <selection pane="bottomLeft" activeCell="A9" sqref="A9"/>
      <selection pane="bottomRight" activeCell="BK1" sqref="BK1"/>
    </sheetView>
  </sheetViews>
  <sheetFormatPr baseColWidth="10" defaultColWidth="11.453125" defaultRowHeight="12.5" x14ac:dyDescent="0.25"/>
  <cols>
    <col min="1" max="1" width="87.1796875" style="4" bestFit="1" customWidth="1"/>
    <col min="2" max="2" width="11.7265625" style="4" bestFit="1" customWidth="1"/>
    <col min="3" max="3" width="9.7265625" style="35" bestFit="1" customWidth="1"/>
    <col min="4" max="11" width="11.7265625" style="35" bestFit="1" customWidth="1"/>
    <col min="12" max="13" width="11.453125" style="4"/>
    <col min="14" max="18" width="11.7265625" style="35" bestFit="1" customWidth="1"/>
    <col min="19" max="32" width="11.7265625" style="175" bestFit="1" customWidth="1"/>
    <col min="33" max="36" width="11.453125" style="4"/>
    <col min="37" max="37" width="13.81640625" style="4" bestFit="1" customWidth="1"/>
    <col min="38" max="44" width="11.26953125" style="4" customWidth="1"/>
    <col min="45" max="50" width="11.1796875" style="4" customWidth="1"/>
    <col min="51" max="16384" width="11.453125" style="4"/>
  </cols>
  <sheetData>
    <row r="1" spans="1:62" ht="15.5" x14ac:dyDescent="0.35">
      <c r="A1" s="125" t="str">
        <f>'A)NSA Nb'!A1</f>
        <v>Les Retraites du Régime des Non Salariés Agricoles (métropole)</v>
      </c>
      <c r="B1" s="126"/>
      <c r="C1" s="126"/>
      <c r="D1" s="126"/>
      <c r="E1" s="126"/>
      <c r="F1" s="126"/>
      <c r="G1" s="126"/>
      <c r="H1" s="126"/>
      <c r="I1" s="126"/>
      <c r="J1" s="126"/>
      <c r="K1" s="126"/>
      <c r="L1" s="142"/>
      <c r="M1" s="142"/>
      <c r="N1" s="126"/>
      <c r="O1" s="126"/>
      <c r="P1" s="126"/>
      <c r="Q1" s="126"/>
      <c r="R1" s="126"/>
      <c r="S1" s="199"/>
      <c r="T1" s="199"/>
      <c r="U1" s="199"/>
      <c r="V1" s="199"/>
      <c r="W1" s="199"/>
      <c r="X1" s="199"/>
      <c r="Y1" s="199"/>
      <c r="Z1" s="199"/>
      <c r="AA1" s="199"/>
      <c r="AB1" s="199"/>
      <c r="AC1" s="199"/>
      <c r="AD1" s="199"/>
      <c r="AE1" s="199"/>
      <c r="AF1" s="199"/>
      <c r="AG1" s="199"/>
      <c r="AH1" s="199"/>
      <c r="AI1" s="199"/>
      <c r="AM1" s="199"/>
      <c r="AN1" s="199"/>
      <c r="AO1" s="199"/>
      <c r="AP1" s="199"/>
      <c r="AQ1" s="199"/>
      <c r="AR1" s="199"/>
      <c r="AS1" s="199"/>
      <c r="AT1" s="199"/>
      <c r="AU1" s="199"/>
      <c r="AV1" s="199"/>
      <c r="AW1" s="199"/>
      <c r="AX1" s="199"/>
    </row>
    <row r="2" spans="1:62" ht="15.5" x14ac:dyDescent="0.35">
      <c r="A2" s="125" t="str">
        <f>'A)NSA Nb'!A2</f>
        <v>Elements démographiques et financiers</v>
      </c>
      <c r="B2" s="126"/>
      <c r="C2" s="126"/>
      <c r="D2" s="126"/>
      <c r="E2" s="126"/>
      <c r="F2" s="126"/>
      <c r="G2" s="126"/>
      <c r="H2" s="126"/>
      <c r="I2" s="126"/>
      <c r="J2" s="126"/>
      <c r="K2" s="126"/>
      <c r="L2" s="142"/>
      <c r="M2" s="142"/>
      <c r="N2" s="126"/>
      <c r="O2" s="126"/>
      <c r="P2" s="126"/>
      <c r="Q2" s="126"/>
      <c r="R2" s="126"/>
      <c r="S2" s="199"/>
      <c r="T2" s="199"/>
      <c r="U2" s="199"/>
      <c r="V2" s="199"/>
      <c r="W2" s="199"/>
      <c r="X2" s="199"/>
      <c r="Y2" s="199"/>
      <c r="Z2" s="199"/>
      <c r="AA2" s="199"/>
      <c r="AB2" s="199"/>
      <c r="AC2" s="199"/>
      <c r="AD2" s="199"/>
      <c r="AE2" s="199"/>
      <c r="AF2" s="199"/>
      <c r="AG2" s="199"/>
      <c r="AH2" s="199"/>
      <c r="AI2" s="199"/>
      <c r="AM2" s="199"/>
      <c r="AN2" s="199"/>
      <c r="AO2" s="199"/>
      <c r="AP2" s="199"/>
      <c r="AQ2" s="199"/>
      <c r="AR2" s="199"/>
      <c r="AS2" s="199"/>
      <c r="AT2" s="199"/>
      <c r="AU2" s="199"/>
      <c r="AV2" s="199"/>
      <c r="AW2" s="199"/>
      <c r="AX2" s="199"/>
    </row>
    <row r="3" spans="1:62" ht="13" x14ac:dyDescent="0.3">
      <c r="A3" s="127" t="s">
        <v>85</v>
      </c>
      <c r="B3" s="126"/>
      <c r="C3" s="126"/>
      <c r="D3" s="126"/>
      <c r="E3" s="126"/>
      <c r="F3" s="126"/>
      <c r="G3" s="126"/>
      <c r="H3" s="126"/>
      <c r="I3" s="126"/>
      <c r="J3" s="126"/>
      <c r="K3" s="126"/>
      <c r="L3" s="142"/>
      <c r="M3" s="142"/>
      <c r="N3" s="126"/>
      <c r="O3" s="126"/>
      <c r="P3" s="126"/>
      <c r="Q3" s="126"/>
      <c r="R3" s="126"/>
      <c r="S3" s="199"/>
      <c r="T3" s="199"/>
      <c r="U3" s="199"/>
      <c r="V3" s="199"/>
      <c r="W3" s="199"/>
      <c r="X3" s="199"/>
      <c r="Y3" s="199"/>
      <c r="Z3" s="199"/>
      <c r="AA3" s="199"/>
      <c r="AB3" s="199"/>
      <c r="AC3" s="199"/>
      <c r="AD3" s="199"/>
      <c r="AE3" s="199"/>
      <c r="AF3" s="199"/>
      <c r="AG3" s="199"/>
      <c r="AH3" s="199"/>
      <c r="AI3" s="199"/>
      <c r="AM3" s="199"/>
      <c r="AN3" s="199"/>
      <c r="AO3" s="199"/>
      <c r="AP3" s="199"/>
      <c r="AQ3" s="199"/>
      <c r="AR3" s="199"/>
      <c r="AS3" s="199"/>
      <c r="AT3" s="199"/>
      <c r="AU3" s="199"/>
      <c r="AV3" s="199"/>
      <c r="AW3" s="199"/>
      <c r="AX3" s="199"/>
    </row>
    <row r="4" spans="1:62" ht="13" x14ac:dyDescent="0.3">
      <c r="A4" s="335" t="s">
        <v>45</v>
      </c>
      <c r="B4" s="126"/>
      <c r="C4" s="126"/>
      <c r="D4" s="126"/>
      <c r="E4" s="126"/>
      <c r="F4" s="126"/>
      <c r="G4" s="126"/>
      <c r="H4" s="126"/>
      <c r="I4" s="126"/>
      <c r="J4" s="126"/>
      <c r="K4" s="126"/>
      <c r="L4" s="142"/>
      <c r="M4" s="142"/>
      <c r="N4" s="126"/>
      <c r="O4" s="126"/>
      <c r="P4" s="126"/>
      <c r="Q4" s="126"/>
      <c r="R4" s="126"/>
      <c r="S4" s="199"/>
      <c r="T4" s="199"/>
      <c r="U4" s="199"/>
      <c r="V4" s="199"/>
      <c r="W4" s="199"/>
      <c r="X4" s="199"/>
      <c r="Y4" s="199"/>
      <c r="Z4" s="199"/>
      <c r="AA4" s="199"/>
      <c r="AB4" s="199"/>
      <c r="AC4" s="199"/>
      <c r="AD4" s="199"/>
      <c r="AE4" s="199"/>
      <c r="AF4" s="199"/>
      <c r="AG4" s="199"/>
      <c r="AH4" s="199"/>
      <c r="AI4" s="199"/>
      <c r="AM4" s="199"/>
      <c r="AN4" s="199"/>
      <c r="AO4" s="199"/>
      <c r="AP4" s="199"/>
      <c r="AQ4" s="199"/>
      <c r="AR4" s="199"/>
      <c r="AS4" s="199"/>
      <c r="AT4" s="199"/>
      <c r="AU4" s="199"/>
      <c r="AV4" s="199"/>
      <c r="AW4" s="199"/>
      <c r="AX4" s="199"/>
    </row>
    <row r="5" spans="1:62" ht="13.5" thickBot="1" x14ac:dyDescent="0.35">
      <c r="A5" s="11"/>
      <c r="B5" s="7"/>
      <c r="C5" s="52"/>
      <c r="D5" s="52"/>
      <c r="E5" s="52"/>
      <c r="F5" s="52"/>
      <c r="G5" s="52"/>
      <c r="H5" s="52"/>
      <c r="I5" s="52"/>
      <c r="J5" s="52"/>
      <c r="K5" s="52"/>
      <c r="L5" s="156"/>
      <c r="M5" s="156"/>
      <c r="N5" s="52"/>
      <c r="O5" s="52"/>
      <c r="P5" s="52"/>
      <c r="Q5" s="52"/>
      <c r="R5" s="52"/>
      <c r="S5" s="212"/>
      <c r="T5" s="212"/>
      <c r="U5" s="212"/>
      <c r="V5" s="212"/>
      <c r="W5" s="212"/>
      <c r="X5" s="212"/>
      <c r="Y5" s="212"/>
      <c r="Z5" s="212"/>
      <c r="AA5" s="212"/>
      <c r="AB5" s="212"/>
      <c r="AC5" s="212"/>
      <c r="AD5" s="212"/>
      <c r="AE5" s="212"/>
      <c r="AF5" s="212"/>
      <c r="AG5" s="212"/>
      <c r="AH5" s="212"/>
      <c r="AI5" s="212"/>
      <c r="AM5" s="212"/>
      <c r="AN5" s="212"/>
      <c r="AO5" s="212"/>
      <c r="AP5" s="212"/>
      <c r="AQ5" s="212"/>
      <c r="AR5" s="212"/>
      <c r="AS5" s="212"/>
      <c r="AT5" s="212"/>
      <c r="AU5" s="212"/>
      <c r="AV5" s="212"/>
      <c r="AW5" s="212"/>
      <c r="AX5" s="212"/>
    </row>
    <row r="6" spans="1:62" ht="13" x14ac:dyDescent="0.3">
      <c r="A6" s="1"/>
      <c r="L6" s="145"/>
      <c r="M6" s="145"/>
      <c r="AG6" s="175"/>
      <c r="AH6" s="175"/>
      <c r="AI6" s="175"/>
      <c r="AM6" s="175"/>
      <c r="AN6" s="175"/>
      <c r="AO6" s="175"/>
      <c r="AP6" s="175"/>
      <c r="AQ6" s="175"/>
      <c r="AR6" s="175"/>
      <c r="AS6" s="175"/>
      <c r="AT6" s="175"/>
      <c r="AU6" s="175"/>
      <c r="AV6" s="175"/>
      <c r="AW6" s="175"/>
      <c r="AX6" s="430" t="s">
        <v>251</v>
      </c>
    </row>
    <row r="7" spans="1:62" ht="13" x14ac:dyDescent="0.3">
      <c r="A7" s="25" t="s">
        <v>46</v>
      </c>
      <c r="L7" s="145"/>
      <c r="M7" s="145"/>
      <c r="AG7" s="175"/>
      <c r="AH7" s="175"/>
      <c r="AI7" s="175"/>
      <c r="AM7" s="175"/>
      <c r="AN7" s="175"/>
      <c r="AO7" s="175"/>
      <c r="AP7" s="175"/>
      <c r="AQ7" s="175"/>
      <c r="AR7" s="175"/>
      <c r="AS7" s="175"/>
      <c r="AT7" s="175"/>
      <c r="AU7" s="175"/>
      <c r="AV7" s="175"/>
      <c r="AW7" s="175"/>
      <c r="AX7" s="435"/>
      <c r="BB7" s="377" t="s">
        <v>241</v>
      </c>
      <c r="BC7" s="377"/>
    </row>
    <row r="8" spans="1:62" x14ac:dyDescent="0.25">
      <c r="A8" s="5"/>
      <c r="B8" s="2" t="str">
        <f>'A)NSA Nb'!B8</f>
        <v>4eme T 2009</v>
      </c>
      <c r="C8" s="38" t="str">
        <f>'A)NSA Nb'!C8</f>
        <v>1er T 2010</v>
      </c>
      <c r="D8" s="38" t="str">
        <f>'A)NSA Nb'!D8</f>
        <v>2eme T 2010</v>
      </c>
      <c r="E8" s="38" t="str">
        <f>'A)NSA Nb'!E8</f>
        <v>3eme T 2010</v>
      </c>
      <c r="F8" s="38" t="str">
        <f>'A)NSA Nb'!F8</f>
        <v>4eme T 2010</v>
      </c>
      <c r="G8" s="38" t="str">
        <f>'A)NSA Nb'!G8</f>
        <v>1er T 2011</v>
      </c>
      <c r="H8" s="38" t="str">
        <f>'A)NSA Nb'!H8</f>
        <v>2eme T 2011</v>
      </c>
      <c r="I8" s="38" t="str">
        <f>'A)NSA Nb'!I8</f>
        <v>3eme T 2011</v>
      </c>
      <c r="J8" s="38" t="str">
        <f>'A)NSA Nb'!J8</f>
        <v>4eme T 2011</v>
      </c>
      <c r="K8" s="38" t="str">
        <f>'A)NSA Nb'!K8</f>
        <v>1er T 2012</v>
      </c>
      <c r="L8" s="38" t="str">
        <f>'A)NSA Nb'!L8</f>
        <v>2eme T 2012</v>
      </c>
      <c r="M8" s="38" t="str">
        <f>'A)NSA Nb'!M8</f>
        <v>3eme T 2012</v>
      </c>
      <c r="N8" s="38" t="str">
        <f>'A)NSA Nb'!N8</f>
        <v>4eme T 2012</v>
      </c>
      <c r="O8" s="38" t="str">
        <f>'A)NSA Nb'!O8</f>
        <v>1er T 2013</v>
      </c>
      <c r="P8" s="38" t="str">
        <f>'A)NSA Nb'!P8</f>
        <v>2eme T 2013</v>
      </c>
      <c r="Q8" s="38" t="str">
        <f>'A)NSA Nb'!Q8</f>
        <v>3ème T 2013</v>
      </c>
      <c r="R8" s="38" t="str">
        <f>'A)NSA Nb'!R8</f>
        <v>4ème T 2013</v>
      </c>
      <c r="S8" s="178" t="str">
        <f>'A)NSA Nb'!S8</f>
        <v>1er T 2014</v>
      </c>
      <c r="T8" s="178" t="str">
        <f>'A)NSA Nb'!T8</f>
        <v>2eme T 2014</v>
      </c>
      <c r="U8" s="178" t="str">
        <f>'A)NSA Nb'!U8</f>
        <v>3T 2014</v>
      </c>
      <c r="V8" s="178" t="str">
        <f>'A)NSA Nb'!V8</f>
        <v>4ème T 2014</v>
      </c>
      <c r="W8" s="178" t="str">
        <f>'A)NSA Nb'!W8</f>
        <v>1er T 2015</v>
      </c>
      <c r="X8" s="178" t="str">
        <f>'A)NSA Nb'!X8</f>
        <v>2e T 2015</v>
      </c>
      <c r="Y8" s="178" t="str">
        <f>'A)NSA Nb'!Y8</f>
        <v>3e T 2015</v>
      </c>
      <c r="Z8" s="178" t="str">
        <f>'A)NSA Nb'!Z8</f>
        <v>4e T 2015</v>
      </c>
      <c r="AA8" s="178" t="str">
        <f>'A)NSA Nb'!AA8</f>
        <v>1er T 2016</v>
      </c>
      <c r="AB8" s="178" t="str">
        <f>'A)NSA Nb'!AB8</f>
        <v>2e T 2016</v>
      </c>
      <c r="AC8" s="178" t="str">
        <f>'A)NSA Nb'!AC8</f>
        <v>3e T 2016</v>
      </c>
      <c r="AD8" s="178" t="str">
        <f>'A)NSA Nb'!AD8</f>
        <v>4e T 2016</v>
      </c>
      <c r="AE8" s="178" t="str">
        <f>'A)NSA Nb'!AE8</f>
        <v>2017 - T1</v>
      </c>
      <c r="AF8" s="178" t="str">
        <f>'A)NSA Nb'!AF8</f>
        <v>2017 - T2</v>
      </c>
      <c r="AG8" s="178" t="str">
        <f>'A)NSA Nb'!AG8</f>
        <v>2017- T3</v>
      </c>
      <c r="AH8" s="178" t="str">
        <f>'A)NSA Nb'!AH8</f>
        <v>2017 - T4</v>
      </c>
      <c r="AI8" s="178" t="str">
        <f>'A)NSA Nb'!AI8</f>
        <v>2018 - T1</v>
      </c>
      <c r="AJ8" s="178" t="str">
        <f>'A)NSA Nb'!AJ8</f>
        <v>2018 - T2</v>
      </c>
      <c r="AK8" s="178" t="str">
        <f>'A)NSA Nb'!AK8</f>
        <v>2018 - T3</v>
      </c>
      <c r="AL8" s="178" t="str">
        <f>'A)NSA Nb'!AL8</f>
        <v>2018 - T4</v>
      </c>
      <c r="AM8" s="178" t="str">
        <f>'A)NSA Nb'!AM8</f>
        <v>2019 - T1</v>
      </c>
      <c r="AN8" s="178" t="str">
        <f>'A)NSA Nb'!AN8</f>
        <v>2019 - T2</v>
      </c>
      <c r="AO8" s="178" t="str">
        <f>'A)NSA Nb'!AO8</f>
        <v>2019 - T3</v>
      </c>
      <c r="AP8" s="178" t="str">
        <f>'A)NSA Nb'!AP8</f>
        <v>2019 - T4</v>
      </c>
      <c r="AQ8" s="178" t="str">
        <f>'A)NSA Nb'!AQ8</f>
        <v>2020 - T1</v>
      </c>
      <c r="AR8" s="178" t="str">
        <f>'A)NSA Nb'!AR8</f>
        <v>2020 - T2</v>
      </c>
      <c r="AS8" s="178" t="str">
        <f>'A)NSA Nb'!AS8</f>
        <v>2020 - T3</v>
      </c>
      <c r="AT8" s="178" t="str">
        <f>'A)NSA Nb'!AT8</f>
        <v>2020- T4</v>
      </c>
      <c r="AU8" s="178" t="str">
        <f>'A)NSA Nb'!AU8</f>
        <v>2021- T1</v>
      </c>
      <c r="AV8" s="178" t="str">
        <f>'A)NSA Nb'!AV8</f>
        <v>2021- T2</v>
      </c>
      <c r="AW8" s="178" t="str">
        <f>'A)NSA Nb'!AW8</f>
        <v>2021- T3</v>
      </c>
      <c r="AX8" s="403" t="str">
        <f>'A)NSA Nb'!AX8</f>
        <v>2021- T4</v>
      </c>
      <c r="AY8" s="178" t="str">
        <f>'A)NSA Nb'!AY8</f>
        <v>2022- T1</v>
      </c>
      <c r="AZ8" s="178" t="str">
        <f>'A)NSA Nb'!AZ8</f>
        <v>2022- T2</v>
      </c>
      <c r="BA8" s="178" t="str">
        <f>'A)NSA Nb'!BA8</f>
        <v>2022- T3</v>
      </c>
      <c r="BB8" s="178" t="str">
        <f>'A)NSA Nb'!BB8</f>
        <v>2022- T4</v>
      </c>
      <c r="BC8" s="178" t="str">
        <f>'A)NSA Nb'!BC8</f>
        <v>2023- T1</v>
      </c>
      <c r="BD8" s="178" t="str">
        <f>'A)NSA Nb'!BD8</f>
        <v>2023- T2</v>
      </c>
      <c r="BE8" s="178" t="str">
        <f>'A)NSA Nb'!BE8</f>
        <v>2023- T3</v>
      </c>
      <c r="BF8" s="178" t="str">
        <f>'A)NSA Nb'!BF8</f>
        <v>2023- T4</v>
      </c>
      <c r="BG8" s="178" t="str">
        <f>'A)NSA Nb'!BG8</f>
        <v>2024- T1</v>
      </c>
      <c r="BH8" s="178" t="str">
        <f>'A)NSA Nb'!BH8</f>
        <v>2024- T2</v>
      </c>
      <c r="BI8" s="178" t="str">
        <f>'A)NSA Nb'!BI8</f>
        <v>2024- T3</v>
      </c>
      <c r="BJ8" s="178" t="str">
        <f>'A)NSA Nb'!BJ8</f>
        <v>2024- T4</v>
      </c>
    </row>
    <row r="9" spans="1:62" x14ac:dyDescent="0.25">
      <c r="A9" s="20" t="s">
        <v>27</v>
      </c>
      <c r="B9" s="39"/>
      <c r="C9" s="39">
        <f>[11]SAS_NSA_1T2010!$B$266</f>
        <v>538468</v>
      </c>
      <c r="D9" s="39">
        <f>[12]SAS_NSA_2T2010!$B$266</f>
        <v>533665</v>
      </c>
      <c r="E9" s="39">
        <f>[13]SAS_NSA_3T2010!$B$266</f>
        <v>529302</v>
      </c>
      <c r="F9" s="39">
        <f>[14]SAS_NSA_2010_4T!$B$266</f>
        <v>526420</v>
      </c>
      <c r="G9" s="39">
        <f>[15]SAS_NSA_2011_1T!$B$266</f>
        <v>523446</v>
      </c>
      <c r="H9" s="39">
        <f>[16]SAS_NSA_2011_2T!$B$266</f>
        <v>518559</v>
      </c>
      <c r="I9" s="39">
        <f>[17]SAS_NSA_2011_3T!$B$266</f>
        <v>513856</v>
      </c>
      <c r="J9" s="39">
        <f>[18]SAS_NSA_2011_4T!$B$266</f>
        <v>509761</v>
      </c>
      <c r="K9" s="39">
        <f>[19]SAS_NSA_2012_1T!$B$270</f>
        <v>506569</v>
      </c>
      <c r="L9" s="39">
        <f>'[20]120919-14H22S23-PROGRAM-TdB_STO'!$B$270</f>
        <v>500932</v>
      </c>
      <c r="M9" s="39">
        <f>'[21]121105-15H12S18-PROGRAM-TdB_STO'!$B$270</f>
        <v>495413</v>
      </c>
      <c r="N9" s="39">
        <f>[22]SAS_NSA_2012_4T!$B$270</f>
        <v>491415</v>
      </c>
      <c r="O9" s="39">
        <f>[23]SAS_NSA_2013_1T!$B$270</f>
        <v>488446</v>
      </c>
      <c r="P9" s="39">
        <f>[24]SAS_NSA_2013_2T!$B$270</f>
        <v>483473</v>
      </c>
      <c r="Q9" s="39">
        <f>[25]SAS_NSA_2013_3T!$B$270</f>
        <v>480035</v>
      </c>
      <c r="R9" s="39">
        <f>[26]SAS_NSA_2013_4T!$B$270</f>
        <v>476725</v>
      </c>
      <c r="S9" s="179">
        <f>[27]SAS_NSA_2014_1T!$B$270</f>
        <v>473231</v>
      </c>
      <c r="T9" s="179">
        <f>[28]SAS_NSA_2014_2T!$B$270</f>
        <v>469592</v>
      </c>
      <c r="U9" s="179">
        <f>[29]SAS_NSA_2014_3T!$B$270</f>
        <v>466175</v>
      </c>
      <c r="V9" s="179">
        <f>[30]SAS_NSA_2014_4T!$B$270</f>
        <v>463887</v>
      </c>
      <c r="W9" s="179">
        <f>[31]SAS_NSA_2015_1T!$B$270</f>
        <v>461710</v>
      </c>
      <c r="X9" s="179">
        <f>[32]SAS_NSA_2015_2T!$B$270</f>
        <v>456758</v>
      </c>
      <c r="Y9" s="179">
        <f>[33]SAS_NSA_2015_3T!$B$270</f>
        <v>452715</v>
      </c>
      <c r="Z9" s="179">
        <f>[34]SAS_NSA_2015_4T!$B$270</f>
        <v>450675</v>
      </c>
      <c r="AA9" s="179">
        <f>[35]SAS_NSA_2016_1T!$B$270</f>
        <v>449096</v>
      </c>
      <c r="AB9" s="179">
        <f>[36]SAS_NSA_2016_2T!$B$270</f>
        <v>445640</v>
      </c>
      <c r="AC9" s="179">
        <f>[37]SAS_NSA_2016_3T!$B$270</f>
        <v>442586</v>
      </c>
      <c r="AD9" s="179">
        <f>[38]SAS_NSA_2016_4T!$B$270</f>
        <v>440482</v>
      </c>
      <c r="AE9" s="179">
        <f>[39]SAS_NSA_2017_1T!$B$270</f>
        <v>438580</v>
      </c>
      <c r="AF9" s="179">
        <f>[40]SAS_NSA_2017_2T!$B$270</f>
        <v>434630</v>
      </c>
      <c r="AG9" s="179">
        <f>[41]SAS_NSA_2017_3T!$B$270</f>
        <v>432142</v>
      </c>
      <c r="AH9" s="179">
        <f>[42]SAS_NSA_2017_4T!$B$270</f>
        <v>431104</v>
      </c>
      <c r="AI9" s="179">
        <f>[43]SAS_NSA_2018_1T!$B$342</f>
        <v>430091</v>
      </c>
      <c r="AJ9" s="179">
        <f>[44]SAS_NSA_2018_2T!$C$227</f>
        <v>426821</v>
      </c>
      <c r="AK9" s="295">
        <f>[45]SAS_NSA_2018_3T!$C$289</f>
        <v>424193</v>
      </c>
      <c r="AL9" s="295">
        <f>[46]SAS_NSA_2018_4T!$C$289</f>
        <v>423408</v>
      </c>
      <c r="AM9" s="179">
        <f>[47]SAS_NSA_2019_1T!$C$289</f>
        <v>422084</v>
      </c>
      <c r="AN9" s="179">
        <f>[48]SAS_NSA_2019_2T!$C$289</f>
        <v>418377</v>
      </c>
      <c r="AO9" s="179">
        <f>[49]SAS_NSA_2019_3T!$C289</f>
        <v>415933</v>
      </c>
      <c r="AP9" s="179">
        <f>[50]SAS_NSA_2019_4T!$C$289</f>
        <v>415415</v>
      </c>
      <c r="AQ9" s="179">
        <f>[51]SAS_NSA_2020_1T!$C$262</f>
        <v>414835</v>
      </c>
      <c r="AR9" s="179">
        <f>[52]SAS_NSA_2020_2T!$C$262</f>
        <v>411263</v>
      </c>
      <c r="AS9" s="179">
        <f>[53]SAS_NSA_2020_3T!$C$262</f>
        <v>408148</v>
      </c>
      <c r="AT9" s="179">
        <f>[54]SAS_NSA_2020_4T!$C$262</f>
        <v>407141</v>
      </c>
      <c r="AU9" s="179">
        <f>[55]SAS_NSA_2021_1T!$C$262</f>
        <v>404975</v>
      </c>
      <c r="AV9" s="179">
        <f>[56]SAS_NSA_2021_2T!$C$262</f>
        <v>400896</v>
      </c>
      <c r="AW9" s="179">
        <f>[57]SAS_NSA_2021_3T!$C$262</f>
        <v>397971</v>
      </c>
      <c r="AX9" s="404">
        <f>[58]SAS_NSA_2021_4T!$C$160</f>
        <v>567203</v>
      </c>
      <c r="AY9" s="179">
        <f>[59]SAS_NSA_2022_1T!$C$160</f>
        <v>397059</v>
      </c>
      <c r="AZ9" s="179">
        <f>[60]SAS_NSA_2022_2T!$C$160</f>
        <v>393763</v>
      </c>
      <c r="BA9" s="179">
        <f>[61]SAS_NSA_2022_3T!$C$160</f>
        <v>391448</v>
      </c>
      <c r="BB9" s="179">
        <f>[62]SAS_NSA_2022_4T!$C$160</f>
        <v>392010</v>
      </c>
      <c r="BC9" s="179">
        <f>[2]SAS_NSA_2023_1T!$C$160</f>
        <v>390470</v>
      </c>
      <c r="BD9" s="179">
        <f>[3]SAS_NSA_2023_2T!$C$160</f>
        <v>388270</v>
      </c>
      <c r="BE9" s="179">
        <f>[4]SAS_NSA_2023_3T!$C$160</f>
        <v>386721</v>
      </c>
      <c r="BF9" s="179">
        <f>[5]SAS_NSA_2023_4T!$C$160</f>
        <v>385860</v>
      </c>
      <c r="BG9" s="179">
        <f>[6]SAS_NSA_2024_1T!$C$160</f>
        <v>385199</v>
      </c>
      <c r="BH9" s="179">
        <f>[7]SAS_NSA_2024_2T!$C$160</f>
        <v>382425</v>
      </c>
      <c r="BI9" s="179">
        <f>[8]SAS_NSA_2024_3T!$C$160</f>
        <v>380345</v>
      </c>
      <c r="BJ9" s="179">
        <f>[9]SAS_NSA_2024_4T!$C$160</f>
        <v>379810</v>
      </c>
    </row>
    <row r="10" spans="1:62" x14ac:dyDescent="0.25">
      <c r="A10" s="20" t="s">
        <v>28</v>
      </c>
      <c r="B10" s="39">
        <f>[63]SAS_NSA_4T2009!$B$267</f>
        <v>217600</v>
      </c>
      <c r="C10" s="39">
        <f>[11]SAS_NSA_1T2010!$B$267</f>
        <v>217952</v>
      </c>
      <c r="D10" s="39">
        <f>[12]SAS_NSA_2T2010!$B$267</f>
        <v>216764</v>
      </c>
      <c r="E10" s="39">
        <f>[13]SAS_NSA_3T2010!$B$267</f>
        <v>215437</v>
      </c>
      <c r="F10" s="39">
        <f>[14]SAS_NSA_2010_4T!$B$267</f>
        <v>215001</v>
      </c>
      <c r="G10" s="39">
        <f>[15]SAS_NSA_2011_1T!$B$267</f>
        <v>214727</v>
      </c>
      <c r="H10" s="39">
        <f>[16]SAS_NSA_2011_2T!$B$267</f>
        <v>213525</v>
      </c>
      <c r="I10" s="39">
        <f>[17]SAS_NSA_2011_3T!$B$267</f>
        <v>212048</v>
      </c>
      <c r="J10" s="39">
        <f>[18]SAS_NSA_2011_4T!$B$267</f>
        <v>210939</v>
      </c>
      <c r="K10" s="39">
        <f>[19]SAS_NSA_2012_1T!$B$271</f>
        <v>210426</v>
      </c>
      <c r="L10" s="39">
        <f>'[20]120919-14H22S23-PROGRAM-TdB_STO'!$B$271</f>
        <v>208823</v>
      </c>
      <c r="M10" s="39">
        <f>'[21]121105-15H12S18-PROGRAM-TdB_STO'!$B$271</f>
        <v>206846</v>
      </c>
      <c r="N10" s="39">
        <f>[22]SAS_NSA_2012_4T!$B$271</f>
        <v>205721</v>
      </c>
      <c r="O10" s="39">
        <f>[23]SAS_NSA_2013_1T!$B$271</f>
        <v>205292</v>
      </c>
      <c r="P10" s="39">
        <f>[24]SAS_NSA_2013_2T!$B$271</f>
        <v>203897</v>
      </c>
      <c r="Q10" s="39">
        <f>[25]SAS_NSA_2013_3T!$B$271</f>
        <v>202714</v>
      </c>
      <c r="R10" s="39">
        <f>[26]SAS_NSA_2013_4T!$B$271</f>
        <v>201587</v>
      </c>
      <c r="S10" s="179">
        <f>[27]SAS_NSA_2014_1T!$B$271</f>
        <v>200603</v>
      </c>
      <c r="T10" s="179">
        <f>[28]SAS_NSA_2014_2T!$B$271</f>
        <v>199715</v>
      </c>
      <c r="U10" s="179">
        <f>[29]SAS_NSA_2014_3T!$B$271</f>
        <v>198414</v>
      </c>
      <c r="V10" s="179">
        <f>[30]SAS_NSA_2014_4T!$B$271</f>
        <v>197683</v>
      </c>
      <c r="W10" s="179">
        <f>[31]SAS_NSA_2015_1T!$B$271</f>
        <v>196967</v>
      </c>
      <c r="X10" s="179">
        <f>[32]SAS_NSA_2015_2T!$B$271</f>
        <v>195220</v>
      </c>
      <c r="Y10" s="179">
        <f>[33]SAS_NSA_2015_3T!$B$271</f>
        <v>193505</v>
      </c>
      <c r="Z10" s="179">
        <f>[34]SAS_NSA_2015_4T!$B$271</f>
        <v>192620</v>
      </c>
      <c r="AA10" s="179">
        <f>[35]SAS_NSA_2016_1T!$B$271</f>
        <v>192188</v>
      </c>
      <c r="AB10" s="179">
        <f>[36]SAS_NSA_2016_2T!$B$271</f>
        <v>190928</v>
      </c>
      <c r="AC10" s="179">
        <f>[37]SAS_NSA_2016_3T!$B$271</f>
        <v>189594</v>
      </c>
      <c r="AD10" s="179">
        <f>[38]SAS_NSA_2016_4T!$B$271</f>
        <v>188407</v>
      </c>
      <c r="AE10" s="179">
        <f>[39]SAS_NSA_2017_1T!$B$271</f>
        <v>187565</v>
      </c>
      <c r="AF10" s="179">
        <f>[40]SAS_NSA_2017_2T!$B$271</f>
        <v>186127</v>
      </c>
      <c r="AG10" s="179">
        <f>[41]SAS_NSA_2017_3T!$B$271</f>
        <v>184938</v>
      </c>
      <c r="AH10" s="179">
        <f>[42]SAS_NSA_2017_4T!$B$271</f>
        <v>184262</v>
      </c>
      <c r="AI10" s="179">
        <f>[43]SAS_NSA_2018_1T!$B$343</f>
        <v>184079</v>
      </c>
      <c r="AJ10" s="179">
        <f>[44]SAS_NSA_2018_2T!$C$228</f>
        <v>182975</v>
      </c>
      <c r="AK10" s="295">
        <f>[45]SAS_NSA_2018_3T!$C$290</f>
        <v>181782</v>
      </c>
      <c r="AL10" s="295">
        <f>[46]SAS_NSA_2018_4T!$C$290</f>
        <v>180977</v>
      </c>
      <c r="AM10" s="179">
        <f>[47]SAS_NSA_2019_1T!$C$290</f>
        <v>180353</v>
      </c>
      <c r="AN10" s="179">
        <f>[48]SAS_NSA_2019_2T!$C$290</f>
        <v>179037</v>
      </c>
      <c r="AO10" s="179">
        <f>[49]SAS_NSA_2019_3T!$C290</f>
        <v>178036</v>
      </c>
      <c r="AP10" s="179">
        <f>[50]SAS_NSA_2019_4T!$C$290</f>
        <v>177626</v>
      </c>
      <c r="AQ10" s="179">
        <f>[51]SAS_NSA_2020_1T!$C$263</f>
        <v>177208</v>
      </c>
      <c r="AR10" s="179">
        <f>[52]SAS_NSA_2020_2T!$C$263</f>
        <v>175892</v>
      </c>
      <c r="AS10" s="179">
        <f>[53]SAS_NSA_2020_3T!$C$263</f>
        <v>174632</v>
      </c>
      <c r="AT10" s="179">
        <f>[54]SAS_NSA_2020_4T!$C$263</f>
        <v>173773</v>
      </c>
      <c r="AU10" s="179">
        <f>[55]SAS_NSA_2021_1T!$C$263</f>
        <v>173030</v>
      </c>
      <c r="AV10" s="179">
        <f>[56]SAS_NSA_2021_2T!$C$263</f>
        <v>171440</v>
      </c>
      <c r="AW10" s="179">
        <f>[57]SAS_NSA_2021_3T!$C$263</f>
        <v>170182</v>
      </c>
      <c r="AX10" s="404">
        <f>[58]SAS_NSA_2021_4T!$C$161</f>
        <v>397606</v>
      </c>
      <c r="AY10" s="179">
        <f>[59]SAS_NSA_2022_1T!$C$161</f>
        <v>169227</v>
      </c>
      <c r="AZ10" s="179">
        <f>[60]SAS_NSA_2022_2T!$C$161</f>
        <v>167850</v>
      </c>
      <c r="BA10" s="179">
        <f>[61]SAS_NSA_2022_3T!$C$161</f>
        <v>166939</v>
      </c>
      <c r="BB10" s="179">
        <f>[62]SAS_NSA_2022_4T!$C$161</f>
        <v>166813</v>
      </c>
      <c r="BC10" s="179">
        <f>[2]SAS_NSA_2023_1T!$C$161</f>
        <v>166286</v>
      </c>
      <c r="BD10" s="179">
        <f>[3]SAS_NSA_2023_2T!$C$161</f>
        <v>165252</v>
      </c>
      <c r="BE10" s="179">
        <f>[4]SAS_NSA_2023_3T!$C$161</f>
        <v>164477</v>
      </c>
      <c r="BF10" s="179">
        <f>[5]SAS_NSA_2023_4T!$C$161</f>
        <v>163819</v>
      </c>
      <c r="BG10" s="179">
        <f>[6]SAS_NSA_2024_1T!$C$161</f>
        <v>163528</v>
      </c>
      <c r="BH10" s="179">
        <f>[7]SAS_NSA_2024_2T!$C$161</f>
        <v>162422</v>
      </c>
      <c r="BI10" s="179">
        <f>[8]SAS_NSA_2024_3T!$C$161</f>
        <v>161579</v>
      </c>
      <c r="BJ10" s="179">
        <f>[9]SAS_NSA_2024_4T!$C$161</f>
        <v>161225</v>
      </c>
    </row>
    <row r="11" spans="1:62" x14ac:dyDescent="0.25">
      <c r="A11" s="20" t="s">
        <v>13</v>
      </c>
      <c r="B11" s="39">
        <f t="shared" ref="B11:P11" si="0">B9+B10</f>
        <v>217600</v>
      </c>
      <c r="C11" s="39">
        <f t="shared" si="0"/>
        <v>756420</v>
      </c>
      <c r="D11" s="39">
        <f t="shared" si="0"/>
        <v>750429</v>
      </c>
      <c r="E11" s="39">
        <f t="shared" si="0"/>
        <v>744739</v>
      </c>
      <c r="F11" s="39">
        <f t="shared" si="0"/>
        <v>741421</v>
      </c>
      <c r="G11" s="39">
        <f t="shared" si="0"/>
        <v>738173</v>
      </c>
      <c r="H11" s="39">
        <f t="shared" si="0"/>
        <v>732084</v>
      </c>
      <c r="I11" s="39">
        <f t="shared" si="0"/>
        <v>725904</v>
      </c>
      <c r="J11" s="39">
        <f t="shared" si="0"/>
        <v>720700</v>
      </c>
      <c r="K11" s="39">
        <f t="shared" si="0"/>
        <v>716995</v>
      </c>
      <c r="L11" s="39">
        <f t="shared" si="0"/>
        <v>709755</v>
      </c>
      <c r="M11" s="39">
        <f t="shared" si="0"/>
        <v>702259</v>
      </c>
      <c r="N11" s="39">
        <f t="shared" si="0"/>
        <v>697136</v>
      </c>
      <c r="O11" s="39">
        <f t="shared" si="0"/>
        <v>693738</v>
      </c>
      <c r="P11" s="39">
        <f t="shared" si="0"/>
        <v>687370</v>
      </c>
      <c r="Q11" s="39">
        <f t="shared" ref="Q11:R11" si="1">Q9+Q10</f>
        <v>682749</v>
      </c>
      <c r="R11" s="39">
        <f t="shared" si="1"/>
        <v>678312</v>
      </c>
      <c r="S11" s="179">
        <f t="shared" ref="S11:T11" si="2">S9+S10</f>
        <v>673834</v>
      </c>
      <c r="T11" s="179">
        <f t="shared" si="2"/>
        <v>669307</v>
      </c>
      <c r="U11" s="179">
        <f t="shared" ref="U11:V11" si="3">U9+U10</f>
        <v>664589</v>
      </c>
      <c r="V11" s="179">
        <f t="shared" si="3"/>
        <v>661570</v>
      </c>
      <c r="W11" s="179">
        <f t="shared" ref="W11:X11" si="4">W9+W10</f>
        <v>658677</v>
      </c>
      <c r="X11" s="179">
        <f t="shared" si="4"/>
        <v>651978</v>
      </c>
      <c r="Y11" s="179">
        <f t="shared" ref="Y11:Z11" si="5">Y9+Y10</f>
        <v>646220</v>
      </c>
      <c r="Z11" s="179">
        <f t="shared" si="5"/>
        <v>643295</v>
      </c>
      <c r="AA11" s="179">
        <f t="shared" ref="AA11:AB11" si="6">AA9+AA10</f>
        <v>641284</v>
      </c>
      <c r="AB11" s="179">
        <f t="shared" si="6"/>
        <v>636568</v>
      </c>
      <c r="AC11" s="179">
        <f t="shared" ref="AC11:AD11" si="7">AC9+AC10</f>
        <v>632180</v>
      </c>
      <c r="AD11" s="179">
        <f t="shared" si="7"/>
        <v>628889</v>
      </c>
      <c r="AE11" s="179">
        <f t="shared" ref="AE11" si="8">AE9+AE10</f>
        <v>626145</v>
      </c>
      <c r="AF11" s="179">
        <f t="shared" ref="AF11:AG11" si="9">AF9+AF10</f>
        <v>620757</v>
      </c>
      <c r="AG11" s="179">
        <f t="shared" si="9"/>
        <v>617080</v>
      </c>
      <c r="AH11" s="179">
        <f t="shared" ref="AH11:AI11" si="10">AH9+AH10</f>
        <v>615366</v>
      </c>
      <c r="AI11" s="179">
        <f t="shared" si="10"/>
        <v>614170</v>
      </c>
      <c r="AJ11" s="179">
        <f>[44]SAS_NSA_2018_2T!$C$226</f>
        <v>609796</v>
      </c>
      <c r="AK11" s="296">
        <f>SUM(AK9:AK10)</f>
        <v>605975</v>
      </c>
      <c r="AL11" s="296">
        <f>[46]SAS_NSA_2018_4T!$C$288</f>
        <v>604385</v>
      </c>
      <c r="AM11" s="179">
        <f>[47]SAS_NSA_2019_1T!$C$288</f>
        <v>602437</v>
      </c>
      <c r="AN11" s="179">
        <f>[48]SAS_NSA_2019_2T!$C$288</f>
        <v>597414</v>
      </c>
      <c r="AO11" s="179">
        <f>[49]SAS_NSA_2019_3T!$C$288</f>
        <v>593969</v>
      </c>
      <c r="AP11" s="179">
        <f>[50]SAS_NSA_2019_4T!$C$288</f>
        <v>593041</v>
      </c>
      <c r="AQ11" s="179">
        <f>[51]SAS_NSA_2020_1T!$C$261</f>
        <v>592043</v>
      </c>
      <c r="AR11" s="179">
        <f>[52]SAS_NSA_2020_2T!$C$261</f>
        <v>587155</v>
      </c>
      <c r="AS11" s="179">
        <f>[53]SAS_NSA_2020_3T!$C$261</f>
        <v>582780</v>
      </c>
      <c r="AT11" s="179">
        <f>[54]SAS_NSA_2020_4T!$C$261</f>
        <v>580914</v>
      </c>
      <c r="AU11" s="179">
        <f>[55]SAS_NSA_2021_1T!$C$261</f>
        <v>578005</v>
      </c>
      <c r="AV11" s="179">
        <f>[56]SAS_NSA_2021_2T!$C$261</f>
        <v>572336</v>
      </c>
      <c r="AW11" s="179">
        <f>[57]SAS_NSA_2021_3T!$C$261</f>
        <v>568153</v>
      </c>
      <c r="AX11" s="404">
        <f>[58]SAS_NSA_2021_4T!$C$159</f>
        <v>567203</v>
      </c>
      <c r="AY11" s="179">
        <f>[59]SAS_NSA_2022_1T!$C$159</f>
        <v>566286</v>
      </c>
      <c r="AZ11" s="179">
        <f>[60]SAS_NSA_2022_2T!$C$159</f>
        <v>561613</v>
      </c>
      <c r="BA11" s="179">
        <f>[61]SAS_NSA_2022_3T!$C$159</f>
        <v>558387</v>
      </c>
      <c r="BB11" s="179">
        <f>[62]SAS_NSA_2022_4T!$C$159</f>
        <v>558823</v>
      </c>
      <c r="BC11" s="179">
        <f>[2]SAS_NSA_2023_1T!$C$159</f>
        <v>556756</v>
      </c>
      <c r="BD11" s="179">
        <f>[3]SAS_NSA_2023_2T!$C$159</f>
        <v>553522</v>
      </c>
      <c r="BE11" s="179">
        <f>[4]SAS_NSA_2023_3T!$C$159</f>
        <v>551198</v>
      </c>
      <c r="BF11" s="179">
        <f>[5]SAS_NSA_2023_4T!$C$159</f>
        <v>549679</v>
      </c>
      <c r="BG11" s="179">
        <f>[6]SAS_NSA_2024_1T!$C$159</f>
        <v>548727</v>
      </c>
      <c r="BH11" s="179">
        <f>[7]SAS_NSA_2024_2T!$C$159</f>
        <v>544847</v>
      </c>
      <c r="BI11" s="179">
        <f>[8]SAS_NSA_2024_3T!$C$159</f>
        <v>541924</v>
      </c>
      <c r="BJ11" s="179">
        <f>[9]SAS_NSA_2024_4T!$C$159</f>
        <v>541035</v>
      </c>
    </row>
    <row r="12" spans="1:62" x14ac:dyDescent="0.25">
      <c r="A12" s="19"/>
      <c r="B12" s="193">
        <f t="shared" ref="B12:P12" si="11">B9/B$11</f>
        <v>0</v>
      </c>
      <c r="C12" s="193">
        <f t="shared" si="11"/>
        <v>0.71186377938182488</v>
      </c>
      <c r="D12" s="193">
        <f t="shared" si="11"/>
        <v>0.71114655750244193</v>
      </c>
      <c r="E12" s="193">
        <f t="shared" si="11"/>
        <v>0.71072147423459764</v>
      </c>
      <c r="F12" s="193">
        <f t="shared" si="11"/>
        <v>0.71001495776353785</v>
      </c>
      <c r="G12" s="193">
        <f t="shared" si="11"/>
        <v>0.70911019503558104</v>
      </c>
      <c r="H12" s="193">
        <f t="shared" si="11"/>
        <v>0.70833265035159898</v>
      </c>
      <c r="I12" s="193">
        <f t="shared" si="11"/>
        <v>0.70788423813617229</v>
      </c>
      <c r="J12" s="193">
        <f t="shared" si="11"/>
        <v>0.70731372276952964</v>
      </c>
      <c r="K12" s="193">
        <f t="shared" si="11"/>
        <v>0.70651678184645639</v>
      </c>
      <c r="L12" s="193">
        <f t="shared" si="11"/>
        <v>0.70578157251445917</v>
      </c>
      <c r="M12" s="193">
        <f t="shared" si="11"/>
        <v>0.70545624904771598</v>
      </c>
      <c r="N12" s="193">
        <f t="shared" si="11"/>
        <v>0.70490549907048261</v>
      </c>
      <c r="O12" s="193">
        <f t="shared" si="11"/>
        <v>0.70407848496118131</v>
      </c>
      <c r="P12" s="193">
        <f t="shared" si="11"/>
        <v>0.7033664547478069</v>
      </c>
      <c r="Q12" s="193">
        <f t="shared" ref="Q12:W12" si="12">Q9/Q$11</f>
        <v>0.70309147285459228</v>
      </c>
      <c r="R12" s="193">
        <f t="shared" si="12"/>
        <v>0.70281080092936588</v>
      </c>
      <c r="S12" s="193">
        <f t="shared" si="12"/>
        <v>0.70229611447329754</v>
      </c>
      <c r="T12" s="193">
        <f t="shared" si="12"/>
        <v>0.70160927646057791</v>
      </c>
      <c r="U12" s="193">
        <f t="shared" si="12"/>
        <v>0.70144856445111192</v>
      </c>
      <c r="V12" s="193">
        <f t="shared" si="12"/>
        <v>0.70119110600541135</v>
      </c>
      <c r="W12" s="193">
        <f t="shared" si="12"/>
        <v>0.70096572371587285</v>
      </c>
      <c r="X12" s="193">
        <f t="shared" ref="X12:AB13" si="13">X9/X$11</f>
        <v>0.70057271871136761</v>
      </c>
      <c r="Y12" s="193">
        <f t="shared" si="13"/>
        <v>0.70055863328278301</v>
      </c>
      <c r="Z12" s="193">
        <f t="shared" si="13"/>
        <v>0.70057283205994136</v>
      </c>
      <c r="AA12" s="193">
        <f t="shared" si="13"/>
        <v>0.70030750806195075</v>
      </c>
      <c r="AB12" s="193">
        <f t="shared" si="13"/>
        <v>0.7000666071810081</v>
      </c>
      <c r="AC12" s="193">
        <f t="shared" ref="AC12" si="14">AC9/AC$11</f>
        <v>0.70009490967762344</v>
      </c>
      <c r="AD12" s="193">
        <f t="shared" ref="AD12" si="15">AD9/AD$11</f>
        <v>0.70041295045707586</v>
      </c>
      <c r="AE12" s="193">
        <f>AE9/AE$11</f>
        <v>0.70044478515359865</v>
      </c>
      <c r="AF12" s="193">
        <f>AF9/AF$11</f>
        <v>0.70016125472608448</v>
      </c>
      <c r="AG12" s="193">
        <f t="shared" ref="AG12:AH12" si="16">AG9/AG$11</f>
        <v>0.70030141958903225</v>
      </c>
      <c r="AH12" s="193">
        <f t="shared" si="16"/>
        <v>0.70056519209706092</v>
      </c>
      <c r="AI12" s="193">
        <f t="shared" ref="AI12:AJ12" si="17">AI9/AI$11</f>
        <v>0.70028005275412342</v>
      </c>
      <c r="AJ12" s="193">
        <f t="shared" si="17"/>
        <v>0.69994063588478772</v>
      </c>
      <c r="AM12" s="193"/>
      <c r="AN12" s="193"/>
      <c r="AO12" s="193"/>
      <c r="AP12" s="193"/>
      <c r="AQ12" s="193"/>
      <c r="AR12" s="193"/>
      <c r="AS12" s="193"/>
      <c r="AT12" s="193"/>
      <c r="AU12" s="193"/>
      <c r="AV12" s="193"/>
      <c r="AW12" s="193"/>
      <c r="AX12" s="423"/>
    </row>
    <row r="13" spans="1:62" ht="13" x14ac:dyDescent="0.3">
      <c r="A13" s="25" t="s">
        <v>47</v>
      </c>
      <c r="B13" s="193">
        <f t="shared" ref="B13:P13" si="18">B10/B$11</f>
        <v>1</v>
      </c>
      <c r="C13" s="193">
        <f t="shared" si="18"/>
        <v>0.28813622061817507</v>
      </c>
      <c r="D13" s="193">
        <f t="shared" si="18"/>
        <v>0.28885344249755807</v>
      </c>
      <c r="E13" s="193">
        <f t="shared" si="18"/>
        <v>0.28927852576540236</v>
      </c>
      <c r="F13" s="193">
        <f t="shared" si="18"/>
        <v>0.28998504223646215</v>
      </c>
      <c r="G13" s="193">
        <f t="shared" si="18"/>
        <v>0.29088980496441891</v>
      </c>
      <c r="H13" s="193">
        <f t="shared" si="18"/>
        <v>0.29166734964840102</v>
      </c>
      <c r="I13" s="193">
        <f t="shared" si="18"/>
        <v>0.29211576186382771</v>
      </c>
      <c r="J13" s="193">
        <f t="shared" si="18"/>
        <v>0.29268627723047036</v>
      </c>
      <c r="K13" s="193">
        <f t="shared" si="18"/>
        <v>0.29348321815354361</v>
      </c>
      <c r="L13" s="193">
        <f t="shared" si="18"/>
        <v>0.29421842748554078</v>
      </c>
      <c r="M13" s="193">
        <f t="shared" si="18"/>
        <v>0.29454375095228397</v>
      </c>
      <c r="N13" s="193">
        <f t="shared" si="18"/>
        <v>0.29509450092951733</v>
      </c>
      <c r="O13" s="193">
        <f t="shared" si="18"/>
        <v>0.29592151503881869</v>
      </c>
      <c r="P13" s="193">
        <f t="shared" si="18"/>
        <v>0.29663354525219315</v>
      </c>
      <c r="Q13" s="193">
        <f t="shared" ref="Q13:W13" si="19">Q10/Q$11</f>
        <v>0.29690852714540777</v>
      </c>
      <c r="R13" s="193">
        <f t="shared" si="19"/>
        <v>0.29718919907063418</v>
      </c>
      <c r="S13" s="193">
        <f t="shared" si="19"/>
        <v>0.29770388552670241</v>
      </c>
      <c r="T13" s="193">
        <f t="shared" si="19"/>
        <v>0.29839072353942214</v>
      </c>
      <c r="U13" s="193">
        <f t="shared" si="19"/>
        <v>0.29855143554888813</v>
      </c>
      <c r="V13" s="193">
        <f t="shared" si="19"/>
        <v>0.29880889399458865</v>
      </c>
      <c r="W13" s="193">
        <f t="shared" si="19"/>
        <v>0.2990342762841271</v>
      </c>
      <c r="X13" s="193">
        <f t="shared" si="13"/>
        <v>0.29942728128863244</v>
      </c>
      <c r="Y13" s="193">
        <f t="shared" si="13"/>
        <v>0.29944136671721705</v>
      </c>
      <c r="Z13" s="193">
        <f t="shared" si="13"/>
        <v>0.29942716794005858</v>
      </c>
      <c r="AA13" s="193">
        <f t="shared" si="13"/>
        <v>0.29969249193804931</v>
      </c>
      <c r="AB13" s="193">
        <f t="shared" si="13"/>
        <v>0.29993339281899184</v>
      </c>
      <c r="AC13" s="193">
        <f t="shared" ref="AC13" si="20">AC10/AC$11</f>
        <v>0.29990509032237656</v>
      </c>
      <c r="AD13" s="193">
        <f t="shared" ref="AD13:AE13" si="21">AD10/AD$11</f>
        <v>0.29958704954292409</v>
      </c>
      <c r="AE13" s="193">
        <f t="shared" si="21"/>
        <v>0.29955521484640141</v>
      </c>
      <c r="AF13" s="193">
        <f>AF10/AF$11</f>
        <v>0.29983874527391557</v>
      </c>
      <c r="AG13" s="193">
        <f t="shared" ref="AG13:AH13" si="22">AG10/AG$11</f>
        <v>0.29969858041096781</v>
      </c>
      <c r="AH13" s="193">
        <f t="shared" si="22"/>
        <v>0.29943480790293908</v>
      </c>
      <c r="AI13" s="193">
        <f t="shared" ref="AI13:AJ13" si="23">AI10/AI$11</f>
        <v>0.29971994724587653</v>
      </c>
      <c r="AJ13" s="193">
        <f t="shared" si="23"/>
        <v>0.30005936411521228</v>
      </c>
      <c r="AM13" s="193"/>
      <c r="AN13" s="193"/>
      <c r="AO13" s="193"/>
      <c r="AP13" s="193"/>
      <c r="AQ13" s="193"/>
      <c r="AR13" s="193"/>
      <c r="AS13" s="193"/>
      <c r="AT13" s="193"/>
      <c r="AU13" s="193"/>
      <c r="AV13" s="193"/>
      <c r="AW13" s="193"/>
      <c r="AX13" s="423"/>
    </row>
    <row r="14" spans="1:62" x14ac:dyDescent="0.25">
      <c r="A14" s="24" t="s">
        <v>50</v>
      </c>
      <c r="B14" s="10"/>
      <c r="C14" s="40"/>
      <c r="D14" s="40"/>
      <c r="E14" s="40"/>
      <c r="F14" s="40"/>
      <c r="G14" s="40"/>
      <c r="H14" s="40"/>
      <c r="I14" s="40"/>
      <c r="J14" s="40"/>
      <c r="K14" s="40"/>
      <c r="L14" s="146"/>
      <c r="M14" s="146"/>
      <c r="N14" s="40"/>
      <c r="O14" s="40"/>
      <c r="P14" s="40"/>
      <c r="Q14" s="40"/>
      <c r="R14" s="40"/>
      <c r="S14" s="180"/>
      <c r="T14" s="180"/>
      <c r="U14" s="180"/>
      <c r="V14" s="180"/>
      <c r="W14" s="180"/>
      <c r="X14" s="180"/>
      <c r="Y14" s="180"/>
      <c r="Z14" s="180"/>
      <c r="AA14" s="180"/>
      <c r="AB14" s="180"/>
      <c r="AC14" s="180"/>
      <c r="AD14" s="180"/>
      <c r="AE14" s="180"/>
      <c r="AF14" s="180"/>
      <c r="AG14" s="180"/>
      <c r="AH14" s="180"/>
      <c r="AI14" s="180"/>
      <c r="AJ14" s="180"/>
      <c r="AM14" s="180"/>
      <c r="AN14" s="180"/>
      <c r="AO14" s="180"/>
      <c r="AP14" s="180"/>
      <c r="AQ14" s="180"/>
      <c r="AR14" s="180"/>
      <c r="AS14" s="180"/>
      <c r="AT14" s="180"/>
      <c r="AU14" s="180"/>
      <c r="AV14" s="180"/>
      <c r="AW14" s="180"/>
      <c r="AX14" s="405"/>
    </row>
    <row r="15" spans="1:62" x14ac:dyDescent="0.25">
      <c r="A15" s="24"/>
      <c r="B15" s="10"/>
      <c r="C15" s="40"/>
      <c r="D15" s="40"/>
      <c r="E15" s="40"/>
      <c r="F15" s="40"/>
      <c r="G15" s="40"/>
      <c r="H15" s="40"/>
      <c r="I15" s="40"/>
      <c r="J15" s="40"/>
      <c r="K15" s="40"/>
      <c r="L15" s="146"/>
      <c r="M15" s="146"/>
      <c r="N15" s="40"/>
      <c r="O15" s="40"/>
      <c r="P15" s="40"/>
      <c r="Q15" s="40"/>
      <c r="R15" s="40"/>
      <c r="S15" s="180"/>
      <c r="T15" s="180"/>
      <c r="U15" s="180"/>
      <c r="V15" s="180"/>
      <c r="W15" s="180"/>
      <c r="X15" s="180"/>
      <c r="Y15" s="180"/>
      <c r="Z15" s="180"/>
      <c r="AA15" s="180"/>
      <c r="AB15" s="180"/>
      <c r="AC15" s="180"/>
      <c r="AD15" s="180"/>
      <c r="AE15" s="180"/>
      <c r="AF15" s="180"/>
      <c r="AG15" s="180"/>
      <c r="AH15" s="180"/>
      <c r="AI15" s="180"/>
      <c r="AJ15" s="180"/>
      <c r="AM15" s="180"/>
      <c r="AN15" s="180"/>
      <c r="AO15" s="180"/>
      <c r="AP15" s="180"/>
      <c r="AQ15" s="180"/>
      <c r="AR15" s="180"/>
      <c r="AS15" s="180"/>
      <c r="AT15" s="180"/>
      <c r="AU15" s="180"/>
      <c r="AV15" s="180"/>
      <c r="AW15" s="180"/>
      <c r="AX15" s="405"/>
    </row>
    <row r="16" spans="1:62" ht="13" x14ac:dyDescent="0.3">
      <c r="A16" s="1"/>
      <c r="B16" s="2" t="str">
        <f t="shared" ref="B16:G16" si="24">B8</f>
        <v>4eme T 2009</v>
      </c>
      <c r="C16" s="38" t="str">
        <f t="shared" si="24"/>
        <v>1er T 2010</v>
      </c>
      <c r="D16" s="38" t="str">
        <f t="shared" si="24"/>
        <v>2eme T 2010</v>
      </c>
      <c r="E16" s="38" t="str">
        <f t="shared" si="24"/>
        <v>3eme T 2010</v>
      </c>
      <c r="F16" s="38" t="str">
        <f t="shared" si="24"/>
        <v>4eme T 2010</v>
      </c>
      <c r="G16" s="38" t="str">
        <f t="shared" si="24"/>
        <v>1er T 2011</v>
      </c>
      <c r="H16" s="38" t="str">
        <f t="shared" ref="H16:M16" si="25">H8</f>
        <v>2eme T 2011</v>
      </c>
      <c r="I16" s="38" t="str">
        <f t="shared" si="25"/>
        <v>3eme T 2011</v>
      </c>
      <c r="J16" s="38" t="str">
        <f t="shared" si="25"/>
        <v>4eme T 2011</v>
      </c>
      <c r="K16" s="38" t="str">
        <f t="shared" si="25"/>
        <v>1er T 2012</v>
      </c>
      <c r="L16" s="38" t="str">
        <f t="shared" si="25"/>
        <v>2eme T 2012</v>
      </c>
      <c r="M16" s="38" t="str">
        <f t="shared" si="25"/>
        <v>3eme T 2012</v>
      </c>
      <c r="N16" s="38" t="str">
        <f t="shared" ref="N16:S16" si="26">N8</f>
        <v>4eme T 2012</v>
      </c>
      <c r="O16" s="38" t="str">
        <f t="shared" si="26"/>
        <v>1er T 2013</v>
      </c>
      <c r="P16" s="38" t="str">
        <f t="shared" si="26"/>
        <v>2eme T 2013</v>
      </c>
      <c r="Q16" s="38" t="str">
        <f t="shared" si="26"/>
        <v>3ème T 2013</v>
      </c>
      <c r="R16" s="38" t="str">
        <f t="shared" si="26"/>
        <v>4ème T 2013</v>
      </c>
      <c r="S16" s="178" t="str">
        <f t="shared" si="26"/>
        <v>1er T 2014</v>
      </c>
      <c r="T16" s="178" t="str">
        <f t="shared" ref="T16:U16" si="27">T8</f>
        <v>2eme T 2014</v>
      </c>
      <c r="U16" s="178" t="str">
        <f t="shared" si="27"/>
        <v>3T 2014</v>
      </c>
      <c r="V16" s="178" t="str">
        <f t="shared" ref="V16:W16" si="28">V8</f>
        <v>4ème T 2014</v>
      </c>
      <c r="W16" s="178" t="str">
        <f t="shared" si="28"/>
        <v>1er T 2015</v>
      </c>
      <c r="X16" s="178" t="str">
        <f t="shared" ref="X16:Y16" si="29">X8</f>
        <v>2e T 2015</v>
      </c>
      <c r="Y16" s="178" t="str">
        <f t="shared" si="29"/>
        <v>3e T 2015</v>
      </c>
      <c r="Z16" s="178" t="str">
        <f t="shared" ref="Z16" si="30">Z8</f>
        <v>4e T 2015</v>
      </c>
      <c r="AA16" s="178" t="str">
        <f t="shared" ref="AA16:AB16" si="31">AA8</f>
        <v>1er T 2016</v>
      </c>
      <c r="AB16" s="178" t="str">
        <f t="shared" si="31"/>
        <v>2e T 2016</v>
      </c>
      <c r="AC16" s="178" t="str">
        <f t="shared" ref="AC16:AD16" si="32">AC8</f>
        <v>3e T 2016</v>
      </c>
      <c r="AD16" s="178" t="str">
        <f t="shared" si="32"/>
        <v>4e T 2016</v>
      </c>
      <c r="AE16" s="178" t="str">
        <f t="shared" ref="AE16" si="33">AE8</f>
        <v>2017 - T1</v>
      </c>
      <c r="AF16" s="178" t="str">
        <f t="shared" ref="AF16:AG16" si="34">AF8</f>
        <v>2017 - T2</v>
      </c>
      <c r="AG16" s="178" t="str">
        <f t="shared" si="34"/>
        <v>2017- T3</v>
      </c>
      <c r="AH16" s="178" t="str">
        <f t="shared" ref="AH16:AI16" si="35">AH8</f>
        <v>2017 - T4</v>
      </c>
      <c r="AI16" s="178" t="str">
        <f t="shared" si="35"/>
        <v>2018 - T1</v>
      </c>
      <c r="AJ16" s="178" t="str">
        <f t="shared" ref="AJ16:AK16" si="36">AJ8</f>
        <v>2018 - T2</v>
      </c>
      <c r="AK16" s="178" t="str">
        <f t="shared" si="36"/>
        <v>2018 - T3</v>
      </c>
      <c r="AL16" s="178" t="str">
        <f t="shared" ref="AL16:AM16" si="37">AL8</f>
        <v>2018 - T4</v>
      </c>
      <c r="AM16" s="178" t="str">
        <f t="shared" si="37"/>
        <v>2019 - T1</v>
      </c>
      <c r="AN16" s="178" t="str">
        <f t="shared" ref="AN16:AP16" si="38">AN8</f>
        <v>2019 - T2</v>
      </c>
      <c r="AO16" s="178" t="str">
        <f t="shared" si="38"/>
        <v>2019 - T3</v>
      </c>
      <c r="AP16" s="178" t="str">
        <f t="shared" si="38"/>
        <v>2019 - T4</v>
      </c>
      <c r="AQ16" s="178" t="str">
        <f t="shared" ref="AQ16:AR16" si="39">AQ8</f>
        <v>2020 - T1</v>
      </c>
      <c r="AR16" s="178" t="str">
        <f t="shared" si="39"/>
        <v>2020 - T2</v>
      </c>
      <c r="AS16" s="178" t="str">
        <f t="shared" ref="AS16:AT16" si="40">AS8</f>
        <v>2020 - T3</v>
      </c>
      <c r="AT16" s="178" t="str">
        <f t="shared" si="40"/>
        <v>2020- T4</v>
      </c>
      <c r="AU16" s="178" t="str">
        <f t="shared" ref="AU16:AV16" si="41">AU8</f>
        <v>2021- T1</v>
      </c>
      <c r="AV16" s="178" t="str">
        <f t="shared" si="41"/>
        <v>2021- T2</v>
      </c>
      <c r="AW16" s="178" t="str">
        <f t="shared" ref="AW16:AY16" si="42">AW8</f>
        <v>2021- T3</v>
      </c>
      <c r="AX16" s="403" t="str">
        <f t="shared" si="42"/>
        <v>2021- T4</v>
      </c>
      <c r="AY16" s="178" t="str">
        <f t="shared" si="42"/>
        <v>2022- T1</v>
      </c>
      <c r="AZ16" s="178" t="str">
        <f t="shared" ref="AZ16:BA16" si="43">AZ8</f>
        <v>2022- T2</v>
      </c>
      <c r="BA16" s="178" t="str">
        <f t="shared" si="43"/>
        <v>2022- T3</v>
      </c>
      <c r="BB16" s="178" t="str">
        <f t="shared" ref="BB16:BC16" si="44">BB8</f>
        <v>2022- T4</v>
      </c>
      <c r="BC16" s="178" t="str">
        <f t="shared" si="44"/>
        <v>2023- T1</v>
      </c>
      <c r="BD16" s="178" t="str">
        <f t="shared" ref="BD16:BE16" si="45">BD8</f>
        <v>2023- T2</v>
      </c>
      <c r="BE16" s="178" t="str">
        <f t="shared" si="45"/>
        <v>2023- T3</v>
      </c>
      <c r="BF16" s="178" t="str">
        <f t="shared" ref="BF16:BG16" si="46">BF8</f>
        <v>2023- T4</v>
      </c>
      <c r="BG16" s="178" t="str">
        <f t="shared" si="46"/>
        <v>2024- T1</v>
      </c>
      <c r="BH16" s="178" t="str">
        <f t="shared" ref="BH16:BI16" si="47">BH8</f>
        <v>2024- T2</v>
      </c>
      <c r="BI16" s="178" t="str">
        <f t="shared" si="47"/>
        <v>2024- T3</v>
      </c>
      <c r="BJ16" s="178" t="str">
        <f t="shared" ref="BJ16" si="48">BJ8</f>
        <v>2024- T4</v>
      </c>
    </row>
    <row r="17" spans="1:62" x14ac:dyDescent="0.25">
      <c r="A17" s="20" t="s">
        <v>27</v>
      </c>
      <c r="B17" s="16">
        <f>[63]SAS_NSA_4T2009!$E$221</f>
        <v>7809.92</v>
      </c>
      <c r="C17" s="42">
        <f>[11]SAS_NSA_1T2010!$E$221</f>
        <v>7823.88</v>
      </c>
      <c r="D17" s="42">
        <f>[12]SAS_NSA_2T2010!$E$221</f>
        <v>7887.48</v>
      </c>
      <c r="E17" s="42">
        <f>[13]SAS_NSA_3T2010!$E$221</f>
        <v>7881.24</v>
      </c>
      <c r="F17" s="42">
        <f>[14]SAS_NSA_2010_4T!$E$221</f>
        <v>7878.28</v>
      </c>
      <c r="G17" s="42">
        <f>[15]SAS_NSA_2011_1T!$E$221</f>
        <v>7882.76</v>
      </c>
      <c r="H17" s="42">
        <f>[16]SAS_NSA_2011_2T!$E$221</f>
        <v>8037.2</v>
      </c>
      <c r="I17" s="42">
        <f>[17]SAS_NSA_2011_3T!$E$221</f>
        <v>8029.04</v>
      </c>
      <c r="J17" s="42">
        <f>[18]SAS_NSA_2011_4T!$E$221</f>
        <v>8028.44</v>
      </c>
      <c r="K17" s="42">
        <f>[19]SAS_NSA_2012_1T!$E$225</f>
        <v>8019.96</v>
      </c>
      <c r="L17" s="42">
        <f>'[20]120919-14H22S23-PROGRAM-TdB_STO'!$E$225</f>
        <v>8188.04</v>
      </c>
      <c r="M17" s="42">
        <f>'[21]121105-15H12S18-PROGRAM-TdB_STO'!$E$225</f>
        <v>8184.96</v>
      </c>
      <c r="N17" s="42">
        <f>[22]SAS_NSA_2012_4T!$E$225</f>
        <v>8183.68</v>
      </c>
      <c r="O17" s="42">
        <f>[23]SAS_NSA_2013_1T!$E$225</f>
        <v>8190.72</v>
      </c>
      <c r="P17" s="42">
        <f>[24]SAS_NSA_2013_2T!$E$225</f>
        <v>8285.4</v>
      </c>
      <c r="Q17" s="42">
        <f>[25]SAS_NSA_2013_3T!$E$225</f>
        <v>8274.76</v>
      </c>
      <c r="R17" s="42">
        <f>[26]SAS_NSA_2013_4T!$E$225</f>
        <v>8258.48</v>
      </c>
      <c r="S17" s="181">
        <f>[27]SAS_NSA_2014_1T!$E$225</f>
        <v>8283.36</v>
      </c>
      <c r="T17" s="181">
        <f>[28]SAS_NSA_2014_2T!$E$225</f>
        <v>8305.7199999999993</v>
      </c>
      <c r="U17" s="181">
        <f>[29]SAS_NSA_2014_3T!$E$225</f>
        <v>8310.48</v>
      </c>
      <c r="V17" s="181">
        <f>[30]SAS_NSA_2014_4T!$E$225</f>
        <v>8309.24</v>
      </c>
      <c r="W17" s="181">
        <f>[31]SAS_NSA_2015_1T!$E$225</f>
        <v>8303.4</v>
      </c>
      <c r="X17" s="181">
        <f>[32]SAS_NSA_2015_2T!$E$225</f>
        <v>8302.16</v>
      </c>
      <c r="Y17" s="181">
        <f>[33]SAS_NSA_2015_3T!$E$225</f>
        <v>8300.16</v>
      </c>
      <c r="Z17" s="181">
        <f>[34]SAS_NSA_2015_4T!$E$225</f>
        <v>8310</v>
      </c>
      <c r="AA17" s="181">
        <f>[35]SAS_NSA_2016_1T!$E$225</f>
        <v>8410.36</v>
      </c>
      <c r="AB17" s="181">
        <f>[36]SAS_NSA_2016_2T!$E$225</f>
        <v>8408.4</v>
      </c>
      <c r="AC17" s="181">
        <f>[37]SAS_NSA_2016_3T!$E$225</f>
        <v>8405.32</v>
      </c>
      <c r="AD17" s="181">
        <f>[38]SAS_NSA_2016_4T!$E$225</f>
        <v>8464</v>
      </c>
      <c r="AE17" s="181">
        <f>[39]SAS_NSA_2017_1T!$E$225</f>
        <v>8461.7199999999993</v>
      </c>
      <c r="AF17" s="181">
        <f>[40]SAS_NSA_2017_2T!$E$225</f>
        <v>8456.56</v>
      </c>
      <c r="AG17" s="181">
        <f>[41]SAS_NSA_2017_3T!$E$225</f>
        <v>8465.9599999999991</v>
      </c>
      <c r="AH17" s="181">
        <f>[42]SAS_NSA_2017_4T!$E$225</f>
        <v>8649.4</v>
      </c>
      <c r="AI17" s="181">
        <f>[43]SAS_NSA_2018_1T!$D$289*4</f>
        <v>8604</v>
      </c>
      <c r="AJ17" s="181">
        <f>[44]SAS_NSA_2018_2T!$E$227</f>
        <v>8623.24</v>
      </c>
      <c r="AK17" s="181">
        <f>4*[45]SAS_NSA_2018_3T!$D$289</f>
        <v>8631.84</v>
      </c>
      <c r="AL17" s="181">
        <f>4*[46]SAS_NSA_2018_4T!$D$289</f>
        <v>8648.2800000000007</v>
      </c>
      <c r="AM17" s="181">
        <f>4*[47]SAS_NSA_2019_1T!$D$289</f>
        <v>8694.84</v>
      </c>
      <c r="AN17" s="181">
        <f>4*[48]SAS_NSA_2019_2T!$D$289</f>
        <v>8712.8799999999992</v>
      </c>
      <c r="AO17" s="181">
        <f>4*[49]SAS_NSA_2019_3T!$D$289</f>
        <v>8729.84</v>
      </c>
      <c r="AP17" s="181">
        <f>4*[50]SAS_NSA_2019_4T!$D$289</f>
        <v>8755.08</v>
      </c>
      <c r="AQ17" s="181">
        <f>4*[51]SAS_NSA_2020_1T!$D$262</f>
        <v>8856.2800000000007</v>
      </c>
      <c r="AR17" s="181">
        <f>4*[52]SAS_NSA_2020_2T!$D$262</f>
        <v>8867.1200000000008</v>
      </c>
      <c r="AS17" s="181">
        <f>4*[53]SAS_NSA_2020_3T!$D$262</f>
        <v>8882.76</v>
      </c>
      <c r="AT17" s="181">
        <f>[54]SAS_NSA_2020_4T!$E$262</f>
        <v>8910.1200000000008</v>
      </c>
      <c r="AU17" s="181">
        <f>[55]SAS_NSA_2021_1T!$E$262</f>
        <v>8973.16</v>
      </c>
      <c r="AV17" s="181">
        <f>[56]SAS_NSA_2021_2T!$E$262</f>
        <v>8997.76</v>
      </c>
      <c r="AW17" s="181">
        <f>[57]SAS_NSA_2021_3T!$E$262</f>
        <v>9034.08</v>
      </c>
      <c r="AX17" s="408">
        <f>[58]SAS_NSA_2021_4T!$E$160</f>
        <v>8584.0731519403198</v>
      </c>
      <c r="AY17" s="181">
        <f>[59]SAS_NSA_2022_1T!$E$160</f>
        <v>9738.4041666352005</v>
      </c>
      <c r="AZ17" s="181">
        <f>[60]SAS_NSA_2022_2T!$E$160</f>
        <v>9758.4795727379205</v>
      </c>
      <c r="BA17" s="181">
        <f>[61]SAS_NSA_2022_3T!$E$160</f>
        <v>10162.347356481559</v>
      </c>
      <c r="BB17" s="181">
        <f>[62]SAS_NSA_2022_4T!$E$160</f>
        <v>10168.821540266839</v>
      </c>
      <c r="BC17" s="181">
        <f>[2]SAS_NSA_2023_1T!$E$160</f>
        <v>10286.142494942</v>
      </c>
      <c r="BD17" s="181">
        <f>[3]SAS_NSA_2023_2T!$E$160</f>
        <v>10334.428639864</v>
      </c>
      <c r="BE17" s="181">
        <f>[4]SAS_NSA_2023_3T!$E$160</f>
        <v>10365.651743763599</v>
      </c>
      <c r="BF17" s="181">
        <f>[5]SAS_NSA_2023_4T!$E$160</f>
        <v>10402.592764215</v>
      </c>
      <c r="BG17" s="181">
        <f>[6]SAS_NSA_2024_1T!$E$160</f>
        <v>10897.874168936039</v>
      </c>
      <c r="BH17" s="181">
        <f>[7]SAS_NSA_2024_2T!$E$160</f>
        <v>10929.10675818788</v>
      </c>
      <c r="BI17" s="181">
        <f>[8]SAS_NSA_2024_3T!$E$160</f>
        <v>10977.261423181601</v>
      </c>
      <c r="BJ17" s="181">
        <f>[9]SAS_NSA_2024_4T!$E$160</f>
        <v>11019.35828967116</v>
      </c>
    </row>
    <row r="18" spans="1:62" x14ac:dyDescent="0.25">
      <c r="A18" s="20" t="s">
        <v>28</v>
      </c>
      <c r="B18" s="16">
        <f>[63]SAS_NSA_4T2009!$E$222</f>
        <v>5979.92</v>
      </c>
      <c r="C18" s="42">
        <f>[11]SAS_NSA_1T2010!$E$222</f>
        <v>5972.4</v>
      </c>
      <c r="D18" s="42">
        <f>[12]SAS_NSA_2T2010!$E$222</f>
        <v>6029.72</v>
      </c>
      <c r="E18" s="42">
        <f>[13]SAS_NSA_3T2010!$E$222</f>
        <v>6019.96</v>
      </c>
      <c r="F18" s="42">
        <f>[14]SAS_NSA_2010_4T!$E$222</f>
        <v>6008</v>
      </c>
      <c r="G18" s="42">
        <f>[15]SAS_NSA_2011_1T!$E$222</f>
        <v>6055.24</v>
      </c>
      <c r="H18" s="42">
        <f>[16]SAS_NSA_2011_2T!$E$222</f>
        <v>6202.92</v>
      </c>
      <c r="I18" s="42">
        <f>[17]SAS_NSA_2011_3T!$E$222</f>
        <v>6193.08</v>
      </c>
      <c r="J18" s="42">
        <f>[18]SAS_NSA_2011_4T!$E$222</f>
        <v>6184.08</v>
      </c>
      <c r="K18" s="42">
        <f>[19]SAS_NSA_2012_1T!$E$226</f>
        <v>6156.4</v>
      </c>
      <c r="L18" s="42">
        <f>'[20]120919-14H22S23-PROGRAM-TdB_STO'!$E$226</f>
        <v>6287.92</v>
      </c>
      <c r="M18" s="42">
        <f>'[21]121105-15H12S18-PROGRAM-TdB_STO'!$E$226</f>
        <v>6281.04</v>
      </c>
      <c r="N18" s="42">
        <f>[22]SAS_NSA_2012_4T!$E$226</f>
        <v>6270.32</v>
      </c>
      <c r="O18" s="42">
        <f>[23]SAS_NSA_2013_1T!$E$226</f>
        <v>6257.08</v>
      </c>
      <c r="P18" s="42">
        <f>[24]SAS_NSA_2013_2T!$E$226</f>
        <v>6324.88</v>
      </c>
      <c r="Q18" s="42">
        <f>[25]SAS_NSA_2013_3T!$E$226</f>
        <v>6309.84</v>
      </c>
      <c r="R18" s="42">
        <f>[26]SAS_NSA_2013_4T!$E$226</f>
        <v>6281.2</v>
      </c>
      <c r="S18" s="181">
        <f>[27]SAS_NSA_2014_1T!$E$226</f>
        <v>6294.48</v>
      </c>
      <c r="T18" s="181">
        <f>[28]SAS_NSA_2014_2T!$E$226</f>
        <v>6449.12</v>
      </c>
      <c r="U18" s="181">
        <f>[29]SAS_NSA_2014_3T!$E$226</f>
        <v>6463.52</v>
      </c>
      <c r="V18" s="181">
        <f>[30]SAS_NSA_2014_4T!$E$226</f>
        <v>6454.08</v>
      </c>
      <c r="W18" s="181">
        <f>[31]SAS_NSA_2015_1T!$E$226</f>
        <v>6441.72</v>
      </c>
      <c r="X18" s="181">
        <f>[32]SAS_NSA_2015_2T!$E$226</f>
        <v>6432.12</v>
      </c>
      <c r="Y18" s="181">
        <f>[33]SAS_NSA_2015_3T!$E$226</f>
        <v>6423.4</v>
      </c>
      <c r="Z18" s="181">
        <f>[34]SAS_NSA_2015_4T!$E$226</f>
        <v>6419.84</v>
      </c>
      <c r="AA18" s="181">
        <f>[35]SAS_NSA_2016_1T!$E$226</f>
        <v>6448.16</v>
      </c>
      <c r="AB18" s="181">
        <f>[36]SAS_NSA_2016_2T!$E$226</f>
        <v>6440.64</v>
      </c>
      <c r="AC18" s="181">
        <f>[37]SAS_NSA_2016_3T!$E$226</f>
        <v>6425.64</v>
      </c>
      <c r="AD18" s="181">
        <f>[38]SAS_NSA_2016_4T!$E$226</f>
        <v>6436.32</v>
      </c>
      <c r="AE18" s="181">
        <f>[39]SAS_NSA_2017_1T!$E$226</f>
        <v>6422.76</v>
      </c>
      <c r="AF18" s="181">
        <f>[40]SAS_NSA_2017_2T!$E$226</f>
        <v>6410.24</v>
      </c>
      <c r="AG18" s="181">
        <f>[41]SAS_NSA_2017_3T!$E$226</f>
        <v>6407.32</v>
      </c>
      <c r="AH18" s="181">
        <f>[42]SAS_NSA_2017_4T!$E$226</f>
        <v>6488.68</v>
      </c>
      <c r="AI18" s="181">
        <f>[43]SAS_NSA_2018_1T!$D$290*4</f>
        <v>6466.32</v>
      </c>
      <c r="AJ18" s="181">
        <f>[44]SAS_NSA_2018_2T!$E$228</f>
        <v>6471.4</v>
      </c>
      <c r="AK18" s="181">
        <f>4*[45]SAS_NSA_2018_3T!$D$290</f>
        <v>6467.08</v>
      </c>
      <c r="AL18" s="181">
        <f>4*[46]SAS_NSA_2018_4T!$D$290</f>
        <v>6465.36</v>
      </c>
      <c r="AM18" s="181">
        <f>4*[47]SAS_NSA_2019_1T!$D$290</f>
        <v>6490.6</v>
      </c>
      <c r="AN18" s="181">
        <f>4*[48]SAS_NSA_2019_2T!$D$290</f>
        <v>6489.28</v>
      </c>
      <c r="AO18" s="181">
        <f>4*[49]SAS_NSA_2019_3T!$D$290</f>
        <v>6491.64</v>
      </c>
      <c r="AP18" s="181">
        <f>4*[50]SAS_NSA_2019_4T!$D$290</f>
        <v>6499.8</v>
      </c>
      <c r="AQ18" s="181">
        <f>4*[51]SAS_NSA_2020_1T!$D$263</f>
        <v>6577.08</v>
      </c>
      <c r="AR18" s="181">
        <f>4*[52]SAS_NSA_2020_2T!$D$263</f>
        <v>6575.28</v>
      </c>
      <c r="AS18" s="181">
        <f>4*[53]SAS_NSA_2020_3T!$D$263</f>
        <v>6577.68</v>
      </c>
      <c r="AT18" s="181">
        <f>[54]SAS_NSA_2020_4T!$E$263</f>
        <v>6587.32</v>
      </c>
      <c r="AU18" s="181">
        <f>[55]SAS_NSA_2021_1T!$E$263</f>
        <v>6621.84</v>
      </c>
      <c r="AV18" s="181">
        <f>[56]SAS_NSA_2021_2T!$E$263</f>
        <v>6636</v>
      </c>
      <c r="AW18" s="181">
        <f>[57]SAS_NSA_2021_3T!$E$263</f>
        <v>6656.64</v>
      </c>
      <c r="AX18" s="408">
        <f>[58]SAS_NSA_2021_4T!$E$161</f>
        <v>9352.6706840440002</v>
      </c>
      <c r="AY18" s="181">
        <f>[59]SAS_NSA_2022_1T!$E$161</f>
        <v>7201.7301967180001</v>
      </c>
      <c r="AZ18" s="181">
        <f>[60]SAS_NSA_2022_2T!$E$161</f>
        <v>7201.9183556747203</v>
      </c>
      <c r="BA18" s="181">
        <f>[61]SAS_NSA_2022_3T!$E$161</f>
        <v>7492.30777709224</v>
      </c>
      <c r="BB18" s="181">
        <f>[62]SAS_NSA_2022_4T!$E$161</f>
        <v>7492.0084166101997</v>
      </c>
      <c r="BC18" s="181">
        <f>[2]SAS_NSA_2023_1T!$E$161</f>
        <v>7570.3265698856403</v>
      </c>
      <c r="BD18" s="181">
        <f>[3]SAS_NSA_2023_2T!$E$161</f>
        <v>7594.7590104809597</v>
      </c>
      <c r="BE18" s="181">
        <f>[4]SAS_NSA_2023_3T!$E$161</f>
        <v>7610.7695544057997</v>
      </c>
      <c r="BF18" s="181">
        <f>[5]SAS_NSA_2023_4T!$E$161</f>
        <v>7630.9012996050396</v>
      </c>
      <c r="BG18" s="181">
        <f>[6]SAS_NSA_2024_1T!$E$161</f>
        <v>7994.6391810576797</v>
      </c>
      <c r="BH18" s="181">
        <f>[7]SAS_NSA_2024_2T!$E$161</f>
        <v>8014.2559751757599</v>
      </c>
      <c r="BI18" s="181">
        <f>[8]SAS_NSA_2024_3T!$E$161</f>
        <v>8064.7551476367598</v>
      </c>
      <c r="BJ18" s="181">
        <f>[9]SAS_NSA_2024_4T!$E$161</f>
        <v>8072.69602108856</v>
      </c>
    </row>
    <row r="19" spans="1:62" x14ac:dyDescent="0.25">
      <c r="A19" s="20" t="s">
        <v>13</v>
      </c>
      <c r="B19" s="16">
        <f>[63]SAS_NSA_4T2009!$E$220</f>
        <v>7284.88</v>
      </c>
      <c r="C19" s="42">
        <f>[11]SAS_NSA_1T2010!$E$220</f>
        <v>7290.4</v>
      </c>
      <c r="D19" s="42">
        <f>[12]SAS_NSA_2T2010!$E$220</f>
        <v>7350.88</v>
      </c>
      <c r="E19" s="42">
        <f>[13]SAS_NSA_3T2010!$E$220</f>
        <v>7342.8</v>
      </c>
      <c r="F19" s="42">
        <f>[14]SAS_NSA_2010_4T!$E$220</f>
        <v>7335.92</v>
      </c>
      <c r="G19" s="42">
        <f>[15]SAS_NSA_2011_1T!$E$220</f>
        <v>7351.16</v>
      </c>
      <c r="H19" s="42">
        <f>[16]SAS_NSA_2011_2T!$E$220</f>
        <v>7502.2</v>
      </c>
      <c r="I19" s="42">
        <f>[17]SAS_NSA_2011_3T!$E$220</f>
        <v>7492.76</v>
      </c>
      <c r="J19" s="42">
        <f>[18]SAS_NSA_2011_4T!$E$220</f>
        <v>7488.64</v>
      </c>
      <c r="K19" s="42">
        <f>[19]SAS_NSA_2012_1T!$E$224</f>
        <v>7473.04</v>
      </c>
      <c r="L19" s="42">
        <f>'[20]120919-14H22S23-PROGRAM-TdB_STO'!$E$224</f>
        <v>7628.96</v>
      </c>
      <c r="M19" s="42">
        <f>'[21]121105-15H12S18-PROGRAM-TdB_STO'!$E$224</f>
        <v>7624.16</v>
      </c>
      <c r="N19" s="42">
        <f>[22]SAS_NSA_2012_4T!$E$224</f>
        <v>7619.04</v>
      </c>
      <c r="O19" s="42">
        <f>[23]SAS_NSA_2013_1T!$E$224</f>
        <v>7618.52</v>
      </c>
      <c r="P19" s="42">
        <f>[24]SAS_NSA_2013_2T!$E$224</f>
        <v>7703.84</v>
      </c>
      <c r="Q19" s="42">
        <f>[25]SAS_NSA_2013_3T!$E$224</f>
        <v>7691.36</v>
      </c>
      <c r="R19" s="42">
        <f>[26]SAS_NSA_2013_4T!$E$224</f>
        <v>7670.84</v>
      </c>
      <c r="S19" s="181">
        <f>[27]SAS_NSA_2014_1T!$E$224</f>
        <v>7691.28</v>
      </c>
      <c r="T19" s="181">
        <f>[28]SAS_NSA_2014_2T!$E$224</f>
        <v>7751.72</v>
      </c>
      <c r="U19" s="181">
        <f>[29]SAS_NSA_2014_3T!$E$224</f>
        <v>7759.08</v>
      </c>
      <c r="V19" s="181">
        <f>[30]SAS_NSA_2014_4T!$E$224</f>
        <v>7754.92</v>
      </c>
      <c r="W19" s="181">
        <f>[31]SAS_NSA_2015_1T!$E$224</f>
        <v>7746.68</v>
      </c>
      <c r="X19" s="181">
        <f>[32]SAS_NSA_2015_2T!$E$224</f>
        <v>7742.2</v>
      </c>
      <c r="Y19" s="181">
        <f>[33]SAS_NSA_2015_3T!$E$224</f>
        <v>7738.2</v>
      </c>
      <c r="Z19" s="181">
        <f>[34]SAS_NSA_2015_4T!$E$224</f>
        <v>7744.04</v>
      </c>
      <c r="AA19" s="181">
        <f>[35]SAS_NSA_2016_1T!$E$224</f>
        <v>7822.32</v>
      </c>
      <c r="AB19" s="181">
        <f>[36]SAS_NSA_2016_2T!$E$224</f>
        <v>7818.2</v>
      </c>
      <c r="AC19" s="181">
        <f>[37]SAS_NSA_2016_3T!$E$224</f>
        <v>7811.6</v>
      </c>
      <c r="AD19" s="181">
        <f>[38]SAS_NSA_2016_4T!$E$224</f>
        <v>7856.52</v>
      </c>
      <c r="AE19" s="181">
        <f>[39]SAS_NSA_2017_1T!$E$224</f>
        <v>7850.92</v>
      </c>
      <c r="AF19" s="181">
        <f>[40]SAS_NSA_2017_2T!$E$224</f>
        <v>7843</v>
      </c>
      <c r="AG19" s="181">
        <f>[41]SAS_NSA_2017_3T!$E$224</f>
        <v>7848.96</v>
      </c>
      <c r="AH19" s="181">
        <f>[42]SAS_NSA_2017_4T!$E$224</f>
        <v>8002.4</v>
      </c>
      <c r="AI19" s="181">
        <f>[43]SAS_NSA_2018_1T!$D$288*4</f>
        <v>7963.32</v>
      </c>
      <c r="AJ19" s="181">
        <f>[44]SAS_NSA_2018_2T!$E$226</f>
        <v>7977.56</v>
      </c>
      <c r="AK19" s="181">
        <f>4*[45]SAS_NSA_2018_3T!$D$288</f>
        <v>7982.44</v>
      </c>
      <c r="AL19" s="181">
        <f>4*[46]SAS_NSA_2018_4T!$D$288</f>
        <v>7994.64</v>
      </c>
      <c r="AM19" s="181">
        <f>4*[47]SAS_NSA_2019_1T!$D$288</f>
        <v>8034.96</v>
      </c>
      <c r="AN19" s="181">
        <f>4*[48]SAS_NSA_2019_2T!$D$288</f>
        <v>8046.52</v>
      </c>
      <c r="AO19" s="181">
        <f>4*[49]SAS_NSA_2019_3T!$D$288</f>
        <v>8058.96</v>
      </c>
      <c r="AP19" s="181">
        <f>4*[50]SAS_NSA_2019_4T!$D$288</f>
        <v>8079.6</v>
      </c>
      <c r="AQ19" s="181">
        <f>4*[51]SAS_NSA_2020_1T!$D$261</f>
        <v>8174.08</v>
      </c>
      <c r="AR19" s="181">
        <f>4*[52]SAS_NSA_2020_2T!$D$261</f>
        <v>8180.56</v>
      </c>
      <c r="AS19" s="181">
        <f>4*[53]SAS_NSA_2020_3T!$D$261</f>
        <v>8192.0400000000009</v>
      </c>
      <c r="AT19" s="181">
        <f>[54]SAS_NSA_2020_4T!$E$261</f>
        <v>8215.2800000000007</v>
      </c>
      <c r="AU19" s="181">
        <f>[55]SAS_NSA_2021_1T!$E$261</f>
        <v>8269.2800000000007</v>
      </c>
      <c r="AV19" s="181">
        <f>[56]SAS_NSA_2021_2T!$E$261</f>
        <v>8290.32</v>
      </c>
      <c r="AW19" s="181">
        <f>[57]SAS_NSA_2021_3T!$E$261</f>
        <v>8321.9599999999991</v>
      </c>
      <c r="AX19" s="408">
        <f>[58]SAS_NSA_2021_4T!$E$159</f>
        <v>8585.03380976476</v>
      </c>
      <c r="AY19" s="181">
        <f>[59]SAS_NSA_2022_1T!$E$159</f>
        <v>8980.3530654121605</v>
      </c>
      <c r="AZ19" s="181">
        <f>[60]SAS_NSA_2022_2T!$E$159</f>
        <v>8994.3968319821597</v>
      </c>
      <c r="BA19" s="181">
        <f>[61]SAS_NSA_2022_3T!$E$159</f>
        <v>9364.0950022117195</v>
      </c>
      <c r="BB19" s="181">
        <f>[62]SAS_NSA_2022_4T!$E$159</f>
        <v>9369.7720602051195</v>
      </c>
      <c r="BC19" s="181">
        <f>[2]SAS_NSA_2023_1T!$E$159</f>
        <v>9475.0112868114393</v>
      </c>
      <c r="BD19" s="181">
        <f>[3]SAS_NSA_2023_2T!$E$159</f>
        <v>9516.5101369051208</v>
      </c>
      <c r="BE19" s="181">
        <f>[4]SAS_NSA_2023_3T!$E$159</f>
        <v>9543.5973134880805</v>
      </c>
      <c r="BF19" s="181">
        <f>[5]SAS_NSA_2023_4T!$E$159</f>
        <v>9576.5547965267197</v>
      </c>
      <c r="BG19" s="181">
        <f>[6]SAS_NSA_2024_1T!$E$159</f>
        <v>10032.67123360068</v>
      </c>
      <c r="BH19" s="181">
        <f>[7]SAS_NSA_2024_2T!$E$159</f>
        <v>10060.173105477321</v>
      </c>
      <c r="BI19" s="181">
        <f>[8]SAS_NSA_2024_3T!$E$159</f>
        <v>10108.87424804956</v>
      </c>
      <c r="BJ19" s="181">
        <f>[9]SAS_NSA_2024_4T!$E$159</f>
        <v>10141.27161459056</v>
      </c>
    </row>
    <row r="20" spans="1:62" ht="13" thickBot="1" x14ac:dyDescent="0.3">
      <c r="A20" s="6"/>
      <c r="B20" s="15"/>
      <c r="C20" s="43"/>
      <c r="D20" s="43"/>
      <c r="E20" s="43"/>
      <c r="F20" s="43"/>
      <c r="G20" s="43"/>
      <c r="H20" s="43"/>
      <c r="I20" s="43"/>
      <c r="J20" s="43"/>
      <c r="K20" s="149"/>
      <c r="L20" s="149"/>
      <c r="M20" s="43"/>
      <c r="N20" s="149"/>
      <c r="O20" s="149"/>
      <c r="P20" s="43"/>
      <c r="Q20" s="43"/>
      <c r="R20" s="43"/>
      <c r="S20" s="185"/>
      <c r="T20" s="185"/>
      <c r="U20" s="185"/>
      <c r="V20" s="185"/>
      <c r="W20" s="185"/>
      <c r="X20" s="185"/>
      <c r="Y20" s="185"/>
      <c r="Z20" s="185"/>
      <c r="AA20" s="185"/>
      <c r="AB20" s="185"/>
      <c r="AC20" s="185"/>
      <c r="AD20" s="185"/>
      <c r="AE20" s="185"/>
      <c r="AF20" s="256">
        <f>AF18/AF17</f>
        <v>0.75801980947335557</v>
      </c>
      <c r="AG20" s="256">
        <f t="shared" ref="AG20:AK20" si="49">AG18/AG17</f>
        <v>0.75683324749939762</v>
      </c>
      <c r="AH20" s="256">
        <f t="shared" si="49"/>
        <v>0.75018845237819975</v>
      </c>
      <c r="AI20" s="256">
        <f t="shared" si="49"/>
        <v>0.75154811715481173</v>
      </c>
      <c r="AJ20" s="256">
        <f t="shared" si="49"/>
        <v>0.75046038380005653</v>
      </c>
      <c r="AK20" s="256">
        <f t="shared" si="49"/>
        <v>0.74921221894752454</v>
      </c>
      <c r="AL20" s="256">
        <f t="shared" ref="AL20" si="50">AL18/AL17</f>
        <v>0.74758911598606881</v>
      </c>
      <c r="AM20" s="256"/>
      <c r="AN20" s="256"/>
      <c r="AO20" s="256"/>
      <c r="AP20" s="256">
        <f t="shared" ref="AP20" si="51">AP18/AP17</f>
        <v>0.74240326758864572</v>
      </c>
      <c r="AQ20" s="256"/>
      <c r="AR20" s="256"/>
      <c r="AS20" s="256"/>
      <c r="AT20" s="256"/>
      <c r="AU20" s="256"/>
      <c r="AV20" s="256"/>
      <c r="AW20" s="256"/>
      <c r="AX20" s="409"/>
    </row>
    <row r="21" spans="1:62" x14ac:dyDescent="0.25">
      <c r="A21" s="19"/>
      <c r="B21" s="10"/>
      <c r="C21" s="40"/>
      <c r="D21" s="40"/>
      <c r="E21" s="40"/>
      <c r="F21" s="40"/>
      <c r="G21" s="40"/>
      <c r="H21" s="40"/>
      <c r="I21" s="40"/>
      <c r="J21" s="40"/>
      <c r="K21" s="146"/>
      <c r="L21" s="146"/>
      <c r="M21" s="40"/>
      <c r="N21" s="146"/>
      <c r="O21" s="146"/>
      <c r="P21" s="40"/>
      <c r="Q21" s="40"/>
      <c r="R21" s="40"/>
      <c r="S21" s="180"/>
      <c r="T21" s="180"/>
      <c r="U21" s="180"/>
      <c r="V21" s="180"/>
      <c r="W21" s="180"/>
      <c r="X21" s="180"/>
      <c r="Y21" s="180"/>
      <c r="Z21" s="180"/>
      <c r="AA21" s="180"/>
      <c r="AB21" s="180"/>
      <c r="AC21" s="180"/>
      <c r="AD21" s="180"/>
      <c r="AE21" s="180"/>
      <c r="AF21" s="180"/>
      <c r="AG21" s="180"/>
      <c r="AH21" s="180"/>
      <c r="AI21" s="180"/>
      <c r="AJ21" s="180"/>
      <c r="AM21" s="180"/>
      <c r="AN21" s="180"/>
      <c r="AO21" s="180"/>
      <c r="AP21" s="180"/>
      <c r="AQ21" s="180"/>
      <c r="AR21" s="180"/>
      <c r="AS21" s="180"/>
      <c r="AT21" s="180"/>
      <c r="AU21" s="180"/>
      <c r="AV21" s="180"/>
      <c r="AW21" s="180"/>
      <c r="AX21" s="405"/>
    </row>
    <row r="22" spans="1:62" ht="13" x14ac:dyDescent="0.3">
      <c r="A22" s="334" t="s">
        <v>48</v>
      </c>
      <c r="K22" s="145"/>
      <c r="L22" s="145"/>
      <c r="M22" s="35"/>
      <c r="N22" s="145"/>
      <c r="O22" s="145"/>
      <c r="S22" s="177"/>
      <c r="T22" s="177"/>
      <c r="U22" s="177"/>
      <c r="V22" s="177"/>
      <c r="W22" s="177"/>
      <c r="X22" s="177"/>
      <c r="Y22" s="177"/>
      <c r="Z22" s="177"/>
      <c r="AA22" s="177"/>
      <c r="AB22" s="177"/>
      <c r="AC22" s="177"/>
      <c r="AD22" s="177"/>
      <c r="AE22" s="177"/>
      <c r="AF22" s="177"/>
      <c r="AG22" s="177"/>
      <c r="AH22" s="177"/>
      <c r="AI22" s="177"/>
      <c r="AJ22" s="177"/>
      <c r="AM22" s="177"/>
      <c r="AN22" s="177"/>
      <c r="AO22" s="177"/>
      <c r="AP22" s="177"/>
      <c r="AQ22" s="177"/>
      <c r="AR22" s="177"/>
      <c r="AS22" s="177"/>
      <c r="AT22" s="177"/>
      <c r="AU22" s="177"/>
      <c r="AV22" s="177"/>
      <c r="AW22" s="177"/>
      <c r="AX22" s="407"/>
      <c r="BB22" s="377" t="s">
        <v>241</v>
      </c>
      <c r="BC22" s="377"/>
      <c r="BD22" s="377"/>
    </row>
    <row r="23" spans="1:62" x14ac:dyDescent="0.25">
      <c r="A23" s="384" t="s">
        <v>247</v>
      </c>
      <c r="K23" s="145"/>
      <c r="L23" s="145"/>
      <c r="M23" s="35"/>
      <c r="N23" s="145"/>
      <c r="O23" s="145"/>
      <c r="S23" s="177"/>
      <c r="T23" s="177"/>
      <c r="U23" s="177"/>
      <c r="V23" s="177"/>
      <c r="W23" s="177"/>
      <c r="X23" s="177"/>
      <c r="Y23" s="177"/>
      <c r="Z23" s="177"/>
      <c r="AA23" s="177"/>
      <c r="AB23" s="177"/>
      <c r="AC23" s="177"/>
      <c r="AD23" s="177"/>
      <c r="AE23" s="177"/>
      <c r="AF23" s="177"/>
      <c r="AG23" s="177"/>
      <c r="AH23" s="177"/>
      <c r="AI23" s="177"/>
      <c r="AJ23" s="177"/>
      <c r="AM23" s="177"/>
      <c r="AN23" s="177"/>
      <c r="AO23" s="177"/>
      <c r="AP23" s="177"/>
      <c r="AQ23" s="177"/>
      <c r="AR23" s="177"/>
      <c r="AS23" s="177"/>
      <c r="AT23" s="177"/>
      <c r="AU23" s="177"/>
      <c r="AV23" s="177"/>
      <c r="AW23" s="177"/>
      <c r="AX23" s="407"/>
      <c r="BB23" s="383" t="s">
        <v>244</v>
      </c>
      <c r="BC23" s="383"/>
      <c r="BD23" s="383"/>
    </row>
    <row r="24" spans="1:62" x14ac:dyDescent="0.25">
      <c r="A24" s="5"/>
      <c r="B24" s="2" t="str">
        <f t="shared" ref="B24:G24" si="52">B8</f>
        <v>4eme T 2009</v>
      </c>
      <c r="C24" s="38" t="str">
        <f t="shared" si="52"/>
        <v>1er T 2010</v>
      </c>
      <c r="D24" s="38" t="str">
        <f t="shared" si="52"/>
        <v>2eme T 2010</v>
      </c>
      <c r="E24" s="38" t="str">
        <f t="shared" si="52"/>
        <v>3eme T 2010</v>
      </c>
      <c r="F24" s="38" t="str">
        <f t="shared" si="52"/>
        <v>4eme T 2010</v>
      </c>
      <c r="G24" s="38" t="str">
        <f t="shared" si="52"/>
        <v>1er T 2011</v>
      </c>
      <c r="H24" s="38" t="str">
        <f t="shared" ref="H24:M24" si="53">H8</f>
        <v>2eme T 2011</v>
      </c>
      <c r="I24" s="38" t="str">
        <f t="shared" si="53"/>
        <v>3eme T 2011</v>
      </c>
      <c r="J24" s="38" t="str">
        <f t="shared" si="53"/>
        <v>4eme T 2011</v>
      </c>
      <c r="K24" s="38" t="str">
        <f t="shared" si="53"/>
        <v>1er T 2012</v>
      </c>
      <c r="L24" s="38" t="str">
        <f t="shared" si="53"/>
        <v>2eme T 2012</v>
      </c>
      <c r="M24" s="38" t="str">
        <f t="shared" si="53"/>
        <v>3eme T 2012</v>
      </c>
      <c r="N24" s="38" t="str">
        <f t="shared" ref="N24:S24" si="54">N8</f>
        <v>4eme T 2012</v>
      </c>
      <c r="O24" s="38" t="str">
        <f t="shared" si="54"/>
        <v>1er T 2013</v>
      </c>
      <c r="P24" s="38" t="str">
        <f t="shared" si="54"/>
        <v>2eme T 2013</v>
      </c>
      <c r="Q24" s="38" t="str">
        <f t="shared" si="54"/>
        <v>3ème T 2013</v>
      </c>
      <c r="R24" s="38" t="str">
        <f t="shared" si="54"/>
        <v>4ème T 2013</v>
      </c>
      <c r="S24" s="178" t="str">
        <f t="shared" si="54"/>
        <v>1er T 2014</v>
      </c>
      <c r="T24" s="178" t="str">
        <f t="shared" ref="T24:U24" si="55">T8</f>
        <v>2eme T 2014</v>
      </c>
      <c r="U24" s="178" t="str">
        <f t="shared" si="55"/>
        <v>3T 2014</v>
      </c>
      <c r="V24" s="178" t="str">
        <f t="shared" ref="V24:W24" si="56">V8</f>
        <v>4ème T 2014</v>
      </c>
      <c r="W24" s="178" t="str">
        <f t="shared" si="56"/>
        <v>1er T 2015</v>
      </c>
      <c r="X24" s="178" t="str">
        <f t="shared" ref="X24:Y24" si="57">X8</f>
        <v>2e T 2015</v>
      </c>
      <c r="Y24" s="178" t="str">
        <f t="shared" si="57"/>
        <v>3e T 2015</v>
      </c>
      <c r="Z24" s="178" t="str">
        <f t="shared" ref="Z24" si="58">Z8</f>
        <v>4e T 2015</v>
      </c>
      <c r="AA24" s="178" t="str">
        <f t="shared" ref="AA24:AB24" si="59">AA8</f>
        <v>1er T 2016</v>
      </c>
      <c r="AB24" s="178" t="str">
        <f t="shared" si="59"/>
        <v>2e T 2016</v>
      </c>
      <c r="AC24" s="178" t="str">
        <f t="shared" ref="AC24:AD24" si="60">AC8</f>
        <v>3e T 2016</v>
      </c>
      <c r="AD24" s="178" t="str">
        <f t="shared" si="60"/>
        <v>4e T 2016</v>
      </c>
      <c r="AE24" s="178" t="str">
        <f t="shared" ref="AE24" si="61">AE8</f>
        <v>2017 - T1</v>
      </c>
      <c r="AF24" s="178" t="str">
        <f t="shared" ref="AF24:AG24" si="62">AF8</f>
        <v>2017 - T2</v>
      </c>
      <c r="AG24" s="178" t="str">
        <f t="shared" si="62"/>
        <v>2017- T3</v>
      </c>
      <c r="AH24" s="178" t="str">
        <f t="shared" ref="AH24:AI24" si="63">AH8</f>
        <v>2017 - T4</v>
      </c>
      <c r="AI24" s="178" t="str">
        <f t="shared" si="63"/>
        <v>2018 - T1</v>
      </c>
      <c r="AJ24" s="178" t="str">
        <f t="shared" ref="AJ24:AK24" si="64">AJ8</f>
        <v>2018 - T2</v>
      </c>
      <c r="AK24" s="178" t="str">
        <f t="shared" si="64"/>
        <v>2018 - T3</v>
      </c>
      <c r="AL24" s="178" t="str">
        <f t="shared" ref="AL24:AM24" si="65">AL8</f>
        <v>2018 - T4</v>
      </c>
      <c r="AM24" s="178" t="str">
        <f t="shared" si="65"/>
        <v>2019 - T1</v>
      </c>
      <c r="AN24" s="178" t="str">
        <f t="shared" ref="AN24:AP24" si="66">AN8</f>
        <v>2019 - T2</v>
      </c>
      <c r="AO24" s="178" t="str">
        <f t="shared" si="66"/>
        <v>2019 - T3</v>
      </c>
      <c r="AP24" s="178" t="str">
        <f t="shared" si="66"/>
        <v>2019 - T4</v>
      </c>
      <c r="AQ24" s="178" t="str">
        <f t="shared" ref="AQ24:AR24" si="67">AQ8</f>
        <v>2020 - T1</v>
      </c>
      <c r="AR24" s="178" t="str">
        <f t="shared" si="67"/>
        <v>2020 - T2</v>
      </c>
      <c r="AS24" s="178" t="str">
        <f t="shared" ref="AS24:AT24" si="68">AS8</f>
        <v>2020 - T3</v>
      </c>
      <c r="AT24" s="178" t="str">
        <f t="shared" si="68"/>
        <v>2020- T4</v>
      </c>
      <c r="AU24" s="178" t="str">
        <f t="shared" ref="AU24:AV24" si="69">AU8</f>
        <v>2021- T1</v>
      </c>
      <c r="AV24" s="178" t="str">
        <f t="shared" si="69"/>
        <v>2021- T2</v>
      </c>
      <c r="AW24" s="178" t="str">
        <f t="shared" ref="AW24:AY24" si="70">AW8</f>
        <v>2021- T3</v>
      </c>
      <c r="AX24" s="403" t="str">
        <f t="shared" si="70"/>
        <v>2021- T4</v>
      </c>
      <c r="AY24" s="178" t="str">
        <f t="shared" si="70"/>
        <v>2022- T1</v>
      </c>
      <c r="AZ24" s="178" t="str">
        <f t="shared" ref="AZ24:BA24" si="71">AZ8</f>
        <v>2022- T2</v>
      </c>
      <c r="BA24" s="178" t="str">
        <f t="shared" si="71"/>
        <v>2022- T3</v>
      </c>
      <c r="BB24" s="178" t="str">
        <f t="shared" ref="BB24:BC24" si="72">BB8</f>
        <v>2022- T4</v>
      </c>
      <c r="BC24" s="178" t="str">
        <f t="shared" si="72"/>
        <v>2023- T1</v>
      </c>
      <c r="BD24" s="178" t="str">
        <f t="shared" ref="BD24:BE24" si="73">BD8</f>
        <v>2023- T2</v>
      </c>
      <c r="BE24" s="178" t="str">
        <f t="shared" si="73"/>
        <v>2023- T3</v>
      </c>
      <c r="BF24" s="178" t="str">
        <f t="shared" ref="BF24:BG24" si="74">BF8</f>
        <v>2023- T4</v>
      </c>
      <c r="BG24" s="178" t="str">
        <f t="shared" si="74"/>
        <v>2024- T1</v>
      </c>
      <c r="BH24" s="178" t="str">
        <f t="shared" ref="BH24:BI24" si="75">BH8</f>
        <v>2024- T2</v>
      </c>
      <c r="BI24" s="178" t="str">
        <f t="shared" si="75"/>
        <v>2024- T3</v>
      </c>
      <c r="BJ24" s="178" t="str">
        <f t="shared" ref="BJ24" si="76">BJ8</f>
        <v>2024- T4</v>
      </c>
    </row>
    <row r="25" spans="1:62" x14ac:dyDescent="0.25">
      <c r="A25" s="8" t="s">
        <v>0</v>
      </c>
      <c r="B25" s="3">
        <f>[63]SAS_NSA_4T2009!$C$256</f>
        <v>428635</v>
      </c>
      <c r="C25" s="39">
        <f>[11]SAS_NSA_1T2010!$C$256</f>
        <v>426557</v>
      </c>
      <c r="D25" s="39">
        <f>[12]SAS_NSA_2T2010!$C$256</f>
        <v>422290</v>
      </c>
      <c r="E25" s="39">
        <f>[13]SAS_NSA_3T2010!$C$256</f>
        <v>418358</v>
      </c>
      <c r="F25" s="39">
        <f>[14]SAS_NSA_2010_4T!$C$256</f>
        <v>415774</v>
      </c>
      <c r="G25" s="39">
        <f>[15]SAS_NSA_2011_1T!$C$256</f>
        <v>412979</v>
      </c>
      <c r="H25" s="39">
        <f>[16]SAS_NSA_2011_2T!$C$256</f>
        <v>408514</v>
      </c>
      <c r="I25" s="39">
        <f>[17]SAS_NSA_2011_3T!$C$256</f>
        <v>404235</v>
      </c>
      <c r="J25" s="39">
        <f>[18]SAS_NSA_2011_4T!$C$256</f>
        <v>400710</v>
      </c>
      <c r="K25" s="39">
        <f>[19]SAS_NSA_2012_1T!$C$260</f>
        <v>397709</v>
      </c>
      <c r="L25" s="39">
        <f>'[20]120919-14H22S23-PROGRAM-TdB_STO'!$C$260</f>
        <v>392836</v>
      </c>
      <c r="M25" s="39">
        <f>'[21]121105-15H12S18-PROGRAM-TdB_STO'!$C$260</f>
        <v>388040</v>
      </c>
      <c r="N25" s="39">
        <f>[22]SAS_NSA_2012_4T!$C$260</f>
        <v>384560</v>
      </c>
      <c r="O25" s="39">
        <f>[23]SAS_NSA_2013_1T!$C$260</f>
        <v>381950</v>
      </c>
      <c r="P25" s="39">
        <f>[24]SAS_NSA_2013_2T!$C$260</f>
        <v>377668</v>
      </c>
      <c r="Q25" s="39">
        <f>[25]SAS_NSA_2013_3T!$C$260</f>
        <v>374194</v>
      </c>
      <c r="R25" s="39">
        <f>[26]SAS_NSA_2013_4T!$C$260</f>
        <v>371321</v>
      </c>
      <c r="S25" s="179">
        <f>[27]SAS_NSA_2014_1T!$C$260</f>
        <v>368282</v>
      </c>
      <c r="T25" s="179">
        <f>[28]SAS_NSA_2014_2T!$C$260</f>
        <v>365196</v>
      </c>
      <c r="U25" s="179">
        <f>[29]SAS_NSA_2014_3T!$C$260</f>
        <v>361779</v>
      </c>
      <c r="V25" s="179">
        <f>[30]SAS_NSA_2014_4T!$C$260</f>
        <v>359551</v>
      </c>
      <c r="W25" s="179">
        <f>[31]SAS_NSA_2015_1T!$C$260</f>
        <v>357267</v>
      </c>
      <c r="X25" s="179">
        <f>[32]SAS_NSA_2015_2T!$C$260</f>
        <v>352800</v>
      </c>
      <c r="Y25" s="179">
        <f>[33]SAS_NSA_2015_3T!$C$260</f>
        <v>348873</v>
      </c>
      <c r="Z25" s="179">
        <f>[34]SAS_NSA_2015_4T!$C$260</f>
        <v>346890</v>
      </c>
      <c r="AA25" s="179">
        <f>[35]SAS_NSA_2016_1T!$C$260</f>
        <v>345091</v>
      </c>
      <c r="AB25" s="179">
        <f>[36]SAS_NSA_2016_2T!$C$260</f>
        <v>341813</v>
      </c>
      <c r="AC25" s="179">
        <f>[37]SAS_NSA_2016_3T!$C$260</f>
        <v>338755</v>
      </c>
      <c r="AD25" s="179">
        <f>[38]SAS_NSA_2016_4T!$C$260</f>
        <v>336732</v>
      </c>
      <c r="AE25" s="179">
        <f>[39]SAS_NSA_2017_1T!$C$260</f>
        <v>334505</v>
      </c>
      <c r="AF25" s="179">
        <f>[40]SAS_NSA_2017_2T!$C$260</f>
        <v>331143</v>
      </c>
      <c r="AG25" s="179">
        <f>[41]SAS_NSA_2017_3T!$C$260</f>
        <v>329212</v>
      </c>
      <c r="AH25" s="179">
        <f>[42]SAS_NSA_2017_4T!$C$260</f>
        <v>329132</v>
      </c>
      <c r="AI25" s="179">
        <f>[43]SAS_NSA_2018_1T!$C$328</f>
        <v>329069</v>
      </c>
      <c r="AJ25" s="179">
        <f>[44]SAS_NSA_2018_2T!$C$262</f>
        <v>327093</v>
      </c>
      <c r="AK25" s="179">
        <f>[45]SAS_NSA_2018_3T!$C$328</f>
        <v>325262</v>
      </c>
      <c r="AL25" s="179">
        <f>[46]SAS_NSA_2018_4T!$C$328</f>
        <v>325267</v>
      </c>
      <c r="AM25" s="179">
        <f>[47]SAS_NSA_2019_1T!$C$328</f>
        <v>324896</v>
      </c>
      <c r="AN25" s="179">
        <f>[48]SAS_NSA_2019_2T!$C$328</f>
        <v>322524</v>
      </c>
      <c r="AO25" s="179">
        <f>[49]SAS_NSA_2019_3T!$C$328</f>
        <v>320859</v>
      </c>
      <c r="AP25" s="179">
        <f>[50]SAS_NSA_2019_4T!$C$328</f>
        <v>321352</v>
      </c>
      <c r="AQ25" s="179">
        <f>[51]SAS_NSA_2020_1T!$C$295</f>
        <v>321392</v>
      </c>
      <c r="AR25" s="179">
        <f>[52]SAS_NSA_2020_2T!$C$295</f>
        <v>319018</v>
      </c>
      <c r="AS25" s="179">
        <f>[53]SAS_NSA_2020_3T!$C$295</f>
        <v>316987</v>
      </c>
      <c r="AT25" s="179">
        <f>[54]SAS_NSA_2020_4T!$C$295</f>
        <v>316828</v>
      </c>
      <c r="AU25" s="179">
        <f>[55]SAS_NSA_2021_1T!$C$295</f>
        <v>316110</v>
      </c>
      <c r="AV25" s="179">
        <f>[56]SAS_NSA_2021_2T!$C$295</f>
        <v>313295</v>
      </c>
      <c r="AW25" s="179">
        <f>[57]SAS_NSA_2021_3T!$C$295</f>
        <v>311368</v>
      </c>
      <c r="AX25" s="404">
        <f>[58]SAS_NSA_2021_4T!$C$184</f>
        <v>465234</v>
      </c>
      <c r="AY25" s="179">
        <f>[59]SAS_NSA_2022_1T!$C$184</f>
        <v>269601</v>
      </c>
      <c r="AZ25" s="179">
        <f>[60]SAS_NSA_2022_2T!$C$184</f>
        <v>267604</v>
      </c>
      <c r="BA25" s="179">
        <f>[61]SAS_NSA_2022_3T!$C$184</f>
        <v>266295</v>
      </c>
      <c r="BB25" s="385">
        <f>[62]SAS_NSA_2022_4T!$C$184</f>
        <v>267664</v>
      </c>
      <c r="BC25" s="333">
        <f>[2]SAS_NSA_2023_1T!$C$184</f>
        <v>267275</v>
      </c>
      <c r="BD25" s="333">
        <f>[3]SAS_NSA_2023_2T!$C$184</f>
        <v>265889</v>
      </c>
      <c r="BE25" s="333">
        <f>[4]SAS_NSA_2023_3T!$C$184</f>
        <v>265065</v>
      </c>
      <c r="BF25" s="333">
        <f>[5]SAS_NSA_2023_4T!$C$184</f>
        <v>265134</v>
      </c>
      <c r="BG25" s="333">
        <f>[6]SAS_NSA_2024_1T!$C$184</f>
        <v>265202</v>
      </c>
      <c r="BH25" s="333">
        <f>[7]SAS_NSA_2024_2T!$C$184</f>
        <v>263213</v>
      </c>
      <c r="BI25" s="333">
        <f>[8]SAS_NSA_2024_3T!$C$184</f>
        <v>261909</v>
      </c>
      <c r="BJ25" s="333">
        <f>[9]SAS_NSA_2024_4T!$C$184</f>
        <v>262245</v>
      </c>
    </row>
    <row r="26" spans="1:62" x14ac:dyDescent="0.25">
      <c r="A26" s="237" t="s">
        <v>198</v>
      </c>
      <c r="B26" s="3"/>
      <c r="C26" s="39"/>
      <c r="D26" s="39"/>
      <c r="E26" s="39"/>
      <c r="F26" s="39"/>
      <c r="G26" s="39"/>
      <c r="H26" s="39"/>
      <c r="I26" s="39"/>
      <c r="J26" s="39"/>
      <c r="K26" s="39"/>
      <c r="L26" s="39"/>
      <c r="M26" s="39"/>
      <c r="N26" s="39"/>
      <c r="O26" s="39"/>
      <c r="P26" s="39"/>
      <c r="Q26" s="39"/>
      <c r="R26" s="39"/>
      <c r="S26" s="179"/>
      <c r="T26" s="179"/>
      <c r="U26" s="179"/>
      <c r="V26" s="179"/>
      <c r="W26" s="179"/>
      <c r="X26" s="179"/>
      <c r="Y26" s="179"/>
      <c r="Z26" s="179"/>
      <c r="AA26" s="179"/>
      <c r="AB26" s="179"/>
      <c r="AC26" s="179"/>
      <c r="AD26" s="179"/>
      <c r="AE26" s="179">
        <v>518845</v>
      </c>
      <c r="AF26" s="179">
        <v>512453</v>
      </c>
      <c r="AG26" s="179"/>
      <c r="AH26" s="179"/>
      <c r="AI26" s="179">
        <f>[43]SAS_NSA_2018_1T!$C$327</f>
        <v>505755</v>
      </c>
      <c r="AJ26" s="179">
        <v>501413</v>
      </c>
      <c r="AK26" s="179">
        <f>[45]SAS_NSA_2018_3T!$C$327</f>
        <v>498355</v>
      </c>
      <c r="AL26" s="179">
        <f>[46]SAS_NSA_2018_4T!$C$327</f>
        <v>497675</v>
      </c>
      <c r="AM26" s="179">
        <f>[47]SAS_NSA_2019_1T!$C$327</f>
        <v>495792</v>
      </c>
      <c r="AN26" s="179">
        <f>[48]SAS_NSA_2019_2T!$C$327</f>
        <v>491246</v>
      </c>
      <c r="AO26" s="179">
        <f>[49]SAS_NSA_2019_3T!$C$327</f>
        <v>488203</v>
      </c>
      <c r="AP26" s="179">
        <f>[50]SAS_NSA_2019_4T!$C$327</f>
        <v>487723</v>
      </c>
      <c r="AQ26" s="179">
        <f>[51]SAS_NSA_2020_1T!$C$294</f>
        <v>486520</v>
      </c>
      <c r="AR26" s="179">
        <f>[52]SAS_NSA_2020_2T!$C$294</f>
        <v>481928</v>
      </c>
      <c r="AS26" s="179">
        <f>[53]SAS_NSA_2020_3T!$C$294</f>
        <v>478165</v>
      </c>
      <c r="AT26" s="179">
        <f>[54]SAS_NSA_2020_4T!$C$294</f>
        <v>476856</v>
      </c>
      <c r="AU26" s="179">
        <f>[55]SAS_NSA_2021_1T!$C$294</f>
        <v>473975</v>
      </c>
      <c r="AV26" s="179">
        <f>[56]SAS_NSA_2021_2T!$C$294</f>
        <v>468870</v>
      </c>
      <c r="AW26" s="179">
        <f>[57]SAS_NSA_2021_3T!$C$294</f>
        <v>465568</v>
      </c>
      <c r="AX26" s="404">
        <f>[58]SAS_NSA_2021_4T!$C$183</f>
        <v>408530</v>
      </c>
      <c r="AY26" s="179">
        <f>[59]SAS_NSA_2022_1T!$C$183</f>
        <v>409065</v>
      </c>
      <c r="AZ26" s="179">
        <f>[60]SAS_NSA_2022_2T!$C$183</f>
        <v>404818</v>
      </c>
      <c r="BA26" s="179">
        <f>[61]SAS_NSA_2022_3T!$C$183</f>
        <v>401954</v>
      </c>
      <c r="BB26" s="385">
        <f>[62]SAS_NSA_2022_4T!$C$183</f>
        <v>402273</v>
      </c>
      <c r="BC26" s="333">
        <f>[2]SAS_NSA_2023_1T!$C$183</f>
        <v>399433</v>
      </c>
      <c r="BD26" s="333">
        <f>[3]SAS_NSA_2023_2T!$C$183</f>
        <v>396291</v>
      </c>
      <c r="BE26" s="333">
        <f>[4]SAS_NSA_2023_3T!$C$183</f>
        <v>394272</v>
      </c>
      <c r="BF26" s="333">
        <f>[5]SAS_NSA_2023_4T!$C$183</f>
        <v>393290</v>
      </c>
      <c r="BG26" s="333">
        <f>[6]SAS_NSA_2024_1T!$C$183</f>
        <v>391611</v>
      </c>
      <c r="BH26" s="333">
        <f>[7]SAS_NSA_2024_2T!$C$183</f>
        <v>387503</v>
      </c>
      <c r="BI26" s="333">
        <f>[8]SAS_NSA_2024_3T!$C$183</f>
        <v>384804</v>
      </c>
      <c r="BJ26" s="333">
        <f>[9]SAS_NSA_2024_4T!$C$183</f>
        <v>384034</v>
      </c>
    </row>
    <row r="27" spans="1:62" x14ac:dyDescent="0.25">
      <c r="A27" s="12"/>
      <c r="B27" s="10"/>
      <c r="C27" s="40"/>
      <c r="D27" s="40"/>
      <c r="E27" s="40"/>
      <c r="F27" s="40"/>
      <c r="G27" s="40"/>
      <c r="H27" s="40"/>
      <c r="I27" s="40"/>
      <c r="J27" s="40"/>
      <c r="K27" s="146"/>
      <c r="L27" s="146"/>
      <c r="M27" s="40"/>
      <c r="N27" s="146"/>
      <c r="O27" s="146"/>
      <c r="P27" s="40"/>
      <c r="Q27" s="40"/>
      <c r="R27" s="40"/>
      <c r="S27" s="180"/>
      <c r="T27" s="180"/>
      <c r="U27" s="180"/>
      <c r="V27" s="180"/>
      <c r="W27" s="180"/>
      <c r="X27" s="180"/>
      <c r="Y27" s="180"/>
      <c r="Z27" s="180"/>
      <c r="AA27" s="180"/>
      <c r="AB27" s="180"/>
      <c r="AC27" s="180"/>
      <c r="AD27" s="180"/>
      <c r="AE27" s="180"/>
      <c r="AF27" s="193">
        <f>AF25/AF11</f>
        <v>0.53345028731049349</v>
      </c>
      <c r="AG27" s="193">
        <f>AG25/AG11</f>
        <v>0.53349970830362348</v>
      </c>
      <c r="AH27" s="193">
        <f t="shared" ref="AH27" si="77">AH25/AH11</f>
        <v>0.53485567938430134</v>
      </c>
      <c r="AI27" s="180"/>
      <c r="AJ27" s="180"/>
      <c r="AM27" s="180"/>
      <c r="AN27" s="180"/>
      <c r="AO27" s="180"/>
      <c r="AP27" s="180"/>
      <c r="AQ27" s="180"/>
      <c r="AR27" s="180"/>
      <c r="AS27" s="180"/>
      <c r="AT27" s="180"/>
      <c r="AU27" s="180"/>
      <c r="AV27" s="180"/>
      <c r="AW27" s="180"/>
      <c r="AX27" s="405"/>
    </row>
    <row r="28" spans="1:62" ht="13" x14ac:dyDescent="0.3">
      <c r="A28" s="25" t="s">
        <v>49</v>
      </c>
      <c r="B28" s="10"/>
      <c r="C28" s="40"/>
      <c r="D28" s="40"/>
      <c r="E28" s="40"/>
      <c r="F28" s="40"/>
      <c r="G28" s="40"/>
      <c r="H28" s="40"/>
      <c r="I28" s="40"/>
      <c r="J28" s="40"/>
      <c r="K28" s="146"/>
      <c r="L28" s="146"/>
      <c r="M28" s="40"/>
      <c r="N28" s="146"/>
      <c r="O28" s="146"/>
      <c r="P28" s="40"/>
      <c r="Q28" s="40"/>
      <c r="R28" s="40"/>
      <c r="S28" s="180"/>
      <c r="T28" s="180"/>
      <c r="U28" s="180"/>
      <c r="V28" s="180"/>
      <c r="W28" s="180"/>
      <c r="X28" s="180"/>
      <c r="Y28" s="180"/>
      <c r="Z28" s="180"/>
      <c r="AA28" s="180"/>
      <c r="AB28" s="180"/>
      <c r="AC28" s="180"/>
      <c r="AD28" s="180"/>
      <c r="AE28" s="180"/>
      <c r="AF28" s="180"/>
      <c r="AG28" s="180"/>
      <c r="AH28" s="180"/>
      <c r="AI28" s="180"/>
      <c r="AJ28" s="180"/>
      <c r="AM28" s="180"/>
      <c r="AN28" s="180"/>
      <c r="AO28" s="180"/>
      <c r="AP28" s="180"/>
      <c r="AQ28" s="180"/>
      <c r="AR28" s="180"/>
      <c r="AS28" s="180"/>
      <c r="AT28" s="180"/>
      <c r="AU28" s="180"/>
      <c r="AV28" s="180"/>
      <c r="AW28" s="180"/>
      <c r="AX28" s="405"/>
    </row>
    <row r="29" spans="1:62" x14ac:dyDescent="0.25">
      <c r="A29" s="24" t="s">
        <v>50</v>
      </c>
      <c r="B29" s="10"/>
      <c r="C29" s="40"/>
      <c r="D29" s="40"/>
      <c r="E29" s="40"/>
      <c r="F29" s="40"/>
      <c r="G29" s="40"/>
      <c r="H29" s="40"/>
      <c r="I29" s="40"/>
      <c r="J29" s="40"/>
      <c r="K29" s="146"/>
      <c r="L29" s="146"/>
      <c r="M29" s="40"/>
      <c r="N29" s="146"/>
      <c r="O29" s="146"/>
      <c r="P29" s="40"/>
      <c r="Q29" s="40"/>
      <c r="R29" s="40"/>
      <c r="S29" s="180"/>
      <c r="T29" s="180"/>
      <c r="U29" s="180"/>
      <c r="V29" s="180"/>
      <c r="W29" s="180"/>
      <c r="X29" s="180"/>
      <c r="Y29" s="180"/>
      <c r="Z29" s="180"/>
      <c r="AA29" s="180"/>
      <c r="AB29" s="180"/>
      <c r="AC29" s="180"/>
      <c r="AD29" s="180"/>
      <c r="AE29" s="180"/>
      <c r="AF29" s="180"/>
      <c r="AG29" s="180"/>
      <c r="AH29" s="180"/>
      <c r="AI29" s="180"/>
      <c r="AJ29" s="180"/>
      <c r="AM29" s="180"/>
      <c r="AN29" s="180"/>
      <c r="AO29" s="180"/>
      <c r="AP29" s="180"/>
      <c r="AQ29" s="180"/>
      <c r="AR29" s="180"/>
      <c r="AS29" s="180"/>
      <c r="AT29" s="180"/>
      <c r="AU29" s="180"/>
      <c r="AV29" s="180"/>
      <c r="AW29" s="180"/>
      <c r="AX29" s="405"/>
      <c r="BB29" s="377" t="s">
        <v>241</v>
      </c>
      <c r="BC29" s="377"/>
      <c r="BD29" s="377"/>
    </row>
    <row r="30" spans="1:62" x14ac:dyDescent="0.25">
      <c r="A30" s="24"/>
      <c r="B30" s="10"/>
      <c r="C30" s="40"/>
      <c r="D30" s="40"/>
      <c r="E30" s="40"/>
      <c r="F30" s="40"/>
      <c r="G30" s="40"/>
      <c r="H30" s="40"/>
      <c r="I30" s="40"/>
      <c r="J30" s="40"/>
      <c r="K30" s="146"/>
      <c r="L30" s="146"/>
      <c r="M30" s="40"/>
      <c r="N30" s="146"/>
      <c r="O30" s="146"/>
      <c r="P30" s="40"/>
      <c r="Q30" s="40"/>
      <c r="R30" s="40"/>
      <c r="S30" s="180"/>
      <c r="T30" s="180"/>
      <c r="U30" s="180"/>
      <c r="V30" s="180"/>
      <c r="W30" s="180"/>
      <c r="X30" s="180"/>
      <c r="Y30" s="180"/>
      <c r="Z30" s="180"/>
      <c r="AA30" s="180"/>
      <c r="AB30" s="180"/>
      <c r="AC30" s="180"/>
      <c r="AD30" s="180"/>
      <c r="AE30" s="180"/>
      <c r="AF30" s="180"/>
      <c r="AG30" s="180"/>
      <c r="AH30" s="180"/>
      <c r="AI30" s="180"/>
      <c r="AJ30" s="180"/>
      <c r="AM30" s="180"/>
      <c r="AN30" s="180"/>
      <c r="AO30" s="180"/>
      <c r="AP30" s="180"/>
      <c r="AQ30" s="180"/>
      <c r="AR30" s="180"/>
      <c r="AS30" s="180"/>
      <c r="AT30" s="180"/>
      <c r="AU30" s="180"/>
      <c r="AV30" s="180"/>
      <c r="AW30" s="180"/>
      <c r="AX30" s="405"/>
      <c r="BB30" s="383" t="s">
        <v>244</v>
      </c>
      <c r="BC30" s="383"/>
      <c r="BD30" s="383"/>
    </row>
    <row r="31" spans="1:62" x14ac:dyDescent="0.25">
      <c r="B31" s="2" t="str">
        <f t="shared" ref="B31:G31" si="78">B8</f>
        <v>4eme T 2009</v>
      </c>
      <c r="C31" s="38" t="str">
        <f t="shared" si="78"/>
        <v>1er T 2010</v>
      </c>
      <c r="D31" s="38" t="str">
        <f t="shared" si="78"/>
        <v>2eme T 2010</v>
      </c>
      <c r="E31" s="38" t="str">
        <f t="shared" si="78"/>
        <v>3eme T 2010</v>
      </c>
      <c r="F31" s="38" t="str">
        <f t="shared" si="78"/>
        <v>4eme T 2010</v>
      </c>
      <c r="G31" s="38" t="str">
        <f t="shared" si="78"/>
        <v>1er T 2011</v>
      </c>
      <c r="H31" s="38" t="str">
        <f t="shared" ref="H31:M31" si="79">H8</f>
        <v>2eme T 2011</v>
      </c>
      <c r="I31" s="38" t="str">
        <f t="shared" si="79"/>
        <v>3eme T 2011</v>
      </c>
      <c r="J31" s="38" t="str">
        <f t="shared" si="79"/>
        <v>4eme T 2011</v>
      </c>
      <c r="K31" s="38" t="str">
        <f t="shared" si="79"/>
        <v>1er T 2012</v>
      </c>
      <c r="L31" s="38" t="str">
        <f t="shared" si="79"/>
        <v>2eme T 2012</v>
      </c>
      <c r="M31" s="38" t="str">
        <f t="shared" si="79"/>
        <v>3eme T 2012</v>
      </c>
      <c r="N31" s="38" t="str">
        <f t="shared" ref="N31:S31" si="80">N8</f>
        <v>4eme T 2012</v>
      </c>
      <c r="O31" s="38" t="str">
        <f t="shared" si="80"/>
        <v>1er T 2013</v>
      </c>
      <c r="P31" s="38" t="str">
        <f t="shared" si="80"/>
        <v>2eme T 2013</v>
      </c>
      <c r="Q31" s="38" t="str">
        <f t="shared" si="80"/>
        <v>3ème T 2013</v>
      </c>
      <c r="R31" s="38" t="str">
        <f t="shared" si="80"/>
        <v>4ème T 2013</v>
      </c>
      <c r="S31" s="178" t="str">
        <f t="shared" si="80"/>
        <v>1er T 2014</v>
      </c>
      <c r="T31" s="178" t="str">
        <f t="shared" ref="T31:U31" si="81">T8</f>
        <v>2eme T 2014</v>
      </c>
      <c r="U31" s="178" t="str">
        <f t="shared" si="81"/>
        <v>3T 2014</v>
      </c>
      <c r="V31" s="178" t="str">
        <f t="shared" ref="V31:W31" si="82">V8</f>
        <v>4ème T 2014</v>
      </c>
      <c r="W31" s="178" t="str">
        <f t="shared" si="82"/>
        <v>1er T 2015</v>
      </c>
      <c r="X31" s="178" t="str">
        <f t="shared" ref="X31:Y31" si="83">X8</f>
        <v>2e T 2015</v>
      </c>
      <c r="Y31" s="178" t="str">
        <f t="shared" si="83"/>
        <v>3e T 2015</v>
      </c>
      <c r="Z31" s="178" t="str">
        <f t="shared" ref="Z31" si="84">Z8</f>
        <v>4e T 2015</v>
      </c>
      <c r="AA31" s="178" t="str">
        <f t="shared" ref="AA31:AB31" si="85">AA8</f>
        <v>1er T 2016</v>
      </c>
      <c r="AB31" s="178" t="str">
        <f t="shared" si="85"/>
        <v>2e T 2016</v>
      </c>
      <c r="AC31" s="178" t="str">
        <f t="shared" ref="AC31:AD31" si="86">AC8</f>
        <v>3e T 2016</v>
      </c>
      <c r="AD31" s="178" t="str">
        <f t="shared" si="86"/>
        <v>4e T 2016</v>
      </c>
      <c r="AE31" s="178" t="str">
        <f t="shared" ref="AE31" si="87">AE8</f>
        <v>2017 - T1</v>
      </c>
      <c r="AF31" s="178" t="str">
        <f t="shared" ref="AF31:AG31" si="88">AF8</f>
        <v>2017 - T2</v>
      </c>
      <c r="AG31" s="178" t="str">
        <f t="shared" si="88"/>
        <v>2017- T3</v>
      </c>
      <c r="AH31" s="178" t="str">
        <f t="shared" ref="AH31:AI31" si="89">AH8</f>
        <v>2017 - T4</v>
      </c>
      <c r="AI31" s="178" t="str">
        <f t="shared" si="89"/>
        <v>2018 - T1</v>
      </c>
      <c r="AJ31" s="178" t="str">
        <f t="shared" ref="AJ31:AK31" si="90">AJ8</f>
        <v>2018 - T2</v>
      </c>
      <c r="AK31" s="178" t="str">
        <f t="shared" si="90"/>
        <v>2018 - T3</v>
      </c>
      <c r="AL31" s="178" t="str">
        <f t="shared" ref="AL31:AM31" si="91">AL8</f>
        <v>2018 - T4</v>
      </c>
      <c r="AM31" s="178" t="str">
        <f t="shared" si="91"/>
        <v>2019 - T1</v>
      </c>
      <c r="AN31" s="178" t="str">
        <f t="shared" ref="AN31:AP31" si="92">AN8</f>
        <v>2019 - T2</v>
      </c>
      <c r="AO31" s="178" t="str">
        <f t="shared" si="92"/>
        <v>2019 - T3</v>
      </c>
      <c r="AP31" s="178" t="str">
        <f t="shared" si="92"/>
        <v>2019 - T4</v>
      </c>
      <c r="AQ31" s="178" t="str">
        <f t="shared" ref="AQ31:AR31" si="93">AQ8</f>
        <v>2020 - T1</v>
      </c>
      <c r="AR31" s="178" t="str">
        <f t="shared" si="93"/>
        <v>2020 - T2</v>
      </c>
      <c r="AS31" s="178" t="str">
        <f t="shared" ref="AS31:AT31" si="94">AS8</f>
        <v>2020 - T3</v>
      </c>
      <c r="AT31" s="178" t="str">
        <f t="shared" si="94"/>
        <v>2020- T4</v>
      </c>
      <c r="AU31" s="178" t="str">
        <f t="shared" ref="AU31:AV31" si="95">AU8</f>
        <v>2021- T1</v>
      </c>
      <c r="AV31" s="178" t="str">
        <f t="shared" si="95"/>
        <v>2021- T2</v>
      </c>
      <c r="AW31" s="178" t="str">
        <f t="shared" ref="AW31:AY31" si="96">AW8</f>
        <v>2021- T3</v>
      </c>
      <c r="AX31" s="403" t="str">
        <f t="shared" si="96"/>
        <v>2021- T4</v>
      </c>
      <c r="AY31" s="178" t="str">
        <f t="shared" si="96"/>
        <v>2022- T1</v>
      </c>
      <c r="AZ31" s="178" t="str">
        <f t="shared" ref="AZ31:BA31" si="97">AZ8</f>
        <v>2022- T2</v>
      </c>
      <c r="BA31" s="178" t="str">
        <f t="shared" si="97"/>
        <v>2022- T3</v>
      </c>
      <c r="BB31" s="178" t="str">
        <f t="shared" ref="BB31:BC31" si="98">BB8</f>
        <v>2022- T4</v>
      </c>
      <c r="BC31" s="178" t="str">
        <f t="shared" si="98"/>
        <v>2023- T1</v>
      </c>
      <c r="BD31" s="178" t="str">
        <f t="shared" ref="BD31:BE31" si="99">BD8</f>
        <v>2023- T2</v>
      </c>
      <c r="BE31" s="178" t="str">
        <f t="shared" si="99"/>
        <v>2023- T3</v>
      </c>
      <c r="BF31" s="178" t="str">
        <f t="shared" ref="BF31:BG31" si="100">BF8</f>
        <v>2023- T4</v>
      </c>
      <c r="BG31" s="178" t="str">
        <f t="shared" si="100"/>
        <v>2024- T1</v>
      </c>
      <c r="BH31" s="178" t="str">
        <f t="shared" ref="BH31:BI31" si="101">BH8</f>
        <v>2024- T2</v>
      </c>
      <c r="BI31" s="178" t="str">
        <f t="shared" si="101"/>
        <v>2024- T3</v>
      </c>
      <c r="BJ31" s="178" t="str">
        <f t="shared" ref="BJ31" si="102">BJ8</f>
        <v>2024- T4</v>
      </c>
    </row>
    <row r="32" spans="1:62" x14ac:dyDescent="0.25">
      <c r="A32" s="367" t="s">
        <v>230</v>
      </c>
      <c r="B32" s="16">
        <f>[63]SAS_NSA_4T2009!$E$256</f>
        <v>9376.2800000000007</v>
      </c>
      <c r="C32" s="42">
        <f>[11]SAS_NSA_1T2010!$E$256</f>
        <v>9399.48</v>
      </c>
      <c r="D32" s="42">
        <f>[12]SAS_NSA_2T2010!$E$256</f>
        <v>9488.32</v>
      </c>
      <c r="E32" s="42">
        <f>[13]SAS_NSA_3T2010!$E$256</f>
        <v>9492.1200000000008</v>
      </c>
      <c r="F32" s="42">
        <f>[14]SAS_NSA_2010_4T!$E$256</f>
        <v>9497</v>
      </c>
      <c r="G32" s="42">
        <f>[15]SAS_NSA_2011_1T!$E$256</f>
        <v>9523.68</v>
      </c>
      <c r="H32" s="42">
        <f>[16]SAS_NSA_2011_2T!$E$256</f>
        <v>9728.92</v>
      </c>
      <c r="I32" s="42">
        <f>[17]SAS_NSA_2011_3T!$E$256</f>
        <v>9733.8799999999992</v>
      </c>
      <c r="J32" s="42">
        <f>[18]SAS_NSA_2011_4T!$E$256</f>
        <v>9739.7199999999993</v>
      </c>
      <c r="K32" s="42">
        <f>[19]SAS_NSA_2012_1T!$E$260</f>
        <v>9737.0400000000009</v>
      </c>
      <c r="L32" s="42">
        <f>'[20]120919-14H22S23-PROGRAM-TdB_STO'!$E$260</f>
        <v>9955.76</v>
      </c>
      <c r="M32" s="42">
        <f>'[21]121105-15H12S18-PROGRAM-TdB_STO'!$E$260</f>
        <v>9962</v>
      </c>
      <c r="N32" s="42">
        <f>[22]SAS_NSA_2012_4T!$E$260</f>
        <v>9968.48</v>
      </c>
      <c r="O32" s="42">
        <f>[23]SAS_NSA_2013_1T!$E$260</f>
        <v>9984.2800000000007</v>
      </c>
      <c r="P32" s="42">
        <f>[24]SAS_NSA_2013_2T!$E$260</f>
        <v>10111.84</v>
      </c>
      <c r="Q32" s="42">
        <f>[25]SAS_NSA_2013_3T!$E$260</f>
        <v>10115.200000000001</v>
      </c>
      <c r="R32" s="42">
        <f>[26]SAS_NSA_2013_4T!$E$260</f>
        <v>10101.36</v>
      </c>
      <c r="S32" s="181">
        <f>[27]SAS_NSA_2014_1T!$E$260</f>
        <v>10142</v>
      </c>
      <c r="T32" s="181">
        <f>[28]SAS_NSA_2014_2T!$E$260</f>
        <v>10234.68</v>
      </c>
      <c r="U32" s="181">
        <f>[29]SAS_NSA_2014_3T!$E$260</f>
        <v>10263.48</v>
      </c>
      <c r="V32" s="181">
        <f>[30]SAS_NSA_2014_4T!$E$260</f>
        <v>10271.52</v>
      </c>
      <c r="W32" s="181">
        <f>[31]SAS_NSA_2015_1T!$E$260</f>
        <v>10277.4</v>
      </c>
      <c r="X32" s="181">
        <f>[32]SAS_NSA_2015_2T!$E$260</f>
        <v>10291.879999999999</v>
      </c>
      <c r="Y32" s="181">
        <f>[33]SAS_NSA_2015_3T!$E$260</f>
        <v>10304.08</v>
      </c>
      <c r="Z32" s="181">
        <f>[34]SAS_NSA_2015_4T!$E$260</f>
        <v>10323.32</v>
      </c>
      <c r="AA32" s="181">
        <f>[35]SAS_NSA_2016_1T!$E$260</f>
        <v>10462.64</v>
      </c>
      <c r="AB32" s="181">
        <f>[36]SAS_NSA_2016_2T!$E$260</f>
        <v>10476.84</v>
      </c>
      <c r="AC32" s="181">
        <f>[37]SAS_NSA_2016_3T!$E$260</f>
        <v>10485.36</v>
      </c>
      <c r="AD32" s="181">
        <f>[38]SAS_NSA_2016_4T!$E$260</f>
        <v>10566.32</v>
      </c>
      <c r="AE32" s="181">
        <f>[39]SAS_NSA_2017_1T!$E$260</f>
        <v>10577.64</v>
      </c>
      <c r="AF32" s="181">
        <f>[40]SAS_NSA_2017_2T!$E$260</f>
        <v>10581.28</v>
      </c>
      <c r="AG32" s="181">
        <f>[41]SAS_NSA_2017_3T!$E$260</f>
        <v>10599.24</v>
      </c>
      <c r="AH32" s="181">
        <f>[42]SAS_NSA_2017_4T!$E$260</f>
        <v>10817.36</v>
      </c>
      <c r="AI32" s="181">
        <f>[43]SAS_NSA_2018_1T!$D$328*4</f>
        <v>10760.4</v>
      </c>
      <c r="AJ32" s="181">
        <f>[44]SAS_NSA_2018_2T!$E$261</f>
        <v>10780.88</v>
      </c>
      <c r="AK32" s="181">
        <f>4*[45]SAS_NSA_2018_3T!$D$328</f>
        <v>10793.68</v>
      </c>
      <c r="AL32" s="181">
        <f>4*[46]SAS_NSA_2018_4T!$D$328</f>
        <v>10810.24</v>
      </c>
      <c r="AM32" s="181">
        <f>4*[47]SAS_NSA_2019_1T!$D$328</f>
        <v>10860.12</v>
      </c>
      <c r="AN32" s="181">
        <f>4*[48]SAS_NSA_2019_2T!$D$328</f>
        <v>10881.48</v>
      </c>
      <c r="AO32" s="181">
        <f>4*[49]SAS_NSA_2019_3T!$D$328</f>
        <v>10906.48</v>
      </c>
      <c r="AP32" s="181">
        <f>4*[50]SAS_NSA_2019_4T!$D$328</f>
        <v>10930</v>
      </c>
      <c r="AQ32" s="181">
        <f>4*[51]SAS_NSA_2020_1T!$D$295</f>
        <v>11044.48</v>
      </c>
      <c r="AR32" s="181">
        <f>4*[52]SAS_NSA_2020_2T!$D$295</f>
        <v>11063.24</v>
      </c>
      <c r="AS32" s="181">
        <f>4*[53]SAS_NSA_2020_3T!$D$295</f>
        <v>11080.64</v>
      </c>
      <c r="AT32" s="181">
        <f>[54]SAS_NSA_2020_4T!$E$295</f>
        <v>11109.16</v>
      </c>
      <c r="AU32" s="181">
        <f>[55]SAS_NSA_2021_1T!$E$295</f>
        <v>11179.36</v>
      </c>
      <c r="AV32" s="181">
        <f>[56]SAS_NSA_2021_2T!$E$295</f>
        <v>11216.76</v>
      </c>
      <c r="AW32" s="181">
        <f>[57]SAS_NSA_2021_3T!$E$295</f>
        <v>11268.4</v>
      </c>
      <c r="AX32" s="408">
        <f>[58]SAS_NSA_2021_4T!$E$184</f>
        <v>11906.601839074519</v>
      </c>
      <c r="AY32" s="181">
        <f>[59]SAS_NSA_2022_1T!$E$184</f>
        <v>12417.627026606</v>
      </c>
      <c r="AZ32" s="181">
        <f>[60]SAS_NSA_2022_2T!$E$184</f>
        <v>12444.81403865412</v>
      </c>
      <c r="BA32" s="181">
        <f>[61]SAS_NSA_2022_3T!$E$184</f>
        <v>12959.78601175388</v>
      </c>
      <c r="BB32" s="382">
        <f>[62]SAS_NSA_2022_4T!$E$184</f>
        <v>12951.529036403839</v>
      </c>
      <c r="BC32" s="338">
        <f>[2]SAS_NSA_2023_1T!$E$184</f>
        <v>13086.78748105884</v>
      </c>
      <c r="BD32" s="338">
        <f>[3]SAS_NSA_2023_2T!$E$184</f>
        <v>13159.63584804184</v>
      </c>
      <c r="BE32" s="338">
        <f>[4]SAS_NSA_2023_3T!$E$184</f>
        <v>13203.991760511561</v>
      </c>
      <c r="BF32" s="338">
        <f>[5]SAS_NSA_2023_4T!$E$184</f>
        <v>13244.278742070041</v>
      </c>
      <c r="BG32" s="338">
        <f>[6]SAS_NSA_2024_1T!$E$184</f>
        <v>13867.61187321364</v>
      </c>
      <c r="BH32" s="338">
        <f>[7]SAS_NSA_2024_2T!$E$184</f>
        <v>13916.79517349068</v>
      </c>
      <c r="BI32" s="338">
        <f>[8]SAS_NSA_2024_3T!$E$184</f>
        <v>13953.73602281708</v>
      </c>
      <c r="BJ32" s="338">
        <f>[9]SAS_NSA_2024_4T!$E$184</f>
        <v>14011.36325192092</v>
      </c>
    </row>
    <row r="33" spans="1:62" x14ac:dyDescent="0.25">
      <c r="A33" s="20" t="s">
        <v>199</v>
      </c>
      <c r="B33" s="16"/>
      <c r="C33" s="42"/>
      <c r="D33" s="42"/>
      <c r="E33" s="42"/>
      <c r="F33" s="42"/>
      <c r="G33" s="42"/>
      <c r="H33" s="42"/>
      <c r="I33" s="42"/>
      <c r="J33" s="42"/>
      <c r="K33" s="42"/>
      <c r="L33" s="42"/>
      <c r="M33" s="42"/>
      <c r="N33" s="42"/>
      <c r="O33" s="42"/>
      <c r="P33" s="42"/>
      <c r="Q33" s="42"/>
      <c r="R33" s="42"/>
      <c r="S33" s="181"/>
      <c r="T33" s="181"/>
      <c r="U33" s="181"/>
      <c r="V33" s="181"/>
      <c r="W33" s="181"/>
      <c r="X33" s="181"/>
      <c r="Y33" s="181"/>
      <c r="Z33" s="181"/>
      <c r="AA33" s="181"/>
      <c r="AB33" s="181"/>
      <c r="AC33" s="181"/>
      <c r="AD33" s="181"/>
      <c r="AE33" s="181">
        <f>'[198]180808-14H02S16-PROGRAM-TdB_STO'!$D$327*4</f>
        <v>10924.68</v>
      </c>
      <c r="AF33" s="181">
        <v>10933</v>
      </c>
      <c r="AG33" s="181"/>
      <c r="AH33" s="181"/>
      <c r="AI33" s="181">
        <f>[43]SAS_NSA_2018_1T!$D$327*4</f>
        <v>11104.56</v>
      </c>
      <c r="AJ33" s="181">
        <v>11124</v>
      </c>
      <c r="AK33" s="181">
        <f>4*[45]SAS_NSA_2018_3T!$D$327</f>
        <v>11139.48</v>
      </c>
      <c r="AL33" s="181">
        <f>4*[46]SAS_NSA_2018_4T!$D$327</f>
        <v>11157.64</v>
      </c>
      <c r="AM33" s="181">
        <f>4*[47]SAS_NSA_2019_1T!$D$327</f>
        <v>11208.56</v>
      </c>
      <c r="AN33" s="181">
        <f>4*[48]SAS_NSA_2019_2T!$D$327</f>
        <v>11227.68</v>
      </c>
      <c r="AO33" s="181">
        <f>4*[49]SAS_NSA_2019_3T!$D$327</f>
        <v>11257.4</v>
      </c>
      <c r="AP33" s="181">
        <f>4*[50]SAS_NSA_2019_4T!$D$327</f>
        <v>11272.52</v>
      </c>
      <c r="AQ33" s="181">
        <f>4*[51]SAS_NSA_2020_1T!$D$294</f>
        <v>11392.44</v>
      </c>
      <c r="AR33" s="181">
        <f>4*[52]SAS_NSA_2020_2T!$D$294</f>
        <v>11412.44</v>
      </c>
      <c r="AS33" s="181">
        <f>4*[53]SAS_NSA_2020_3T!$D$294</f>
        <v>11427.56</v>
      </c>
      <c r="AT33" s="181">
        <f>[54]SAS_NSA_2020_4T!$E$294</f>
        <v>11451.6</v>
      </c>
      <c r="AU33" s="181">
        <f>[55]SAS_NSA_2021_1T!$E$294</f>
        <v>11517.04</v>
      </c>
      <c r="AV33" s="181">
        <f>[56]SAS_NSA_2021_2T!$E$294</f>
        <v>11546.64</v>
      </c>
      <c r="AW33" s="181">
        <f>[57]SAS_NSA_2021_3T!$E$294</f>
        <v>11588.8</v>
      </c>
      <c r="AX33" s="408">
        <f>[58]SAS_NSA_2021_4T!$E$183</f>
        <v>12150.61094166892</v>
      </c>
      <c r="AY33" s="181">
        <f>[59]SAS_NSA_2022_1T!$E$183</f>
        <v>12640.00220991776</v>
      </c>
      <c r="AZ33" s="181">
        <f>[60]SAS_NSA_2022_2T!$E$183</f>
        <v>12660.311191696041</v>
      </c>
      <c r="BA33" s="181">
        <f>[61]SAS_NSA_2022_3T!$E$183</f>
        <v>13181.49731561324</v>
      </c>
      <c r="BB33" s="382">
        <f>[62]SAS_NSA_2022_4T!$E$183</f>
        <v>13164.420947963201</v>
      </c>
      <c r="BC33" s="338">
        <f>[2]SAS_NSA_2023_1T!$E$183</f>
        <v>13308.400868230719</v>
      </c>
      <c r="BD33" s="338">
        <f>[3]SAS_NSA_2023_2T!$E$183</f>
        <v>13371.42466520816</v>
      </c>
      <c r="BE33" s="338">
        <f>[4]SAS_NSA_2023_3T!$E$183</f>
        <v>13409.109163217279</v>
      </c>
      <c r="BF33" s="338">
        <f>[5]SAS_NSA_2023_4T!$E$183</f>
        <v>13447.296661496601</v>
      </c>
      <c r="BG33" s="338">
        <f>[6]SAS_NSA_2024_1T!$E$183</f>
        <v>14085.55097788368</v>
      </c>
      <c r="BH33" s="338">
        <f>[7]SAS_NSA_2024_2T!$E$183</f>
        <v>14128.453457134519</v>
      </c>
      <c r="BI33" s="338">
        <f>[8]SAS_NSA_2024_3T!$E$183</f>
        <v>14158.989366014919</v>
      </c>
      <c r="BJ33" s="338">
        <f>[9]SAS_NSA_2024_4T!$E$183</f>
        <v>14218.772962810601</v>
      </c>
    </row>
    <row r="34" spans="1:62" x14ac:dyDescent="0.25">
      <c r="A34" s="19"/>
      <c r="B34" s="10"/>
      <c r="C34" s="40"/>
      <c r="D34" s="40"/>
      <c r="E34" s="40"/>
      <c r="F34" s="40"/>
      <c r="G34" s="40"/>
      <c r="H34" s="40"/>
      <c r="I34" s="40"/>
      <c r="J34" s="40"/>
      <c r="K34" s="40"/>
      <c r="N34" s="40"/>
      <c r="O34" s="40"/>
      <c r="P34" s="40"/>
      <c r="Q34" s="40"/>
      <c r="R34" s="40"/>
      <c r="S34" s="214"/>
      <c r="T34" s="214"/>
      <c r="U34" s="214"/>
      <c r="V34" s="214"/>
      <c r="W34" s="214"/>
      <c r="X34" s="214"/>
      <c r="Y34" s="214"/>
      <c r="Z34" s="214"/>
      <c r="AA34" s="214"/>
      <c r="AB34" s="214"/>
      <c r="AC34" s="214"/>
      <c r="AD34" s="214"/>
      <c r="AE34" s="214"/>
      <c r="AF34" s="214"/>
    </row>
    <row r="35" spans="1:62" x14ac:dyDescent="0.25">
      <c r="A35" s="18"/>
      <c r="B35" s="18"/>
      <c r="C35" s="51"/>
      <c r="D35" s="51"/>
      <c r="E35" s="51"/>
      <c r="F35" s="51"/>
      <c r="G35" s="51"/>
      <c r="H35" s="51"/>
      <c r="I35" s="51"/>
      <c r="J35" s="51"/>
      <c r="K35" s="51"/>
      <c r="N35" s="51"/>
      <c r="O35" s="51"/>
      <c r="P35" s="51"/>
      <c r="Q35" s="51"/>
      <c r="R35" s="51"/>
      <c r="S35" s="216"/>
      <c r="T35" s="216"/>
      <c r="U35" s="216"/>
      <c r="V35" s="216"/>
      <c r="W35" s="216"/>
      <c r="X35" s="216"/>
      <c r="Y35" s="216"/>
      <c r="Z35" s="216"/>
      <c r="AA35" s="216"/>
      <c r="AB35" s="216"/>
      <c r="AC35" s="216"/>
      <c r="AD35" s="216"/>
      <c r="AE35" s="216"/>
      <c r="AF35" s="216"/>
    </row>
    <row r="36" spans="1:62" x14ac:dyDescent="0.25">
      <c r="A36" s="18"/>
      <c r="B36" s="18"/>
      <c r="C36" s="51"/>
      <c r="D36" s="51"/>
      <c r="E36" s="51"/>
      <c r="F36" s="51"/>
      <c r="G36" s="51"/>
      <c r="H36" s="51"/>
      <c r="I36" s="51"/>
      <c r="J36" s="51"/>
      <c r="K36" s="51"/>
      <c r="N36" s="51"/>
      <c r="O36" s="51"/>
      <c r="P36" s="51"/>
      <c r="Q36" s="51"/>
      <c r="R36" s="51"/>
      <c r="S36" s="216"/>
      <c r="T36" s="216"/>
      <c r="U36" s="216"/>
      <c r="V36" s="216"/>
      <c r="W36" s="216"/>
      <c r="X36" s="216"/>
      <c r="Y36" s="216"/>
      <c r="Z36" s="216"/>
      <c r="AA36" s="216"/>
      <c r="AB36" s="216"/>
      <c r="AC36" s="216"/>
      <c r="AD36" s="216"/>
      <c r="AE36" s="216"/>
      <c r="AF36" s="216"/>
    </row>
  </sheetData>
  <phoneticPr fontId="2" type="noConversion"/>
  <pageMargins left="0.66" right="0.39" top="0.43" bottom="0.67" header="0.35" footer="0.66"/>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101"/>
  <sheetViews>
    <sheetView workbookViewId="0">
      <pane xSplit="15" ySplit="8" topLeftCell="BB9" activePane="bottomRight" state="frozen"/>
      <selection pane="topRight" activeCell="P1" sqref="P1"/>
      <selection pane="bottomLeft" activeCell="A9" sqref="A9"/>
      <selection pane="bottomRight" activeCell="BK1" sqref="BK1"/>
    </sheetView>
  </sheetViews>
  <sheetFormatPr baseColWidth="10" defaultColWidth="11.453125" defaultRowHeight="12.5" x14ac:dyDescent="0.25"/>
  <cols>
    <col min="1" max="1" width="57.453125" style="309" bestFit="1" customWidth="1"/>
    <col min="2" max="2" width="11.81640625" style="4" hidden="1" customWidth="1"/>
    <col min="3" max="3" width="10.81640625" style="35" hidden="1" customWidth="1"/>
    <col min="4" max="10" width="11.81640625" style="35" hidden="1" customWidth="1"/>
    <col min="11" max="11" width="11.81640625" style="145" hidden="1" customWidth="1"/>
    <col min="12" max="15" width="11.453125" style="4" hidden="1" customWidth="1"/>
    <col min="16" max="16" width="9.7265625" style="4" customWidth="1"/>
    <col min="17" max="17" width="11.453125" style="4" customWidth="1"/>
    <col min="18" max="29" width="11.453125" style="4"/>
    <col min="30" max="32" width="11.453125" style="4" customWidth="1"/>
    <col min="33" max="53" width="11.453125" style="4"/>
    <col min="54" max="54" width="11.453125" style="4" customWidth="1"/>
    <col min="55" max="16384" width="11.453125" style="4"/>
  </cols>
  <sheetData>
    <row r="1" spans="1:62" x14ac:dyDescent="0.25">
      <c r="A1" s="300" t="s">
        <v>51</v>
      </c>
      <c r="L1" s="145"/>
      <c r="M1" s="145"/>
      <c r="N1" s="145"/>
      <c r="O1" s="145"/>
      <c r="P1" s="145"/>
      <c r="Q1" s="145"/>
      <c r="R1" s="145"/>
      <c r="S1" s="145"/>
      <c r="T1" s="145"/>
      <c r="U1" s="145"/>
      <c r="V1" s="145"/>
      <c r="W1" s="145"/>
      <c r="X1" s="145"/>
      <c r="Y1" s="145"/>
      <c r="Z1" s="145"/>
      <c r="AA1" s="145"/>
      <c r="AB1" s="145"/>
      <c r="AC1" s="145"/>
      <c r="AD1" s="145"/>
      <c r="AE1" s="145"/>
      <c r="AF1" s="145"/>
      <c r="AG1" s="145"/>
      <c r="AH1" s="145"/>
      <c r="AI1" s="145"/>
      <c r="AM1" s="145"/>
      <c r="AN1" s="145"/>
      <c r="AO1" s="145"/>
    </row>
    <row r="2" spans="1:62" x14ac:dyDescent="0.25">
      <c r="A2" s="300" t="s">
        <v>52</v>
      </c>
      <c r="L2" s="145"/>
      <c r="M2" s="145"/>
      <c r="N2" s="145"/>
      <c r="O2" s="145"/>
      <c r="P2" s="145"/>
      <c r="Q2" s="145"/>
      <c r="R2" s="145"/>
      <c r="S2" s="145"/>
      <c r="T2" s="145"/>
      <c r="U2" s="145"/>
      <c r="V2" s="145"/>
      <c r="W2" s="145"/>
      <c r="X2" s="145"/>
      <c r="Y2" s="145"/>
      <c r="Z2" s="145"/>
      <c r="AA2" s="145"/>
      <c r="AB2" s="145"/>
      <c r="AC2" s="145"/>
      <c r="AD2" s="145"/>
      <c r="AE2" s="145"/>
      <c r="AF2" s="145"/>
      <c r="AG2" s="145"/>
      <c r="AH2" s="145"/>
      <c r="AI2" s="145"/>
      <c r="AM2" s="145"/>
      <c r="AN2" s="145"/>
      <c r="AO2" s="145"/>
    </row>
    <row r="3" spans="1:62" x14ac:dyDescent="0.25">
      <c r="A3" s="323" t="s">
        <v>84</v>
      </c>
      <c r="L3" s="145"/>
      <c r="M3" s="145"/>
      <c r="N3" s="145"/>
      <c r="O3" s="145"/>
      <c r="P3" s="145"/>
      <c r="Q3" s="145"/>
      <c r="R3" s="145"/>
      <c r="S3" s="145"/>
      <c r="T3" s="145"/>
      <c r="U3" s="145"/>
      <c r="V3" s="145"/>
      <c r="W3" s="145"/>
      <c r="X3" s="145"/>
      <c r="Y3" s="145"/>
      <c r="Z3" s="145"/>
      <c r="AA3" s="145"/>
      <c r="AB3" s="145"/>
      <c r="AC3" s="145"/>
      <c r="AD3" s="145"/>
      <c r="AE3" s="145"/>
      <c r="AF3" s="145"/>
      <c r="AG3" s="145"/>
      <c r="AH3" s="145"/>
      <c r="AI3" s="145"/>
      <c r="AM3" s="145"/>
      <c r="AN3" s="145"/>
      <c r="AO3" s="145"/>
    </row>
    <row r="4" spans="1:62" x14ac:dyDescent="0.25">
      <c r="A4" s="300" t="s">
        <v>8</v>
      </c>
      <c r="L4" s="145"/>
      <c r="M4" s="145"/>
      <c r="N4" s="145"/>
      <c r="O4" s="145"/>
      <c r="P4" s="145"/>
      <c r="Q4" s="145"/>
      <c r="R4" s="145"/>
      <c r="S4" s="145"/>
      <c r="T4" s="145"/>
      <c r="U4" s="145"/>
      <c r="V4" s="145"/>
      <c r="W4" s="145"/>
      <c r="X4" s="145"/>
      <c r="Y4" s="145"/>
      <c r="Z4" s="145"/>
      <c r="AA4" s="145"/>
      <c r="AB4" s="145"/>
      <c r="AC4" s="145"/>
      <c r="AD4" s="145"/>
      <c r="AE4" s="145"/>
      <c r="AF4" s="145"/>
      <c r="AG4" s="145"/>
      <c r="AH4" s="145"/>
      <c r="AI4" s="145"/>
      <c r="AM4" s="145"/>
      <c r="AN4" s="145"/>
      <c r="AO4" s="145"/>
    </row>
    <row r="5" spans="1:62" ht="13.5" thickBot="1" x14ac:dyDescent="0.35">
      <c r="A5" s="299"/>
      <c r="B5" s="11"/>
      <c r="C5" s="36"/>
      <c r="D5" s="36"/>
      <c r="E5" s="36"/>
      <c r="F5" s="36"/>
      <c r="G5" s="36"/>
      <c r="H5" s="36"/>
      <c r="I5" s="36"/>
      <c r="J5" s="36"/>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M5" s="143"/>
      <c r="AN5" s="143"/>
      <c r="AO5" s="143"/>
    </row>
    <row r="6" spans="1:62" ht="13" x14ac:dyDescent="0.3">
      <c r="A6" s="300"/>
      <c r="B6" s="1"/>
      <c r="C6" s="37"/>
      <c r="D6" s="37"/>
      <c r="E6" s="37"/>
      <c r="F6" s="37"/>
      <c r="G6" s="37"/>
      <c r="H6" s="37"/>
      <c r="I6" s="37"/>
      <c r="J6" s="37"/>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M6" s="144"/>
      <c r="AN6" s="144"/>
      <c r="AO6" s="144"/>
    </row>
    <row r="7" spans="1:62" x14ac:dyDescent="0.25">
      <c r="A7" s="301" t="s">
        <v>5</v>
      </c>
      <c r="L7" s="145"/>
      <c r="M7" s="145"/>
      <c r="N7" s="145"/>
      <c r="O7" s="145"/>
      <c r="P7" s="145"/>
      <c r="Q7" s="145"/>
      <c r="R7" s="145"/>
      <c r="S7" s="145"/>
      <c r="T7" s="145"/>
      <c r="U7" s="145"/>
      <c r="V7" s="145"/>
      <c r="W7" s="145"/>
      <c r="X7" s="145"/>
      <c r="Y7" s="145"/>
      <c r="Z7" s="145"/>
      <c r="AA7" s="145"/>
      <c r="AB7" s="145"/>
      <c r="AC7" s="145"/>
      <c r="AD7" s="145"/>
      <c r="AE7" s="145"/>
      <c r="AF7" s="145"/>
      <c r="AG7" s="145"/>
      <c r="AH7" s="145"/>
      <c r="AI7" s="145"/>
      <c r="AM7" s="145"/>
      <c r="AN7" s="145"/>
      <c r="AO7" s="145"/>
    </row>
    <row r="8" spans="1:62" x14ac:dyDescent="0.25">
      <c r="A8" s="302"/>
      <c r="B8" s="2" t="s">
        <v>55</v>
      </c>
      <c r="C8" s="38" t="s">
        <v>56</v>
      </c>
      <c r="D8" s="38" t="s">
        <v>57</v>
      </c>
      <c r="E8" s="38" t="s">
        <v>58</v>
      </c>
      <c r="F8" s="38" t="s">
        <v>59</v>
      </c>
      <c r="G8" s="38" t="s">
        <v>78</v>
      </c>
      <c r="H8" s="38" t="s">
        <v>79</v>
      </c>
      <c r="I8" s="38" t="s">
        <v>103</v>
      </c>
      <c r="J8" s="38" t="s">
        <v>130</v>
      </c>
      <c r="K8" s="38" t="s">
        <v>134</v>
      </c>
      <c r="L8" s="38" t="s">
        <v>140</v>
      </c>
      <c r="M8" s="38" t="s">
        <v>141</v>
      </c>
      <c r="N8" s="38" t="s">
        <v>142</v>
      </c>
      <c r="O8" s="38" t="s">
        <v>143</v>
      </c>
      <c r="P8" s="38" t="s">
        <v>146</v>
      </c>
      <c r="Q8" s="38" t="s">
        <v>149</v>
      </c>
      <c r="R8" s="38" t="s">
        <v>151</v>
      </c>
      <c r="S8" s="38" t="s">
        <v>153</v>
      </c>
      <c r="T8" s="38" t="s">
        <v>154</v>
      </c>
      <c r="U8" s="38" t="s">
        <v>156</v>
      </c>
      <c r="V8" s="38" t="s">
        <v>158</v>
      </c>
      <c r="W8" s="38" t="s">
        <v>161</v>
      </c>
      <c r="X8" s="38" t="s">
        <v>162</v>
      </c>
      <c r="Y8" s="38" t="s">
        <v>163</v>
      </c>
      <c r="Z8" s="38" t="s">
        <v>165</v>
      </c>
      <c r="AA8" s="38" t="s">
        <v>166</v>
      </c>
      <c r="AB8" s="38" t="s">
        <v>177</v>
      </c>
      <c r="AC8" s="38" t="s">
        <v>178</v>
      </c>
      <c r="AD8" s="178" t="s">
        <v>180</v>
      </c>
      <c r="AE8" s="178" t="s">
        <v>181</v>
      </c>
      <c r="AF8" s="178" t="s">
        <v>182</v>
      </c>
      <c r="AG8" s="178" t="s">
        <v>183</v>
      </c>
      <c r="AH8" s="178" t="s">
        <v>184</v>
      </c>
      <c r="AI8" s="178" t="s">
        <v>188</v>
      </c>
      <c r="AJ8" s="178" t="s">
        <v>203</v>
      </c>
      <c r="AK8" s="178" t="s">
        <v>205</v>
      </c>
      <c r="AL8" s="178" t="s">
        <v>207</v>
      </c>
      <c r="AM8" s="178" t="s">
        <v>209</v>
      </c>
      <c r="AN8" s="178" t="s">
        <v>211</v>
      </c>
      <c r="AO8" s="178" t="s">
        <v>213</v>
      </c>
      <c r="AP8" s="178" t="s">
        <v>215</v>
      </c>
      <c r="AQ8" s="178" t="s">
        <v>217</v>
      </c>
      <c r="AR8" s="178" t="s">
        <v>219</v>
      </c>
      <c r="AS8" s="178" t="s">
        <v>221</v>
      </c>
      <c r="AT8" s="178" t="s">
        <v>223</v>
      </c>
      <c r="AU8" s="178" t="s">
        <v>226</v>
      </c>
      <c r="AV8" s="178" t="s">
        <v>228</v>
      </c>
      <c r="AW8" s="178" t="s">
        <v>232</v>
      </c>
      <c r="AX8" s="178" t="s">
        <v>233</v>
      </c>
      <c r="AY8" s="178" t="s">
        <v>235</v>
      </c>
      <c r="AZ8" s="178" t="s">
        <v>237</v>
      </c>
      <c r="BA8" s="178" t="s">
        <v>239</v>
      </c>
      <c r="BB8" s="178" t="s">
        <v>242</v>
      </c>
      <c r="BC8" s="178" t="s">
        <v>257</v>
      </c>
      <c r="BD8" s="178" t="s">
        <v>256</v>
      </c>
      <c r="BE8" s="178" t="s">
        <v>260</v>
      </c>
      <c r="BF8" s="178" t="s">
        <v>278</v>
      </c>
      <c r="BG8" s="178" t="s">
        <v>281</v>
      </c>
      <c r="BH8" s="178" t="s">
        <v>283</v>
      </c>
      <c r="BI8" s="178" t="s">
        <v>285</v>
      </c>
      <c r="BJ8" s="178" t="s">
        <v>287</v>
      </c>
    </row>
    <row r="9" spans="1:62" x14ac:dyDescent="0.25">
      <c r="A9" s="303" t="s">
        <v>27</v>
      </c>
      <c r="B9" s="3"/>
      <c r="C9" s="39"/>
      <c r="D9" s="39"/>
      <c r="E9" s="39"/>
      <c r="F9" s="105" t="e">
        <f>'A)NSA Nb'!F9/'A)NSA Nb'!B9-1</f>
        <v>#REF!</v>
      </c>
      <c r="G9" s="105">
        <f>'A)NSA Nb'!G9/'A)NSA Nb'!C9-1</f>
        <v>-2.6654034549107974E-2</v>
      </c>
      <c r="H9" s="105">
        <f>'A)NSA Nb'!H9/'A)NSA Nb'!D9-1</f>
        <v>-2.7078817621455586E-2</v>
      </c>
      <c r="I9" s="105">
        <f>'A)NSA Nb'!I9/'A)NSA Nb'!E9-1</f>
        <v>-2.7941100798665408E-2</v>
      </c>
      <c r="J9" s="105">
        <f>'A)NSA Nb'!J9/'A)NSA Nb'!F9-1</f>
        <v>-3.011624218778719E-2</v>
      </c>
      <c r="K9" s="105">
        <f>'A)NSA Nb'!K9/'A)NSA Nb'!G9-1</f>
        <v>-3.0792714229976759E-2</v>
      </c>
      <c r="L9" s="105">
        <f>'A)NSA Nb'!L9/'A)NSA Nb'!H9-1</f>
        <v>-3.2684631427742694E-2</v>
      </c>
      <c r="M9" s="105">
        <f>'A)NSA Nb'!M9/'A)NSA Nb'!I9-1</f>
        <v>-3.4446010854665587E-2</v>
      </c>
      <c r="N9" s="105">
        <f>'A)NSA Nb'!N9/'A)NSA Nb'!J9-1</f>
        <v>-3.4768072492083801E-2</v>
      </c>
      <c r="O9" s="105">
        <f>'A)NSA Nb'!O9/'A)NSA Nb'!K9-1</f>
        <v>-3.5039521337002055E-2</v>
      </c>
      <c r="P9" s="105">
        <f>'A)NSA Nb'!P9/'A)NSA Nb'!L9-1</f>
        <v>-3.4792802414806423E-2</v>
      </c>
      <c r="Q9" s="105">
        <f>'A)NSA Nb'!Q9/'A)NSA Nb'!M9-1</f>
        <v>-3.1601985800459031E-2</v>
      </c>
      <c r="R9" s="105">
        <f>'A)NSA Nb'!R9/'A)NSA Nb'!N9-1</f>
        <v>-3.0583414401484377E-2</v>
      </c>
      <c r="S9" s="105">
        <f>'A)NSA Nb'!S9/'A)NSA Nb'!O9-1</f>
        <v>-3.1806371813544287E-2</v>
      </c>
      <c r="T9" s="105">
        <f>'A)NSA Nb'!T9/'A)NSA Nb'!P9-1</f>
        <v>-2.9671040076688748E-2</v>
      </c>
      <c r="U9" s="105">
        <f>'A)NSA Nb'!U9/'A)NSA Nb'!Q9-1</f>
        <v>-3.031359456032845E-2</v>
      </c>
      <c r="V9" s="105">
        <f>'A)NSA Nb'!V9/'A)NSA Nb'!R9-1</f>
        <v>-2.9104747390352848E-2</v>
      </c>
      <c r="W9" s="105">
        <f>'A)NSA Nb'!W9/'A)NSA Nb'!S9-1</f>
        <v>-2.7134900428764097E-2</v>
      </c>
      <c r="X9" s="105">
        <f>'A)NSA Nb'!X9/'A)NSA Nb'!T9-1</f>
        <v>-3.0002042925835748E-2</v>
      </c>
      <c r="Y9" s="105">
        <f>'A)NSA Nb'!Y9/'A)NSA Nb'!U9-1</f>
        <v>-3.1053820271329191E-2</v>
      </c>
      <c r="Z9" s="105">
        <f>'A)NSA Nb'!Z9/'A)NSA Nb'!V9-1</f>
        <v>-3.0573588893455184E-2</v>
      </c>
      <c r="AA9" s="105">
        <f>'A)NSA Nb'!AA9/'A)NSA Nb'!W9-1</f>
        <v>-2.978454920682283E-2</v>
      </c>
      <c r="AB9" s="105">
        <f>'A)NSA Nb'!AB9/'A)NSA Nb'!X9-1</f>
        <v>-2.7343326370584786E-2</v>
      </c>
      <c r="AC9" s="105">
        <f>'A)NSA Nb'!AC9/'A)NSA Nb'!Y9-1</f>
        <v>-2.5991900522945866E-2</v>
      </c>
      <c r="AD9" s="105">
        <f>'A)NSA Nb'!AD9/'A)NSA Nb'!Z9-1</f>
        <v>-2.6412460217158151E-2</v>
      </c>
      <c r="AE9" s="105">
        <f>'A)NSA Nb'!AE9/'A)NSA Nb'!AA9-1</f>
        <v>-2.7553089591588975E-2</v>
      </c>
      <c r="AF9" s="105">
        <f>'A)NSA Nb'!AF9/'A)NSA Nb'!AB9-1</f>
        <v>-2.8879559696596613E-2</v>
      </c>
      <c r="AG9" s="105">
        <f>'A)NSA Nb'!AG9/'A)NSA Nb'!AC9-1</f>
        <v>-2.7886941487889616E-2</v>
      </c>
      <c r="AH9" s="105">
        <f>'A)NSA Nb'!AH9/'A)NSA Nb'!AD9-1</f>
        <v>-2.6428393703674558E-2</v>
      </c>
      <c r="AI9" s="105">
        <f>'A)NSA Nb'!AI9/'A)NSA Nb'!AE9-1</f>
        <v>-2.4734813545921774E-2</v>
      </c>
      <c r="AJ9" s="105">
        <f>'A)NSA Nb'!AJ9/'A)NSA Nb'!AF9-1</f>
        <v>-2.389953641921283E-2</v>
      </c>
      <c r="AK9" s="105">
        <f>'A)NSA Nb'!AK9/'A)NSA Nb'!AG9-1</f>
        <v>-2.4346212588087113E-2</v>
      </c>
      <c r="AL9" s="105">
        <f>'A)NSA Nb'!AL9/'A)NSA Nb'!AH9-1</f>
        <v>-2.3245021866293625E-2</v>
      </c>
      <c r="AM9" s="105">
        <f>'A)NSA Nb'!AM9/'A)NSA Nb'!AI9-1</f>
        <v>-2.373573516769889E-2</v>
      </c>
      <c r="AN9" s="105">
        <f>'A)NSA Nb'!AN9/'A)NSA Nb'!AJ9-1</f>
        <v>-2.457335440351438E-2</v>
      </c>
      <c r="AO9" s="105">
        <f>'A)NSA Nb'!AO9/'A)NSA Nb'!AK9-1</f>
        <v>-2.4564107669439283E-2</v>
      </c>
      <c r="AP9" s="105">
        <f>'A)NSA Nb'!AP9/'A)NSA Nb'!AL9-1</f>
        <v>-2.4476439339950362E-2</v>
      </c>
      <c r="AQ9" s="105">
        <f>'A)NSA Nb'!AQ9/'A)NSA Nb'!AM9-1</f>
        <v>-2.3101847767230788E-2</v>
      </c>
      <c r="AR9" s="105">
        <f>'A)NSA Nb'!AR9/'A)NSA Nb'!AN9-1</f>
        <v>-2.3062027696803211E-2</v>
      </c>
      <c r="AS9" s="105">
        <f>'A)NSA Nb'!AS9/'A)NSA Nb'!AO9-1</f>
        <v>-2.5117590231696352E-2</v>
      </c>
      <c r="AT9" s="105">
        <f>'A)NSA Nb'!AT9/'A)NSA Nb'!AP9-1</f>
        <v>-2.6348712826910536E-2</v>
      </c>
      <c r="AU9" s="105">
        <f>'A)NSA Nb'!AU9/'A)NSA Nb'!AQ9-1</f>
        <v>-3.1184975960474204E-2</v>
      </c>
      <c r="AV9" s="105">
        <f>'A)NSA Nb'!AV9/'A)NSA Nb'!AR9-1</f>
        <v>-3.2604651162790654E-2</v>
      </c>
      <c r="AW9" s="105">
        <f>'A)NSA Nb'!AW9/'A)NSA Nb'!AS9-1</f>
        <v>-3.2013689209459018E-2</v>
      </c>
      <c r="AX9" s="105">
        <f>'A)NSA Nb'!AX9/'A)NSA Nb'!AT9-1</f>
        <v>-3.1134067328168147E-2</v>
      </c>
      <c r="AY9" s="105">
        <f>'A)NSA Nb'!AY9/'A)NSA Nb'!AU9-1</f>
        <v>-2.6745386914282077E-2</v>
      </c>
      <c r="AZ9" s="105">
        <f>'A)NSA Nb'!AZ9/'A)NSA Nb'!AV9-1</f>
        <v>-2.5550414775858288E-2</v>
      </c>
      <c r="BA9" s="105">
        <f>'A)NSA Nb'!BA9/'A)NSA Nb'!AW9-1</f>
        <v>-2.4532098150769066E-2</v>
      </c>
      <c r="BB9" s="105">
        <f>'A)NSA Nb'!BB9/'A)NSA Nb'!AX9-1</f>
        <v>-2.2471174494384516E-2</v>
      </c>
      <c r="BC9" s="105">
        <f>'A)NSA Nb'!BC9/'A)NSA Nb'!AY9-1</f>
        <v>-2.5671749431405266E-2</v>
      </c>
      <c r="BD9" s="105">
        <f>'A)NSA Nb'!BD9/'A)NSA Nb'!AZ9-1</f>
        <v>-2.3036035198317872E-2</v>
      </c>
      <c r="BE9" s="105">
        <f>'A)NSA Nb'!BE9/'A)NSA Nb'!BA9-1</f>
        <v>-2.1262767122711579E-2</v>
      </c>
      <c r="BF9" s="105">
        <f>'A)NSA Nb'!BF9/'A)NSA Nb'!BB9-1</f>
        <v>-2.3829707434034453E-2</v>
      </c>
      <c r="BG9" s="105">
        <f>'A)NSA Nb'!BG9/'A)NSA Nb'!BC9-1</f>
        <v>-2.0987540093757695E-2</v>
      </c>
      <c r="BH9" s="105">
        <f>'A)NSA Nb'!BH9/'A)NSA Nb'!BD9-1</f>
        <v>-2.2644895866111958E-2</v>
      </c>
      <c r="BI9" s="105">
        <f>'A)NSA Nb'!BI9/'A)NSA Nb'!BE9-1</f>
        <v>-2.4175875687014403E-2</v>
      </c>
      <c r="BJ9" s="105">
        <f>'A)NSA Nb'!BJ9/'A)NSA Nb'!BF9-1</f>
        <v>-2.361358869307828E-2</v>
      </c>
    </row>
    <row r="10" spans="1:62" x14ac:dyDescent="0.25">
      <c r="A10" s="303" t="s">
        <v>28</v>
      </c>
      <c r="B10" s="3"/>
      <c r="C10" s="39"/>
      <c r="D10" s="39"/>
      <c r="E10" s="39"/>
      <c r="F10" s="105">
        <f>'A)NSA Nb'!F10/'A)NSA Nb'!B10-1</f>
        <v>-2.0683693073800913E-2</v>
      </c>
      <c r="G10" s="105">
        <f>'A)NSA Nb'!G10/'A)NSA Nb'!C10-1</f>
        <v>-2.1894713020848111E-2</v>
      </c>
      <c r="H10" s="105">
        <f>'A)NSA Nb'!H10/'A)NSA Nb'!D10-1</f>
        <v>-2.1936870076717518E-2</v>
      </c>
      <c r="I10" s="105">
        <f>'A)NSA Nb'!I10/'A)NSA Nb'!E10-1</f>
        <v>-2.266563129522714E-2</v>
      </c>
      <c r="J10" s="105">
        <f>'A)NSA Nb'!J10/'A)NSA Nb'!F10-1</f>
        <v>-2.4061717369879831E-2</v>
      </c>
      <c r="K10" s="105">
        <f>'A)NSA Nb'!K10/'A)NSA Nb'!G10-1</f>
        <v>-2.4383467127198521E-2</v>
      </c>
      <c r="L10" s="105">
        <f>'A)NSA Nb'!L10/'A)NSA Nb'!H10-1</f>
        <v>-2.6371081991358403E-2</v>
      </c>
      <c r="M10" s="105">
        <f>'A)NSA Nb'!M10/'A)NSA Nb'!I10-1</f>
        <v>-2.836885372035014E-2</v>
      </c>
      <c r="N10" s="105">
        <f>'A)NSA Nb'!N10/'A)NSA Nb'!J10-1</f>
        <v>-2.8976472805730902E-2</v>
      </c>
      <c r="O10" s="105">
        <f>'A)NSA Nb'!O10/'A)NSA Nb'!K10-1</f>
        <v>-3.0181599895823252E-2</v>
      </c>
      <c r="P10" s="105">
        <f>'A)NSA Nb'!P10/'A)NSA Nb'!L10-1</f>
        <v>-3.0655708457214992E-2</v>
      </c>
      <c r="Q10" s="105">
        <f>'A)NSA Nb'!Q10/'A)NSA Nb'!M10-1</f>
        <v>-2.8862076358609823E-2</v>
      </c>
      <c r="R10" s="105">
        <f>'A)NSA Nb'!R10/'A)NSA Nb'!N10-1</f>
        <v>-2.8607090611170172E-2</v>
      </c>
      <c r="S10" s="105">
        <f>'A)NSA Nb'!S10/'A)NSA Nb'!O10-1</f>
        <v>-2.9317465047961844E-2</v>
      </c>
      <c r="T10" s="105">
        <f>'A)NSA Nb'!T10/'A)NSA Nb'!P10-1</f>
        <v>-2.8173375977851856E-2</v>
      </c>
      <c r="U10" s="105">
        <f>'A)NSA Nb'!U10/'A)NSA Nb'!Q10-1</f>
        <v>-2.9152947023687981E-2</v>
      </c>
      <c r="V10" s="105">
        <f>'A)NSA Nb'!V10/'A)NSA Nb'!R10-1</f>
        <v>-2.8621218193529807E-2</v>
      </c>
      <c r="W10" s="105">
        <f>'A)NSA Nb'!W10/'A)NSA Nb'!S10-1</f>
        <v>-2.8313568042645842E-2</v>
      </c>
      <c r="X10" s="105">
        <f>'A)NSA Nb'!X10/'A)NSA Nb'!T10-1</f>
        <v>-3.0857932166984403E-2</v>
      </c>
      <c r="Y10" s="105">
        <f>'A)NSA Nb'!Y10/'A)NSA Nb'!U10-1</f>
        <v>-3.1469330572524878E-2</v>
      </c>
      <c r="Z10" s="105">
        <f>'A)NSA Nb'!Z10/'A)NSA Nb'!V10-1</f>
        <v>-3.1898645146535398E-2</v>
      </c>
      <c r="AA10" s="105">
        <f>'A)NSA Nb'!AA10/'A)NSA Nb'!W10-1</f>
        <v>-3.1919806390905636E-2</v>
      </c>
      <c r="AB10" s="105">
        <f>'A)NSA Nb'!AB10/'A)NSA Nb'!X10-1</f>
        <v>-3.0534547662984912E-2</v>
      </c>
      <c r="AC10" s="105">
        <f>'A)NSA Nb'!AC10/'A)NSA Nb'!Y10-1</f>
        <v>-3.0476646683978981E-2</v>
      </c>
      <c r="AD10" s="105">
        <f>'A)NSA Nb'!AD10/'A)NSA Nb'!Z10-1</f>
        <v>-3.1411188603650442E-2</v>
      </c>
      <c r="AE10" s="105">
        <f>'A)NSA Nb'!AE10/'A)NSA Nb'!AA10-1</f>
        <v>-3.3243666535155314E-2</v>
      </c>
      <c r="AF10" s="105">
        <f>'A)NSA Nb'!AF10/'A)NSA Nb'!AB10-1</f>
        <v>-3.5583279721030925E-2</v>
      </c>
      <c r="AG10" s="105">
        <f>'A)NSA Nb'!AG10/'A)NSA Nb'!AC10-1</f>
        <v>-3.6172201290925576E-2</v>
      </c>
      <c r="AH10" s="105">
        <f>'A)NSA Nb'!AH10/'A)NSA Nb'!AD10-1</f>
        <v>-3.6476838886403629E-2</v>
      </c>
      <c r="AI10" s="105">
        <f>'A)NSA Nb'!AI10/'A)NSA Nb'!AE10-1</f>
        <v>-3.5705099032430354E-2</v>
      </c>
      <c r="AJ10" s="105">
        <f>'A)NSA Nb'!AJ10/'A)NSA Nb'!AF10-1</f>
        <v>-3.5205300632416336E-2</v>
      </c>
      <c r="AK10" s="105">
        <f>'A)NSA Nb'!AK10/'A)NSA Nb'!AG10-1</f>
        <v>-3.4799977778114499E-2</v>
      </c>
      <c r="AL10" s="105">
        <f>'A)NSA Nb'!AL10/'A)NSA Nb'!AH10-1</f>
        <v>-3.3705907119860878E-2</v>
      </c>
      <c r="AM10" s="105">
        <f>'A)NSA Nb'!AM10/'A)NSA Nb'!AI10-1</f>
        <v>-3.3922324020970729E-2</v>
      </c>
      <c r="AN10" s="105">
        <f>'A)NSA Nb'!AN10/'A)NSA Nb'!AJ10-1</f>
        <v>-3.409783750826989E-2</v>
      </c>
      <c r="AO10" s="105">
        <f>'A)NSA Nb'!AO10/'A)NSA Nb'!AK10-1</f>
        <v>-3.4169664464647753E-2</v>
      </c>
      <c r="AP10" s="105">
        <f>'A)NSA Nb'!AP10/'A)NSA Nb'!AL10-1</f>
        <v>-3.4387978753513071E-2</v>
      </c>
      <c r="AQ10" s="105">
        <f>'A)NSA Nb'!AQ10/'A)NSA Nb'!AM10-1</f>
        <v>-3.3836408022822173E-2</v>
      </c>
      <c r="AR10" s="105">
        <f>'A)NSA Nb'!AR10/'A)NSA Nb'!AN10-1</f>
        <v>-3.409684589402151E-2</v>
      </c>
      <c r="AS10" s="105">
        <f>'A)NSA Nb'!AS10/'A)NSA Nb'!AO10-1</f>
        <v>-3.6006983336696829E-2</v>
      </c>
      <c r="AT10" s="105">
        <f>'A)NSA Nb'!AT10/'A)NSA Nb'!AP10-1</f>
        <v>-3.7093132951255048E-2</v>
      </c>
      <c r="AU10" s="105">
        <f>'A)NSA Nb'!AU10/'A)NSA Nb'!AQ10-1</f>
        <v>-4.1362329832429268E-2</v>
      </c>
      <c r="AV10" s="105">
        <f>'A)NSA Nb'!AV10/'A)NSA Nb'!AR10-1</f>
        <v>-4.216647177338062E-2</v>
      </c>
      <c r="AW10" s="105">
        <f>'A)NSA Nb'!AW10/'A)NSA Nb'!AS10-1</f>
        <v>-4.1322441776818652E-2</v>
      </c>
      <c r="AX10" s="105">
        <f>'A)NSA Nb'!AX10/'A)NSA Nb'!AT10-1</f>
        <v>-4.1445627566991328E-2</v>
      </c>
      <c r="AY10" s="105">
        <f>'A)NSA Nb'!AY10/'A)NSA Nb'!AU10-1</f>
        <v>-3.9125250104628306E-2</v>
      </c>
      <c r="AZ10" s="105">
        <f>'A)NSA Nb'!AZ10/'A)NSA Nb'!AV10-1</f>
        <v>-3.9675062529849536E-2</v>
      </c>
      <c r="BA10" s="105">
        <f>'A)NSA Nb'!BA10/'A)NSA Nb'!AW10-1</f>
        <v>-3.9737195768048794E-2</v>
      </c>
      <c r="BB10" s="105">
        <f>'A)NSA Nb'!BB10/'A)NSA Nb'!AX10-1</f>
        <v>-3.8437395225456306E-2</v>
      </c>
      <c r="BC10" s="105">
        <f>'A)NSA Nb'!BC10/'A)NSA Nb'!AY10-1</f>
        <v>-4.1744604048268963E-2</v>
      </c>
      <c r="BD10" s="105">
        <f>'A)NSA Nb'!BD10/'A)NSA Nb'!AZ10-1</f>
        <v>-3.9931069927744312E-2</v>
      </c>
      <c r="BE10" s="105">
        <f>'A)NSA Nb'!BE10/'A)NSA Nb'!BA10-1</f>
        <v>-3.9189950230380965E-2</v>
      </c>
      <c r="BF10" s="105">
        <f>'A)NSA Nb'!BF10/'A)NSA Nb'!BB10-1</f>
        <v>-3.9956990898966982E-2</v>
      </c>
      <c r="BG10" s="105">
        <f>'A)NSA Nb'!BG10/'A)NSA Nb'!BC10-1</f>
        <v>-3.6673598744754288E-2</v>
      </c>
      <c r="BH10" s="105">
        <f>'A)NSA Nb'!BH10/'A)NSA Nb'!BD10-1</f>
        <v>-3.7236823045578515E-2</v>
      </c>
      <c r="BI10" s="105">
        <f>'A)NSA Nb'!BI10/'A)NSA Nb'!BE10-1</f>
        <v>-3.8296155452941072E-2</v>
      </c>
      <c r="BJ10" s="105">
        <f>'A)NSA Nb'!BJ10/'A)NSA Nb'!BF10-1</f>
        <v>-3.8893653241857784E-2</v>
      </c>
    </row>
    <row r="11" spans="1:62" x14ac:dyDescent="0.25">
      <c r="A11" s="303" t="s">
        <v>13</v>
      </c>
      <c r="B11" s="3"/>
      <c r="C11" s="39"/>
      <c r="D11" s="39"/>
      <c r="E11" s="39"/>
      <c r="F11" s="105">
        <f>'A)NSA Nb'!F11/'A)NSA Nb'!B11-1</f>
        <v>-2.2767422070865462E-2</v>
      </c>
      <c r="G11" s="105">
        <f>'A)NSA Nb'!G11/'A)NSA Nb'!C11-1</f>
        <v>-2.3947075669886075E-2</v>
      </c>
      <c r="H11" s="105">
        <f>'A)NSA Nb'!H11/'A)NSA Nb'!D11-1</f>
        <v>-2.4152374070561478E-2</v>
      </c>
      <c r="I11" s="105">
        <f>'A)NSA Nb'!I11/'A)NSA Nb'!E11-1</f>
        <v>-2.4936054301247901E-2</v>
      </c>
      <c r="J11" s="105">
        <f>'A)NSA Nb'!J11/'A)NSA Nb'!F11-1</f>
        <v>-2.6666190383610844E-2</v>
      </c>
      <c r="K11" s="105">
        <f>'A)NSA Nb'!K11/'A)NSA Nb'!G11-1</f>
        <v>-2.7139662114150198E-2</v>
      </c>
      <c r="L11" s="105">
        <f>'A)NSA Nb'!L11/'A)NSA Nb'!H11-1</f>
        <v>-2.908323464285123E-2</v>
      </c>
      <c r="M11" s="105">
        <f>'A)NSA Nb'!M11/'A)NSA Nb'!I11-1</f>
        <v>-3.0976241407525196E-2</v>
      </c>
      <c r="N11" s="105">
        <f>'A)NSA Nb'!N11/'A)NSA Nb'!J11-1</f>
        <v>-3.145901255677197E-2</v>
      </c>
      <c r="O11" s="105">
        <f>'A)NSA Nb'!O11/'A)NSA Nb'!K11-1</f>
        <v>-3.2262827522312909E-2</v>
      </c>
      <c r="P11" s="105">
        <f>'A)NSA Nb'!P11/'A)NSA Nb'!L11-1</f>
        <v>-3.2426314802060929E-2</v>
      </c>
      <c r="Q11" s="105">
        <f>'A)NSA Nb'!Q11/'A)NSA Nb'!M11-1</f>
        <v>-3.0033417751499702E-2</v>
      </c>
      <c r="R11" s="105">
        <f>'A)NSA Nb'!R11/'A)NSA Nb'!N11-1</f>
        <v>-2.9451337460446481E-2</v>
      </c>
      <c r="S11" s="105">
        <f>'A)NSA Nb'!S11/'A)NSA Nb'!O11-1</f>
        <v>-3.0380701423081247E-2</v>
      </c>
      <c r="T11" s="105">
        <f>'A)NSA Nb'!T11/'A)NSA Nb'!P11-1</f>
        <v>-2.8812783225174887E-2</v>
      </c>
      <c r="U11" s="105">
        <f>'A)NSA Nb'!U11/'A)NSA Nb'!Q11-1</f>
        <v>-2.9648334192843628E-2</v>
      </c>
      <c r="V11" s="105">
        <f>'A)NSA Nb'!V11/'A)NSA Nb'!R11-1</f>
        <v>-2.8827531473409995E-2</v>
      </c>
      <c r="W11" s="105">
        <f>'A)NSA Nb'!W11/'A)NSA Nb'!S11-1</f>
        <v>-2.7810793224134045E-2</v>
      </c>
      <c r="X11" s="105">
        <f>'A)NSA Nb'!X11/'A)NSA Nb'!T11-1</f>
        <v>-3.0492844856458201E-2</v>
      </c>
      <c r="Y11" s="105">
        <f>'A)NSA Nb'!Y11/'A)NSA Nb'!U11-1</f>
        <v>-3.1292104200852489E-2</v>
      </c>
      <c r="Z11" s="105">
        <f>'A)NSA Nb'!Z11/'A)NSA Nb'!V11-1</f>
        <v>-3.1333428672542074E-2</v>
      </c>
      <c r="AA11" s="105">
        <f>'A)NSA Nb'!AA11/'A)NSA Nb'!W11-1</f>
        <v>-3.1008353582129833E-2</v>
      </c>
      <c r="AB11" s="105">
        <f>'A)NSA Nb'!AB11/'A)NSA Nb'!X11-1</f>
        <v>-2.9172614192495949E-2</v>
      </c>
      <c r="AC11" s="105">
        <f>'A)NSA Nb'!AC11/'A)NSA Nb'!Y11-1</f>
        <v>-2.8563310727392599E-2</v>
      </c>
      <c r="AD11" s="105">
        <f>'A)NSA Nb'!AD11/'A)NSA Nb'!Z11-1</f>
        <v>-2.9277256634037352E-2</v>
      </c>
      <c r="AE11" s="105">
        <f>'A)NSA Nb'!AE11/'A)NSA Nb'!AA11-1</f>
        <v>-3.0811527213380541E-2</v>
      </c>
      <c r="AF11" s="105">
        <f>'A)NSA Nb'!AF11/'A)NSA Nb'!AB11-1</f>
        <v>-3.2716908779990672E-2</v>
      </c>
      <c r="AG11" s="105">
        <f>'A)NSA Nb'!AG11/'A)NSA Nb'!AC11-1</f>
        <v>-3.2628088261715482E-2</v>
      </c>
      <c r="AH11" s="105">
        <f>'A)NSA Nb'!AH11/'A)NSA Nb'!AD11-1</f>
        <v>-3.2174548696358496E-2</v>
      </c>
      <c r="AI11" s="105">
        <f>'A)NSA Nb'!AI11/'A)NSA Nb'!AE11-1</f>
        <v>-3.1000661136476704E-2</v>
      </c>
      <c r="AJ11" s="105">
        <f>'A)NSA Nb'!AJ11/'A)NSA Nb'!AF11-1</f>
        <v>-3.0352013931697286E-2</v>
      </c>
      <c r="AK11" s="105">
        <f>'A)NSA Nb'!AK11/'A)NSA Nb'!AG11-1</f>
        <v>-3.0306346048081245E-2</v>
      </c>
      <c r="AL11" s="105">
        <f>'A)NSA Nb'!AL11/'A)NSA Nb'!AH11-1</f>
        <v>-2.9200436815303599E-2</v>
      </c>
      <c r="AM11" s="105">
        <f>'A)NSA Nb'!AM11/'A)NSA Nb'!AI11-1</f>
        <v>-2.9525715181269119E-2</v>
      </c>
      <c r="AN11" s="105">
        <f>'A)NSA Nb'!AN11/'A)NSA Nb'!AJ11-1</f>
        <v>-2.9982003431355597E-2</v>
      </c>
      <c r="AO11" s="105">
        <f>'A)NSA Nb'!AO11/'A)NSA Nb'!AK11-1</f>
        <v>-3.0015263004733339E-2</v>
      </c>
      <c r="AP11" s="105">
        <f>'A)NSA Nb'!AP11/'A)NSA Nb'!AL11-1</f>
        <v>-3.0092922397080057E-2</v>
      </c>
      <c r="AQ11" s="105">
        <f>'A)NSA Nb'!AQ11/'A)NSA Nb'!AM11-1</f>
        <v>-2.9175648777556629E-2</v>
      </c>
      <c r="AR11" s="105">
        <f>'A)NSA Nb'!AR11/'A)NSA Nb'!AN11-1</f>
        <v>-2.9301759366212043E-2</v>
      </c>
      <c r="AS11" s="105">
        <f>'A)NSA Nb'!AS11/'A)NSA Nb'!AO11-1</f>
        <v>-3.1270855400515551E-2</v>
      </c>
      <c r="AT11" s="105">
        <f>'A)NSA Nb'!AT11/'A)NSA Nb'!AP11-1</f>
        <v>-3.2410195356392224E-2</v>
      </c>
      <c r="AU11" s="105">
        <f>'A)NSA Nb'!AU11/'A)NSA Nb'!AQ11-1</f>
        <v>-3.6915854227481892E-2</v>
      </c>
      <c r="AV11" s="105">
        <f>'A)NSA Nb'!AV11/'A)NSA Nb'!AR11-1</f>
        <v>-3.7984755088613098E-2</v>
      </c>
      <c r="AW11" s="105">
        <f>'A)NSA Nb'!AW11/'A)NSA Nb'!AS11-1</f>
        <v>-3.7248065781978701E-2</v>
      </c>
      <c r="AX11" s="105">
        <f>'A)NSA Nb'!AX11/'A)NSA Nb'!AT11-1</f>
        <v>-3.6923196762096433E-2</v>
      </c>
      <c r="AY11" s="105">
        <f>'A)NSA Nb'!AY11/'A)NSA Nb'!AU11-1</f>
        <v>-3.3684315384164276E-2</v>
      </c>
      <c r="AZ11" s="105">
        <f>'A)NSA Nb'!AZ11/'A)NSA Nb'!AV11-1</f>
        <v>-3.3463316648300934E-2</v>
      </c>
      <c r="BA11" s="105">
        <f>'A)NSA Nb'!BA11/'A)NSA Nb'!AW11-1</f>
        <v>-3.3045847317845767E-2</v>
      </c>
      <c r="BB11" s="105">
        <f>'A)NSA Nb'!BB11/'A)NSA Nb'!AX11-1</f>
        <v>-3.139285846927109E-2</v>
      </c>
      <c r="BC11" s="105">
        <f>'A)NSA Nb'!BC11/'A)NSA Nb'!AY11-1</f>
        <v>-3.4629878880637288E-2</v>
      </c>
      <c r="BD11" s="105">
        <f>'A)NSA Nb'!BD11/'A)NSA Nb'!AZ11-1</f>
        <v>-3.2440132368865893E-2</v>
      </c>
      <c r="BE11" s="105">
        <f>'A)NSA Nb'!BE11/'A)NSA Nb'!BA11-1</f>
        <v>-3.1231223585722279E-2</v>
      </c>
      <c r="BF11" s="105">
        <f>'A)NSA Nb'!BF11/'A)NSA Nb'!BB11-1</f>
        <v>-3.2775850198703438E-2</v>
      </c>
      <c r="BG11" s="105">
        <f>'A)NSA Nb'!BG11/'A)NSA Nb'!BC11-1</f>
        <v>-2.9665658521126237E-2</v>
      </c>
      <c r="BH11" s="105">
        <f>'A)NSA Nb'!BH11/'A)NSA Nb'!BD11-1</f>
        <v>-3.0704157253148456E-2</v>
      </c>
      <c r="BI11" s="105">
        <f>'A)NSA Nb'!BI11/'A)NSA Nb'!BE11-1</f>
        <v>-3.1962990313953332E-2</v>
      </c>
      <c r="BJ11" s="105">
        <f>'A)NSA Nb'!BJ11/'A)NSA Nb'!BF11-1</f>
        <v>-3.2026830123455974E-2</v>
      </c>
    </row>
    <row r="12" spans="1:62" x14ac:dyDescent="0.25">
      <c r="A12" s="304"/>
      <c r="B12" s="10"/>
      <c r="C12" s="40"/>
      <c r="D12" s="40"/>
      <c r="E12" s="40"/>
      <c r="F12" s="40"/>
      <c r="G12" s="40"/>
      <c r="H12" s="40"/>
      <c r="I12" s="40"/>
      <c r="J12" s="40"/>
      <c r="K12" s="146"/>
      <c r="L12" s="146"/>
      <c r="M12" s="40"/>
      <c r="N12" s="40"/>
      <c r="O12" s="40"/>
      <c r="P12" s="40"/>
      <c r="Q12" s="40"/>
      <c r="R12" s="40"/>
      <c r="S12" s="40"/>
      <c r="T12" s="40"/>
      <c r="U12" s="40"/>
      <c r="V12" s="40"/>
      <c r="W12" s="40"/>
      <c r="X12" s="40"/>
      <c r="Y12" s="40"/>
      <c r="Z12" s="40"/>
      <c r="AA12" s="40"/>
      <c r="AB12" s="40"/>
      <c r="AC12" s="40"/>
      <c r="AD12" s="40"/>
      <c r="AE12" s="40"/>
      <c r="AF12" s="40"/>
      <c r="AG12" s="40"/>
      <c r="AH12" s="40"/>
      <c r="AI12" s="40"/>
      <c r="AJ12" s="40"/>
      <c r="AM12" s="40"/>
      <c r="AN12" s="40"/>
      <c r="AO12" s="40"/>
    </row>
    <row r="13" spans="1:62" ht="13" x14ac:dyDescent="0.3">
      <c r="A13" s="305" t="s">
        <v>54</v>
      </c>
      <c r="B13" s="26"/>
      <c r="C13" s="41"/>
      <c r="D13" s="41"/>
      <c r="E13" s="41"/>
      <c r="F13" s="41"/>
      <c r="G13" s="41"/>
      <c r="H13" s="41"/>
      <c r="I13" s="41"/>
      <c r="J13" s="41"/>
      <c r="K13" s="147"/>
      <c r="L13" s="147"/>
      <c r="M13" s="41"/>
      <c r="N13" s="41"/>
      <c r="O13" s="41"/>
      <c r="P13" s="41"/>
      <c r="Q13" s="41"/>
      <c r="R13" s="41"/>
      <c r="S13" s="41"/>
      <c r="T13" s="41"/>
      <c r="U13" s="41"/>
      <c r="V13" s="41"/>
      <c r="W13" s="41"/>
      <c r="X13" s="41"/>
      <c r="Y13" s="41"/>
      <c r="Z13" s="41"/>
      <c r="AA13" s="41"/>
      <c r="AB13" s="41"/>
      <c r="AC13" s="41"/>
      <c r="AD13" s="41"/>
      <c r="AE13" s="41"/>
      <c r="AF13" s="41"/>
      <c r="AG13" s="41"/>
      <c r="AH13" s="41"/>
      <c r="AI13" s="41"/>
      <c r="AJ13" s="41"/>
      <c r="AM13" s="41"/>
      <c r="AN13" s="41"/>
      <c r="AO13" s="41"/>
    </row>
    <row r="14" spans="1:62" x14ac:dyDescent="0.25">
      <c r="A14" s="305"/>
      <c r="B14" s="2" t="str">
        <f t="shared" ref="B14:H14" si="0">B8</f>
        <v>4eme T 2009</v>
      </c>
      <c r="C14" s="38" t="str">
        <f t="shared" si="0"/>
        <v>1er T 2010</v>
      </c>
      <c r="D14" s="38" t="str">
        <f t="shared" si="0"/>
        <v>2eme T 2010</v>
      </c>
      <c r="E14" s="38" t="str">
        <f t="shared" si="0"/>
        <v>3eme T 2010</v>
      </c>
      <c r="F14" s="38" t="str">
        <f t="shared" si="0"/>
        <v>4eme T 2010</v>
      </c>
      <c r="G14" s="38" t="str">
        <f t="shared" si="0"/>
        <v>1er T 2011</v>
      </c>
      <c r="H14" s="38" t="str">
        <f t="shared" si="0"/>
        <v>2eme T 2011</v>
      </c>
      <c r="I14" s="38" t="str">
        <f t="shared" ref="I14:N14" si="1">I8</f>
        <v>3eme T 2011</v>
      </c>
      <c r="J14" s="38" t="str">
        <f t="shared" si="1"/>
        <v>4eme T 2011</v>
      </c>
      <c r="K14" s="38" t="str">
        <f t="shared" si="1"/>
        <v>1er T 2012</v>
      </c>
      <c r="L14" s="38" t="str">
        <f t="shared" si="1"/>
        <v>2eme T 2012</v>
      </c>
      <c r="M14" s="38" t="str">
        <f t="shared" si="1"/>
        <v>3eme T 2012</v>
      </c>
      <c r="N14" s="38" t="str">
        <f t="shared" si="1"/>
        <v>4eme T 2012</v>
      </c>
      <c r="O14" s="38" t="str">
        <f t="shared" ref="O14:T14" si="2">O8</f>
        <v>1er T 2013</v>
      </c>
      <c r="P14" s="38" t="str">
        <f t="shared" si="2"/>
        <v>2e T 2013</v>
      </c>
      <c r="Q14" s="38" t="str">
        <f t="shared" si="2"/>
        <v>3e T 2013</v>
      </c>
      <c r="R14" s="38" t="str">
        <f t="shared" si="2"/>
        <v>4e T 2013</v>
      </c>
      <c r="S14" s="38" t="str">
        <f t="shared" si="2"/>
        <v>1er T 2014</v>
      </c>
      <c r="T14" s="38" t="str">
        <f t="shared" si="2"/>
        <v>2e T 2014</v>
      </c>
      <c r="U14" s="38" t="str">
        <f t="shared" ref="U14:V14" si="3">U8</f>
        <v>3e T 2014</v>
      </c>
      <c r="V14" s="38" t="str">
        <f t="shared" si="3"/>
        <v>4e T 2014</v>
      </c>
      <c r="W14" s="38" t="str">
        <f t="shared" ref="W14:X14" si="4">W8</f>
        <v>1er T 2015</v>
      </c>
      <c r="X14" s="38" t="str">
        <f t="shared" si="4"/>
        <v>2e T 2015</v>
      </c>
      <c r="Y14" s="38" t="str">
        <f t="shared" ref="Y14:Z14" si="5">Y8</f>
        <v>3e T 2015</v>
      </c>
      <c r="Z14" s="38" t="str">
        <f t="shared" si="5"/>
        <v>4e T 2015</v>
      </c>
      <c r="AA14" s="38" t="str">
        <f t="shared" ref="AA14:AB14" si="6">AA8</f>
        <v>1er T 2016</v>
      </c>
      <c r="AB14" s="38" t="str">
        <f t="shared" si="6"/>
        <v>2e T 2016</v>
      </c>
      <c r="AC14" s="38" t="str">
        <f t="shared" ref="AC14:AD14" si="7">AC8</f>
        <v>3e T 2016</v>
      </c>
      <c r="AD14" s="38" t="str">
        <f t="shared" si="7"/>
        <v>4e T 2016</v>
      </c>
      <c r="AE14" s="38" t="str">
        <f t="shared" ref="AE14:AF14" si="8">AE8</f>
        <v>1e T 2017</v>
      </c>
      <c r="AF14" s="38" t="str">
        <f t="shared" si="8"/>
        <v>2e T 2017</v>
      </c>
      <c r="AG14" s="38" t="str">
        <f t="shared" ref="AG14:AH14" si="9">AG8</f>
        <v>3e T 2017</v>
      </c>
      <c r="AH14" s="38" t="str">
        <f t="shared" si="9"/>
        <v>4e T 2017</v>
      </c>
      <c r="AI14" s="38" t="str">
        <f t="shared" ref="AI14:AJ14" si="10">AI8</f>
        <v>1e T 2018</v>
      </c>
      <c r="AJ14" s="38" t="str">
        <f t="shared" si="10"/>
        <v>2e T 2018</v>
      </c>
      <c r="AK14" s="38" t="str">
        <f t="shared" ref="AK14:AM14" si="11">AK8</f>
        <v>3e T 2018</v>
      </c>
      <c r="AL14" s="38" t="str">
        <f t="shared" si="11"/>
        <v>4e T 2018</v>
      </c>
      <c r="AM14" s="38" t="str">
        <f t="shared" si="11"/>
        <v>1e T 2019</v>
      </c>
      <c r="AN14" s="38" t="str">
        <f t="shared" ref="AN14:AP14" si="12">AN8</f>
        <v>2e T 2019</v>
      </c>
      <c r="AO14" s="38" t="str">
        <f t="shared" si="12"/>
        <v>3e T 2019</v>
      </c>
      <c r="AP14" s="38" t="str">
        <f t="shared" si="12"/>
        <v>4e T 2019</v>
      </c>
      <c r="AQ14" s="38" t="str">
        <f t="shared" ref="AQ14" si="13">AQ8</f>
        <v>1e T 2020</v>
      </c>
      <c r="AR14" s="38" t="str">
        <f t="shared" ref="AR14" si="14">AR8</f>
        <v>2e T 2020</v>
      </c>
      <c r="AS14" s="38" t="str">
        <f t="shared" ref="AS14:AT14" si="15">AS8</f>
        <v>3e T 2020</v>
      </c>
      <c r="AT14" s="38" t="str">
        <f t="shared" si="15"/>
        <v>4e T 2020</v>
      </c>
      <c r="AU14" s="38" t="str">
        <f t="shared" ref="AU14:AV14" si="16">AU8</f>
        <v>1er T 2021</v>
      </c>
      <c r="AV14" s="38" t="str">
        <f t="shared" si="16"/>
        <v>2e T 2021</v>
      </c>
      <c r="AW14" s="38" t="str">
        <f t="shared" ref="AW14:AX14" si="17">AW8</f>
        <v>3e T 2021</v>
      </c>
      <c r="AX14" s="38" t="str">
        <f t="shared" si="17"/>
        <v>4e T 2021</v>
      </c>
      <c r="AY14" s="38" t="str">
        <f t="shared" ref="AY14:AZ14" si="18">AY8</f>
        <v>1er T 2022</v>
      </c>
      <c r="AZ14" s="38" t="str">
        <f t="shared" si="18"/>
        <v>2e T 2022</v>
      </c>
      <c r="BA14" s="38" t="str">
        <f t="shared" ref="BA14:BB14" si="19">BA8</f>
        <v>3e T 2022</v>
      </c>
      <c r="BB14" s="38" t="str">
        <f t="shared" si="19"/>
        <v>4e T 2022</v>
      </c>
      <c r="BC14" s="38" t="str">
        <f t="shared" ref="BC14:BD14" si="20">BC8</f>
        <v>1er T 2023</v>
      </c>
      <c r="BD14" s="38" t="str">
        <f t="shared" si="20"/>
        <v>2e T 2023</v>
      </c>
      <c r="BE14" s="38" t="str">
        <f t="shared" ref="BE14:BF14" si="21">BE8</f>
        <v>3e T 2023</v>
      </c>
      <c r="BF14" s="38" t="str">
        <f t="shared" si="21"/>
        <v>4e T 2023</v>
      </c>
      <c r="BG14" s="38" t="str">
        <f t="shared" ref="BG14:BH14" si="22">BG8</f>
        <v>1er T 2024</v>
      </c>
      <c r="BH14" s="38" t="str">
        <f t="shared" si="22"/>
        <v>2e T 2024</v>
      </c>
      <c r="BI14" s="38" t="str">
        <f t="shared" ref="BI14:BJ14" si="23">BI8</f>
        <v>3e T 2024</v>
      </c>
      <c r="BJ14" s="38" t="str">
        <f t="shared" si="23"/>
        <v>4e T 2024</v>
      </c>
    </row>
    <row r="15" spans="1:62" x14ac:dyDescent="0.25">
      <c r="A15" s="306" t="s">
        <v>34</v>
      </c>
      <c r="B15" s="3"/>
      <c r="C15" s="39"/>
      <c r="D15" s="39"/>
      <c r="E15" s="39"/>
      <c r="F15" s="105">
        <f>'A)NSA Nb'!F15/'A)NSA Nb'!B15-1</f>
        <v>-2.509217297562405E-2</v>
      </c>
      <c r="G15" s="105">
        <f>'A)NSA Nb'!G15/'A)NSA Nb'!C15-1</f>
        <v>-2.7831812438224857E-2</v>
      </c>
      <c r="H15" s="105">
        <f>'A)NSA Nb'!H15/'A)NSA Nb'!D15-1</f>
        <v>-2.7622073528154933E-2</v>
      </c>
      <c r="I15" s="105">
        <f>'A)NSA Nb'!I15/'A)NSA Nb'!E15-1</f>
        <v>-2.8235888938670017E-2</v>
      </c>
      <c r="J15" s="105">
        <f>'A)NSA Nb'!J15/'A)NSA Nb'!F15-1</f>
        <v>-2.9603239632702172E-2</v>
      </c>
      <c r="K15" s="105">
        <f>'A)NSA Nb'!K15/'A)NSA Nb'!G15-1</f>
        <v>-3.0352962257462646E-2</v>
      </c>
      <c r="L15" s="105">
        <f>'A)NSA Nb'!L15/'A)NSA Nb'!H15-1</f>
        <v>-3.123602476444054E-2</v>
      </c>
      <c r="M15" s="105">
        <f>'A)NSA Nb'!M15/'A)NSA Nb'!I15-1</f>
        <v>-3.2014495963899159E-2</v>
      </c>
      <c r="N15" s="105">
        <f>'A)NSA Nb'!N15/'A)NSA Nb'!J15-1</f>
        <v>-3.1842172464104701E-2</v>
      </c>
      <c r="O15" s="105">
        <f>'A)NSA Nb'!O15/'A)NSA Nb'!K15-1</f>
        <v>-3.5465067230165404E-2</v>
      </c>
      <c r="P15" s="105">
        <f>'A)NSA Nb'!P15/'A)NSA Nb'!L15-1</f>
        <v>-4.9140586746504122E-2</v>
      </c>
      <c r="Q15" s="105">
        <f>'A)NSA Nb'!Q15/'A)NSA Nb'!M15-1</f>
        <v>-5.9219060365896636E-2</v>
      </c>
      <c r="R15" s="105">
        <f>'A)NSA Nb'!R15/'A)NSA Nb'!N15-1</f>
        <v>-6.9643867790108782E-2</v>
      </c>
      <c r="S15" s="105">
        <f>'A)NSA Nb'!S15/'A)NSA Nb'!O15-1</f>
        <v>-3.3972946594305831E-2</v>
      </c>
      <c r="T15" s="105">
        <f>'A)NSA Nb'!T15/'A)NSA Nb'!P15-1</f>
        <v>-3.2722456155612978E-2</v>
      </c>
      <c r="U15" s="105">
        <f>'A)NSA Nb'!U15/'A)NSA Nb'!Q15-1</f>
        <v>-3.3332296265707995E-2</v>
      </c>
      <c r="V15" s="105">
        <f>'A)NSA Nb'!V15/'A)NSA Nb'!R15-1</f>
        <v>-3.2812715924681157E-2</v>
      </c>
      <c r="W15" s="105">
        <f>'A)NSA Nb'!W15/'A)NSA Nb'!S15-1</f>
        <v>-3.2342208853291643E-2</v>
      </c>
      <c r="X15" s="105">
        <f>'A)NSA Nb'!X15/'A)NSA Nb'!T15-1</f>
        <v>-3.5123373514948431E-2</v>
      </c>
      <c r="Y15" s="105">
        <f>'A)NSA Nb'!Y15/'A)NSA Nb'!U15-1</f>
        <v>-3.6061631009784212E-2</v>
      </c>
      <c r="Z15" s="105">
        <f>'A)NSA Nb'!Z15/'A)NSA Nb'!V15-1</f>
        <v>-3.6353405775006564E-2</v>
      </c>
      <c r="AA15" s="105">
        <f>'A)NSA Nb'!AA15/'A)NSA Nb'!W15-1</f>
        <v>-3.6077260676810607E-2</v>
      </c>
      <c r="AB15" s="105">
        <f>'A)NSA Nb'!AB15/'A)NSA Nb'!X15-1</f>
        <v>-3.4897024311553504E-2</v>
      </c>
      <c r="AC15" s="105">
        <f>'A)NSA Nb'!AC15/'A)NSA Nb'!Y15-1</f>
        <v>-3.469408197273649E-2</v>
      </c>
      <c r="AD15" s="105">
        <f>'A)NSA Nb'!AD15/'A)NSA Nb'!Z15-1</f>
        <v>-3.5418236623963817E-2</v>
      </c>
      <c r="AE15" s="105">
        <f>'A)NSA Nb'!AE15/'A)NSA Nb'!AA15-1</f>
        <v>-3.7142496155706972E-2</v>
      </c>
      <c r="AF15" s="105">
        <f>'A)NSA Nb'!AF15/'A)NSA Nb'!AB15-1</f>
        <v>-3.913886703689573E-2</v>
      </c>
      <c r="AG15" s="105">
        <f>'A)NSA Nb'!AG15/'A)NSA Nb'!AC15-1</f>
        <v>-3.9255269306115004E-2</v>
      </c>
      <c r="AH15" s="105">
        <f>'A)NSA Nb'!AH15/'A)NSA Nb'!AD15-1</f>
        <v>-3.907042342799194E-2</v>
      </c>
      <c r="AI15" s="105">
        <f>'A)NSA Nb'!AI15/'A)NSA Nb'!AE15-1</f>
        <v>-3.8173619156739891E-2</v>
      </c>
      <c r="AJ15" s="105">
        <f>'A)NSA Nb'!AJ15/'A)NSA Nb'!AF15-1</f>
        <v>-3.707564605557534E-2</v>
      </c>
      <c r="AK15" s="105">
        <f>'A)NSA Nb'!AK15/'A)NSA Nb'!AG15-1</f>
        <v>-3.7537188621999951E-2</v>
      </c>
      <c r="AL15" s="105">
        <f>'A)NSA Nb'!AL15/'A)NSA Nb'!AH15-1</f>
        <v>-3.6633491923448003E-2</v>
      </c>
      <c r="AM15" s="105">
        <f>'A)NSA Nb'!AM15/'A)NSA Nb'!AI15-1</f>
        <v>-3.6773795322542324E-2</v>
      </c>
      <c r="AN15" s="105">
        <f>'A)NSA Nb'!AN15/'A)NSA Nb'!AJ15-1</f>
        <v>-3.7528348298091929E-2</v>
      </c>
      <c r="AO15" s="105">
        <f>'A)NSA Nb'!AO15/'A)NSA Nb'!AK15-1</f>
        <v>-3.7234585197981396E-2</v>
      </c>
      <c r="AP15" s="105">
        <f>'A)NSA Nb'!AP15/'A)NSA Nb'!AL15-1</f>
        <v>-3.7714984139917918E-2</v>
      </c>
      <c r="AQ15" s="105">
        <f>'A)NSA Nb'!AQ15/'A)NSA Nb'!AM15-1</f>
        <v>-3.6951377493738669E-2</v>
      </c>
      <c r="AR15" s="105">
        <f>'A)NSA Nb'!AR15/'A)NSA Nb'!AN15-1</f>
        <v>-3.7445269136778592E-2</v>
      </c>
      <c r="AS15" s="105">
        <f>'A)NSA Nb'!AS15/'A)NSA Nb'!AO15-1</f>
        <v>-3.9317458943869843E-2</v>
      </c>
      <c r="AT15" s="105">
        <f>'A)NSA Nb'!AT15/'A)NSA Nb'!AP15-1</f>
        <v>-4.0116412488726105E-2</v>
      </c>
      <c r="AU15" s="105">
        <f>'A)NSA Nb'!AU15/'A)NSA Nb'!AQ15-1</f>
        <v>-4.4888684026924586E-2</v>
      </c>
      <c r="AV15" s="105">
        <f>'A)NSA Nb'!AV15/'A)NSA Nb'!AR15-1</f>
        <v>-4.5700629708044449E-2</v>
      </c>
      <c r="AW15" s="105">
        <f>'A)NSA Nb'!AW15/'A)NSA Nb'!AS15-1</f>
        <v>-4.5088552026383621E-2</v>
      </c>
      <c r="AX15" s="105">
        <f>'A)NSA Nb'!AX15/'A)NSA Nb'!AT15-1</f>
        <v>-4.5354974536127579E-2</v>
      </c>
      <c r="AY15" s="105">
        <f>'A)NSA Nb'!AY15/'A)NSA Nb'!AU15-1</f>
        <v>-4.2204274321210655E-2</v>
      </c>
      <c r="AZ15" s="105">
        <f>'A)NSA Nb'!AZ15/'A)NSA Nb'!AV15-1</f>
        <v>-4.2393183878364105E-2</v>
      </c>
      <c r="BA15" s="105">
        <f>'A)NSA Nb'!BA15/'A)NSA Nb'!AW15-1</f>
        <v>-4.2337331816335477E-2</v>
      </c>
      <c r="BB15" s="105">
        <f>'A)NSA Nb'!BB15/'A)NSA Nb'!AX15-1</f>
        <v>-4.0559874979373522E-2</v>
      </c>
      <c r="BC15" s="105">
        <f>'A)NSA Nb'!BC15/'A)NSA Nb'!AY15-1</f>
        <v>-4.4954063687374313E-2</v>
      </c>
      <c r="BD15" s="105">
        <f>'A)NSA Nb'!BD15/'A)NSA Nb'!AZ15-1</f>
        <v>-4.3086664532153929E-2</v>
      </c>
      <c r="BE15" s="105">
        <f>'A)NSA Nb'!BE15/'A)NSA Nb'!BA15-1</f>
        <v>-4.2031942587771765E-2</v>
      </c>
      <c r="BF15" s="105">
        <f>'A)NSA Nb'!BF15/'A)NSA Nb'!BB15-1</f>
        <v>-4.359174621931039E-2</v>
      </c>
      <c r="BG15" s="105">
        <f>'A)NSA Nb'!BG15/'A)NSA Nb'!BC15-1</f>
        <v>-3.958121632024636E-2</v>
      </c>
      <c r="BH15" s="105">
        <f>'A)NSA Nb'!BH15/'A)NSA Nb'!BD15-1</f>
        <v>-4.0410988796315772E-2</v>
      </c>
      <c r="BI15" s="105">
        <f>'A)NSA Nb'!BI15/'A)NSA Nb'!BE15-1</f>
        <v>-4.1893122594670817E-2</v>
      </c>
      <c r="BJ15" s="105">
        <f>'A)NSA Nb'!BJ15/'A)NSA Nb'!BF15-1</f>
        <v>-4.2164010171829469E-2</v>
      </c>
    </row>
    <row r="16" spans="1:62" x14ac:dyDescent="0.25">
      <c r="A16" s="306" t="s">
        <v>35</v>
      </c>
      <c r="B16" s="3"/>
      <c r="C16" s="39"/>
      <c r="D16" s="39"/>
      <c r="E16" s="39"/>
      <c r="F16" s="105">
        <f>'A)NSA Nb'!F16/'A)NSA Nb'!B16-1</f>
        <v>-1.5045135406218657E-2</v>
      </c>
      <c r="G16" s="105">
        <f>'A)NSA Nb'!G16/'A)NSA Nb'!C16-1</f>
        <v>-3.5294117647058809E-2</v>
      </c>
      <c r="H16" s="105">
        <f>'A)NSA Nb'!H16/'A)NSA Nb'!D16-1</f>
        <v>-3.6726128016789095E-2</v>
      </c>
      <c r="I16" s="105">
        <f>'A)NSA Nb'!I16/'A)NSA Nb'!E16-1</f>
        <v>-4.2531120331950167E-2</v>
      </c>
      <c r="J16" s="105">
        <f>'A)NSA Nb'!J16/'A)NSA Nb'!F16-1</f>
        <v>-5.7026476578411422E-2</v>
      </c>
      <c r="K16" s="105">
        <f>'A)NSA Nb'!K16/'A)NSA Nb'!G16-1</f>
        <v>-4.656319290465627E-2</v>
      </c>
      <c r="L16" s="105">
        <f>'A)NSA Nb'!L16/'A)NSA Nb'!H16-1</f>
        <v>-5.1198257080609988E-2</v>
      </c>
      <c r="M16" s="105">
        <f>'A)NSA Nb'!M16/'A)NSA Nb'!I16-1</f>
        <v>-4.8754062838569867E-2</v>
      </c>
      <c r="N16" s="105">
        <f>'A)NSA Nb'!N16/'A)NSA Nb'!J16-1</f>
        <v>-4.7516198704103618E-2</v>
      </c>
      <c r="O16" s="105" t="s">
        <v>145</v>
      </c>
      <c r="P16" s="105" t="s">
        <v>145</v>
      </c>
      <c r="Q16" s="105" t="s">
        <v>145</v>
      </c>
      <c r="R16" s="105" t="s">
        <v>145</v>
      </c>
      <c r="S16" s="105" t="s">
        <v>145</v>
      </c>
      <c r="T16" s="105" t="s">
        <v>145</v>
      </c>
      <c r="U16" s="105" t="s">
        <v>145</v>
      </c>
      <c r="V16" s="105" t="s">
        <v>145</v>
      </c>
      <c r="W16" s="105" t="s">
        <v>145</v>
      </c>
      <c r="X16" s="105" t="s">
        <v>145</v>
      </c>
      <c r="Y16" s="105" t="s">
        <v>145</v>
      </c>
      <c r="Z16" s="105" t="s">
        <v>145</v>
      </c>
      <c r="AA16" s="105" t="s">
        <v>145</v>
      </c>
      <c r="AB16" s="105" t="s">
        <v>145</v>
      </c>
      <c r="AC16" s="105" t="s">
        <v>145</v>
      </c>
      <c r="AD16" s="105" t="s">
        <v>145</v>
      </c>
      <c r="AE16" s="105" t="s">
        <v>145</v>
      </c>
      <c r="AF16" s="105" t="s">
        <v>145</v>
      </c>
      <c r="AG16" s="105" t="s">
        <v>145</v>
      </c>
      <c r="AH16" s="105" t="s">
        <v>145</v>
      </c>
      <c r="AI16" s="105" t="s">
        <v>145</v>
      </c>
      <c r="AJ16" s="105" t="s">
        <v>145</v>
      </c>
      <c r="AK16" s="105" t="s">
        <v>145</v>
      </c>
      <c r="AL16" s="105" t="s">
        <v>145</v>
      </c>
      <c r="AM16" s="105" t="s">
        <v>145</v>
      </c>
      <c r="AN16" s="105" t="s">
        <v>145</v>
      </c>
      <c r="AO16" s="105" t="s">
        <v>145</v>
      </c>
      <c r="AP16" s="105" t="s">
        <v>145</v>
      </c>
      <c r="AQ16" s="105" t="s">
        <v>145</v>
      </c>
      <c r="AR16" s="105" t="s">
        <v>145</v>
      </c>
      <c r="AS16" s="105" t="s">
        <v>145</v>
      </c>
      <c r="AT16" s="105" t="s">
        <v>145</v>
      </c>
      <c r="AU16" s="105" t="s">
        <v>145</v>
      </c>
      <c r="AV16" s="105" t="s">
        <v>145</v>
      </c>
      <c r="AW16" s="105" t="s">
        <v>145</v>
      </c>
      <c r="AX16" s="105" t="s">
        <v>145</v>
      </c>
      <c r="AY16" s="105" t="s">
        <v>145</v>
      </c>
      <c r="AZ16" s="105" t="s">
        <v>145</v>
      </c>
      <c r="BA16" s="105" t="s">
        <v>145</v>
      </c>
      <c r="BB16" s="105" t="s">
        <v>145</v>
      </c>
      <c r="BC16" s="105" t="s">
        <v>145</v>
      </c>
      <c r="BD16" s="105" t="s">
        <v>145</v>
      </c>
      <c r="BE16" s="105" t="s">
        <v>145</v>
      </c>
      <c r="BF16" s="105" t="s">
        <v>145</v>
      </c>
      <c r="BG16" s="105" t="s">
        <v>145</v>
      </c>
      <c r="BH16" s="105" t="s">
        <v>145</v>
      </c>
      <c r="BI16" s="105" t="s">
        <v>145</v>
      </c>
      <c r="BJ16" s="105" t="s">
        <v>145</v>
      </c>
    </row>
    <row r="17" spans="1:62" x14ac:dyDescent="0.25">
      <c r="A17" s="306" t="s">
        <v>36</v>
      </c>
      <c r="B17" s="3"/>
      <c r="C17" s="39"/>
      <c r="D17" s="39"/>
      <c r="E17" s="39"/>
      <c r="F17" s="105">
        <f>'A)NSA Nb'!F17/'A)NSA Nb'!B17-1</f>
        <v>-0.10744186046511628</v>
      </c>
      <c r="G17" s="105">
        <f>'A)NSA Nb'!G17/'A)NSA Nb'!C17-1</f>
        <v>-0.16640419947506557</v>
      </c>
      <c r="H17" s="105">
        <f>'A)NSA Nb'!H17/'A)NSA Nb'!D17-1</f>
        <v>-0.16457680250783702</v>
      </c>
      <c r="I17" s="105">
        <f>'A)NSA Nb'!I17/'A)NSA Nb'!E17-1</f>
        <v>-0.16588419405320809</v>
      </c>
      <c r="J17" s="105">
        <f>'A)NSA Nb'!J17/'A)NSA Nb'!F17-1</f>
        <v>-0.16571130797290257</v>
      </c>
      <c r="K17" s="105">
        <f>'A)NSA Nb'!K17/'A)NSA Nb'!G17-1</f>
        <v>-8.1234256926952186E-2</v>
      </c>
      <c r="L17" s="105">
        <f>'A)NSA Nb'!L17/'A)NSA Nb'!H17-1</f>
        <v>-8.4427767354596672E-2</v>
      </c>
      <c r="M17" s="105">
        <f>'A)NSA Nb'!M17/'A)NSA Nb'!I17-1</f>
        <v>-8.4427767354596672E-2</v>
      </c>
      <c r="N17" s="105">
        <f>'A)NSA Nb'!N17/'A)NSA Nb'!J17-1</f>
        <v>-8.4322298563397902E-2</v>
      </c>
      <c r="O17" s="105">
        <f>'A)NSA Nb'!O17/'A)NSA Nb'!K17-1</f>
        <v>-0.10143934201507887</v>
      </c>
      <c r="P17" s="105">
        <f>'A)NSA Nb'!P17/'A)NSA Nb'!L17-1</f>
        <v>-0.12158469945355188</v>
      </c>
      <c r="Q17" s="105">
        <f>'A)NSA Nb'!Q17/'A)NSA Nb'!M17-1</f>
        <v>-0.14617486338797814</v>
      </c>
      <c r="R17" s="105">
        <f>'A)NSA Nb'!R17/'A)NSA Nb'!N17-1</f>
        <v>-0.16439290586630284</v>
      </c>
      <c r="S17" s="105">
        <f>'A)NSA Nb'!S17/'A)NSA Nb'!O17-1</f>
        <v>-9.0007627765064879E-2</v>
      </c>
      <c r="T17" s="105">
        <f>'A)NSA Nb'!T17/'A)NSA Nb'!P17-1</f>
        <v>-9.0202177293934649E-2</v>
      </c>
      <c r="U17" s="105">
        <f>'A)NSA Nb'!U17/'A)NSA Nb'!Q17-1</f>
        <v>-8.879999999999999E-2</v>
      </c>
      <c r="V17" s="105">
        <f>'A)NSA Nb'!V17/'A)NSA Nb'!R17-1</f>
        <v>-9.1428571428571415E-2</v>
      </c>
      <c r="W17" s="105">
        <f>'A)NSA Nb'!W17/'A)NSA Nb'!S17-1</f>
        <v>-9.1366303436714147E-2</v>
      </c>
      <c r="X17" s="105">
        <f>'A)NSA Nb'!X17/'A)NSA Nb'!T17-1</f>
        <v>-0.10427350427350424</v>
      </c>
      <c r="Y17" s="105">
        <f>'A)NSA Nb'!Y17/'A)NSA Nb'!U17-1</f>
        <v>-9.6575943810359943E-2</v>
      </c>
      <c r="Z17" s="105">
        <f>'A)NSA Nb'!Z17/'A)NSA Nb'!V17-1</f>
        <v>-0.10242587601078168</v>
      </c>
      <c r="AA17" s="105">
        <f>'A)NSA Nb'!AA17/'A)NSA Nb'!W17-1</f>
        <v>-0.10239852398523985</v>
      </c>
      <c r="AB17" s="105">
        <f>'A)NSA Nb'!AB17/'A)NSA Nb'!X17-1</f>
        <v>-0.10400763358778631</v>
      </c>
      <c r="AC17" s="105">
        <f>'A)NSA Nb'!AC17/'A)NSA Nb'!Y17-1</f>
        <v>-0.11273080660835766</v>
      </c>
      <c r="AD17" s="105">
        <f>'A)NSA Nb'!AD17/'A)NSA Nb'!Z17-1</f>
        <v>-0.10810810810810811</v>
      </c>
      <c r="AE17" s="105">
        <f>'A)NSA Nb'!AE17/'A)NSA Nb'!AA17-1</f>
        <v>-0.12024665981500515</v>
      </c>
      <c r="AF17" s="105">
        <f>'A)NSA Nb'!AF17/'A)NSA Nb'!AB17-1</f>
        <v>-0.10436634717784876</v>
      </c>
      <c r="AG17" s="105">
        <f>'A)NSA Nb'!AG17/'A)NSA Nb'!AC17-1</f>
        <v>-9.967141292442494E-2</v>
      </c>
      <c r="AH17" s="105">
        <f>'A)NSA Nb'!AH17/'A)NSA Nb'!AD17-1</f>
        <v>-0.10213243546576878</v>
      </c>
      <c r="AI17" s="105">
        <f>'A)NSA Nb'!AI17/'A)NSA Nb'!AE17-1</f>
        <v>-9.4626168224299034E-2</v>
      </c>
      <c r="AJ17" s="105">
        <f>'A)NSA Nb'!AJ17/'A)NSA Nb'!AF17-1</f>
        <v>-0.10344827586206895</v>
      </c>
      <c r="AK17" s="105">
        <f>'A)NSA Nb'!AK17/'A)NSA Nb'!AG17-1</f>
        <v>-0.10462287104622869</v>
      </c>
      <c r="AL17" s="105">
        <f>'A)NSA Nb'!AL17/'A)NSA Nb'!AH17-1</f>
        <v>-0.10875000000000001</v>
      </c>
      <c r="AM17" s="105">
        <f>'A)NSA Nb'!AM17/'A)NSA Nb'!AI17-1</f>
        <v>-0.10838709677419356</v>
      </c>
      <c r="AN17" s="105">
        <f>'A)NSA Nb'!AN17/'A)NSA Nb'!AJ17-1</f>
        <v>-0.10477453580901852</v>
      </c>
      <c r="AO17" s="105">
        <f>'A)NSA Nb'!AO17/'A)NSA Nb'!AK17-1</f>
        <v>-0.10597826086956519</v>
      </c>
      <c r="AP17" s="105">
        <f>'A)NSA Nb'!AP17/'A)NSA Nb'!AL17-1</f>
        <v>-0.10378681626928477</v>
      </c>
      <c r="AQ17" s="105">
        <f>'A)NSA Nb'!AQ17/'A)NSA Nb'!AM17-1</f>
        <v>-9.6960926193921826E-2</v>
      </c>
      <c r="AR17" s="105">
        <f>'A)NSA Nb'!AR17/'A)NSA Nb'!AN17-1</f>
        <v>-0.1081481481481481</v>
      </c>
      <c r="AS17" s="105">
        <f>'A)NSA Nb'!AS17/'A)NSA Nb'!AO17-1</f>
        <v>-0.11246200607902734</v>
      </c>
      <c r="AT17" s="105">
        <f>'A)NSA Nb'!AT17/'A)NSA Nb'!AP17-1</f>
        <v>-9.7026604068857547E-2</v>
      </c>
      <c r="AU17" s="105">
        <f>'A)NSA Nb'!AU17/'A)NSA Nb'!AQ17-1</f>
        <v>-0.10576923076923073</v>
      </c>
      <c r="AV17" s="105">
        <f>'A)NSA Nb'!AV17/'A)NSA Nb'!AR17-1</f>
        <v>-0.10631229235880402</v>
      </c>
      <c r="AW17" s="105">
        <f>'A)NSA Nb'!AW17/'A)NSA Nb'!AS17-1</f>
        <v>-0.10273972602739723</v>
      </c>
      <c r="AX17" s="105">
        <f>'A)NSA Nb'!AX17/'A)NSA Nb'!AT17-1</f>
        <v>-0.12651646447140386</v>
      </c>
      <c r="AY17" s="105">
        <f>'A)NSA Nb'!AY17/'A)NSA Nb'!AU17-1</f>
        <v>-0.17204301075268813</v>
      </c>
      <c r="AZ17" s="105">
        <f>'A)NSA Nb'!AZ17/'A)NSA Nb'!AV17-1</f>
        <v>-0.17472118959107807</v>
      </c>
      <c r="BA17" s="105">
        <f>'A)NSA Nb'!BA17/'A)NSA Nb'!AW17-1</f>
        <v>-0.18129770992366412</v>
      </c>
      <c r="BB17" s="105">
        <f>'A)NSA Nb'!BB17/'A)NSA Nb'!AX17-1</f>
        <v>-0.18253968253968256</v>
      </c>
      <c r="BC17" s="105">
        <f>'A)NSA Nb'!BC17/'A)NSA Nb'!AY17-1</f>
        <v>-0.14069264069264065</v>
      </c>
      <c r="BD17" s="105">
        <f>'A)NSA Nb'!BD17/'A)NSA Nb'!AZ17-1</f>
        <v>-0.14864864864864868</v>
      </c>
      <c r="BE17" s="105">
        <f>'A)NSA Nb'!BE17/'A)NSA Nb'!BA17-1</f>
        <v>-0.13053613053613056</v>
      </c>
      <c r="BF17" s="105">
        <f>'A)NSA Nb'!BF17/'A)NSA Nb'!BB17-1</f>
        <v>-0.10922330097087374</v>
      </c>
      <c r="BG17" s="105">
        <f>'A)NSA Nb'!BG17/'A)NSA Nb'!BC17-1</f>
        <v>-0.11335012594458438</v>
      </c>
      <c r="BH17" s="105">
        <f>'A)NSA Nb'!BH17/'A)NSA Nb'!BD17-1</f>
        <v>-9.259259259259256E-2</v>
      </c>
      <c r="BI17" s="105">
        <f>'A)NSA Nb'!BI17/'A)NSA Nb'!BE17-1</f>
        <v>-0.1045576407506702</v>
      </c>
      <c r="BJ17" s="105">
        <f>'A)NSA Nb'!BJ17/'A)NSA Nb'!BF17-1</f>
        <v>-0.13079019073569487</v>
      </c>
    </row>
    <row r="18" spans="1:62" x14ac:dyDescent="0.25">
      <c r="A18" s="307" t="s">
        <v>37</v>
      </c>
      <c r="B18" s="3"/>
      <c r="C18" s="39"/>
      <c r="D18" s="39"/>
      <c r="E18" s="39"/>
      <c r="F18" s="105">
        <f>'A)NSA Nb'!F18/'A)NSA Nb'!B18-1</f>
        <v>-0.14437610983585258</v>
      </c>
      <c r="G18" s="105">
        <f>'A)NSA Nb'!G18/'A)NSA Nb'!C18-1</f>
        <v>-0.16536039746008124</v>
      </c>
      <c r="H18" s="105">
        <f>'A)NSA Nb'!H18/'A)NSA Nb'!D18-1</f>
        <v>-8.6549288565871629E-2</v>
      </c>
      <c r="I18" s="105">
        <f>'A)NSA Nb'!I18/'A)NSA Nb'!E18-1</f>
        <v>-8.6759502049336801E-2</v>
      </c>
      <c r="J18" s="105">
        <f>'A)NSA Nb'!J18/'A)NSA Nb'!F18-1</f>
        <v>-8.7292146490850597E-2</v>
      </c>
      <c r="K18" s="105">
        <f>'A)NSA Nb'!K18/'A)NSA Nb'!G18-1</f>
        <v>-4.6952092949228086E-2</v>
      </c>
      <c r="L18" s="105">
        <f>'A)NSA Nb'!L18/'A)NSA Nb'!H18-1</f>
        <v>-5.4743094077435939E-2</v>
      </c>
      <c r="M18" s="105">
        <f>'A)NSA Nb'!M18/'A)NSA Nb'!I18-1</f>
        <v>-4.1730549438296238E-2</v>
      </c>
      <c r="N18" s="105">
        <f>'A)NSA Nb'!N18/'A)NSA Nb'!J18-1</f>
        <v>-4.2399201375408979E-2</v>
      </c>
      <c r="O18" s="105">
        <f>'A)NSA Nb'!O18/'A)NSA Nb'!K18-1</f>
        <v>-4.8229792919171621E-2</v>
      </c>
      <c r="P18" s="105">
        <f>'A)NSA Nb'!P18/'A)NSA Nb'!L18-1</f>
        <v>-0.17045050385299343</v>
      </c>
      <c r="Q18" s="105">
        <f>'A)NSA Nb'!Q18/'A)NSA Nb'!M18-1</f>
        <v>-0.24301838491971139</v>
      </c>
      <c r="R18" s="105">
        <f>'A)NSA Nb'!R18/'A)NSA Nb'!N18-1</f>
        <v>-0.2612573480439</v>
      </c>
      <c r="S18" s="105">
        <f>'A)NSA Nb'!S18/'A)NSA Nb'!O18-1</f>
        <v>-0.14356400898371702</v>
      </c>
      <c r="T18" s="105">
        <f>'A)NSA Nb'!T18/'A)NSA Nb'!P18-1</f>
        <v>-0.14184143770767088</v>
      </c>
      <c r="U18" s="105">
        <f>'A)NSA Nb'!U18/'A)NSA Nb'!Q18-1</f>
        <v>-0.15998001690876951</v>
      </c>
      <c r="V18" s="105">
        <f>'A)NSA Nb'!V18/'A)NSA Nb'!R18-1</f>
        <v>-0.14605464309513538</v>
      </c>
      <c r="W18" s="105">
        <f>'A)NSA Nb'!W18/'A)NSA Nb'!S18-1</f>
        <v>-0.1374308543331284</v>
      </c>
      <c r="X18" s="105">
        <f>'A)NSA Nb'!X18/'A)NSA Nb'!T18-1</f>
        <v>-0.15995670094508518</v>
      </c>
      <c r="Y18" s="105">
        <f>'A)NSA Nb'!Y18/'A)NSA Nb'!U18-1</f>
        <v>-0.10823916922091592</v>
      </c>
      <c r="Z18" s="105">
        <f>'A)NSA Nb'!Z18/'A)NSA Nb'!V18-1</f>
        <v>-0.13307321551526274</v>
      </c>
      <c r="AA18" s="105">
        <f>'A)NSA Nb'!AA18/'A)NSA Nb'!W18-1</f>
        <v>-0.16403021234145643</v>
      </c>
      <c r="AB18" s="105">
        <f>'A)NSA Nb'!AB18/'A)NSA Nb'!X18-1</f>
        <v>-0.1657828220250781</v>
      </c>
      <c r="AC18" s="105">
        <f>'A)NSA Nb'!AC18/'A)NSA Nb'!Y18-1</f>
        <v>-0.16790642794849431</v>
      </c>
      <c r="AD18" s="105">
        <f>'A)NSA Nb'!AD18/'A)NSA Nb'!Z18-1</f>
        <v>-0.16832574393730804</v>
      </c>
      <c r="AE18" s="105">
        <f>'A)NSA Nb'!AE18/'A)NSA Nb'!AA18-1</f>
        <v>-0.15371064893737929</v>
      </c>
      <c r="AF18" s="105">
        <f>'A)NSA Nb'!AF18/'A)NSA Nb'!AB18-1</f>
        <v>-0.15060598859315588</v>
      </c>
      <c r="AG18" s="105">
        <f>'A)NSA Nb'!AG18/'A)NSA Nb'!AC18-1</f>
        <v>-0.1495067817509248</v>
      </c>
      <c r="AH18" s="105">
        <f>'A)NSA Nb'!AH18/'A)NSA Nb'!AD18-1</f>
        <v>-0.15343477430445029</v>
      </c>
      <c r="AI18" s="105">
        <f>'A)NSA Nb'!AI18/'A)NSA Nb'!AE18-1</f>
        <v>-0.16813267978244817</v>
      </c>
      <c r="AJ18" s="105">
        <f>'A)NSA Nb'!AJ18/'A)NSA Nb'!AF18-1</f>
        <v>-0.12429180947051832</v>
      </c>
      <c r="AK18" s="105">
        <f>'A)NSA Nb'!AK18/'A)NSA Nb'!AG18-1</f>
        <v>-0.11656397245378758</v>
      </c>
      <c r="AL18" s="105">
        <f>'A)NSA Nb'!AL18/'A)NSA Nb'!AH18-1</f>
        <v>-0.11747010603895613</v>
      </c>
      <c r="AM18" s="105">
        <f>'A)NSA Nb'!AM18/'A)NSA Nb'!AI18-1</f>
        <v>-2.0098474453143944E-2</v>
      </c>
      <c r="AN18" s="105">
        <f>'A)NSA Nb'!AN18/'A)NSA Nb'!AJ18-1</f>
        <v>-7.9632587859424953E-2</v>
      </c>
      <c r="AO18" s="105">
        <f>'A)NSA Nb'!AO18/'A)NSA Nb'!AK18-1</f>
        <v>-2.0513662098957886E-2</v>
      </c>
      <c r="AP18" s="105">
        <f>'A)NSA Nb'!AP18/'A)NSA Nb'!AL18-1</f>
        <v>-4.5249254367277336E-2</v>
      </c>
      <c r="AQ18" s="105">
        <f>'A)NSA Nb'!AQ18/'A)NSA Nb'!AM18-1</f>
        <v>-0.1203459637561779</v>
      </c>
      <c r="AR18" s="105">
        <f>'A)NSA Nb'!AR18/'A)NSA Nb'!AN18-1</f>
        <v>-0.12366571205415255</v>
      </c>
      <c r="AS18" s="105">
        <f>'A)NSA Nb'!AS18/'A)NSA Nb'!AO18-1</f>
        <v>-0.18689788053949907</v>
      </c>
      <c r="AT18" s="105">
        <f>'A)NSA Nb'!AT18/'A)NSA Nb'!AP18-1</f>
        <v>-0.16779721528025704</v>
      </c>
      <c r="AU18" s="105">
        <f>'A)NSA Nb'!AU18/'A)NSA Nb'!AQ18-1</f>
        <v>-0.17276898586009926</v>
      </c>
      <c r="AV18" s="105">
        <f>'A)NSA Nb'!AV18/'A)NSA Nb'!AR18-1</f>
        <v>-0.17092493563081801</v>
      </c>
      <c r="AW18" s="105">
        <f>'A)NSA Nb'!AW18/'A)NSA Nb'!AS18-1</f>
        <v>-0.17442818874922728</v>
      </c>
      <c r="AX18" s="105">
        <f>'A)NSA Nb'!AX18/'A)NSA Nb'!AT18-1</f>
        <v>-0.17728442728442728</v>
      </c>
      <c r="AY18" s="105">
        <f>'A)NSA Nb'!AY18/'A)NSA Nb'!AU18-1</f>
        <v>-0.20296581390083768</v>
      </c>
      <c r="AZ18" s="105">
        <f>'A)NSA Nb'!AZ18/'A)NSA Nb'!AV18-1</f>
        <v>-0.25764452938365978</v>
      </c>
      <c r="BA18" s="105">
        <f>'A)NSA Nb'!BA18/'A)NSA Nb'!AW18-1</f>
        <v>-0.25995257706227382</v>
      </c>
      <c r="BB18" s="105">
        <f>'A)NSA Nb'!BB18/'A)NSA Nb'!AX18-1</f>
        <v>-0.26267761699908743</v>
      </c>
      <c r="BC18" s="105">
        <f>'A)NSA Nb'!BC18/'A)NSA Nb'!AY18-1</f>
        <v>-0.24201107797187904</v>
      </c>
      <c r="BD18" s="105">
        <f>'A)NSA Nb'!BD18/'A)NSA Nb'!AZ18-1</f>
        <v>-0.18938053097345131</v>
      </c>
      <c r="BE18" s="105">
        <f>'A)NSA Nb'!BE18/'A)NSA Nb'!BA18-1</f>
        <v>-0.19123102866779085</v>
      </c>
      <c r="BF18" s="105">
        <f>'A)NSA Nb'!BF18/'A)NSA Nb'!BB18-1</f>
        <v>-0.18528995756718525</v>
      </c>
      <c r="BG18" s="105">
        <f>'A)NSA Nb'!BG18/'A)NSA Nb'!BC18-1</f>
        <v>-0.18343638748360502</v>
      </c>
      <c r="BH18" s="105">
        <f>'A)NSA Nb'!BH18/'A)NSA Nb'!BD18-1</f>
        <v>-0.18420007939658589</v>
      </c>
      <c r="BI18" s="105">
        <f>'A)NSA Nb'!BI18/'A)NSA Nb'!BE18-1</f>
        <v>-0.18119266055045868</v>
      </c>
      <c r="BJ18" s="105">
        <f>'A)NSA Nb'!BJ18/'A)NSA Nb'!BF18-1</f>
        <v>-0.19444444444444442</v>
      </c>
    </row>
    <row r="19" spans="1:62" x14ac:dyDescent="0.25">
      <c r="A19" s="308" t="s">
        <v>38</v>
      </c>
      <c r="B19" s="3"/>
      <c r="C19" s="39"/>
      <c r="D19" s="39"/>
      <c r="E19" s="39"/>
      <c r="F19" s="105">
        <f>'A)NSA Nb'!F19/'A)NSA Nb'!B19-1</f>
        <v>0.42242152466367711</v>
      </c>
      <c r="G19" s="105">
        <f>'A)NSA Nb'!G19/'A)NSA Nb'!C19-1</f>
        <v>0.31067193675889326</v>
      </c>
      <c r="H19" s="105">
        <f>'A)NSA Nb'!H19/'A)NSA Nb'!D19-1</f>
        <v>0.30942028985507242</v>
      </c>
      <c r="I19" s="105">
        <f>'A)NSA Nb'!I19/'A)NSA Nb'!E19-1</f>
        <v>0.28263795423956939</v>
      </c>
      <c r="J19" s="105">
        <f>'A)NSA Nb'!J19/'A)NSA Nb'!F19-1</f>
        <v>0.27490542244640603</v>
      </c>
      <c r="K19" s="105">
        <f>'A)NSA Nb'!K19/'A)NSA Nb'!G19-1</f>
        <v>0.22677925211097705</v>
      </c>
      <c r="L19" s="105">
        <f>'A)NSA Nb'!L19/'A)NSA Nb'!H19-1</f>
        <v>0.20531267293857214</v>
      </c>
      <c r="M19" s="105">
        <f>'A)NSA Nb'!M19/'A)NSA Nb'!I19-1</f>
        <v>0.19884575026232953</v>
      </c>
      <c r="N19" s="105">
        <f>'A)NSA Nb'!N19/'A)NSA Nb'!J19-1</f>
        <v>0.17804154302670616</v>
      </c>
      <c r="O19" s="105">
        <f>'A)NSA Nb'!O19/'A)NSA Nb'!K19-1</f>
        <v>0.1224188790560472</v>
      </c>
      <c r="P19" s="105">
        <f>'A)NSA Nb'!P19/'A)NSA Nb'!L19-1</f>
        <v>7.5298438934802592E-2</v>
      </c>
      <c r="Q19" s="105">
        <f>'A)NSA Nb'!Q19/'A)NSA Nb'!M19-1</f>
        <v>5.0765864332603883E-2</v>
      </c>
      <c r="R19" s="105">
        <f>'A)NSA Nb'!R19/'A)NSA Nb'!N19-1</f>
        <v>3.0226700251889227E-2</v>
      </c>
      <c r="S19" s="105">
        <f>'A)NSA Nb'!S19/'A)NSA Nb'!O19-1</f>
        <v>9.3736311870346034E-2</v>
      </c>
      <c r="T19" s="105">
        <f>'A)NSA Nb'!T19/'A)NSA Nb'!P19-1</f>
        <v>8.326216908625117E-2</v>
      </c>
      <c r="U19" s="105">
        <f>'A)NSA Nb'!U19/'A)NSA Nb'!Q19-1</f>
        <v>5.7059558517284392E-2</v>
      </c>
      <c r="V19" s="105">
        <f>'A)NSA Nb'!V19/'A)NSA Nb'!R19-1</f>
        <v>6.3569682151589202E-2</v>
      </c>
      <c r="W19" s="105">
        <f>'A)NSA Nb'!W19/'A)NSA Nb'!S19-1</f>
        <v>6.5278334000800964E-2</v>
      </c>
      <c r="X19" s="105">
        <f>'A)NSA Nb'!X19/'A)NSA Nb'!T19-1</f>
        <v>6.0307449743791874E-2</v>
      </c>
      <c r="Y19" s="105">
        <f>'A)NSA Nb'!Y19/'A)NSA Nb'!U19-1</f>
        <v>7.8408195429471972E-2</v>
      </c>
      <c r="Z19" s="105">
        <f>'A)NSA Nb'!Z19/'A)NSA Nb'!V19-1</f>
        <v>8.3524904214559381E-2</v>
      </c>
      <c r="AA19" s="105">
        <f>'A)NSA Nb'!AA19/'A)NSA Nb'!W19-1</f>
        <v>7.7819548872180455E-2</v>
      </c>
      <c r="AB19" s="105">
        <f>'A)NSA Nb'!AB19/'A)NSA Nb'!X19-1</f>
        <v>7.5836431226765866E-2</v>
      </c>
      <c r="AC19" s="105">
        <f>'A)NSA Nb'!AC19/'A)NSA Nb'!Y19-1</f>
        <v>7.3803434417245128E-2</v>
      </c>
      <c r="AD19" s="105">
        <f>'A)NSA Nb'!AD19/'A)NSA Nb'!Z19-1</f>
        <v>5.3041018387553152E-2</v>
      </c>
      <c r="AE19" s="105">
        <f>'A)NSA Nb'!AE19/'A)NSA Nb'!AA19-1</f>
        <v>2.8601325427275892E-2</v>
      </c>
      <c r="AF19" s="105">
        <f>'A)NSA Nb'!AF19/'A)NSA Nb'!AB19-1</f>
        <v>2.5915687629578521E-2</v>
      </c>
      <c r="AG19" s="105">
        <f>'A)NSA Nb'!AG19/'A)NSA Nb'!AC19-1</f>
        <v>1.4971078598162713E-2</v>
      </c>
      <c r="AH19" s="105">
        <f>'A)NSA Nb'!AH19/'A)NSA Nb'!AD19-1</f>
        <v>1.410342511752849E-2</v>
      </c>
      <c r="AI19" s="105">
        <f>'A)NSA Nb'!AI19/'A)NSA Nb'!AE19-1</f>
        <v>1.6276703967446515E-2</v>
      </c>
      <c r="AJ19" s="105">
        <f>'A)NSA Nb'!AJ19/'A)NSA Nb'!AF19-1</f>
        <v>4.0754462782081502E-2</v>
      </c>
      <c r="AK19" s="105">
        <f>'A)NSA Nb'!AK19/'A)NSA Nb'!AG19-1</f>
        <v>4.2239356352665069E-2</v>
      </c>
      <c r="AL19" s="105">
        <f>'A)NSA Nb'!AL19/'A)NSA Nb'!AH19-1</f>
        <v>4.0066225165563019E-2</v>
      </c>
      <c r="AM19" s="105">
        <f>'A)NSA Nb'!AM19/'A)NSA Nb'!AI19-1</f>
        <v>8.4417751084417736E-2</v>
      </c>
      <c r="AN19" s="105">
        <f>'A)NSA Nb'!AN19/'A)NSA Nb'!AJ19-1</f>
        <v>5.663430420711979E-2</v>
      </c>
      <c r="AO19" s="105">
        <f>'A)NSA Nb'!AO19/'A)NSA Nb'!AK19-1</f>
        <v>8.3306529430685172E-2</v>
      </c>
      <c r="AP19" s="105">
        <f>'A)NSA Nb'!AP19/'A)NSA Nb'!AL19-1</f>
        <v>8.4049665711556809E-2</v>
      </c>
      <c r="AQ19" s="105">
        <f>'A)NSA Nb'!AQ19/'A)NSA Nb'!AM19-1</f>
        <v>6.0923076923076858E-2</v>
      </c>
      <c r="AR19" s="105">
        <f>'A)NSA Nb'!AR19/'A)NSA Nb'!AN19-1</f>
        <v>4.4104134762634084E-2</v>
      </c>
      <c r="AS19" s="105">
        <f>'A)NSA Nb'!AS19/'A)NSA Nb'!AO19-1</f>
        <v>2.1674584323040369E-2</v>
      </c>
      <c r="AT19" s="105">
        <f>'A)NSA Nb'!AT19/'A)NSA Nb'!AP19-1</f>
        <v>2.1439060205580063E-2</v>
      </c>
      <c r="AU19" s="105">
        <f>'A)NSA Nb'!AU19/'A)NSA Nb'!AQ19-1</f>
        <v>1.7691415313225045E-2</v>
      </c>
      <c r="AV19" s="105">
        <f>'A)NSA Nb'!AV19/'A)NSA Nb'!AR19-1</f>
        <v>1.7893810501613316E-2</v>
      </c>
      <c r="AW19" s="105">
        <f>'A)NSA Nb'!AW19/'A)NSA Nb'!AS19-1</f>
        <v>1.2786980528916025E-2</v>
      </c>
      <c r="AX19" s="105">
        <f>'A)NSA Nb'!AX19/'A)NSA Nb'!AT19-1</f>
        <v>2.8752156411731011E-3</v>
      </c>
      <c r="AY19" s="105">
        <f>'A)NSA Nb'!AY19/'A)NSA Nb'!AU19-1</f>
        <v>-5.1296665716728418E-2</v>
      </c>
      <c r="AZ19" s="105">
        <f>'A)NSA Nb'!AZ19/'A)NSA Nb'!AV19-1</f>
        <v>-0.12651296829971181</v>
      </c>
      <c r="BA19" s="105">
        <f>'A)NSA Nb'!BA19/'A)NSA Nb'!AW19-1</f>
        <v>-0.13256814921090387</v>
      </c>
      <c r="BB19" s="105">
        <f>'A)NSA Nb'!BB19/'A)NSA Nb'!AX19-1</f>
        <v>-0.12872706422018354</v>
      </c>
      <c r="BC19" s="105">
        <f>'A)NSA Nb'!BC19/'A)NSA Nb'!AY19-1</f>
        <v>-8.2907780114148344E-2</v>
      </c>
      <c r="BD19" s="105">
        <f>'A)NSA Nb'!BD19/'A)NSA Nb'!AZ19-1</f>
        <v>-9.897723523589752E-4</v>
      </c>
      <c r="BE19" s="105">
        <f>'A)NSA Nb'!BE19/'A)NSA Nb'!BA19-1</f>
        <v>-1.1577902745616986E-2</v>
      </c>
      <c r="BF19" s="105">
        <f>'A)NSA Nb'!BF19/'A)NSA Nb'!BB19-1</f>
        <v>-6.5811122079630913E-3</v>
      </c>
      <c r="BG19" s="105">
        <f>'A)NSA Nb'!BG19/'A)NSA Nb'!BC19-1</f>
        <v>1.6377333770061231E-3</v>
      </c>
      <c r="BH19" s="105">
        <f>'A)NSA Nb'!BH19/'A)NSA Nb'!BD19-1</f>
        <v>-1.1889035667106973E-2</v>
      </c>
      <c r="BI19" s="105">
        <f>'A)NSA Nb'!BI19/'A)NSA Nb'!BE19-1</f>
        <v>7.0281124497992842E-3</v>
      </c>
      <c r="BJ19" s="105">
        <f>'A)NSA Nb'!BJ19/'A)NSA Nb'!BF19-1</f>
        <v>-1.4905597880092714E-2</v>
      </c>
    </row>
    <row r="20" spans="1:62" x14ac:dyDescent="0.25">
      <c r="A20" s="304"/>
      <c r="B20" s="10"/>
      <c r="C20" s="40"/>
      <c r="D20" s="40"/>
      <c r="E20" s="40"/>
      <c r="F20" s="40"/>
      <c r="G20" s="40"/>
      <c r="H20" s="40"/>
      <c r="I20" s="40"/>
      <c r="J20" s="40"/>
      <c r="K20" s="146"/>
      <c r="L20" s="146"/>
      <c r="M20" s="40"/>
      <c r="N20" s="40"/>
      <c r="O20" s="40"/>
      <c r="P20" s="40"/>
      <c r="Q20" s="40"/>
      <c r="R20" s="40"/>
      <c r="S20" s="40"/>
      <c r="T20" s="40"/>
      <c r="U20" s="40"/>
      <c r="V20" s="40"/>
      <c r="W20" s="40"/>
      <c r="X20" s="40"/>
      <c r="Y20" s="40"/>
      <c r="Z20" s="40"/>
      <c r="AA20" s="40"/>
      <c r="AB20" s="40"/>
      <c r="AC20" s="40"/>
      <c r="AD20" s="40"/>
      <c r="AE20" s="40"/>
      <c r="AF20" s="40"/>
      <c r="AG20" s="40"/>
      <c r="AH20" s="40"/>
      <c r="AI20" s="40"/>
      <c r="AJ20" s="40"/>
      <c r="AM20" s="40"/>
      <c r="AN20" s="40"/>
      <c r="AO20" s="40"/>
    </row>
    <row r="21" spans="1:62" x14ac:dyDescent="0.25">
      <c r="A21" s="301" t="s">
        <v>14</v>
      </c>
      <c r="L21" s="14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M21" s="35"/>
      <c r="AN21" s="35"/>
      <c r="AO21" s="35"/>
    </row>
    <row r="22" spans="1:62" x14ac:dyDescent="0.25">
      <c r="A22" s="309" t="s">
        <v>11</v>
      </c>
      <c r="L22" s="14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M22" s="35"/>
      <c r="AN22" s="35"/>
      <c r="AO22" s="35"/>
    </row>
    <row r="23" spans="1:62" x14ac:dyDescent="0.25">
      <c r="A23" s="302"/>
      <c r="B23" s="2" t="str">
        <f t="shared" ref="B23:H23" si="24">B8</f>
        <v>4eme T 2009</v>
      </c>
      <c r="C23" s="38" t="str">
        <f t="shared" si="24"/>
        <v>1er T 2010</v>
      </c>
      <c r="D23" s="38" t="str">
        <f t="shared" si="24"/>
        <v>2eme T 2010</v>
      </c>
      <c r="E23" s="38" t="str">
        <f t="shared" si="24"/>
        <v>3eme T 2010</v>
      </c>
      <c r="F23" s="38" t="str">
        <f t="shared" si="24"/>
        <v>4eme T 2010</v>
      </c>
      <c r="G23" s="38" t="str">
        <f t="shared" si="24"/>
        <v>1er T 2011</v>
      </c>
      <c r="H23" s="38" t="str">
        <f t="shared" si="24"/>
        <v>2eme T 2011</v>
      </c>
      <c r="I23" s="38" t="str">
        <f t="shared" ref="I23:N23" si="25">I8</f>
        <v>3eme T 2011</v>
      </c>
      <c r="J23" s="38" t="str">
        <f t="shared" si="25"/>
        <v>4eme T 2011</v>
      </c>
      <c r="K23" s="38" t="str">
        <f t="shared" si="25"/>
        <v>1er T 2012</v>
      </c>
      <c r="L23" s="38" t="str">
        <f t="shared" si="25"/>
        <v>2eme T 2012</v>
      </c>
      <c r="M23" s="38" t="str">
        <f t="shared" si="25"/>
        <v>3eme T 2012</v>
      </c>
      <c r="N23" s="38" t="str">
        <f t="shared" si="25"/>
        <v>4eme T 2012</v>
      </c>
      <c r="O23" s="38" t="str">
        <f t="shared" ref="O23:T23" si="26">O8</f>
        <v>1er T 2013</v>
      </c>
      <c r="P23" s="38" t="str">
        <f t="shared" si="26"/>
        <v>2e T 2013</v>
      </c>
      <c r="Q23" s="38" t="str">
        <f t="shared" si="26"/>
        <v>3e T 2013</v>
      </c>
      <c r="R23" s="38" t="str">
        <f t="shared" si="26"/>
        <v>4e T 2013</v>
      </c>
      <c r="S23" s="38" t="str">
        <f t="shared" si="26"/>
        <v>1er T 2014</v>
      </c>
      <c r="T23" s="38" t="str">
        <f t="shared" si="26"/>
        <v>2e T 2014</v>
      </c>
      <c r="U23" s="38" t="str">
        <f t="shared" ref="U23:V23" si="27">U8</f>
        <v>3e T 2014</v>
      </c>
      <c r="V23" s="38" t="str">
        <f t="shared" si="27"/>
        <v>4e T 2014</v>
      </c>
      <c r="W23" s="38" t="str">
        <f t="shared" ref="W23:X23" si="28">W8</f>
        <v>1er T 2015</v>
      </c>
      <c r="X23" s="38" t="str">
        <f t="shared" si="28"/>
        <v>2e T 2015</v>
      </c>
      <c r="Y23" s="38" t="str">
        <f t="shared" ref="Y23:Z23" si="29">Y8</f>
        <v>3e T 2015</v>
      </c>
      <c r="Z23" s="38" t="str">
        <f t="shared" si="29"/>
        <v>4e T 2015</v>
      </c>
      <c r="AA23" s="38" t="str">
        <f t="shared" ref="AA23:AB23" si="30">AA8</f>
        <v>1er T 2016</v>
      </c>
      <c r="AB23" s="38" t="str">
        <f t="shared" si="30"/>
        <v>2e T 2016</v>
      </c>
      <c r="AC23" s="38" t="str">
        <f t="shared" ref="AC23:AD23" si="31">AC8</f>
        <v>3e T 2016</v>
      </c>
      <c r="AD23" s="38" t="str">
        <f t="shared" si="31"/>
        <v>4e T 2016</v>
      </c>
      <c r="AE23" s="38" t="str">
        <f t="shared" ref="AE23:AF23" si="32">AE8</f>
        <v>1e T 2017</v>
      </c>
      <c r="AF23" s="38" t="str">
        <f t="shared" si="32"/>
        <v>2e T 2017</v>
      </c>
      <c r="AG23" s="38" t="str">
        <f t="shared" ref="AG23:AH23" si="33">AG8</f>
        <v>3e T 2017</v>
      </c>
      <c r="AH23" s="38" t="str">
        <f t="shared" si="33"/>
        <v>4e T 2017</v>
      </c>
      <c r="AI23" s="38" t="str">
        <f t="shared" ref="AI23:AJ23" si="34">AI8</f>
        <v>1e T 2018</v>
      </c>
      <c r="AJ23" s="38" t="str">
        <f t="shared" si="34"/>
        <v>2e T 2018</v>
      </c>
      <c r="AK23" s="38" t="str">
        <f t="shared" ref="AK23:AM23" si="35">AK8</f>
        <v>3e T 2018</v>
      </c>
      <c r="AL23" s="38" t="str">
        <f t="shared" si="35"/>
        <v>4e T 2018</v>
      </c>
      <c r="AM23" s="38" t="str">
        <f t="shared" si="35"/>
        <v>1e T 2019</v>
      </c>
      <c r="AN23" s="38" t="str">
        <f t="shared" ref="AN23:AP23" si="36">AN8</f>
        <v>2e T 2019</v>
      </c>
      <c r="AO23" s="38" t="str">
        <f t="shared" si="36"/>
        <v>3e T 2019</v>
      </c>
      <c r="AP23" s="38" t="str">
        <f t="shared" si="36"/>
        <v>4e T 2019</v>
      </c>
      <c r="AQ23" s="38" t="str">
        <f t="shared" ref="AQ23" si="37">AQ8</f>
        <v>1e T 2020</v>
      </c>
      <c r="AR23" s="38" t="str">
        <f t="shared" ref="AR23" si="38">AR8</f>
        <v>2e T 2020</v>
      </c>
      <c r="AS23" s="38" t="str">
        <f t="shared" ref="AS23:AT23" si="39">AS8</f>
        <v>3e T 2020</v>
      </c>
      <c r="AT23" s="38" t="str">
        <f t="shared" si="39"/>
        <v>4e T 2020</v>
      </c>
      <c r="AU23" s="38" t="str">
        <f t="shared" ref="AU23:AV23" si="40">AU8</f>
        <v>1er T 2021</v>
      </c>
      <c r="AV23" s="38" t="str">
        <f t="shared" si="40"/>
        <v>2e T 2021</v>
      </c>
      <c r="AW23" s="38" t="str">
        <f t="shared" ref="AW23:AX23" si="41">AW8</f>
        <v>3e T 2021</v>
      </c>
      <c r="AX23" s="38" t="str">
        <f t="shared" si="41"/>
        <v>4e T 2021</v>
      </c>
      <c r="AY23" s="38" t="str">
        <f t="shared" ref="AY23:AZ23" si="42">AY8</f>
        <v>1er T 2022</v>
      </c>
      <c r="AZ23" s="38" t="str">
        <f t="shared" si="42"/>
        <v>2e T 2022</v>
      </c>
      <c r="BA23" s="38" t="str">
        <f t="shared" ref="BA23:BB23" si="43">BA8</f>
        <v>3e T 2022</v>
      </c>
      <c r="BB23" s="38" t="str">
        <f t="shared" si="43"/>
        <v>4e T 2022</v>
      </c>
      <c r="BC23" s="38" t="str">
        <f t="shared" ref="BC23:BD23" si="44">BC8</f>
        <v>1er T 2023</v>
      </c>
      <c r="BD23" s="38" t="str">
        <f t="shared" si="44"/>
        <v>2e T 2023</v>
      </c>
      <c r="BE23" s="38" t="str">
        <f t="shared" ref="BE23:BF23" si="45">BE8</f>
        <v>3e T 2023</v>
      </c>
      <c r="BF23" s="38" t="str">
        <f t="shared" si="45"/>
        <v>4e T 2023</v>
      </c>
      <c r="BG23" s="38" t="str">
        <f t="shared" ref="BG23:BH23" si="46">BG8</f>
        <v>1er T 2024</v>
      </c>
      <c r="BH23" s="38" t="str">
        <f t="shared" si="46"/>
        <v>2e T 2024</v>
      </c>
      <c r="BI23" s="38" t="str">
        <f t="shared" ref="BI23:BJ23" si="47">BI8</f>
        <v>3e T 2024</v>
      </c>
      <c r="BJ23" s="38" t="str">
        <f t="shared" si="47"/>
        <v>4e T 2024</v>
      </c>
    </row>
    <row r="24" spans="1:62" x14ac:dyDescent="0.25">
      <c r="A24" s="303" t="s">
        <v>27</v>
      </c>
      <c r="B24" s="16"/>
      <c r="C24" s="42"/>
      <c r="D24" s="42"/>
      <c r="E24" s="42"/>
      <c r="F24" s="105">
        <f>'A)NSA Nb'!F24/'A)NSA Nb'!B24-1</f>
        <v>1.2419014909062609E-2</v>
      </c>
      <c r="G24" s="105">
        <f>'A)NSA Nb'!G24/'A)NSA Nb'!C24-1</f>
        <v>1.0879800770458026E-2</v>
      </c>
      <c r="H24" s="105">
        <f>'A)NSA Nb'!H24/'A)NSA Nb'!D24-1</f>
        <v>2.3812645069749339E-2</v>
      </c>
      <c r="I24" s="105">
        <f>'A)NSA Nb'!I24/'A)NSA Nb'!E24-1</f>
        <v>2.395519106290056E-2</v>
      </c>
      <c r="J24" s="105">
        <f>'A)NSA Nb'!J24/'A)NSA Nb'!F24-1</f>
        <v>2.4201818027617339E-2</v>
      </c>
      <c r="K24" s="105">
        <f>'A)NSA Nb'!K24/'A)NSA Nb'!G24-1</f>
        <v>2.1517710731140172E-2</v>
      </c>
      <c r="L24" s="105">
        <f>'A)NSA Nb'!L24/'A)NSA Nb'!H24-1</f>
        <v>2.2302228716473138E-2</v>
      </c>
      <c r="M24" s="105">
        <f>'A)NSA Nb'!M24/'A)NSA Nb'!I24-1</f>
        <v>2.232485948071905E-2</v>
      </c>
      <c r="N24" s="105">
        <f>'A)NSA Nb'!N24/'A)NSA Nb'!J24-1</f>
        <v>2.210177657332113E-2</v>
      </c>
      <c r="O24" s="105">
        <f>'A)NSA Nb'!O24/'A)NSA Nb'!K24-1</f>
        <v>2.3385686723742971E-2</v>
      </c>
      <c r="P24" s="105">
        <f>'A)NSA Nb'!P24/'A)NSA Nb'!L24-1</f>
        <v>1.3291288459271522E-2</v>
      </c>
      <c r="Q24" s="105">
        <f>'A)NSA Nb'!Q24/'A)NSA Nb'!M24-1</f>
        <v>1.3184950436673226E-2</v>
      </c>
      <c r="R24" s="105">
        <f>'A)NSA Nb'!R24/'A)NSA Nb'!N24-1</f>
        <v>1.0620433655432526E-2</v>
      </c>
      <c r="S24" s="105">
        <f>'A)NSA Nb'!S24/'A)NSA Nb'!O24-1</f>
        <v>1.4345575185395143E-2</v>
      </c>
      <c r="T24" s="105">
        <f>'A)NSA Nb'!T24/'A)NSA Nb'!P24-1</f>
        <v>1.4033097751795509E-3</v>
      </c>
      <c r="U24" s="105">
        <f>'A)NSA Nb'!U24/'A)NSA Nb'!Q24-1</f>
        <v>1.7676069656809013E-3</v>
      </c>
      <c r="V24" s="105">
        <f>'A)NSA Nb'!V24/'A)NSA Nb'!R24-1</f>
        <v>4.5110699762420658E-3</v>
      </c>
      <c r="W24" s="105">
        <f>'A)NSA Nb'!W24/'A)NSA Nb'!S24-1</f>
        <v>1.1107965064360847E-3</v>
      </c>
      <c r="X24" s="105">
        <f>'A)NSA Nb'!X24/'A)NSA Nb'!T24-1</f>
        <v>1.444908331820649E-3</v>
      </c>
      <c r="Y24" s="105">
        <f>'A)NSA Nb'!Y24/'A)NSA Nb'!U24-1</f>
        <v>1.7717493119948635E-3</v>
      </c>
      <c r="Z24" s="105">
        <f>'A)NSA Nb'!Z24/'A)NSA Nb'!V24-1</f>
        <v>3.4968840006674995E-3</v>
      </c>
      <c r="AA24" s="105">
        <f>'A)NSA Nb'!AA24/'A)NSA Nb'!W24-1</f>
        <v>4.4310039741246587E-3</v>
      </c>
      <c r="AB24" s="105">
        <f>'A)NSA Nb'!AB24/'A)NSA Nb'!X24-1</f>
        <v>4.4009744496968928E-3</v>
      </c>
      <c r="AC24" s="105">
        <f>'A)NSA Nb'!AC24/'A)NSA Nb'!Y24-1</f>
        <v>4.1388508346562602E-3</v>
      </c>
      <c r="AD24" s="105">
        <f>'A)NSA Nb'!AD24/'A)NSA Nb'!Z24-1</f>
        <v>3.05091852890782E-3</v>
      </c>
      <c r="AE24" s="105">
        <f>'A)NSA Nb'!AE24/'A)NSA Nb'!AA24-1</f>
        <v>3.2201468560248969E-3</v>
      </c>
      <c r="AF24" s="105">
        <f>'A)NSA Nb'!AF24/'A)NSA Nb'!AB24-1</f>
        <v>2.4543243028636308E-3</v>
      </c>
      <c r="AG24" s="105">
        <f>'A)NSA Nb'!AG24/'A)NSA Nb'!AC24-1</f>
        <v>3.0678832327548644E-3</v>
      </c>
      <c r="AH24" s="105">
        <f>'A)NSA Nb'!AH24/'A)NSA Nb'!AD24-1</f>
        <v>1.0184444396393211E-2</v>
      </c>
      <c r="AI24" s="105">
        <f>'A)NSA Nb'!AI24/'A)NSA Nb'!AE24-1</f>
        <v>1.0025261067010183E-2</v>
      </c>
      <c r="AJ24" s="105">
        <f>'A)NSA Nb'!AJ24/'A)NSA Nb'!AF24-1</f>
        <v>1.19967451807792E-2</v>
      </c>
      <c r="AK24" s="105">
        <f>'A)NSA Nb'!AK24/'A)NSA Nb'!AG24-1</f>
        <v>1.1168922760278255E-2</v>
      </c>
      <c r="AL24" s="105">
        <f>'A)NSA Nb'!AL24/'A)NSA Nb'!AH24-1</f>
        <v>3.4248041440130272E-3</v>
      </c>
      <c r="AM24" s="105">
        <f>'A)NSA Nb'!AM24/'A)NSA Nb'!AI24-1</f>
        <v>7.2465833463966067E-3</v>
      </c>
      <c r="AN24" s="105">
        <f>'A)NSA Nb'!AN24/'A)NSA Nb'!AJ24-1</f>
        <v>6.6032432740132929E-3</v>
      </c>
      <c r="AO24" s="105">
        <f>'A)NSA Nb'!AO24/'A)NSA Nb'!AK24-1</f>
        <v>6.8038346298102681E-3</v>
      </c>
      <c r="AP24" s="105">
        <f>'A)NSA Nb'!AP24/'A)NSA Nb'!AL24-1</f>
        <v>7.5799593270475807E-3</v>
      </c>
      <c r="AQ24" s="105">
        <f>'A)NSA Nb'!AQ24/'A)NSA Nb'!AM24-1</f>
        <v>1.4813347576029923E-2</v>
      </c>
      <c r="AR24" s="105">
        <f>'A)NSA Nb'!AR24/'A)NSA Nb'!AN24-1</f>
        <v>1.3501572827200992E-2</v>
      </c>
      <c r="AS24" s="105">
        <f>'A)NSA Nb'!AS24/'A)NSA Nb'!AO24-1</f>
        <v>1.3897430459830939E-2</v>
      </c>
      <c r="AT24" s="105">
        <f>'A)NSA Nb'!AT24/'A)NSA Nb'!AP24-1</f>
        <v>1.3944954128440434E-2</v>
      </c>
      <c r="AU24" s="105">
        <f>'A)NSA Nb'!AU24/'A)NSA Nb'!AQ24-1</f>
        <v>6.3086864687389443E-3</v>
      </c>
      <c r="AV24" s="105">
        <f>'A)NSA Nb'!AV24/'A)NSA Nb'!AR24-1</f>
        <v>7.1421098517872039E-3</v>
      </c>
      <c r="AW24" s="105">
        <f>'A)NSA Nb'!AW24/'A)NSA Nb'!AS24-1</f>
        <v>7.6273608912997837E-3</v>
      </c>
      <c r="AX24" s="105">
        <f>'A)NSA Nb'!AX24/'A)NSA Nb'!AT24-1</f>
        <v>8.797210114500631E-3</v>
      </c>
      <c r="AY24" s="105">
        <f>'A)NSA Nb'!AY24/'A)NSA Nb'!AU24-1</f>
        <v>2.3723421632822594E-2</v>
      </c>
      <c r="AZ24" s="105">
        <f>'A)NSA Nb'!AZ24/'A)NSA Nb'!AV24-1</f>
        <v>2.3561527545897132E-2</v>
      </c>
      <c r="BA24" s="105">
        <f>'A)NSA Nb'!BA24/'A)NSA Nb'!AW24-1</f>
        <v>6.3110536149725061E-2</v>
      </c>
      <c r="BB24" s="105">
        <f>'A)NSA Nb'!BB24/'A)NSA Nb'!AX24-1</f>
        <v>6.0665408940657972E-2</v>
      </c>
      <c r="BC24" s="105">
        <f>'A)NSA Nb'!BC24/'A)NSA Nb'!AY24-1</f>
        <v>5.3332758009799752E-2</v>
      </c>
      <c r="BD24" s="105">
        <f>'A)NSA Nb'!BD24/'A)NSA Nb'!AZ24-1</f>
        <v>5.5223852158716724E-2</v>
      </c>
      <c r="BE24" s="105">
        <f>'A)NSA Nb'!BE24/'A)NSA Nb'!BA24-1</f>
        <v>1.6324390457408411E-2</v>
      </c>
      <c r="BF24" s="105">
        <f>'A)NSA Nb'!BF24/'A)NSA Nb'!BB24-1</f>
        <v>1.8644773362845646E-2</v>
      </c>
      <c r="BG24" s="105">
        <f>'A)NSA Nb'!BG24/'A)NSA Nb'!BC24-1</f>
        <v>6.0069027055195789E-2</v>
      </c>
      <c r="BH24" s="105">
        <f>'A)NSA Nb'!BH24/'A)NSA Nb'!BD24-1</f>
        <v>5.9435621629500446E-2</v>
      </c>
      <c r="BI24" s="105">
        <f>'A)NSA Nb'!BI24/'A)NSA Nb'!BE24-1</f>
        <v>5.8712939412078891E-2</v>
      </c>
      <c r="BJ24" s="105">
        <f>'A)NSA Nb'!BJ24/'A)NSA Nb'!BF24-1</f>
        <v>5.7992921332616687E-2</v>
      </c>
    </row>
    <row r="25" spans="1:62" x14ac:dyDescent="0.25">
      <c r="A25" s="303" t="s">
        <v>28</v>
      </c>
      <c r="B25" s="16"/>
      <c r="C25" s="42"/>
      <c r="D25" s="42"/>
      <c r="E25" s="42"/>
      <c r="F25" s="105">
        <f>'A)NSA Nb'!F25/'A)NSA Nb'!B25-1</f>
        <v>7.6351076446299349E-3</v>
      </c>
      <c r="G25" s="105">
        <f>'A)NSA Nb'!G25/'A)NSA Nb'!C25-1</f>
        <v>1.16786425417712E-2</v>
      </c>
      <c r="H25" s="105">
        <f>'A)NSA Nb'!H25/'A)NSA Nb'!D25-1</f>
        <v>2.6707632100651191E-2</v>
      </c>
      <c r="I25" s="105">
        <f>'A)NSA Nb'!I25/'A)NSA Nb'!E25-1</f>
        <v>2.6206458479973938E-2</v>
      </c>
      <c r="J25" s="105">
        <f>'A)NSA Nb'!J25/'A)NSA Nb'!F25-1</f>
        <v>2.6503208735320083E-2</v>
      </c>
      <c r="K25" s="105">
        <f>'A)NSA Nb'!K25/'A)NSA Nb'!G25-1</f>
        <v>2.0263736639882346E-2</v>
      </c>
      <c r="L25" s="105">
        <f>'A)NSA Nb'!L25/'A)NSA Nb'!H25-1</f>
        <v>1.8565111633077835E-2</v>
      </c>
      <c r="M25" s="105">
        <f>'A)NSA Nb'!M25/'A)NSA Nb'!I25-1</f>
        <v>1.7875216434827035E-2</v>
      </c>
      <c r="N25" s="105">
        <f>'A)NSA Nb'!N25/'A)NSA Nb'!J25-1</f>
        <v>1.7960263127061005E-2</v>
      </c>
      <c r="O25" s="105">
        <f>'A)NSA Nb'!O25/'A)NSA Nb'!K25-1</f>
        <v>1.8645105554949915E-2</v>
      </c>
      <c r="P25" s="105">
        <f>'A)NSA Nb'!P25/'A)NSA Nb'!L25-1</f>
        <v>8.2968142202966E-3</v>
      </c>
      <c r="Q25" s="105">
        <f>'A)NSA Nb'!Q25/'A)NSA Nb'!M25-1</f>
        <v>8.0205114719611448E-3</v>
      </c>
      <c r="R25" s="105">
        <f>'A)NSA Nb'!R25/'A)NSA Nb'!N25-1</f>
        <v>6.404564588266215E-3</v>
      </c>
      <c r="S25" s="105">
        <f>'A)NSA Nb'!S25/'A)NSA Nb'!O25-1</f>
        <v>8.876080691642585E-3</v>
      </c>
      <c r="T25" s="105">
        <f>'A)NSA Nb'!T25/'A)NSA Nb'!P25-1</f>
        <v>-4.5090139584097466E-3</v>
      </c>
      <c r="U25" s="105">
        <f>'A)NSA Nb'!U25/'A)NSA Nb'!Q25-1</f>
        <v>-3.7663862257876213E-3</v>
      </c>
      <c r="V25" s="105">
        <f>'A)NSA Nb'!V25/'A)NSA Nb'!R25-1</f>
        <v>-2.0504693205676272E-3</v>
      </c>
      <c r="W25" s="105">
        <f>'A)NSA Nb'!W25/'A)NSA Nb'!S25-1</f>
        <v>-4.4561243144424223E-3</v>
      </c>
      <c r="X25" s="105">
        <f>'A)NSA Nb'!X25/'A)NSA Nb'!T25-1</f>
        <v>-3.6382663865063281E-3</v>
      </c>
      <c r="Y25" s="105">
        <f>'A)NSA Nb'!Y25/'A)NSA Nb'!U25-1</f>
        <v>-3.1996203008134438E-3</v>
      </c>
      <c r="Z25" s="105">
        <f>'A)NSA Nb'!Z25/'A)NSA Nb'!V25-1</f>
        <v>-2.521283562540888E-3</v>
      </c>
      <c r="AA25" s="105">
        <f>'A)NSA Nb'!AA25/'A)NSA Nb'!W25-1</f>
        <v>-2.0822744339328292E-3</v>
      </c>
      <c r="AB25" s="105">
        <f>'A)NSA Nb'!AB25/'A)NSA Nb'!X25-1</f>
        <v>-2.4206915792756023E-3</v>
      </c>
      <c r="AC25" s="105">
        <f>'A)NSA Nb'!AC25/'A)NSA Nb'!Y25-1</f>
        <v>-3.0867491441659567E-3</v>
      </c>
      <c r="AD25" s="105">
        <f>'A)NSA Nb'!AD25/'A)NSA Nb'!Z25-1</f>
        <v>-3.9309982601845039E-3</v>
      </c>
      <c r="AE25" s="105">
        <f>'A)NSA Nb'!AE25/'A)NSA Nb'!AA25-1</f>
        <v>-4.2471740273396508E-3</v>
      </c>
      <c r="AF25" s="105">
        <f>'A)NSA Nb'!AF25/'A)NSA Nb'!AB25-1</f>
        <v>-4.8860336757944323E-3</v>
      </c>
      <c r="AG25" s="105">
        <f>'A)NSA Nb'!AG25/'A)NSA Nb'!AC25-1</f>
        <v>-4.3727096800757481E-3</v>
      </c>
      <c r="AH25" s="105">
        <f>'A)NSA Nb'!AH25/'A)NSA Nb'!AD25-1</f>
        <v>2.5129147339193469E-3</v>
      </c>
      <c r="AI25" s="105">
        <f>'A)NSA Nb'!AI25/'A)NSA Nb'!AE25-1</f>
        <v>2.2935212150714257E-3</v>
      </c>
      <c r="AJ25" s="105">
        <f>'A)NSA Nb'!AJ25/'A)NSA Nb'!AF25-1</f>
        <v>3.7362473858666423E-3</v>
      </c>
      <c r="AK25" s="105">
        <f>'A)NSA Nb'!AK25/'A)NSA Nb'!AG25-1</f>
        <v>3.0768212796929983E-3</v>
      </c>
      <c r="AL25" s="105">
        <f>'A)NSA Nb'!AL25/'A)NSA Nb'!AH25-1</f>
        <v>-4.4215059419121516E-3</v>
      </c>
      <c r="AM25" s="105">
        <f>'A)NSA Nb'!AM25/'A)NSA Nb'!AI25-1</f>
        <v>-1.5639275983836409E-4</v>
      </c>
      <c r="AN25" s="105">
        <f>'A)NSA Nb'!AN25/'A)NSA Nb'!AJ25-1</f>
        <v>-1.2599955529568607E-3</v>
      </c>
      <c r="AO25" s="105">
        <f>'A)NSA Nb'!AO25/'A)NSA Nb'!AK25-1</f>
        <v>-4.7824796332329722E-4</v>
      </c>
      <c r="AP25" s="105">
        <f>'A)NSA Nb'!AP25/'A)NSA Nb'!AL25-1</f>
        <v>-2.0224533597490435E-3</v>
      </c>
      <c r="AQ25" s="105">
        <f>'A)NSA Nb'!AQ25/'A)NSA Nb'!AM25-1</f>
        <v>5.4828352679672232E-3</v>
      </c>
      <c r="AR25" s="105">
        <f>'A)NSA Nb'!AR25/'A)NSA Nb'!AN25-1</f>
        <v>4.3289686335301614E-3</v>
      </c>
      <c r="AS25" s="105">
        <f>'A)NSA Nb'!AS25/'A)NSA Nb'!AO25-1</f>
        <v>3.11834876008521E-3</v>
      </c>
      <c r="AT25" s="105">
        <f>'A)NSA Nb'!AT25/'A)NSA Nb'!AP25-1</f>
        <v>4.4584143264816412E-3</v>
      </c>
      <c r="AU25" s="105">
        <f>'A)NSA Nb'!AU25/'A)NSA Nb'!AQ25-1</f>
        <v>-3.7581057182156652E-3</v>
      </c>
      <c r="AV25" s="105">
        <f>'A)NSA Nb'!AV25/'A)NSA Nb'!AR25-1</f>
        <v>-3.2019441548100103E-3</v>
      </c>
      <c r="AW25" s="105">
        <f>'A)NSA Nb'!AW25/'A)NSA Nb'!AS25-1</f>
        <v>-3.0428632520806964E-3</v>
      </c>
      <c r="AX25" s="105">
        <f>'A)NSA Nb'!AX25/'A)NSA Nb'!AT25-1</f>
        <v>-2.2436267782828256E-3</v>
      </c>
      <c r="AY25" s="105">
        <f>'A)NSA Nb'!AY25/'A)NSA Nb'!AU25-1</f>
        <v>3.5831872151680155E-2</v>
      </c>
      <c r="AZ25" s="105">
        <f>'A)NSA Nb'!AZ25/'A)NSA Nb'!AV25-1</f>
        <v>3.4902338577270653E-2</v>
      </c>
      <c r="BA25" s="105">
        <f>'A)NSA Nb'!BA25/'A)NSA Nb'!AW25-1</f>
        <v>7.4976330214945763E-2</v>
      </c>
      <c r="BB25" s="105">
        <f>'A)NSA Nb'!BB25/'A)NSA Nb'!AX25-1</f>
        <v>7.0978456192796413E-2</v>
      </c>
      <c r="BC25" s="105">
        <f>'A)NSA Nb'!BC25/'A)NSA Nb'!AY25-1</f>
        <v>3.7514551188742917E-2</v>
      </c>
      <c r="BD25" s="105">
        <f>'A)NSA Nb'!BD25/'A)NSA Nb'!AZ25-1</f>
        <v>3.8821930537016325E-2</v>
      </c>
      <c r="BE25" s="105">
        <f>'A)NSA Nb'!BE25/'A)NSA Nb'!BA25-1</f>
        <v>-7.5104375579859717E-4</v>
      </c>
      <c r="BF25" s="105">
        <f>'A)NSA Nb'!BF25/'A)NSA Nb'!BB25-1</f>
        <v>2.358863541142453E-3</v>
      </c>
      <c r="BG25" s="105">
        <f>'A)NSA Nb'!BG25/'A)NSA Nb'!BC25-1</f>
        <v>4.2617866484016442E-2</v>
      </c>
      <c r="BH25" s="105">
        <f>'A)NSA Nb'!BH25/'A)NSA Nb'!BD25-1</f>
        <v>4.2050718501490669E-2</v>
      </c>
      <c r="BI25" s="105">
        <f>'A)NSA Nb'!BI25/'A)NSA Nb'!BE25-1</f>
        <v>4.1888512197347572E-2</v>
      </c>
      <c r="BJ25" s="105">
        <f>'A)NSA Nb'!BJ25/'A)NSA Nb'!BF25-1</f>
        <v>4.120173598685728E-2</v>
      </c>
    </row>
    <row r="26" spans="1:62" x14ac:dyDescent="0.25">
      <c r="A26" s="303" t="s">
        <v>13</v>
      </c>
      <c r="B26" s="16"/>
      <c r="C26" s="42"/>
      <c r="D26" s="42"/>
      <c r="E26" s="42"/>
      <c r="F26" s="50">
        <f>'A)NSA Nb'!F26/'A)NSA Nb'!B26-1</f>
        <v>9.6899545266639908E-3</v>
      </c>
      <c r="G26" s="50">
        <f>'A)NSA Nb'!G26/'A)NSA Nb'!C26-1</f>
        <v>1.1179919081826695E-2</v>
      </c>
      <c r="H26" s="50">
        <f>'A)NSA Nb'!H26/'A)NSA Nb'!D26-1</f>
        <v>2.524756526720684E-2</v>
      </c>
      <c r="I26" s="50">
        <f>'A)NSA Nb'!I26/'A)NSA Nb'!E26-1</f>
        <v>2.5036023054755052E-2</v>
      </c>
      <c r="J26" s="50">
        <f>'A)NSA Nb'!J26/'A)NSA Nb'!F26-1</f>
        <v>2.5294377753394048E-2</v>
      </c>
      <c r="K26" s="50">
        <f>'A)NSA Nb'!K26/'A)NSA Nb'!G26-1</f>
        <v>2.0659132479749154E-2</v>
      </c>
      <c r="L26" s="50">
        <f>'A)NSA Nb'!L26/'A)NSA Nb'!H26-1</f>
        <v>2.00917980443025E-2</v>
      </c>
      <c r="M26" s="50">
        <f>'A)NSA Nb'!M26/'A)NSA Nb'!I26-1</f>
        <v>1.972811935911567E-2</v>
      </c>
      <c r="N26" s="50">
        <f>'A)NSA Nb'!N26/'A)NSA Nb'!J26-1</f>
        <v>1.9670795696863808E-2</v>
      </c>
      <c r="O26" s="50">
        <f>'A)NSA Nb'!O26/'A)NSA Nb'!K26-1</f>
        <v>2.0656991535593638E-2</v>
      </c>
      <c r="P26" s="50">
        <f>'A)NSA Nb'!P26/'A)NSA Nb'!L26-1</f>
        <v>1.0446663327907668E-2</v>
      </c>
      <c r="Q26" s="50">
        <f>'A)NSA Nb'!Q26/'A)NSA Nb'!M26-1</f>
        <v>1.0284165674540935E-2</v>
      </c>
      <c r="R26" s="50">
        <f>'A)NSA Nb'!R26/'A)NSA Nb'!N26-1</f>
        <v>8.2632329213465638E-3</v>
      </c>
      <c r="S26" s="50">
        <f>'A)NSA Nb'!S26/'A)NSA Nb'!O26-1</f>
        <v>1.1287389477644849E-2</v>
      </c>
      <c r="T26" s="50">
        <f>'A)NSA Nb'!T26/'A)NSA Nb'!P26-1</f>
        <v>-1.8663796107708519E-3</v>
      </c>
      <c r="U26" s="50">
        <f>'A)NSA Nb'!U26/'A)NSA Nb'!Q26-1</f>
        <v>-1.2792185137805445E-3</v>
      </c>
      <c r="V26" s="50">
        <f>'A)NSA Nb'!V26/'A)NSA Nb'!R26-1</f>
        <v>9.166543669258953E-4</v>
      </c>
      <c r="W26" s="50">
        <f>'A)NSA Nb'!W26/'A)NSA Nb'!S26-1</f>
        <v>-1.8834873194022439E-3</v>
      </c>
      <c r="X26" s="50">
        <f>'A)NSA Nb'!X26/'A)NSA Nb'!T26-1</f>
        <v>-1.2957186971430668E-3</v>
      </c>
      <c r="Y26" s="50">
        <f>'A)NSA Nb'!Y26/'A)NSA Nb'!U26-1</f>
        <v>-9.2376960099371797E-4</v>
      </c>
      <c r="Z26" s="50">
        <f>'A)NSA Nb'!Z26/'A)NSA Nb'!V26-1</f>
        <v>2.7164000714008374E-4</v>
      </c>
      <c r="AA26" s="50">
        <f>'A)NSA Nb'!AA26/'A)NSA Nb'!W26-1</f>
        <v>9.6293477670017502E-4</v>
      </c>
      <c r="AB26" s="50">
        <f>'A)NSA Nb'!AB26/'A)NSA Nb'!X26-1</f>
        <v>8.0796152860096448E-4</v>
      </c>
      <c r="AC26" s="50">
        <f>'A)NSA Nb'!AC26/'A)NSA Nb'!Y26-1</f>
        <v>3.6518752768044394E-4</v>
      </c>
      <c r="AD26" s="50">
        <f>'A)NSA Nb'!AD26/'A)NSA Nb'!Z26-1</f>
        <v>-5.6640958396048102E-4</v>
      </c>
      <c r="AE26" s="50">
        <f>'A)NSA Nb'!AE26/'A)NSA Nb'!AA26-1</f>
        <v>-6.1289246452589374E-4</v>
      </c>
      <c r="AF26" s="50">
        <f>'A)NSA Nb'!AF26/'A)NSA Nb'!AB26-1</f>
        <v>-1.2808271814815919E-3</v>
      </c>
      <c r="AG26" s="50">
        <f>'A)NSA Nb'!AG26/'A)NSA Nb'!AC26-1</f>
        <v>-6.5243731941455607E-4</v>
      </c>
      <c r="AH26" s="50">
        <f>'A)NSA Nb'!AH26/'A)NSA Nb'!AD26-1</f>
        <v>6.4125953931790658E-3</v>
      </c>
      <c r="AI26" s="50">
        <f>'A)NSA Nb'!AI26/'A)NSA Nb'!AE26-1</f>
        <v>6.2724153456814591E-3</v>
      </c>
      <c r="AJ26" s="50">
        <f>'A)NSA Nb'!AJ26/'A)NSA Nb'!AF26-1</f>
        <v>7.9901755040494571E-3</v>
      </c>
      <c r="AK26" s="50">
        <f>'A)NSA Nb'!AK26/'A)NSA Nb'!AG26-1</f>
        <v>7.2281290803954956E-3</v>
      </c>
      <c r="AL26" s="50">
        <f>'A)NSA Nb'!AL26/'A)NSA Nb'!AH26-1</f>
        <v>-3.7027037451309308E-4</v>
      </c>
      <c r="AM26" s="50">
        <f>'A)NSA Nb'!AM26/'A)NSA Nb'!AI26-1</f>
        <v>3.7029608257601598E-3</v>
      </c>
      <c r="AN26" s="50">
        <f>'A)NSA Nb'!AN26/'A)NSA Nb'!AJ26-1</f>
        <v>2.799068519346859E-3</v>
      </c>
      <c r="AO26" s="50">
        <f>'A)NSA Nb'!AO26/'A)NSA Nb'!AK26-1</f>
        <v>3.3180548482183436E-3</v>
      </c>
      <c r="AP26" s="50">
        <f>'A)NSA Nb'!AP26/'A)NSA Nb'!AL26-1</f>
        <v>2.9015256159956593E-3</v>
      </c>
      <c r="AQ26" s="50">
        <f>'A)NSA Nb'!AQ26/'A)NSA Nb'!AM26-1</f>
        <v>1.0330038583924006E-2</v>
      </c>
      <c r="AR26" s="50">
        <f>'A)NSA Nb'!AR26/'A)NSA Nb'!AN26-1</f>
        <v>9.1273289298647864E-3</v>
      </c>
      <c r="AS26" s="50">
        <f>'A)NSA Nb'!AS26/'A)NSA Nb'!AO26-1</f>
        <v>8.6830123669476844E-3</v>
      </c>
      <c r="AT26" s="50">
        <f>'A)NSA Nb'!AT26/'A)NSA Nb'!AP26-1</f>
        <v>9.4334541369467395E-3</v>
      </c>
      <c r="AU26" s="50">
        <f>'A)NSA Nb'!AU26/'A)NSA Nb'!AQ26-1</f>
        <v>1.4834537847090434E-3</v>
      </c>
      <c r="AV26" s="50">
        <f>'A)NSA Nb'!AV26/'A)NSA Nb'!AR26-1</f>
        <v>2.1716602151848896E-3</v>
      </c>
      <c r="AW26" s="50">
        <f>'A)NSA Nb'!AW26/'A)NSA Nb'!AS26-1</f>
        <v>2.4856465349629708E-3</v>
      </c>
      <c r="AX26" s="50">
        <f>'A)NSA Nb'!AX26/'A)NSA Nb'!AT26-1</f>
        <v>3.536270908216288E-3</v>
      </c>
      <c r="AY26" s="50">
        <f>'A)NSA Nb'!AY26/'A)NSA Nb'!AU26-1</f>
        <v>3.0519581435208387E-2</v>
      </c>
      <c r="AZ26" s="50">
        <f>'A)NSA Nb'!AZ26/'A)NSA Nb'!AV26-1</f>
        <v>3.0030327204484397E-2</v>
      </c>
      <c r="BA26" s="50">
        <f>'A)NSA Nb'!BA26/'A)NSA Nb'!AW26-1</f>
        <v>6.9925944928848072E-2</v>
      </c>
      <c r="BB26" s="50">
        <f>'A)NSA Nb'!BB26/'A)NSA Nb'!AX26-1</f>
        <v>6.670887105650003E-2</v>
      </c>
      <c r="BC26" s="50">
        <f>'A)NSA Nb'!BC26/'A)NSA Nb'!AY26-1</f>
        <v>4.5896099504589394E-2</v>
      </c>
      <c r="BD26" s="50">
        <f>'A)NSA Nb'!BD26/'A)NSA Nb'!AZ26-1</f>
        <v>4.7565259092848144E-2</v>
      </c>
      <c r="BE26" s="50">
        <f>'A)NSA Nb'!BE26/'A)NSA Nb'!BA26-1</f>
        <v>8.3708943572720074E-3</v>
      </c>
      <c r="BF26" s="50">
        <f>'A)NSA Nb'!BF26/'A)NSA Nb'!BB26-1</f>
        <v>1.1075445442861653E-2</v>
      </c>
      <c r="BG26" s="50">
        <f>'A)NSA Nb'!BG26/'A)NSA Nb'!BC26-1</f>
        <v>5.1978770036048338E-2</v>
      </c>
      <c r="BH26" s="50">
        <f>'A)NSA Nb'!BH26/'A)NSA Nb'!BD26-1</f>
        <v>5.1370792804459331E-2</v>
      </c>
      <c r="BI26" s="50">
        <f>'A)NSA Nb'!BI26/'A)NSA Nb'!BE26-1</f>
        <v>5.0949642257019034E-2</v>
      </c>
      <c r="BJ26" s="50">
        <f>'A)NSA Nb'!BJ26/'A)NSA Nb'!BF26-1</f>
        <v>5.0356347363304632E-2</v>
      </c>
    </row>
    <row r="27" spans="1:62" ht="13" thickBot="1" x14ac:dyDescent="0.3">
      <c r="A27" s="310"/>
      <c r="B27" s="15"/>
      <c r="C27" s="43"/>
      <c r="D27" s="43"/>
      <c r="E27" s="43"/>
      <c r="F27" s="43"/>
      <c r="G27" s="43"/>
      <c r="H27" s="43"/>
      <c r="I27" s="43"/>
      <c r="J27" s="43"/>
      <c r="K27" s="149"/>
      <c r="L27" s="149"/>
      <c r="M27" s="43"/>
      <c r="N27" s="43"/>
      <c r="O27" s="43"/>
      <c r="P27" s="43"/>
      <c r="Q27" s="43"/>
      <c r="R27" s="43"/>
      <c r="S27" s="43"/>
      <c r="T27" s="43"/>
      <c r="U27" s="43"/>
      <c r="V27" s="43"/>
      <c r="W27" s="43"/>
      <c r="X27" s="43"/>
      <c r="Y27" s="43"/>
      <c r="Z27" s="43"/>
      <c r="AA27" s="43"/>
      <c r="AB27" s="43"/>
      <c r="AC27" s="43"/>
      <c r="AD27" s="43"/>
      <c r="AE27" s="43"/>
      <c r="AF27" s="43"/>
      <c r="AG27" s="43"/>
      <c r="AH27" s="43"/>
      <c r="AI27" s="43"/>
      <c r="AJ27" s="43"/>
      <c r="AM27" s="43"/>
      <c r="AN27" s="43"/>
      <c r="AO27" s="43"/>
    </row>
    <row r="28" spans="1:62" x14ac:dyDescent="0.25">
      <c r="A28" s="311"/>
      <c r="B28" s="10"/>
      <c r="C28" s="44"/>
      <c r="D28" s="44"/>
      <c r="E28" s="44"/>
      <c r="F28" s="44"/>
      <c r="G28" s="44"/>
      <c r="H28" s="44"/>
      <c r="I28" s="44"/>
      <c r="J28" s="44"/>
      <c r="K28" s="148"/>
      <c r="L28" s="148"/>
      <c r="M28" s="44"/>
      <c r="N28" s="44"/>
      <c r="O28" s="44"/>
      <c r="P28" s="44"/>
      <c r="Q28" s="44"/>
      <c r="R28" s="44"/>
      <c r="S28" s="44"/>
      <c r="T28" s="44"/>
      <c r="U28" s="44"/>
      <c r="V28" s="44"/>
      <c r="W28" s="44"/>
      <c r="X28" s="44"/>
      <c r="Y28" s="44"/>
      <c r="Z28" s="44"/>
      <c r="AA28" s="44"/>
      <c r="AB28" s="44"/>
      <c r="AC28" s="44"/>
      <c r="AD28" s="44"/>
      <c r="AE28" s="44"/>
      <c r="AF28" s="44"/>
      <c r="AG28" s="44"/>
      <c r="AH28" s="44"/>
      <c r="AI28" s="44"/>
      <c r="AJ28" s="44"/>
      <c r="AM28" s="44"/>
      <c r="AN28" s="44"/>
      <c r="AO28" s="44"/>
    </row>
    <row r="29" spans="1:62" ht="13" x14ac:dyDescent="0.3">
      <c r="A29" s="300" t="s">
        <v>39</v>
      </c>
      <c r="L29" s="14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M29" s="35"/>
      <c r="AN29" s="35"/>
      <c r="AO29" s="35"/>
      <c r="BB29" s="389" t="s">
        <v>241</v>
      </c>
      <c r="BC29" s="389"/>
      <c r="BD29" s="389"/>
    </row>
    <row r="30" spans="1:62" x14ac:dyDescent="0.25">
      <c r="A30" s="302"/>
      <c r="B30" s="2" t="str">
        <f t="shared" ref="B30:H30" si="48">B8</f>
        <v>4eme T 2009</v>
      </c>
      <c r="C30" s="38" t="str">
        <f t="shared" si="48"/>
        <v>1er T 2010</v>
      </c>
      <c r="D30" s="38" t="str">
        <f t="shared" si="48"/>
        <v>2eme T 2010</v>
      </c>
      <c r="E30" s="38" t="str">
        <f t="shared" si="48"/>
        <v>3eme T 2010</v>
      </c>
      <c r="F30" s="38" t="str">
        <f t="shared" si="48"/>
        <v>4eme T 2010</v>
      </c>
      <c r="G30" s="38" t="str">
        <f t="shared" si="48"/>
        <v>1er T 2011</v>
      </c>
      <c r="H30" s="38" t="str">
        <f t="shared" si="48"/>
        <v>2eme T 2011</v>
      </c>
      <c r="I30" s="38" t="str">
        <f t="shared" ref="I30:N30" si="49">I8</f>
        <v>3eme T 2011</v>
      </c>
      <c r="J30" s="38" t="str">
        <f t="shared" si="49"/>
        <v>4eme T 2011</v>
      </c>
      <c r="K30" s="38" t="str">
        <f t="shared" si="49"/>
        <v>1er T 2012</v>
      </c>
      <c r="L30" s="38" t="str">
        <f t="shared" si="49"/>
        <v>2eme T 2012</v>
      </c>
      <c r="M30" s="38" t="str">
        <f t="shared" si="49"/>
        <v>3eme T 2012</v>
      </c>
      <c r="N30" s="38" t="str">
        <f t="shared" si="49"/>
        <v>4eme T 2012</v>
      </c>
      <c r="O30" s="38" t="str">
        <f t="shared" ref="O30:T30" si="50">O8</f>
        <v>1er T 2013</v>
      </c>
      <c r="P30" s="38" t="str">
        <f t="shared" si="50"/>
        <v>2e T 2013</v>
      </c>
      <c r="Q30" s="38" t="str">
        <f t="shared" si="50"/>
        <v>3e T 2013</v>
      </c>
      <c r="R30" s="38" t="str">
        <f t="shared" si="50"/>
        <v>4e T 2013</v>
      </c>
      <c r="S30" s="38" t="str">
        <f t="shared" si="50"/>
        <v>1er T 2014</v>
      </c>
      <c r="T30" s="38" t="str">
        <f t="shared" si="50"/>
        <v>2e T 2014</v>
      </c>
      <c r="U30" s="38" t="str">
        <f t="shared" ref="U30:V30" si="51">U8</f>
        <v>3e T 2014</v>
      </c>
      <c r="V30" s="38" t="str">
        <f t="shared" si="51"/>
        <v>4e T 2014</v>
      </c>
      <c r="W30" s="38" t="str">
        <f t="shared" ref="W30:X30" si="52">W8</f>
        <v>1er T 2015</v>
      </c>
      <c r="X30" s="38" t="str">
        <f t="shared" si="52"/>
        <v>2e T 2015</v>
      </c>
      <c r="Y30" s="38" t="str">
        <f t="shared" ref="Y30:Z30" si="53">Y8</f>
        <v>3e T 2015</v>
      </c>
      <c r="Z30" s="38" t="str">
        <f t="shared" si="53"/>
        <v>4e T 2015</v>
      </c>
      <c r="AA30" s="38" t="str">
        <f t="shared" ref="AA30:AB30" si="54">AA8</f>
        <v>1er T 2016</v>
      </c>
      <c r="AB30" s="38" t="str">
        <f t="shared" si="54"/>
        <v>2e T 2016</v>
      </c>
      <c r="AC30" s="38" t="str">
        <f t="shared" ref="AC30:AD30" si="55">AC8</f>
        <v>3e T 2016</v>
      </c>
      <c r="AD30" s="38" t="str">
        <f t="shared" si="55"/>
        <v>4e T 2016</v>
      </c>
      <c r="AE30" s="38" t="str">
        <f t="shared" ref="AE30:AF30" si="56">AE8</f>
        <v>1e T 2017</v>
      </c>
      <c r="AF30" s="38" t="str">
        <f t="shared" si="56"/>
        <v>2e T 2017</v>
      </c>
      <c r="AG30" s="38" t="str">
        <f t="shared" ref="AG30:AH30" si="57">AG8</f>
        <v>3e T 2017</v>
      </c>
      <c r="AH30" s="38" t="str">
        <f t="shared" si="57"/>
        <v>4e T 2017</v>
      </c>
      <c r="AI30" s="38" t="str">
        <f t="shared" ref="AI30:AJ30" si="58">AI8</f>
        <v>1e T 2018</v>
      </c>
      <c r="AJ30" s="38" t="str">
        <f t="shared" si="58"/>
        <v>2e T 2018</v>
      </c>
      <c r="AK30" s="38" t="str">
        <f t="shared" ref="AK30:AM30" si="59">AK8</f>
        <v>3e T 2018</v>
      </c>
      <c r="AL30" s="38" t="str">
        <f t="shared" si="59"/>
        <v>4e T 2018</v>
      </c>
      <c r="AM30" s="38" t="str">
        <f t="shared" si="59"/>
        <v>1e T 2019</v>
      </c>
      <c r="AN30" s="38" t="str">
        <f t="shared" ref="AN30:AP30" si="60">AN8</f>
        <v>2e T 2019</v>
      </c>
      <c r="AO30" s="38" t="str">
        <f t="shared" si="60"/>
        <v>3e T 2019</v>
      </c>
      <c r="AP30" s="38" t="str">
        <f t="shared" si="60"/>
        <v>4e T 2019</v>
      </c>
      <c r="AQ30" s="38" t="str">
        <f t="shared" ref="AQ30" si="61">AQ8</f>
        <v>1e T 2020</v>
      </c>
      <c r="AR30" s="38" t="str">
        <f t="shared" ref="AR30" si="62">AR8</f>
        <v>2e T 2020</v>
      </c>
      <c r="AS30" s="38" t="str">
        <f t="shared" ref="AS30:AT30" si="63">AS8</f>
        <v>3e T 2020</v>
      </c>
      <c r="AT30" s="38" t="str">
        <f t="shared" si="63"/>
        <v>4e T 2020</v>
      </c>
      <c r="AU30" s="38" t="str">
        <f t="shared" ref="AU30:AV30" si="64">AU8</f>
        <v>1er T 2021</v>
      </c>
      <c r="AV30" s="38" t="str">
        <f t="shared" si="64"/>
        <v>2e T 2021</v>
      </c>
      <c r="AW30" s="38" t="str">
        <f t="shared" ref="AW30:AX30" si="65">AW8</f>
        <v>3e T 2021</v>
      </c>
      <c r="AX30" s="38" t="str">
        <f t="shared" si="65"/>
        <v>4e T 2021</v>
      </c>
      <c r="AY30" s="38" t="str">
        <f t="shared" ref="AY30:AZ30" si="66">AY8</f>
        <v>1er T 2022</v>
      </c>
      <c r="AZ30" s="38" t="str">
        <f t="shared" si="66"/>
        <v>2e T 2022</v>
      </c>
      <c r="BA30" s="38" t="str">
        <f t="shared" ref="BA30:BB30" si="67">BA8</f>
        <v>3e T 2022</v>
      </c>
      <c r="BB30" s="38" t="str">
        <f t="shared" si="67"/>
        <v>4e T 2022</v>
      </c>
      <c r="BC30" s="38" t="str">
        <f t="shared" ref="BC30:BD30" si="68">BC8</f>
        <v>1er T 2023</v>
      </c>
      <c r="BD30" s="38" t="str">
        <f t="shared" si="68"/>
        <v>2e T 2023</v>
      </c>
      <c r="BE30" s="38" t="str">
        <f t="shared" ref="BE30:BF30" si="69">BE8</f>
        <v>3e T 2023</v>
      </c>
      <c r="BF30" s="38" t="str">
        <f t="shared" si="69"/>
        <v>4e T 2023</v>
      </c>
      <c r="BG30" s="38" t="str">
        <f t="shared" ref="BG30:BH30" si="70">BG8</f>
        <v>1er T 2024</v>
      </c>
      <c r="BH30" s="38" t="str">
        <f t="shared" si="70"/>
        <v>2e T 2024</v>
      </c>
      <c r="BI30" s="38" t="str">
        <f t="shared" ref="BI30:BJ30" si="71">BI8</f>
        <v>3e T 2024</v>
      </c>
      <c r="BJ30" s="38" t="str">
        <f t="shared" si="71"/>
        <v>4e T 2024</v>
      </c>
    </row>
    <row r="31" spans="1:62" x14ac:dyDescent="0.25">
      <c r="A31" s="307" t="s">
        <v>16</v>
      </c>
      <c r="B31" s="3"/>
      <c r="C31" s="39"/>
      <c r="D31" s="39"/>
      <c r="E31" s="39"/>
      <c r="F31" s="105">
        <f>'A)NSA Nb'!F31/'A)NSA Nb'!B31-1</f>
        <v>-2.7750993978966965E-2</v>
      </c>
      <c r="G31" s="105">
        <f>'A)NSA Nb'!G31/'A)NSA Nb'!C31-1</f>
        <v>-2.9274357263638029E-2</v>
      </c>
      <c r="H31" s="105">
        <f>'A)NSA Nb'!H31/'A)NSA Nb'!D31-1</f>
        <v>-2.979057399127516E-2</v>
      </c>
      <c r="I31" s="105">
        <f>'A)NSA Nb'!I31/'A)NSA Nb'!E31-1</f>
        <v>-3.0873053357469704E-2</v>
      </c>
      <c r="J31" s="105">
        <f>'A)NSA Nb'!J31/'A)NSA Nb'!F31-1</f>
        <v>-3.3256891893206908E-2</v>
      </c>
      <c r="K31" s="105">
        <f>'A)NSA Nb'!K31/'A)NSA Nb'!G31-1</f>
        <v>-3.382551847592119E-2</v>
      </c>
      <c r="L31" s="105">
        <f>'A)NSA Nb'!L31/'A)NSA Nb'!H31-1</f>
        <v>-3.5639141846437239E-2</v>
      </c>
      <c r="M31" s="105">
        <f>'A)NSA Nb'!M31/'A)NSA Nb'!I31-1</f>
        <v>-3.7581678962692822E-2</v>
      </c>
      <c r="N31" s="105">
        <f>'A)NSA Nb'!N31/'A)NSA Nb'!J31-1</f>
        <v>-3.7783850706607058E-2</v>
      </c>
      <c r="O31" s="105">
        <f>'A)NSA Nb'!O31/'A)NSA Nb'!K31-1</f>
        <v>-3.7630465968595206E-2</v>
      </c>
      <c r="P31" s="105">
        <f>'A)NSA Nb'!P31/'A)NSA Nb'!L31-1</f>
        <v>-3.6970752630486436E-2</v>
      </c>
      <c r="Q31" s="105">
        <f>'A)NSA Nb'!Q31/'A)NSA Nb'!M31-1</f>
        <v>-3.3625928076651879E-2</v>
      </c>
      <c r="R31" s="105">
        <f>'A)NSA Nb'!R31/'A)NSA Nb'!N31-1</f>
        <v>-3.3166220771646882E-2</v>
      </c>
      <c r="S31" s="105">
        <f>'A)NSA Nb'!S31/'A)NSA Nb'!O31-1</f>
        <v>-3.5036401513123039E-2</v>
      </c>
      <c r="T31" s="105">
        <f>'A)NSA Nb'!T31/'A)NSA Nb'!P31-1</f>
        <v>-3.3051751804939689E-2</v>
      </c>
      <c r="U31" s="105">
        <f>'A)NSA Nb'!U31/'A)NSA Nb'!Q31-1</f>
        <v>-3.3591488653952895E-2</v>
      </c>
      <c r="V31" s="105">
        <f>'A)NSA Nb'!V31/'A)NSA Nb'!R31-1</f>
        <v>-3.2140007303317564E-2</v>
      </c>
      <c r="W31" s="105">
        <f>'A)NSA Nb'!W31/'A)NSA Nb'!S31-1</f>
        <v>-3.0144897474597254E-2</v>
      </c>
      <c r="X31" s="105">
        <f>'A)NSA Nb'!X31/'A)NSA Nb'!T31-1</f>
        <v>-3.3734747441202972E-2</v>
      </c>
      <c r="Y31" s="105">
        <f>'A)NSA Nb'!Y31/'A)NSA Nb'!U31-1</f>
        <v>-3.5532633265880409E-2</v>
      </c>
      <c r="Z31" s="105">
        <f>'A)NSA Nb'!Z31/'A)NSA Nb'!V31-1</f>
        <v>-3.5885597598000474E-2</v>
      </c>
      <c r="AA31" s="105">
        <f>'A)NSA Nb'!AA31/'A)NSA Nb'!W31-1</f>
        <v>-3.5339606924964517E-2</v>
      </c>
      <c r="AB31" s="105">
        <f>'A)NSA Nb'!AB31/'A)NSA Nb'!X31-1</f>
        <v>-3.2900720599265187E-2</v>
      </c>
      <c r="AC31" s="105">
        <f>'A)NSA Nb'!AC31/'A)NSA Nb'!Y31-1</f>
        <v>-3.1214053615336912E-2</v>
      </c>
      <c r="AD31" s="105">
        <f>'A)NSA Nb'!AD31/'A)NSA Nb'!Z31-1</f>
        <v>-3.1938762298075796E-2</v>
      </c>
      <c r="AE31" s="105">
        <f>'A)NSA Nb'!AE31/'A)NSA Nb'!AA31-1</f>
        <v>-3.3325165162361836E-2</v>
      </c>
      <c r="AF31" s="105">
        <f>'A)NSA Nb'!AF31/'A)NSA Nb'!AB31-1</f>
        <v>-3.4531471497178612E-2</v>
      </c>
      <c r="AG31" s="105">
        <f>'A)NSA Nb'!AG31/'A)NSA Nb'!AC31-1</f>
        <v>-3.3684387734386978E-2</v>
      </c>
      <c r="AH31" s="105">
        <f>'A)NSA Nb'!AH31/'A)NSA Nb'!AD31-1</f>
        <v>-3.1723866712447979E-2</v>
      </c>
      <c r="AI31" s="105">
        <f>'A)NSA Nb'!AI31/'A)NSA Nb'!AE31-1</f>
        <v>-2.9280432466797013E-2</v>
      </c>
      <c r="AJ31" s="105">
        <f>'A)NSA Nb'!AJ31/'A)NSA Nb'!AF31-1</f>
        <v>-2.7827234633605147E-2</v>
      </c>
      <c r="AK31" s="105">
        <f>'A)NSA Nb'!AK31/'A)NSA Nb'!AG31-1</f>
        <v>-2.828345972535351E-2</v>
      </c>
      <c r="AL31" s="105">
        <f>'A)NSA Nb'!AL31/'A)NSA Nb'!AH31-1</f>
        <v>-2.8013124677217727E-2</v>
      </c>
      <c r="AM31" s="105">
        <f>'A)NSA Nb'!AM31/'A)NSA Nb'!AI31-1</f>
        <v>-2.9300427045304556E-2</v>
      </c>
      <c r="AN31" s="105">
        <f>'A)NSA Nb'!AN31/'A)NSA Nb'!AJ31-1</f>
        <v>-3.046143998393458E-2</v>
      </c>
      <c r="AO31" s="105">
        <f>'A)NSA Nb'!AO31/'A)NSA Nb'!AK31-1</f>
        <v>-2.9900833262145876E-2</v>
      </c>
      <c r="AP31" s="105">
        <f>'A)NSA Nb'!AP31/'A)NSA Nb'!AL31-1</f>
        <v>-2.9186366403437858E-2</v>
      </c>
      <c r="AQ31" s="105">
        <f>'A)NSA Nb'!AQ31/'A)NSA Nb'!AM31-1</f>
        <v>-2.7731636077922284E-2</v>
      </c>
      <c r="AR31" s="105">
        <f>'A)NSA Nb'!AR31/'A)NSA Nb'!AN31-1</f>
        <v>-2.7710713399570652E-2</v>
      </c>
      <c r="AS31" s="105">
        <f>'A)NSA Nb'!AS31/'A)NSA Nb'!AO31-1</f>
        <v>-2.9327639645202686E-2</v>
      </c>
      <c r="AT31" s="105">
        <f>'A)NSA Nb'!AT31/'A)NSA Nb'!AP31-1</f>
        <v>-3.074003753607768E-2</v>
      </c>
      <c r="AU31" s="105">
        <f>'A)NSA Nb'!AU31/'A)NSA Nb'!AQ31-1</f>
        <v>-3.459562492931656E-2</v>
      </c>
      <c r="AV31" s="105">
        <f>'A)NSA Nb'!AV31/'A)NSA Nb'!AR31-1</f>
        <v>-3.5843347760914135E-2</v>
      </c>
      <c r="AW31" s="105">
        <f>'A)NSA Nb'!AW31/'A)NSA Nb'!AS31-1</f>
        <v>-3.581028411687226E-2</v>
      </c>
      <c r="AX31" s="105">
        <f>'A)NSA Nb'!AX31/'A)NSA Nb'!AT31-1</f>
        <v>-3.4741171286011729E-2</v>
      </c>
      <c r="AY31" s="105">
        <f>'A)NSA Nb'!AY31/'A)NSA Nb'!AU31-1</f>
        <v>-3.1192741938235513E-2</v>
      </c>
      <c r="AZ31" s="105">
        <f>'A)NSA Nb'!AZ31/'A)NSA Nb'!AV31-1</f>
        <v>-2.9957029982347061E-2</v>
      </c>
      <c r="BA31" s="105">
        <f>'A)NSA Nb'!BA31/'A)NSA Nb'!AW31-1</f>
        <v>-2.845981753936011E-2</v>
      </c>
      <c r="BB31" s="396">
        <f>'A)NSA Nb'!BB31/'A)NSA Nb'!AX31-1</f>
        <v>-2.6509096556257883E-2</v>
      </c>
      <c r="BC31" s="455">
        <f>'A)NSA Nb'!BC31/'A)NSA Nb'!AY31-1</f>
        <v>-2.8872398649005593E-2</v>
      </c>
      <c r="BD31" s="455">
        <f>'A)NSA Nb'!BD31/'A)NSA Nb'!AZ31-1</f>
        <v>-2.7182049621209403E-2</v>
      </c>
      <c r="BE31" s="455">
        <f>'A)NSA Nb'!BE31/'A)NSA Nb'!BA31-1</f>
        <v>-2.6072546888618708E-2</v>
      </c>
      <c r="BF31" s="455">
        <f>'A)NSA Nb'!BF31/'A)NSA Nb'!BB31-1</f>
        <v>-2.910329607062323E-2</v>
      </c>
      <c r="BG31" s="455">
        <f>'A)NSA Nb'!BG31/'A)NSA Nb'!BC31-1</f>
        <v>-2.6770290477900138E-2</v>
      </c>
      <c r="BH31" s="455">
        <f>'A)NSA Nb'!BH31/'A)NSA Nb'!BD31-1</f>
        <v>-2.713183493835003E-2</v>
      </c>
      <c r="BI31" s="455">
        <f>'A)NSA Nb'!BI31/'A)NSA Nb'!BE31-1</f>
        <v>-2.7734197571784525E-2</v>
      </c>
      <c r="BJ31" s="455">
        <f>'A)NSA Nb'!BJ31/'A)NSA Nb'!BF31-1</f>
        <v>-2.6357207803759608E-2</v>
      </c>
    </row>
    <row r="32" spans="1:62" x14ac:dyDescent="0.25">
      <c r="A32" s="307" t="s">
        <v>17</v>
      </c>
      <c r="B32" s="3"/>
      <c r="C32" s="39"/>
      <c r="D32" s="39"/>
      <c r="E32" s="39"/>
      <c r="F32" s="105">
        <f>'A)NSA Nb'!F32/'A)NSA Nb'!B32-1</f>
        <v>-5.3329196280530455E-3</v>
      </c>
      <c r="G32" s="105">
        <f>'A)NSA Nb'!G32/'A)NSA Nb'!C32-1</f>
        <v>-5.8136713480146929E-3</v>
      </c>
      <c r="H32" s="105">
        <f>'A)NSA Nb'!H32/'A)NSA Nb'!D32-1</f>
        <v>-4.3453691615191747E-3</v>
      </c>
      <c r="I32" s="105">
        <f>'A)NSA Nb'!I32/'A)NSA Nb'!E32-1</f>
        <v>-3.4514361484312417E-3</v>
      </c>
      <c r="J32" s="105">
        <f>'A)NSA Nb'!J32/'A)NSA Nb'!F32-1</f>
        <v>-1.3550003411871847E-3</v>
      </c>
      <c r="K32" s="105">
        <f>'A)NSA Nb'!K32/'A)NSA Nb'!G32-1</f>
        <v>-8.6885213893828084E-4</v>
      </c>
      <c r="L32" s="105">
        <f>'A)NSA Nb'!L32/'A)NSA Nb'!H32-1</f>
        <v>-1.6928918114921254E-3</v>
      </c>
      <c r="M32" s="105">
        <f>'A)NSA Nb'!M32/'A)NSA Nb'!I32-1</f>
        <v>-9.8814229249011287E-4</v>
      </c>
      <c r="N32" s="105">
        <f>'A)NSA Nb'!N32/'A)NSA Nb'!J32-1</f>
        <v>-3.6214907656866302E-3</v>
      </c>
      <c r="O32" s="105">
        <f>'A)NSA Nb'!O32/'A)NSA Nb'!K32-1</f>
        <v>-5.4814597684302857E-3</v>
      </c>
      <c r="P32" s="105">
        <f>'A)NSA Nb'!P32/'A)NSA Nb'!L32-1</f>
        <v>-7.6064262539330407E-3</v>
      </c>
      <c r="Q32" s="105">
        <f>'A)NSA Nb'!Q32/'A)NSA Nb'!M32-1</f>
        <v>-8.7453849242491444E-3</v>
      </c>
      <c r="R32" s="105">
        <f>'A)NSA Nb'!R32/'A)NSA Nb'!N32-1</f>
        <v>-6.7206802974342228E-3</v>
      </c>
      <c r="S32" s="105">
        <f>'A)NSA Nb'!S32/'A)NSA Nb'!O32-1</f>
        <v>-5.2955277843276249E-3</v>
      </c>
      <c r="T32" s="105">
        <f>'A)NSA Nb'!T32/'A)NSA Nb'!P32-1</f>
        <v>-3.5261697104984613E-3</v>
      </c>
      <c r="U32" s="105">
        <f>'A)NSA Nb'!U32/'A)NSA Nb'!Q32-1</f>
        <v>-6.7181726570373357E-3</v>
      </c>
      <c r="V32" s="105">
        <f>'A)NSA Nb'!V32/'A)NSA Nb'!R32-1</f>
        <v>-7.5157564579285685E-3</v>
      </c>
      <c r="W32" s="105">
        <f>'A)NSA Nb'!W32/'A)NSA Nb'!S32-1</f>
        <v>-8.4646155365697417E-3</v>
      </c>
      <c r="X32" s="105">
        <f>'A)NSA Nb'!X32/'A)NSA Nb'!T32-1</f>
        <v>-1.0001387704934306E-2</v>
      </c>
      <c r="Y32" s="105">
        <f>'A)NSA Nb'!Y32/'A)NSA Nb'!U32-1</f>
        <v>-5.231852632835321E-3</v>
      </c>
      <c r="Z32" s="105">
        <f>'A)NSA Nb'!Z32/'A)NSA Nb'!V32-1</f>
        <v>-4.1838509316770578E-3</v>
      </c>
      <c r="AA32" s="105">
        <f>'A)NSA Nb'!AA32/'A)NSA Nb'!W32-1</f>
        <v>-3.9646172849344685E-3</v>
      </c>
      <c r="AB32" s="105">
        <f>'A)NSA Nb'!AB32/'A)NSA Nb'!X32-1</f>
        <v>-2.3328694293981433E-3</v>
      </c>
      <c r="AC32" s="105">
        <f>'A)NSA Nb'!AC32/'A)NSA Nb'!Y32-1</f>
        <v>-5.5793304803423149E-3</v>
      </c>
      <c r="AD32" s="105">
        <f>'A)NSA Nb'!AD32/'A)NSA Nb'!Z32-1</f>
        <v>-4.7203704442936312E-3</v>
      </c>
      <c r="AE32" s="105">
        <f>'A)NSA Nb'!AE32/'A)NSA Nb'!AA32-1</f>
        <v>-6.1306130613061338E-3</v>
      </c>
      <c r="AF32" s="105">
        <f>'A)NSA Nb'!AF32/'A)NSA Nb'!AB32-1</f>
        <v>-9.4235478302757691E-3</v>
      </c>
      <c r="AG32" s="105">
        <f>'A)NSA Nb'!AG32/'A)NSA Nb'!AC32-1</f>
        <v>-1.0517425141271297E-2</v>
      </c>
      <c r="AH32" s="105">
        <f>'A)NSA Nb'!AH32/'A)NSA Nb'!AD32-1</f>
        <v>-1.5000350944039509E-2</v>
      </c>
      <c r="AI32" s="105">
        <f>'A)NSA Nb'!AI32/'A)NSA Nb'!AE32-1</f>
        <v>-1.7358141219799395E-2</v>
      </c>
      <c r="AJ32" s="105">
        <f>'A)NSA Nb'!AJ32/'A)NSA Nb'!AF32-1</f>
        <v>-1.8712324603616826E-2</v>
      </c>
      <c r="AK32" s="105">
        <f>'A)NSA Nb'!AK32/'A)NSA Nb'!AG32-1</f>
        <v>-1.7803430615397131E-2</v>
      </c>
      <c r="AL32" s="105">
        <f>'A)NSA Nb'!AL32/'A)NSA Nb'!AH32-1</f>
        <v>-1.4149742963302292E-2</v>
      </c>
      <c r="AM32" s="105">
        <f>'A)NSA Nb'!AM32/'A)NSA Nb'!AI32-1</f>
        <v>-1.0875353295375367E-2</v>
      </c>
      <c r="AN32" s="105">
        <f>'A)NSA Nb'!AN32/'A)NSA Nb'!AJ32-1</f>
        <v>-1.0241797270230668E-2</v>
      </c>
      <c r="AO32" s="105">
        <f>'A)NSA Nb'!AO32/'A)NSA Nb'!AK32-1</f>
        <v>-1.0408045025657953E-2</v>
      </c>
      <c r="AP32" s="105">
        <f>'A)NSA Nb'!AP32/'A)NSA Nb'!AL32-1</f>
        <v>-1.1513242810676894E-2</v>
      </c>
      <c r="AQ32" s="105">
        <f>'A)NSA Nb'!AQ32/'A)NSA Nb'!AM32-1</f>
        <v>-1.2589294958070152E-2</v>
      </c>
      <c r="AR32" s="105">
        <f>'A)NSA Nb'!AR32/'A)NSA Nb'!AN32-1</f>
        <v>-1.0347777105543132E-2</v>
      </c>
      <c r="AS32" s="105">
        <f>'A)NSA Nb'!AS32/'A)NSA Nb'!AO32-1</f>
        <v>-1.4197595399895402E-2</v>
      </c>
      <c r="AT32" s="105">
        <f>'A)NSA Nb'!AT32/'A)NSA Nb'!AP32-1</f>
        <v>-1.5198997179567519E-2</v>
      </c>
      <c r="AU32" s="105">
        <f>'A)NSA Nb'!AU32/'A)NSA Nb'!AQ32-1</f>
        <v>-1.9638475894897978E-2</v>
      </c>
      <c r="AV32" s="105">
        <f>'A)NSA Nb'!AV32/'A)NSA Nb'!AR32-1</f>
        <v>-2.0363851002382138E-2</v>
      </c>
      <c r="AW32" s="105">
        <f>'A)NSA Nb'!AW32/'A)NSA Nb'!AS32-1</f>
        <v>-1.7085224621388839E-2</v>
      </c>
      <c r="AX32" s="105">
        <f>'A)NSA Nb'!AX32/'A)NSA Nb'!AT32-1</f>
        <v>-1.9082471492972708E-2</v>
      </c>
      <c r="AY32" s="105">
        <f>'A)NSA Nb'!AY32/'A)NSA Nb'!AU32-1</f>
        <v>-1.6630838172853712E-2</v>
      </c>
      <c r="AZ32" s="105">
        <f>'A)NSA Nb'!AZ32/'A)NSA Nb'!AV32-1</f>
        <v>-1.9657420757031252E-2</v>
      </c>
      <c r="BA32" s="105">
        <f>'A)NSA Nb'!BA32/'A)NSA Nb'!AW32-1</f>
        <v>-2.1320443240793741E-2</v>
      </c>
      <c r="BB32" s="396">
        <f>'A)NSA Nb'!BB32/'A)NSA Nb'!AX32-1</f>
        <v>-2.0978416021454227E-2</v>
      </c>
      <c r="BC32" s="455">
        <f>'A)NSA Nb'!BC32/'A)NSA Nb'!AY32-1</f>
        <v>-2.3970591434102628E-2</v>
      </c>
      <c r="BD32" s="455">
        <f>'A)NSA Nb'!BD32/'A)NSA Nb'!AZ32-1</f>
        <v>-2.0446688251111178E-2</v>
      </c>
      <c r="BE32" s="455">
        <f>'A)NSA Nb'!BE32/'A)NSA Nb'!BA32-1</f>
        <v>-1.8697976958271356E-2</v>
      </c>
      <c r="BF32" s="455">
        <f>'A)NSA Nb'!BF32/'A)NSA Nb'!BB32-1</f>
        <v>-1.4480427675178986E-2</v>
      </c>
      <c r="BG32" s="455">
        <f>'A)NSA Nb'!BG32/'A)NSA Nb'!BC32-1</f>
        <v>-1.3416237659067076E-2</v>
      </c>
      <c r="BH32" s="455">
        <f>'A)NSA Nb'!BH32/'A)NSA Nb'!BD32-1</f>
        <v>-1.7781114148702537E-2</v>
      </c>
      <c r="BI32" s="455">
        <f>'A)NSA Nb'!BI32/'A)NSA Nb'!BE32-1</f>
        <v>-2.2065184419553074E-2</v>
      </c>
      <c r="BJ32" s="455">
        <f>'A)NSA Nb'!BJ32/'A)NSA Nb'!BF32-1</f>
        <v>-2.7593163351078753E-2</v>
      </c>
    </row>
    <row r="33" spans="1:62" x14ac:dyDescent="0.25">
      <c r="A33" s="307" t="s">
        <v>18</v>
      </c>
      <c r="B33" s="3"/>
      <c r="C33" s="39"/>
      <c r="D33" s="39"/>
      <c r="E33" s="39"/>
      <c r="F33" s="105">
        <f>'A)NSA Nb'!F33/'A)NSA Nb'!B33-1</f>
        <v>-1.0732590492165572E-2</v>
      </c>
      <c r="G33" s="105">
        <f>'A)NSA Nb'!G33/'A)NSA Nb'!C33-1</f>
        <v>-1.0968463001443052E-2</v>
      </c>
      <c r="H33" s="105">
        <f>'A)NSA Nb'!H33/'A)NSA Nb'!D33-1</f>
        <v>-1.0667102751624635E-2</v>
      </c>
      <c r="I33" s="105">
        <f>'A)NSA Nb'!I33/'A)NSA Nb'!E33-1</f>
        <v>-1.1063896081570435E-2</v>
      </c>
      <c r="J33" s="105">
        <f>'A)NSA Nb'!J33/'A)NSA Nb'!F33-1</f>
        <v>-1.1704893501348401E-2</v>
      </c>
      <c r="K33" s="105">
        <f>'A)NSA Nb'!K33/'A)NSA Nb'!G33-1</f>
        <v>-1.2247121616264067E-2</v>
      </c>
      <c r="L33" s="105">
        <f>'A)NSA Nb'!L33/'A)NSA Nb'!H33-1</f>
        <v>-1.5044561927394784E-2</v>
      </c>
      <c r="M33" s="105">
        <f>'A)NSA Nb'!M33/'A)NSA Nb'!I33-1</f>
        <v>-1.7673756630714355E-2</v>
      </c>
      <c r="N33" s="105">
        <f>'A)NSA Nb'!N33/'A)NSA Nb'!J33-1</f>
        <v>-1.8654430086736284E-2</v>
      </c>
      <c r="O33" s="105">
        <f>'A)NSA Nb'!O33/'A)NSA Nb'!K33-1</f>
        <v>-2.2373307121013597E-2</v>
      </c>
      <c r="P33" s="105">
        <f>'A)NSA Nb'!P33/'A)NSA Nb'!L33-1</f>
        <v>-2.4754804187242962E-2</v>
      </c>
      <c r="Q33" s="105">
        <f>'A)NSA Nb'!Q33/'A)NSA Nb'!M33-1</f>
        <v>-2.4544745704600412E-2</v>
      </c>
      <c r="R33" s="105">
        <f>'A)NSA Nb'!R33/'A)NSA Nb'!N33-1</f>
        <v>-2.4054057804109852E-2</v>
      </c>
      <c r="S33" s="105">
        <f>'A)NSA Nb'!S33/'A)NSA Nb'!O33-1</f>
        <v>-2.2726130162046165E-2</v>
      </c>
      <c r="T33" s="105">
        <f>'A)NSA Nb'!T33/'A)NSA Nb'!P33-1</f>
        <v>-2.257346531748694E-2</v>
      </c>
      <c r="U33" s="105">
        <f>'A)NSA Nb'!U33/'A)NSA Nb'!Q33-1</f>
        <v>-2.3756409638622467E-2</v>
      </c>
      <c r="V33" s="105">
        <f>'A)NSA Nb'!V33/'A)NSA Nb'!R33-1</f>
        <v>-2.4518961462891675E-2</v>
      </c>
      <c r="W33" s="105">
        <f>'A)NSA Nb'!W33/'A)NSA Nb'!S33-1</f>
        <v>-2.6055345818484232E-2</v>
      </c>
      <c r="X33" s="105">
        <f>'A)NSA Nb'!X33/'A)NSA Nb'!T33-1</f>
        <v>-2.6243560327286919E-2</v>
      </c>
      <c r="Y33" s="105">
        <f>'A)NSA Nb'!Y33/'A)NSA Nb'!U33-1</f>
        <v>-2.5545283500963967E-2</v>
      </c>
      <c r="Z33" s="105">
        <f>'A)NSA Nb'!Z33/'A)NSA Nb'!V33-1</f>
        <v>-2.5053634307301231E-2</v>
      </c>
      <c r="AA33" s="105">
        <f>'A)NSA Nb'!AA33/'A)NSA Nb'!W33-1</f>
        <v>-2.5429000680767144E-2</v>
      </c>
      <c r="AB33" s="105">
        <f>'A)NSA Nb'!AB33/'A)NSA Nb'!X33-1</f>
        <v>-2.5480746431450707E-2</v>
      </c>
      <c r="AC33" s="105">
        <f>'A)NSA Nb'!AC33/'A)NSA Nb'!Y33-1</f>
        <v>-2.7219093590775012E-2</v>
      </c>
      <c r="AD33" s="105">
        <f>'A)NSA Nb'!AD33/'A)NSA Nb'!Z33-1</f>
        <v>-2.843013851806897E-2</v>
      </c>
      <c r="AE33" s="105">
        <f>'A)NSA Nb'!AE33/'A)NSA Nb'!AA33-1</f>
        <v>-3.0485418184664881E-2</v>
      </c>
      <c r="AF33" s="105">
        <f>'A)NSA Nb'!AF33/'A)NSA Nb'!AB33-1</f>
        <v>-3.4188476102130494E-2</v>
      </c>
      <c r="AG33" s="105">
        <f>'A)NSA Nb'!AG33/'A)NSA Nb'!AC33-1</f>
        <v>-3.6106899456313624E-2</v>
      </c>
      <c r="AH33" s="105">
        <f>'A)NSA Nb'!AH33/'A)NSA Nb'!AD33-1</f>
        <v>-3.8847858197932017E-2</v>
      </c>
      <c r="AI33" s="105">
        <f>'A)NSA Nb'!AI33/'A)NSA Nb'!AE33-1</f>
        <v>-4.0537141189002535E-2</v>
      </c>
      <c r="AJ33" s="105">
        <f>'A)NSA Nb'!AJ33/'A)NSA Nb'!AF33-1</f>
        <v>-4.1807062735786715E-2</v>
      </c>
      <c r="AK33" s="105">
        <f>'A)NSA Nb'!AK33/'A)NSA Nb'!AG33-1</f>
        <v>-4.0497383114014851E-2</v>
      </c>
      <c r="AL33" s="105">
        <f>'A)NSA Nb'!AL33/'A)NSA Nb'!AH33-1</f>
        <v>-3.7642154602735567E-2</v>
      </c>
      <c r="AM33" s="105">
        <f>'A)NSA Nb'!AM33/'A)NSA Nb'!AI33-1</f>
        <v>-3.6135530898403601E-2</v>
      </c>
      <c r="AN33" s="105">
        <f>'A)NSA Nb'!AN33/'A)NSA Nb'!AJ33-1</f>
        <v>-3.4777407502349811E-2</v>
      </c>
      <c r="AO33" s="105">
        <f>'A)NSA Nb'!AO33/'A)NSA Nb'!AK33-1</f>
        <v>-3.6675796425153062E-2</v>
      </c>
      <c r="AP33" s="105">
        <f>'A)NSA Nb'!AP33/'A)NSA Nb'!AL33-1</f>
        <v>-3.8934855728444129E-2</v>
      </c>
      <c r="AQ33" s="105">
        <f>'A)NSA Nb'!AQ33/'A)NSA Nb'!AM33-1</f>
        <v>-3.9112242430755173E-2</v>
      </c>
      <c r="AR33" s="105">
        <f>'A)NSA Nb'!AR33/'A)NSA Nb'!AN33-1</f>
        <v>-4.0518086729134928E-2</v>
      </c>
      <c r="AS33" s="105">
        <f>'A)NSA Nb'!AS33/'A)NSA Nb'!AO33-1</f>
        <v>-4.3043431922961894E-2</v>
      </c>
      <c r="AT33" s="105">
        <f>'A)NSA Nb'!AT33/'A)NSA Nb'!AP33-1</f>
        <v>-4.3423475816613322E-2</v>
      </c>
      <c r="AU33" s="105">
        <f>'A)NSA Nb'!AU33/'A)NSA Nb'!AQ33-1</f>
        <v>-5.0077410471207839E-2</v>
      </c>
      <c r="AV33" s="105">
        <f>'A)NSA Nb'!AV33/'A)NSA Nb'!AR33-1</f>
        <v>-5.0767221678093333E-2</v>
      </c>
      <c r="AW33" s="105">
        <f>'A)NSA Nb'!AW33/'A)NSA Nb'!AS33-1</f>
        <v>-4.8715820786135344E-2</v>
      </c>
      <c r="AX33" s="105">
        <f>'A)NSA Nb'!AX33/'A)NSA Nb'!AT33-1</f>
        <v>-5.0023160546009859E-2</v>
      </c>
      <c r="AY33" s="105">
        <f>'A)NSA Nb'!AY33/'A)NSA Nb'!AU33-1</f>
        <v>-4.7651283258770882E-2</v>
      </c>
      <c r="AZ33" s="105">
        <f>'A)NSA Nb'!AZ33/'A)NSA Nb'!AV33-1</f>
        <v>-4.9710269542786678E-2</v>
      </c>
      <c r="BA33" s="105">
        <f>'A)NSA Nb'!BA33/'A)NSA Nb'!AW33-1</f>
        <v>-5.2113192013263365E-2</v>
      </c>
      <c r="BB33" s="396">
        <f>'A)NSA Nb'!BB33/'A)NSA Nb'!AX33-1</f>
        <v>-5.1087772228761708E-2</v>
      </c>
      <c r="BC33" s="455">
        <f>'A)NSA Nb'!BC33/'A)NSA Nb'!AY33-1</f>
        <v>-5.7394845010353301E-2</v>
      </c>
      <c r="BD33" s="455">
        <f>'A)NSA Nb'!BD33/'A)NSA Nb'!AZ33-1</f>
        <v>-5.4191106757463858E-2</v>
      </c>
      <c r="BE33" s="455">
        <f>'A)NSA Nb'!BE33/'A)NSA Nb'!BA33-1</f>
        <v>-5.2958285190645049E-2</v>
      </c>
      <c r="BF33" s="455">
        <f>'A)NSA Nb'!BF33/'A)NSA Nb'!BB33-1</f>
        <v>-5.1690499321552119E-2</v>
      </c>
      <c r="BG33" s="455">
        <f>'A)NSA Nb'!BG33/'A)NSA Nb'!BC33-1</f>
        <v>-4.5491989721269332E-2</v>
      </c>
      <c r="BH33" s="455">
        <f>'A)NSA Nb'!BH33/'A)NSA Nb'!BD33-1</f>
        <v>-4.7716893077889289E-2</v>
      </c>
      <c r="BI33" s="455">
        <f>'A)NSA Nb'!BI33/'A)NSA Nb'!BE33-1</f>
        <v>-5.0185529537480345E-2</v>
      </c>
      <c r="BJ33" s="455">
        <f>'A)NSA Nb'!BJ33/'A)NSA Nb'!BF33-1</f>
        <v>-5.3174556137870255E-2</v>
      </c>
    </row>
    <row r="34" spans="1:62" x14ac:dyDescent="0.25">
      <c r="A34" s="312" t="s">
        <v>4</v>
      </c>
      <c r="B34" s="3"/>
      <c r="C34" s="39"/>
      <c r="D34" s="39"/>
      <c r="E34" s="39"/>
      <c r="F34" s="105">
        <f>'A)NSA Nb'!F34/'A)NSA Nb'!B34-1</f>
        <v>-1.4367816091954033E-2</v>
      </c>
      <c r="G34" s="105">
        <f>'A)NSA Nb'!G34/'A)NSA Nb'!C34-1</f>
        <v>-5.5232558139534871E-2</v>
      </c>
      <c r="H34" s="105">
        <f>'A)NSA Nb'!H34/'A)NSA Nb'!D34-1</f>
        <v>-5.1515151515151514E-2</v>
      </c>
      <c r="I34" s="105">
        <f>'A)NSA Nb'!I34/'A)NSA Nb'!E34-1</f>
        <v>-3.0769230769230771E-2</v>
      </c>
      <c r="J34" s="105">
        <f>'A)NSA Nb'!J34/'A)NSA Nb'!F34-1</f>
        <v>-0.10787172011661805</v>
      </c>
      <c r="K34" s="105">
        <f>'A)NSA Nb'!K34/'A)NSA Nb'!G34-1</f>
        <v>-9.5384615384615401E-2</v>
      </c>
      <c r="L34" s="105">
        <f>'A)NSA Nb'!L34/'A)NSA Nb'!H34-1</f>
        <v>-9.9041533546325833E-2</v>
      </c>
      <c r="M34" s="105">
        <f>'A)NSA Nb'!M34/'A)NSA Nb'!I34-1</f>
        <v>-9.5238095238095233E-2</v>
      </c>
      <c r="N34" s="105">
        <f>'A)NSA Nb'!N34/'A)NSA Nb'!J34-1</f>
        <v>-7.5163398692810413E-2</v>
      </c>
      <c r="O34" s="105">
        <f>'A)NSA Nb'!O34/'A)NSA Nb'!K34-1</f>
        <v>-6.4625850340136015E-2</v>
      </c>
      <c r="P34" s="105">
        <f>'A)NSA Nb'!P34/'A)NSA Nb'!L34-1</f>
        <v>-3.546099290780147E-2</v>
      </c>
      <c r="Q34" s="105">
        <f>'A)NSA Nb'!Q34/'A)NSA Nb'!M34-1</f>
        <v>-3.5087719298245612E-2</v>
      </c>
      <c r="R34" s="105">
        <f>'A)NSA Nb'!R34/'A)NSA Nb'!N34-1</f>
        <v>-4.2402826855123643E-2</v>
      </c>
      <c r="S34" s="105">
        <f>'A)NSA Nb'!S34/'A)NSA Nb'!O34-1</f>
        <v>3.6363636363636598E-3</v>
      </c>
      <c r="T34" s="105">
        <f>'A)NSA Nb'!T34/'A)NSA Nb'!P34-1</f>
        <v>-3.6764705882352811E-3</v>
      </c>
      <c r="U34" s="105">
        <f>'A)NSA Nb'!U34/'A)NSA Nb'!Q34-1</f>
        <v>7.2727272727273196E-3</v>
      </c>
      <c r="V34" s="105">
        <f>'A)NSA Nb'!V34/'A)NSA Nb'!R34-1</f>
        <v>-3.6900369003690092E-2</v>
      </c>
      <c r="W34" s="105">
        <f>'A)NSA Nb'!W34/'A)NSA Nb'!S34-1</f>
        <v>-5.4347826086956541E-2</v>
      </c>
      <c r="X34" s="105">
        <f>'A)NSA Nb'!X34/'A)NSA Nb'!T34-1</f>
        <v>-5.1660516605166018E-2</v>
      </c>
      <c r="Y34" s="105">
        <f>'A)NSA Nb'!Y34/'A)NSA Nb'!U34-1</f>
        <v>-9.0252707581227387E-2</v>
      </c>
      <c r="Z34" s="105">
        <f>'A)NSA Nb'!Z34/'A)NSA Nb'!V34-1</f>
        <v>-3.0651340996168619E-2</v>
      </c>
      <c r="AA34" s="105">
        <f>'A)NSA Nb'!AA34/'A)NSA Nb'!W34-1</f>
        <v>-2.6819923371647514E-2</v>
      </c>
      <c r="AB34" s="105">
        <f>'A)NSA Nb'!AB34/'A)NSA Nb'!X34-1</f>
        <v>-2.7237354085603127E-2</v>
      </c>
      <c r="AC34" s="105">
        <f>'A)NSA Nb'!AC34/'A)NSA Nb'!Y34-1</f>
        <v>2.3809523809523725E-2</v>
      </c>
      <c r="AD34" s="105">
        <f>'A)NSA Nb'!AD34/'A)NSA Nb'!Z34-1</f>
        <v>1.1857707509881354E-2</v>
      </c>
      <c r="AE34" s="105">
        <f>'A)NSA Nb'!AE34/'A)NSA Nb'!AA34-1</f>
        <v>3.937007874015741E-3</v>
      </c>
      <c r="AF34" s="105">
        <f>'A)NSA Nb'!AF34/'A)NSA Nb'!AB34-1</f>
        <v>1.2000000000000011E-2</v>
      </c>
      <c r="AG34" s="105">
        <f>'A)NSA Nb'!AG34/'A)NSA Nb'!AC34-1</f>
        <v>-1.9379844961240345E-2</v>
      </c>
      <c r="AH34" s="105">
        <f>'A)NSA Nb'!AH34/'A)NSA Nb'!AD34-1</f>
        <v>-1.5625E-2</v>
      </c>
      <c r="AI34" s="105">
        <f>'A)NSA Nb'!AI34/'A)NSA Nb'!AE34-1</f>
        <v>-1.1764705882352899E-2</v>
      </c>
      <c r="AJ34" s="105">
        <f>'A)NSA Nb'!AJ34/'A)NSA Nb'!AF34-1</f>
        <v>-7.905138339920903E-3</v>
      </c>
      <c r="AK34" s="105">
        <f>'A)NSA Nb'!AK34/'A)NSA Nb'!AG34-1</f>
        <v>-1.9762845849802368E-2</v>
      </c>
      <c r="AL34" s="105">
        <f>'A)NSA Nb'!AL34/'A)NSA Nb'!AH34-1</f>
        <v>-3.9682539682539542E-3</v>
      </c>
      <c r="AM34" s="105">
        <f>'A)NSA Nb'!AM34/'A)NSA Nb'!AI34-1</f>
        <v>-1.5873015873015928E-2</v>
      </c>
      <c r="AN34" s="105">
        <f>'A)NSA Nb'!AN34/'A)NSA Nb'!AJ34-1</f>
        <v>-7.9681274900398336E-3</v>
      </c>
      <c r="AO34" s="105">
        <f>'A)NSA Nb'!AO34/'A)NSA Nb'!AK34-1</f>
        <v>0</v>
      </c>
      <c r="AP34" s="105">
        <f>'A)NSA Nb'!AP34/'A)NSA Nb'!AL34-1</f>
        <v>-1.5936254980079667E-2</v>
      </c>
      <c r="AQ34" s="105">
        <f>'A)NSA Nb'!AQ34/'A)NSA Nb'!AM34-1</f>
        <v>-1.2096774193548376E-2</v>
      </c>
      <c r="AR34" s="105">
        <f>'A)NSA Nb'!AR34/'A)NSA Nb'!AN34-1</f>
        <v>-2.008032128514059E-2</v>
      </c>
      <c r="AS34" s="105">
        <f>'A)NSA Nb'!AS34/'A)NSA Nb'!AO34-1</f>
        <v>-1.6129032258064502E-2</v>
      </c>
      <c r="AT34" s="105">
        <f>'A)NSA Nb'!AT34/'A)NSA Nb'!AP34-1</f>
        <v>-1.2145748987854255E-2</v>
      </c>
      <c r="AU34" s="105">
        <f>'A)NSA Nb'!AU34/'A)NSA Nb'!AQ34-1</f>
        <v>-1.6326530612244872E-2</v>
      </c>
      <c r="AV34" s="105">
        <f>'A)NSA Nb'!AV34/'A)NSA Nb'!AR34-1</f>
        <v>-3.688524590163933E-2</v>
      </c>
      <c r="AW34" s="105">
        <f>'A)NSA Nb'!AW34/'A)NSA Nb'!AS34-1</f>
        <v>-8.1967213114754189E-3</v>
      </c>
      <c r="AX34" s="105">
        <f>'A)NSA Nb'!AX34/'A)NSA Nb'!AT34-1</f>
        <v>-2.8688524590163911E-2</v>
      </c>
      <c r="AY34" s="105">
        <f>'A)NSA Nb'!AY34/'A)NSA Nb'!AU34-1</f>
        <v>1.2448132780082943E-2</v>
      </c>
      <c r="AZ34" s="105">
        <f>'A)NSA Nb'!AZ34/'A)NSA Nb'!AV34-1</f>
        <v>3.4042553191489411E-2</v>
      </c>
      <c r="BA34" s="105">
        <f>'A)NSA Nb'!BA34/'A)NSA Nb'!AW34-1</f>
        <v>2.4793388429751984E-2</v>
      </c>
      <c r="BB34" s="396">
        <f>'A)NSA Nb'!BB34/'A)NSA Nb'!AX34-1</f>
        <v>7.1729957805907185E-2</v>
      </c>
      <c r="BC34" s="455">
        <f>'A)NSA Nb'!BC34/'A)NSA Nb'!AY34-1</f>
        <v>0</v>
      </c>
      <c r="BD34" s="455">
        <f>'A)NSA Nb'!BD34/'A)NSA Nb'!AZ34-1</f>
        <v>-1.6460905349794275E-2</v>
      </c>
      <c r="BE34" s="455">
        <f>'A)NSA Nb'!BE34/'A)NSA Nb'!BA34-1</f>
        <v>-2.4193548387096753E-2</v>
      </c>
      <c r="BF34" s="455">
        <f>'A)NSA Nb'!BF34/'A)NSA Nb'!BB34-1</f>
        <v>-5.9055118110236227E-2</v>
      </c>
      <c r="BG34" s="455">
        <f>'A)NSA Nb'!BG34/'A)NSA Nb'!BC34-1</f>
        <v>4.098360655737654E-3</v>
      </c>
      <c r="BH34" s="455">
        <f>'A)NSA Nb'!BH34/'A)NSA Nb'!BD34-1</f>
        <v>0</v>
      </c>
      <c r="BI34" s="455">
        <f>'A)NSA Nb'!BI34/'A)NSA Nb'!BE34-1</f>
        <v>-8.2644628099173278E-3</v>
      </c>
      <c r="BJ34" s="455">
        <f>'A)NSA Nb'!BJ34/'A)NSA Nb'!BF34-1</f>
        <v>1.2552301255230214E-2</v>
      </c>
    </row>
    <row r="35" spans="1:62" x14ac:dyDescent="0.25">
      <c r="A35" s="324"/>
      <c r="B35" s="10"/>
      <c r="C35" s="40"/>
      <c r="D35" s="40"/>
      <c r="E35" s="40"/>
      <c r="F35" s="40"/>
      <c r="G35" s="40"/>
      <c r="H35" s="40"/>
      <c r="I35" s="40"/>
      <c r="J35" s="40"/>
      <c r="K35" s="146"/>
      <c r="L35" s="146"/>
      <c r="M35" s="40"/>
      <c r="N35" s="40"/>
      <c r="O35" s="40"/>
      <c r="P35" s="40"/>
      <c r="Q35" s="40"/>
      <c r="R35" s="40"/>
      <c r="S35" s="105">
        <f>'A)NSA Nb'!S35/'A)NSA Nb'!O35-1</f>
        <v>-3.0380701423081247E-2</v>
      </c>
      <c r="T35" s="105">
        <f>'A)NSA Nb'!T35/'A)NSA Nb'!P35-1</f>
        <v>-2.8812783225174887E-2</v>
      </c>
      <c r="U35" s="105">
        <f>'A)NSA Nb'!U35/'A)NSA Nb'!Q35-1</f>
        <v>-2.9648334192843628E-2</v>
      </c>
      <c r="V35" s="105">
        <f>'A)NSA Nb'!V35/'A)NSA Nb'!R35-1</f>
        <v>-2.8827531473409995E-2</v>
      </c>
      <c r="W35" s="105">
        <f>'A)NSA Nb'!W35/'A)NSA Nb'!S35-1</f>
        <v>-2.7810793224134045E-2</v>
      </c>
      <c r="X35" s="105">
        <f>'A)NSA Nb'!X35/'A)NSA Nb'!T35-1</f>
        <v>-3.0492844856458201E-2</v>
      </c>
      <c r="Y35" s="105">
        <f>'A)NSA Nb'!Y35/'A)NSA Nb'!U35-1</f>
        <v>-3.1292104200852489E-2</v>
      </c>
      <c r="Z35" s="105">
        <f>'A)NSA Nb'!Z35/'A)NSA Nb'!V35-1</f>
        <v>-3.1333428672542074E-2</v>
      </c>
      <c r="AA35" s="105">
        <f>'A)NSA Nb'!AA35/'A)NSA Nb'!W35-1</f>
        <v>-3.1008353582129833E-2</v>
      </c>
      <c r="AB35" s="105">
        <f>'A)NSA Nb'!AB35/'A)NSA Nb'!X35-1</f>
        <v>-2.9172614192495949E-2</v>
      </c>
      <c r="AC35" s="105">
        <f>'A)NSA Nb'!AC35/'A)NSA Nb'!Y35-1</f>
        <v>-2.8563310727392599E-2</v>
      </c>
      <c r="AD35" s="105">
        <f>'A)NSA Nb'!AD35/'A)NSA Nb'!Z35-1</f>
        <v>-2.9277256634037352E-2</v>
      </c>
      <c r="AE35" s="105">
        <f>'A)NSA Nb'!AE35/'A)NSA Nb'!AA35-1</f>
        <v>-3.0811527213380541E-2</v>
      </c>
      <c r="AF35" s="105">
        <f>'A)NSA Nb'!AF35/'A)NSA Nb'!AB35-1</f>
        <v>-3.2716908779990672E-2</v>
      </c>
      <c r="AG35" s="105">
        <f>'A)NSA Nb'!AG35/'A)NSA Nb'!AC35-1</f>
        <v>-3.2628088261715482E-2</v>
      </c>
      <c r="AH35" s="105">
        <f>'A)NSA Nb'!AH35/'A)NSA Nb'!AD35-1</f>
        <v>-3.2174548696358496E-2</v>
      </c>
      <c r="AI35" s="105">
        <f>'A)NSA Nb'!AI35/'A)NSA Nb'!AE35-1</f>
        <v>-3.1000661136476704E-2</v>
      </c>
      <c r="AJ35" s="105">
        <f>'A)NSA Nb'!AJ35/'A)NSA Nb'!AF35-1</f>
        <v>-3.0352013931697286E-2</v>
      </c>
      <c r="AK35" s="105">
        <f>'A)NSA Nb'!AK35/'A)NSA Nb'!AG35-1</f>
        <v>-3.0306346048081245E-2</v>
      </c>
      <c r="AL35" s="105">
        <f>'A)NSA Nb'!AL35/'A)NSA Nb'!AH35-1</f>
        <v>-2.9200436815303599E-2</v>
      </c>
      <c r="AM35" s="105">
        <f>'A)NSA Nb'!AM35/'A)NSA Nb'!AI35-1</f>
        <v>-2.9525715181269119E-2</v>
      </c>
      <c r="AN35" s="105">
        <f>'A)NSA Nb'!AN35/'A)NSA Nb'!AJ35-1</f>
        <v>-2.9982003431355597E-2</v>
      </c>
      <c r="AO35" s="105">
        <f>'A)NSA Nb'!AO35/'A)NSA Nb'!AK35-1</f>
        <v>-3.0015263004733339E-2</v>
      </c>
      <c r="AP35" s="105">
        <f>'A)NSA Nb'!AP35/'A)NSA Nb'!AL35-1</f>
        <v>-3.0092922397080057E-2</v>
      </c>
      <c r="AQ35" s="105">
        <f>'A)NSA Nb'!AQ35/'A)NSA Nb'!AM35-1</f>
        <v>-2.9175648777556629E-2</v>
      </c>
      <c r="AR35" s="105">
        <f>'A)NSA Nb'!AR35/'A)NSA Nb'!AN35-1</f>
        <v>-2.9301759366212043E-2</v>
      </c>
      <c r="AS35" s="105">
        <f>'A)NSA Nb'!AS35/'A)NSA Nb'!AO35-1</f>
        <v>-3.1270855400515551E-2</v>
      </c>
      <c r="AT35" s="105">
        <f>'A)NSA Nb'!AT35/'A)NSA Nb'!AP35-1</f>
        <v>-3.2410195356392224E-2</v>
      </c>
      <c r="AU35" s="105">
        <f>'A)NSA Nb'!AU35/'A)NSA Nb'!AQ35-1</f>
        <v>-3.6915854227481892E-2</v>
      </c>
      <c r="AV35" s="105">
        <f>'A)NSA Nb'!AV35/'A)NSA Nb'!AR35-1</f>
        <v>-3.7984755088613098E-2</v>
      </c>
      <c r="AW35" s="105">
        <f>'A)NSA Nb'!AW35/'A)NSA Nb'!AS35-1</f>
        <v>-3.7248065781978701E-2</v>
      </c>
      <c r="AX35" s="105">
        <f>'A)NSA Nb'!AX35/'A)NSA Nb'!AT35-1</f>
        <v>-3.6923196762096433E-2</v>
      </c>
      <c r="AY35" s="105">
        <f>'A)NSA Nb'!AY35/'A)NSA Nb'!AU35-1</f>
        <v>-3.3684315384164276E-2</v>
      </c>
      <c r="AZ35" s="105">
        <f>'A)NSA Nb'!AZ35/'A)NSA Nb'!AV35-1</f>
        <v>-3.3463316648300934E-2</v>
      </c>
      <c r="BA35" s="105">
        <f>'A)NSA Nb'!BA35/'A)NSA Nb'!AW35-1</f>
        <v>-3.3045847317845767E-2</v>
      </c>
      <c r="BB35" s="396">
        <f>'A)NSA Nb'!BB35/'A)NSA Nb'!AX35-1</f>
        <v>-3.139285846927109E-2</v>
      </c>
      <c r="BC35" s="455">
        <f>'A)NSA Nb'!BC35/'A)NSA Nb'!AY35-1</f>
        <v>-3.4629878880637288E-2</v>
      </c>
      <c r="BD35" s="455">
        <f>'A)NSA Nb'!BD35/'A)NSA Nb'!AZ35-1</f>
        <v>-3.2440132368865893E-2</v>
      </c>
      <c r="BE35" s="455">
        <f>'A)NSA Nb'!BE35/'A)NSA Nb'!BA35-1</f>
        <v>-3.1231223585722279E-2</v>
      </c>
      <c r="BF35" s="455">
        <f>'A)NSA Nb'!BF35/'A)NSA Nb'!BB35-1</f>
        <v>-3.2775850198703438E-2</v>
      </c>
      <c r="BG35" s="455">
        <f>'A)NSA Nb'!BG35/'A)NSA Nb'!BC35-1</f>
        <v>-2.9665658521126237E-2</v>
      </c>
      <c r="BH35" s="455">
        <f>'A)NSA Nb'!BH35/'A)NSA Nb'!BD35-1</f>
        <v>-3.0704157253148456E-2</v>
      </c>
      <c r="BI35" s="455">
        <f>'A)NSA Nb'!BI35/'A)NSA Nb'!BE35-1</f>
        <v>-3.1962990313953332E-2</v>
      </c>
      <c r="BJ35" s="455">
        <f>'A)NSA Nb'!BJ35/'A)NSA Nb'!BF35-1</f>
        <v>-3.2026830123455974E-2</v>
      </c>
    </row>
    <row r="36" spans="1:62" x14ac:dyDescent="0.25">
      <c r="A36" s="301" t="s">
        <v>40</v>
      </c>
      <c r="L36" s="14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M36" s="35"/>
      <c r="AN36" s="35"/>
      <c r="AO36" s="35"/>
    </row>
    <row r="37" spans="1:62" x14ac:dyDescent="0.25">
      <c r="A37" s="309" t="s">
        <v>11</v>
      </c>
      <c r="L37" s="14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M37" s="35"/>
      <c r="AN37" s="35"/>
      <c r="AO37" s="35"/>
    </row>
    <row r="38" spans="1:62" x14ac:dyDescent="0.25">
      <c r="B38" s="2" t="str">
        <f t="shared" ref="B38:H38" si="72">B8</f>
        <v>4eme T 2009</v>
      </c>
      <c r="C38" s="38" t="str">
        <f t="shared" si="72"/>
        <v>1er T 2010</v>
      </c>
      <c r="D38" s="38" t="str">
        <f t="shared" si="72"/>
        <v>2eme T 2010</v>
      </c>
      <c r="E38" s="38" t="str">
        <f t="shared" si="72"/>
        <v>3eme T 2010</v>
      </c>
      <c r="F38" s="38" t="str">
        <f t="shared" si="72"/>
        <v>4eme T 2010</v>
      </c>
      <c r="G38" s="38" t="str">
        <f t="shared" si="72"/>
        <v>1er T 2011</v>
      </c>
      <c r="H38" s="38" t="str">
        <f t="shared" si="72"/>
        <v>2eme T 2011</v>
      </c>
      <c r="I38" s="38" t="str">
        <f t="shared" ref="I38:N38" si="73">I8</f>
        <v>3eme T 2011</v>
      </c>
      <c r="J38" s="38" t="str">
        <f t="shared" si="73"/>
        <v>4eme T 2011</v>
      </c>
      <c r="K38" s="38" t="str">
        <f t="shared" si="73"/>
        <v>1er T 2012</v>
      </c>
      <c r="L38" s="38" t="str">
        <f t="shared" si="73"/>
        <v>2eme T 2012</v>
      </c>
      <c r="M38" s="38" t="str">
        <f t="shared" si="73"/>
        <v>3eme T 2012</v>
      </c>
      <c r="N38" s="38" t="str">
        <f t="shared" si="73"/>
        <v>4eme T 2012</v>
      </c>
      <c r="O38" s="38" t="str">
        <f t="shared" ref="O38:T38" si="74">O8</f>
        <v>1er T 2013</v>
      </c>
      <c r="P38" s="38" t="str">
        <f t="shared" si="74"/>
        <v>2e T 2013</v>
      </c>
      <c r="Q38" s="38" t="str">
        <f t="shared" si="74"/>
        <v>3e T 2013</v>
      </c>
      <c r="R38" s="38" t="str">
        <f t="shared" si="74"/>
        <v>4e T 2013</v>
      </c>
      <c r="S38" s="38" t="str">
        <f t="shared" si="74"/>
        <v>1er T 2014</v>
      </c>
      <c r="T38" s="38" t="str">
        <f t="shared" si="74"/>
        <v>2e T 2014</v>
      </c>
      <c r="U38" s="38" t="str">
        <f t="shared" ref="U38:V38" si="75">U8</f>
        <v>3e T 2014</v>
      </c>
      <c r="V38" s="38" t="str">
        <f t="shared" si="75"/>
        <v>4e T 2014</v>
      </c>
      <c r="W38" s="38" t="str">
        <f t="shared" ref="W38:X38" si="76">W8</f>
        <v>1er T 2015</v>
      </c>
      <c r="X38" s="38" t="str">
        <f t="shared" si="76"/>
        <v>2e T 2015</v>
      </c>
      <c r="Y38" s="38" t="str">
        <f t="shared" ref="Y38:Z38" si="77">Y8</f>
        <v>3e T 2015</v>
      </c>
      <c r="Z38" s="38" t="str">
        <f t="shared" si="77"/>
        <v>4e T 2015</v>
      </c>
      <c r="AA38" s="38" t="str">
        <f t="shared" ref="AA38:AB38" si="78">AA8</f>
        <v>1er T 2016</v>
      </c>
      <c r="AB38" s="38" t="str">
        <f t="shared" si="78"/>
        <v>2e T 2016</v>
      </c>
      <c r="AC38" s="38" t="str">
        <f t="shared" ref="AC38:AD38" si="79">AC8</f>
        <v>3e T 2016</v>
      </c>
      <c r="AD38" s="38" t="str">
        <f t="shared" si="79"/>
        <v>4e T 2016</v>
      </c>
      <c r="AE38" s="38" t="str">
        <f t="shared" ref="AE38:AF38" si="80">AE8</f>
        <v>1e T 2017</v>
      </c>
      <c r="AF38" s="38" t="str">
        <f t="shared" si="80"/>
        <v>2e T 2017</v>
      </c>
      <c r="AG38" s="38" t="str">
        <f t="shared" ref="AG38:AH38" si="81">AG8</f>
        <v>3e T 2017</v>
      </c>
      <c r="AH38" s="38" t="str">
        <f t="shared" si="81"/>
        <v>4e T 2017</v>
      </c>
      <c r="AI38" s="38" t="str">
        <f t="shared" ref="AI38:AJ38" si="82">AI8</f>
        <v>1e T 2018</v>
      </c>
      <c r="AJ38" s="38" t="str">
        <f t="shared" si="82"/>
        <v>2e T 2018</v>
      </c>
      <c r="AK38" s="38" t="str">
        <f t="shared" ref="AK38:AM38" si="83">AK8</f>
        <v>3e T 2018</v>
      </c>
      <c r="AL38" s="38" t="str">
        <f t="shared" si="83"/>
        <v>4e T 2018</v>
      </c>
      <c r="AM38" s="38" t="str">
        <f t="shared" si="83"/>
        <v>1e T 2019</v>
      </c>
      <c r="AN38" s="38" t="str">
        <f t="shared" ref="AN38:AP38" si="84">AN8</f>
        <v>2e T 2019</v>
      </c>
      <c r="AO38" s="38" t="str">
        <f t="shared" si="84"/>
        <v>3e T 2019</v>
      </c>
      <c r="AP38" s="38" t="str">
        <f t="shared" si="84"/>
        <v>4e T 2019</v>
      </c>
      <c r="AQ38" s="38" t="str">
        <f t="shared" ref="AQ38" si="85">AQ8</f>
        <v>1e T 2020</v>
      </c>
      <c r="AR38" s="38" t="str">
        <f t="shared" ref="AR38" si="86">AR8</f>
        <v>2e T 2020</v>
      </c>
      <c r="AS38" s="38" t="str">
        <f t="shared" ref="AS38:AT38" si="87">AS8</f>
        <v>3e T 2020</v>
      </c>
      <c r="AT38" s="38" t="str">
        <f t="shared" si="87"/>
        <v>4e T 2020</v>
      </c>
      <c r="AU38" s="38" t="str">
        <f t="shared" ref="AU38:AV38" si="88">AU8</f>
        <v>1er T 2021</v>
      </c>
      <c r="AV38" s="38" t="str">
        <f t="shared" si="88"/>
        <v>2e T 2021</v>
      </c>
      <c r="AW38" s="38" t="str">
        <f t="shared" ref="AW38:AX38" si="89">AW8</f>
        <v>3e T 2021</v>
      </c>
      <c r="AX38" s="38" t="str">
        <f t="shared" si="89"/>
        <v>4e T 2021</v>
      </c>
      <c r="AY38" s="38" t="str">
        <f t="shared" ref="AY38:AZ38" si="90">AY8</f>
        <v>1er T 2022</v>
      </c>
      <c r="AZ38" s="38" t="str">
        <f t="shared" si="90"/>
        <v>2e T 2022</v>
      </c>
      <c r="BA38" s="38" t="str">
        <f t="shared" ref="BA38:BB38" si="91">BA8</f>
        <v>3e T 2022</v>
      </c>
      <c r="BB38" s="38" t="str">
        <f t="shared" si="91"/>
        <v>4e T 2022</v>
      </c>
      <c r="BC38" s="38" t="str">
        <f t="shared" ref="BC38:BD38" si="92">BC8</f>
        <v>1er T 2023</v>
      </c>
      <c r="BD38" s="38" t="str">
        <f t="shared" si="92"/>
        <v>2e T 2023</v>
      </c>
      <c r="BE38" s="38" t="str">
        <f t="shared" ref="BE38:BF38" si="93">BE8</f>
        <v>3e T 2023</v>
      </c>
      <c r="BF38" s="38" t="str">
        <f t="shared" si="93"/>
        <v>4e T 2023</v>
      </c>
      <c r="BG38" s="38" t="str">
        <f t="shared" ref="BG38:BH38" si="94">BG8</f>
        <v>1er T 2024</v>
      </c>
      <c r="BH38" s="38" t="str">
        <f t="shared" si="94"/>
        <v>2e T 2024</v>
      </c>
      <c r="BI38" s="38" t="str">
        <f t="shared" ref="BI38:BJ38" si="95">BI8</f>
        <v>3e T 2024</v>
      </c>
      <c r="BJ38" s="38" t="str">
        <f t="shared" si="95"/>
        <v>4e T 2024</v>
      </c>
    </row>
    <row r="39" spans="1:62" x14ac:dyDescent="0.25">
      <c r="A39" s="307" t="s">
        <v>16</v>
      </c>
      <c r="B39" s="21"/>
      <c r="C39" s="45"/>
      <c r="D39" s="45"/>
      <c r="E39" s="45"/>
      <c r="F39" s="105">
        <f>'A)NSA Nb'!F40/'A)NSA Nb'!B40-1</f>
        <v>8.3485591273357862E-3</v>
      </c>
      <c r="G39" s="105">
        <f>'A)NSA Nb'!G40/'A)NSA Nb'!C40-1</f>
        <v>1.034921839018188E-2</v>
      </c>
      <c r="H39" s="105">
        <f>'A)NSA Nb'!H40/'A)NSA Nb'!D40-1</f>
        <v>2.3440994900241652E-2</v>
      </c>
      <c r="I39" s="105">
        <f>'A)NSA Nb'!I40/'A)NSA Nb'!E40-1</f>
        <v>2.3653311822174228E-2</v>
      </c>
      <c r="J39" s="105">
        <f>'A)NSA Nb'!J40/'A)NSA Nb'!F40-1</f>
        <v>2.3923359137431488E-2</v>
      </c>
      <c r="K39" s="105">
        <f>'A)NSA Nb'!K40/'A)NSA Nb'!G40-1</f>
        <v>1.7456359102244301E-2</v>
      </c>
      <c r="L39" s="105">
        <f>'A)NSA Nb'!L40/'A)NSA Nb'!H40-1</f>
        <v>1.6942040388145729E-2</v>
      </c>
      <c r="M39" s="105">
        <f>'A)NSA Nb'!M40/'A)NSA Nb'!I40-1</f>
        <v>1.7187787302226809E-2</v>
      </c>
      <c r="N39" s="105">
        <f>'A)NSA Nb'!N40/'A)NSA Nb'!J40-1</f>
        <v>1.7083085117566732E-2</v>
      </c>
      <c r="O39" s="105">
        <f>'A)NSA Nb'!O40/'A)NSA Nb'!K40-1</f>
        <v>1.879084967320277E-2</v>
      </c>
      <c r="P39" s="105">
        <f>'A)NSA Nb'!P40/'A)NSA Nb'!L40-1</f>
        <v>8.716731999174776E-3</v>
      </c>
      <c r="Q39" s="105">
        <f>'A)NSA Nb'!Q40/'A)NSA Nb'!M40-1</f>
        <v>8.392728023964402E-3</v>
      </c>
      <c r="R39" s="105">
        <f>'A)NSA Nb'!R40/'A)NSA Nb'!N40-1</f>
        <v>5.9088011852055367E-3</v>
      </c>
      <c r="S39" s="105">
        <f>'A)NSA Nb'!S40/'A)NSA Nb'!O40-1</f>
        <v>9.5799812021970521E-3</v>
      </c>
      <c r="T39" s="105">
        <f>'A)NSA Nb'!T40/'A)NSA Nb'!P40-1</f>
        <v>-2.9742121320583959E-3</v>
      </c>
      <c r="U39" s="105">
        <f>'A)NSA Nb'!U40/'A)NSA Nb'!Q40-1</f>
        <v>-2.6121027427078447E-3</v>
      </c>
      <c r="V39" s="105">
        <f>'A)NSA Nb'!V40/'A)NSA Nb'!R40-1</f>
        <v>4.3670365803527567E-4</v>
      </c>
      <c r="W39" s="105">
        <f>'A)NSA Nb'!W40/'A)NSA Nb'!S40-1</f>
        <v>-2.7416682325208663E-3</v>
      </c>
      <c r="X39" s="105">
        <f>'A)NSA Nb'!X40/'A)NSA Nb'!T40-1</f>
        <v>-2.7693964596172682E-3</v>
      </c>
      <c r="Y39" s="105">
        <f>'A)NSA Nb'!Y40/'A)NSA Nb'!U40-1</f>
        <v>-2.1995703562962543E-3</v>
      </c>
      <c r="Z39" s="105">
        <f>'A)NSA Nb'!Z40/'A)NSA Nb'!V40-1</f>
        <v>-8.0455343005081392E-4</v>
      </c>
      <c r="AA39" s="105">
        <f>'A)NSA Nb'!AA40/'A)NSA Nb'!W40-1</f>
        <v>5.138702135143447E-5</v>
      </c>
      <c r="AB39" s="105">
        <f>'A)NSA Nb'!AB40/'A)NSA Nb'!X40-1</f>
        <v>3.942778287291393E-4</v>
      </c>
      <c r="AC39" s="105">
        <f>'A)NSA Nb'!AC40/'A)NSA Nb'!Y40-1</f>
        <v>1.543951142524147E-4</v>
      </c>
      <c r="AD39" s="105">
        <f>'A)NSA Nb'!AD40/'A)NSA Nb'!Z40-1</f>
        <v>-5.310901911068644E-4</v>
      </c>
      <c r="AE39" s="105">
        <f>'A)NSA Nb'!AE40/'A)NSA Nb'!AA40-1</f>
        <v>-2.5692190430526285E-4</v>
      </c>
      <c r="AF39" s="105">
        <f>'A)NSA Nb'!AF40/'A)NSA Nb'!AB40-1</f>
        <v>-7.1970183781022712E-4</v>
      </c>
      <c r="AG39" s="105">
        <f>'A)NSA Nb'!AG40/'A)NSA Nb'!AC40-1</f>
        <v>2.1440455566801297E-4</v>
      </c>
      <c r="AH39" s="105">
        <f>'A)NSA Nb'!AH40/'A)NSA Nb'!AD40-1</f>
        <v>7.5249187942989515E-3</v>
      </c>
      <c r="AI39" s="105">
        <f>'A)NSA Nb'!AI40/'A)NSA Nb'!AE40-1</f>
        <v>7.7010716396685996E-3</v>
      </c>
      <c r="AJ39" s="105">
        <f>'A)NSA Nb'!AJ40/'A)NSA Nb'!AF40-1</f>
        <v>9.7143984017973306E-3</v>
      </c>
      <c r="AK39" s="105">
        <f>'A)NSA Nb'!AK40/'A)NSA Nb'!AG40-1</f>
        <v>8.5314721290954409E-3</v>
      </c>
      <c r="AL39" s="105">
        <f>'A)NSA Nb'!AL40/'A)NSA Nb'!AH40-1</f>
        <v>5.1039070408398501E-4</v>
      </c>
      <c r="AM39" s="105">
        <f>'A)NSA Nb'!AM40/'A)NSA Nb'!AI40-1</f>
        <v>4.5139243088851977E-3</v>
      </c>
      <c r="AN39" s="105">
        <f>'A)NSA Nb'!AN40/'A)NSA Nb'!AJ40-1</f>
        <v>3.269250365137033E-3</v>
      </c>
      <c r="AO39" s="105">
        <f>'A)NSA Nb'!AO40/'A)NSA Nb'!AK40-1</f>
        <v>3.4772406522589616E-3</v>
      </c>
      <c r="AP39" s="105">
        <f>'A)NSA Nb'!AP40/'A)NSA Nb'!AL40-1</f>
        <v>4.4721426324425551E-3</v>
      </c>
      <c r="AQ39" s="105">
        <f>'A)NSA Nb'!AQ40/'A)NSA Nb'!AM40-1</f>
        <v>1.2406170927585336E-2</v>
      </c>
      <c r="AR39" s="105">
        <f>'A)NSA Nb'!AR40/'A)NSA Nb'!AN40-1</f>
        <v>1.1409322127144517E-2</v>
      </c>
      <c r="AS39" s="105">
        <f>'A)NSA Nb'!AS40/'A)NSA Nb'!AO40-1</f>
        <v>1.1988375935135798E-2</v>
      </c>
      <c r="AT39" s="105">
        <f>'A)NSA Nb'!AT40/'A)NSA Nb'!AP40-1</f>
        <v>1.1790795899883966E-2</v>
      </c>
      <c r="AU39" s="105">
        <f>'A)NSA Nb'!AU40/'A)NSA Nb'!AQ40-1</f>
        <v>3.7197094447185552E-3</v>
      </c>
      <c r="AV39" s="105">
        <f>'A)NSA Nb'!AV40/'A)NSA Nb'!AR40-1</f>
        <v>5.0628886080821278E-3</v>
      </c>
      <c r="AW39" s="105">
        <f>'A)NSA Nb'!AW40/'A)NSA Nb'!AS40-1</f>
        <v>5.5255094352257839E-3</v>
      </c>
      <c r="AX39" s="105">
        <f>'A)NSA Nb'!AX40/'A)NSA Nb'!AT40-1</f>
        <v>7.1574744870583906E-3</v>
      </c>
      <c r="AY39" s="105">
        <f>'A)NSA Nb'!AY40/'A)NSA Nb'!AU40-1</f>
        <v>4.4426216406161068E-2</v>
      </c>
      <c r="AZ39" s="105">
        <f>'A)NSA Nb'!AZ40/'A)NSA Nb'!AV40-1</f>
        <v>4.2990908719604981E-2</v>
      </c>
      <c r="BA39" s="105">
        <f>'A)NSA Nb'!BA40/'A)NSA Nb'!AW40-1</f>
        <v>8.3381662517626021E-2</v>
      </c>
      <c r="BB39" s="105">
        <f>'A)NSA Nb'!BB40/'A)NSA Nb'!AX40-1</f>
        <v>8.1329894816358994E-2</v>
      </c>
      <c r="BC39" s="105">
        <f>'A)NSA Nb'!BC40/'A)NSA Nb'!AY40-1</f>
        <v>4.9743047464819501E-2</v>
      </c>
      <c r="BD39" s="105">
        <f>'A)NSA Nb'!BD40/'A)NSA Nb'!AZ40-1</f>
        <v>5.2173109974916088E-2</v>
      </c>
      <c r="BE39" s="105">
        <f>'A)NSA Nb'!BE40/'A)NSA Nb'!BA40-1</f>
        <v>1.3088525576375076E-2</v>
      </c>
      <c r="BF39" s="105">
        <f>'A)NSA Nb'!BF40/'A)NSA Nb'!BB40-1</f>
        <v>1.4535333136366235E-2</v>
      </c>
      <c r="BG39" s="105">
        <f>'A)NSA Nb'!BG40/'A)NSA Nb'!BC40-1</f>
        <v>5.5746925309523743E-2</v>
      </c>
      <c r="BH39" s="105">
        <f>'A)NSA Nb'!BH40/'A)NSA Nb'!BD40-1</f>
        <v>5.5183381230408335E-2</v>
      </c>
      <c r="BI39" s="105">
        <f>'A)NSA Nb'!BI40/'A)NSA Nb'!BE40-1</f>
        <v>5.4777195098515419E-2</v>
      </c>
      <c r="BJ39" s="105">
        <f>'A)NSA Nb'!BJ40/'A)NSA Nb'!BF40-1</f>
        <v>5.371160668065289E-2</v>
      </c>
    </row>
    <row r="40" spans="1:62" x14ac:dyDescent="0.25">
      <c r="A40" s="307" t="s">
        <v>17</v>
      </c>
      <c r="B40" s="21"/>
      <c r="C40" s="45"/>
      <c r="D40" s="45"/>
      <c r="E40" s="45"/>
      <c r="F40" s="105">
        <f>'A)NSA Nb'!F41/'A)NSA Nb'!B41-1</f>
        <v>-6.0090243441139113E-2</v>
      </c>
      <c r="G40" s="105">
        <f>'A)NSA Nb'!G41/'A)NSA Nb'!C41-1</f>
        <v>-6.2596132718083841E-2</v>
      </c>
      <c r="H40" s="105">
        <f>'A)NSA Nb'!H41/'A)NSA Nb'!D41-1</f>
        <v>-4.2459654980523065E-2</v>
      </c>
      <c r="I40" s="105">
        <f>'A)NSA Nb'!I41/'A)NSA Nb'!E41-1</f>
        <v>-4.5041731503748794E-2</v>
      </c>
      <c r="J40" s="105">
        <f>'A)NSA Nb'!J41/'A)NSA Nb'!F41-1</f>
        <v>-4.286083881909919E-2</v>
      </c>
      <c r="K40" s="105">
        <f>'A)NSA Nb'!K41/'A)NSA Nb'!G41-1</f>
        <v>-4.0024612499633849E-2</v>
      </c>
      <c r="L40" s="105">
        <f>'A)NSA Nb'!L41/'A)NSA Nb'!H41-1</f>
        <v>-3.9228221072819203E-2</v>
      </c>
      <c r="M40" s="105">
        <f>'A)NSA Nb'!M41/'A)NSA Nb'!I41-1</f>
        <v>-3.6855983171866225E-2</v>
      </c>
      <c r="N40" s="105">
        <f>'A)NSA Nb'!N41/'A)NSA Nb'!J41-1</f>
        <v>-3.6701105237866294E-2</v>
      </c>
      <c r="O40" s="105">
        <f>'A)NSA Nb'!O41/'A)NSA Nb'!K41-1</f>
        <v>-3.4947959588560229E-2</v>
      </c>
      <c r="P40" s="105">
        <f>'A)NSA Nb'!P41/'A)NSA Nb'!L41-1</f>
        <v>-4.7332446165013198E-2</v>
      </c>
      <c r="Q40" s="105">
        <f>'A)NSA Nb'!Q41/'A)NSA Nb'!M41-1</f>
        <v>-4.5956504352640759E-2</v>
      </c>
      <c r="R40" s="105">
        <f>'A)NSA Nb'!R41/'A)NSA Nb'!N41-1</f>
        <v>-4.6766851655546504E-2</v>
      </c>
      <c r="S40" s="105">
        <f>'A)NSA Nb'!S41/'A)NSA Nb'!O41-1</f>
        <v>-4.6460876715794797E-2</v>
      </c>
      <c r="T40" s="105">
        <f>'A)NSA Nb'!T41/'A)NSA Nb'!P41-1</f>
        <v>-5.3652496904663782E-2</v>
      </c>
      <c r="U40" s="105">
        <f>'A)NSA Nb'!U41/'A)NSA Nb'!Q41-1</f>
        <v>-4.8428179912945346E-2</v>
      </c>
      <c r="V40" s="105">
        <f>'A)NSA Nb'!V41/'A)NSA Nb'!R41-1</f>
        <v>-4.5855956041080614E-2</v>
      </c>
      <c r="W40" s="105">
        <f>'A)NSA Nb'!W41/'A)NSA Nb'!S41-1</f>
        <v>-4.6535540150585475E-2</v>
      </c>
      <c r="X40" s="105">
        <f>'A)NSA Nb'!X41/'A)NSA Nb'!T41-1</f>
        <v>-5.0622295279948881E-2</v>
      </c>
      <c r="Y40" s="105">
        <f>'A)NSA Nb'!Y41/'A)NSA Nb'!U41-1</f>
        <v>-5.0045742554128636E-2</v>
      </c>
      <c r="Z40" s="105">
        <f>'A)NSA Nb'!Z41/'A)NSA Nb'!V41-1</f>
        <v>-4.9979432332373674E-2</v>
      </c>
      <c r="AA40" s="105">
        <f>'A)NSA Nb'!AA41/'A)NSA Nb'!W41-1</f>
        <v>-4.7310930216377778E-2</v>
      </c>
      <c r="AB40" s="105">
        <f>'A)NSA Nb'!AB41/'A)NSA Nb'!X41-1</f>
        <v>-4.5406360424028347E-2</v>
      </c>
      <c r="AC40" s="105">
        <f>'A)NSA Nb'!AC41/'A)NSA Nb'!Y41-1</f>
        <v>-4.647595948066785E-2</v>
      </c>
      <c r="AD40" s="105">
        <f>'A)NSA Nb'!AD41/'A)NSA Nb'!Z41-1</f>
        <v>-4.3624161073825385E-2</v>
      </c>
      <c r="AE40" s="105">
        <f>'A)NSA Nb'!AE41/'A)NSA Nb'!AA41-1</f>
        <v>-4.4803914408822143E-2</v>
      </c>
      <c r="AF40" s="105">
        <f>'A)NSA Nb'!AF41/'A)NSA Nb'!AB41-1</f>
        <v>-4.3235239681658211E-2</v>
      </c>
      <c r="AG40" s="105">
        <f>'A)NSA Nb'!AG41/'A)NSA Nb'!AC41-1</f>
        <v>-4.1783563386077027E-2</v>
      </c>
      <c r="AH40" s="105">
        <f>'A)NSA Nb'!AH41/'A)NSA Nb'!AD41-1</f>
        <v>-3.720052820222608E-2</v>
      </c>
      <c r="AI40" s="105">
        <f>'A)NSA Nb'!AI41/'A)NSA Nb'!AE41-1</f>
        <v>-3.3105241026032961E-2</v>
      </c>
      <c r="AJ40" s="105">
        <f>'A)NSA Nb'!AJ41/'A)NSA Nb'!AF41-1</f>
        <v>-2.7043757496034493E-2</v>
      </c>
      <c r="AK40" s="105">
        <f>'A)NSA Nb'!AK41/'A)NSA Nb'!AG41-1</f>
        <v>-2.8614928169893861E-2</v>
      </c>
      <c r="AL40" s="105">
        <f>'A)NSA Nb'!AL41/'A)NSA Nb'!AH41-1</f>
        <v>-3.2093734080488989E-2</v>
      </c>
      <c r="AM40" s="105">
        <f>'A)NSA Nb'!AM41/'A)NSA Nb'!AI41-1</f>
        <v>-2.9968766061756247E-2</v>
      </c>
      <c r="AN40" s="105">
        <f>'A)NSA Nb'!AN41/'A)NSA Nb'!AJ41-1</f>
        <v>-3.2766025131223064E-2</v>
      </c>
      <c r="AO40" s="105">
        <f>'A)NSA Nb'!AO41/'A)NSA Nb'!AK41-1</f>
        <v>-2.9176546236386325E-2</v>
      </c>
      <c r="AP40" s="105">
        <f>'A)NSA Nb'!AP41/'A)NSA Nb'!AL41-1</f>
        <v>-3.1012145748987807E-2</v>
      </c>
      <c r="AQ40" s="105">
        <f>'A)NSA Nb'!AQ41/'A)NSA Nb'!AM41-1</f>
        <v>-2.2090890564499643E-2</v>
      </c>
      <c r="AR40" s="105">
        <f>'A)NSA Nb'!AR41/'A)NSA Nb'!AN41-1</f>
        <v>-2.4708107219207465E-2</v>
      </c>
      <c r="AS40" s="105">
        <f>'A)NSA Nb'!AS41/'A)NSA Nb'!AO41-1</f>
        <v>-2.3471457548536634E-2</v>
      </c>
      <c r="AT40" s="105">
        <f>'A)NSA Nb'!AT41/'A)NSA Nb'!AP41-1</f>
        <v>-2.0138714799030621E-2</v>
      </c>
      <c r="AU40" s="105">
        <f>'A)NSA Nb'!AU41/'A)NSA Nb'!AQ41-1</f>
        <v>-2.8633351394156681E-2</v>
      </c>
      <c r="AV40" s="105">
        <f>'A)NSA Nb'!AV41/'A)NSA Nb'!AR41-1</f>
        <v>-2.5586983096572924E-2</v>
      </c>
      <c r="AW40" s="105">
        <f>'A)NSA Nb'!AW41/'A)NSA Nb'!AS41-1</f>
        <v>-2.5688851208139019E-2</v>
      </c>
      <c r="AX40" s="105">
        <f>'A)NSA Nb'!AX41/'A)NSA Nb'!AT41-1</f>
        <v>-2.6416858540802557E-2</v>
      </c>
      <c r="AY40" s="105">
        <f>'A)NSA Nb'!AY41/'A)NSA Nb'!AU41-1</f>
        <v>-1.771900800468984E-2</v>
      </c>
      <c r="AZ40" s="105">
        <f>'A)NSA Nb'!AZ41/'A)NSA Nb'!AV41-1</f>
        <v>-1.7024593632055662E-2</v>
      </c>
      <c r="BA40" s="105">
        <f>'A)NSA Nb'!BA41/'A)NSA Nb'!AW41-1</f>
        <v>2.1724418004468449E-2</v>
      </c>
      <c r="BB40" s="105">
        <f>'A)NSA Nb'!BB41/'A)NSA Nb'!AX41-1</f>
        <v>1.9362216016416856E-2</v>
      </c>
      <c r="BC40" s="105">
        <f>'A)NSA Nb'!BC41/'A)NSA Nb'!AY41-1</f>
        <v>2.2733414948702402E-2</v>
      </c>
      <c r="BD40" s="105">
        <f>'A)NSA Nb'!BD41/'A)NSA Nb'!AZ41-1</f>
        <v>2.4456250279851321E-2</v>
      </c>
      <c r="BE40" s="105">
        <f>'A)NSA Nb'!BE41/'A)NSA Nb'!BA41-1</f>
        <v>-1.247211128160064E-2</v>
      </c>
      <c r="BF40" s="105">
        <f>'A)NSA Nb'!BF41/'A)NSA Nb'!BB41-1</f>
        <v>-5.3683783350659819E-3</v>
      </c>
      <c r="BG40" s="105">
        <f>'A)NSA Nb'!BG41/'A)NSA Nb'!BC41-1</f>
        <v>3.5408950590638089E-2</v>
      </c>
      <c r="BH40" s="105">
        <f>'A)NSA Nb'!BH41/'A)NSA Nb'!BD41-1</f>
        <v>3.6194134564442537E-2</v>
      </c>
      <c r="BI40" s="105">
        <f>'A)NSA Nb'!BI41/'A)NSA Nb'!BE41-1</f>
        <v>3.7087103199027638E-2</v>
      </c>
      <c r="BJ40" s="105">
        <f>'A)NSA Nb'!BJ41/'A)NSA Nb'!BF41-1</f>
        <v>3.916751016829334E-2</v>
      </c>
    </row>
    <row r="41" spans="1:62" x14ac:dyDescent="0.25">
      <c r="A41" s="307" t="s">
        <v>18</v>
      </c>
      <c r="B41" s="21"/>
      <c r="C41" s="45"/>
      <c r="D41" s="45"/>
      <c r="E41" s="45"/>
      <c r="F41" s="105">
        <f>'A)NSA Nb'!F42/'A)NSA Nb'!B42-1</f>
        <v>1.3808005628172193E-2</v>
      </c>
      <c r="G41" s="105">
        <f>'A)NSA Nb'!G42/'A)NSA Nb'!C42-1</f>
        <v>1.4212433788681311E-2</v>
      </c>
      <c r="H41" s="105">
        <f>'A)NSA Nb'!H42/'A)NSA Nb'!D42-1</f>
        <v>2.9618246343323884E-2</v>
      </c>
      <c r="I41" s="105">
        <f>'A)NSA Nb'!I42/'A)NSA Nb'!E42-1</f>
        <v>2.8645962595895469E-2</v>
      </c>
      <c r="J41" s="105">
        <f>'A)NSA Nb'!J42/'A)NSA Nb'!F42-1</f>
        <v>2.8660806732315525E-2</v>
      </c>
      <c r="K41" s="105">
        <f>'A)NSA Nb'!K42/'A)NSA Nb'!G42-1</f>
        <v>2.7273376983930619E-2</v>
      </c>
      <c r="L41" s="105">
        <f>'A)NSA Nb'!L42/'A)NSA Nb'!H42-1</f>
        <v>2.7284441103833545E-2</v>
      </c>
      <c r="M41" s="105">
        <f>'A)NSA Nb'!M42/'A)NSA Nb'!I42-1</f>
        <v>2.5977020122137651E-2</v>
      </c>
      <c r="N41" s="105">
        <f>'A)NSA Nb'!N42/'A)NSA Nb'!J42-1</f>
        <v>2.5870561528247737E-2</v>
      </c>
      <c r="O41" s="105">
        <f>'A)NSA Nb'!O42/'A)NSA Nb'!K42-1</f>
        <v>2.6474365835384761E-2</v>
      </c>
      <c r="P41" s="105">
        <f>'A)NSA Nb'!P42/'A)NSA Nb'!L42-1</f>
        <v>1.64835739147704E-2</v>
      </c>
      <c r="Q41" s="105">
        <f>'A)NSA Nb'!Q42/'A)NSA Nb'!M42-1</f>
        <v>1.7083342043102911E-2</v>
      </c>
      <c r="R41" s="105">
        <f>'A)NSA Nb'!R42/'A)NSA Nb'!N42-1</f>
        <v>1.6137113272932213E-2</v>
      </c>
      <c r="S41" s="105">
        <f>'A)NSA Nb'!S42/'A)NSA Nb'!O42-1</f>
        <v>1.7314279457996795E-2</v>
      </c>
      <c r="T41" s="105">
        <f>'A)NSA Nb'!T42/'A)NSA Nb'!P42-1</f>
        <v>3.388244488318426E-3</v>
      </c>
      <c r="U41" s="105">
        <f>'A)NSA Nb'!U42/'A)NSA Nb'!Q42-1</f>
        <v>3.971740526653722E-3</v>
      </c>
      <c r="V41" s="105">
        <f>'A)NSA Nb'!V42/'A)NSA Nb'!R42-1</f>
        <v>4.9922958397534689E-3</v>
      </c>
      <c r="W41" s="105">
        <f>'A)NSA Nb'!W42/'A)NSA Nb'!S42-1</f>
        <v>3.5771391086876214E-3</v>
      </c>
      <c r="X41" s="105">
        <f>'A)NSA Nb'!X42/'A)NSA Nb'!T42-1</f>
        <v>4.703953267915173E-3</v>
      </c>
      <c r="Y41" s="105">
        <f>'A)NSA Nb'!Y42/'A)NSA Nb'!U42-1</f>
        <v>4.8004585512644304E-3</v>
      </c>
      <c r="Z41" s="105">
        <f>'A)NSA Nb'!Z42/'A)NSA Nb'!V42-1</f>
        <v>5.5654360358150523E-3</v>
      </c>
      <c r="AA41" s="105">
        <f>'A)NSA Nb'!AA42/'A)NSA Nb'!W42-1</f>
        <v>6.1687416379847537E-3</v>
      </c>
      <c r="AB41" s="105">
        <f>'A)NSA Nb'!AB42/'A)NSA Nb'!X42-1</f>
        <v>5.7223585093306717E-3</v>
      </c>
      <c r="AC41" s="105">
        <f>'A)NSA Nb'!AC42/'A)NSA Nb'!Y42-1</f>
        <v>5.4294678510309335E-3</v>
      </c>
      <c r="AD41" s="105">
        <f>'A)NSA Nb'!AD42/'A)NSA Nb'!Z42-1</f>
        <v>4.3402910129548555E-3</v>
      </c>
      <c r="AE41" s="105">
        <f>'A)NSA Nb'!AE42/'A)NSA Nb'!AA42-1</f>
        <v>3.9587076342155747E-3</v>
      </c>
      <c r="AF41" s="105">
        <f>'A)NSA Nb'!AF42/'A)NSA Nb'!AB42-1</f>
        <v>3.4889322751590068E-3</v>
      </c>
      <c r="AG41" s="105">
        <f>'A)NSA Nb'!AG42/'A)NSA Nb'!AC42-1</f>
        <v>4.1742231588333123E-3</v>
      </c>
      <c r="AH41" s="105">
        <f>'A)NSA Nb'!AH42/'A)NSA Nb'!AD42-1</f>
        <v>1.1578068466462588E-2</v>
      </c>
      <c r="AI41" s="105">
        <f>'A)NSA Nb'!AI42/'A)NSA Nb'!AE42-1</f>
        <v>1.1440039633190624E-2</v>
      </c>
      <c r="AJ41" s="105">
        <f>'A)NSA Nb'!AJ42/'A)NSA Nb'!AF42-1</f>
        <v>1.2947044465669189E-2</v>
      </c>
      <c r="AK41" s="105">
        <f>'A)NSA Nb'!AK42/'A)NSA Nb'!AG42-1</f>
        <v>1.2697627960005287E-2</v>
      </c>
      <c r="AL41" s="105">
        <f>'A)NSA Nb'!AL42/'A)NSA Nb'!AH42-1</f>
        <v>5.2075256499402034E-3</v>
      </c>
      <c r="AM41" s="105">
        <f>'A)NSA Nb'!AM42/'A)NSA Nb'!AI42-1</f>
        <v>9.1914612874044455E-3</v>
      </c>
      <c r="AN41" s="105">
        <f>'A)NSA Nb'!AN42/'A)NSA Nb'!AJ42-1</f>
        <v>8.3963181920228003E-3</v>
      </c>
      <c r="AO41" s="105">
        <f>'A)NSA Nb'!AO42/'A)NSA Nb'!AK42-1</f>
        <v>1.0107450820203034E-2</v>
      </c>
      <c r="AP41" s="105">
        <f>'A)NSA Nb'!AP42/'A)NSA Nb'!AL42-1</f>
        <v>8.0967831833744786E-3</v>
      </c>
      <c r="AQ41" s="105">
        <f>'A)NSA Nb'!AQ42/'A)NSA Nb'!AM42-1</f>
        <v>1.4907189128152476E-2</v>
      </c>
      <c r="AR41" s="105">
        <f>'A)NSA Nb'!AR42/'A)NSA Nb'!AN42-1</f>
        <v>1.4253344415420033E-2</v>
      </c>
      <c r="AS41" s="105">
        <f>'A)NSA Nb'!AS42/'A)NSA Nb'!AO42-1</f>
        <v>1.1860611918805386E-2</v>
      </c>
      <c r="AT41" s="105">
        <f>'A)NSA Nb'!AT42/'A)NSA Nb'!AP42-1</f>
        <v>1.3916108426181406E-2</v>
      </c>
      <c r="AU41" s="105">
        <f>'A)NSA Nb'!AU42/'A)NSA Nb'!AQ42-1</f>
        <v>7.0269267930860302E-3</v>
      </c>
      <c r="AV41" s="105">
        <f>'A)NSA Nb'!AV42/'A)NSA Nb'!AR42-1</f>
        <v>6.3704520289353805E-3</v>
      </c>
      <c r="AW41" s="105">
        <f>'A)NSA Nb'!AW42/'A)NSA Nb'!AS42-1</f>
        <v>6.2092729691924919E-3</v>
      </c>
      <c r="AX41" s="105">
        <f>'A)NSA Nb'!AX42/'A)NSA Nb'!AT42-1</f>
        <v>6.6153896192902018E-3</v>
      </c>
      <c r="AY41" s="105">
        <f>'A)NSA Nb'!AY42/'A)NSA Nb'!AU42-1</f>
        <v>1.5106886341665016E-2</v>
      </c>
      <c r="AZ41" s="105">
        <f>'A)NSA Nb'!AZ42/'A)NSA Nb'!AV42-1</f>
        <v>1.6597463880081209E-2</v>
      </c>
      <c r="BA41" s="105">
        <f>'A)NSA Nb'!BA42/'A)NSA Nb'!AW42-1</f>
        <v>5.6898111823774133E-2</v>
      </c>
      <c r="BB41" s="105">
        <f>'A)NSA Nb'!BB42/'A)NSA Nb'!AX42-1</f>
        <v>5.1503468818840714E-2</v>
      </c>
      <c r="BC41" s="105">
        <f>'A)NSA Nb'!BC42/'A)NSA Nb'!AY42-1</f>
        <v>5.1320389182700543E-2</v>
      </c>
      <c r="BD41" s="105">
        <f>'A)NSA Nb'!BD42/'A)NSA Nb'!AZ42-1</f>
        <v>5.1177892274666181E-2</v>
      </c>
      <c r="BE41" s="105">
        <f>'A)NSA Nb'!BE42/'A)NSA Nb'!BA42-1</f>
        <v>1.1302128083370055E-2</v>
      </c>
      <c r="BF41" s="105">
        <f>'A)NSA Nb'!BF42/'A)NSA Nb'!BB42-1</f>
        <v>1.6052501523716955E-2</v>
      </c>
      <c r="BG41" s="105">
        <f>'A)NSA Nb'!BG42/'A)NSA Nb'!BC42-1</f>
        <v>5.5010536832100332E-2</v>
      </c>
      <c r="BH41" s="105">
        <f>'A)NSA Nb'!BH42/'A)NSA Nb'!BD42-1</f>
        <v>5.4184572139094556E-2</v>
      </c>
      <c r="BI41" s="105">
        <f>'A)NSA Nb'!BI42/'A)NSA Nb'!BE42-1</f>
        <v>5.3711079622663638E-2</v>
      </c>
      <c r="BJ41" s="105">
        <f>'A)NSA Nb'!BJ42/'A)NSA Nb'!BF42-1</f>
        <v>5.4061241788188941E-2</v>
      </c>
    </row>
    <row r="42" spans="1:62" ht="13" thickBot="1" x14ac:dyDescent="0.3">
      <c r="A42" s="310"/>
      <c r="B42" s="15"/>
      <c r="C42" s="43"/>
      <c r="D42" s="43"/>
      <c r="E42" s="43"/>
      <c r="F42" s="43"/>
      <c r="G42" s="43"/>
      <c r="H42" s="43"/>
      <c r="I42" s="43"/>
      <c r="J42" s="43"/>
      <c r="K42" s="149"/>
      <c r="L42" s="149"/>
      <c r="M42" s="43"/>
      <c r="N42" s="43"/>
      <c r="O42" s="43"/>
      <c r="P42" s="43"/>
      <c r="Q42" s="43"/>
      <c r="R42" s="43"/>
      <c r="S42" s="43"/>
      <c r="T42" s="43"/>
      <c r="U42" s="43"/>
      <c r="V42" s="43"/>
      <c r="W42" s="43"/>
      <c r="X42" s="43"/>
      <c r="Y42" s="43"/>
      <c r="Z42" s="43"/>
      <c r="AA42" s="43"/>
      <c r="AB42" s="43"/>
      <c r="AC42" s="43"/>
      <c r="AD42" s="43"/>
      <c r="AE42" s="43"/>
      <c r="AF42" s="43"/>
      <c r="AG42" s="43"/>
      <c r="AH42" s="43"/>
      <c r="AI42" s="43"/>
      <c r="AJ42" s="43"/>
      <c r="AM42" s="43"/>
      <c r="AN42" s="43"/>
      <c r="AO42" s="43"/>
    </row>
    <row r="43" spans="1:62" x14ac:dyDescent="0.25">
      <c r="A43" s="311"/>
      <c r="B43" s="10"/>
      <c r="C43" s="44"/>
      <c r="D43" s="44"/>
      <c r="E43" s="44"/>
      <c r="F43" s="44"/>
      <c r="G43" s="44"/>
      <c r="H43" s="44"/>
      <c r="I43" s="44"/>
      <c r="J43" s="44"/>
      <c r="K43" s="148"/>
      <c r="L43" s="148"/>
      <c r="M43" s="44"/>
      <c r="N43" s="44"/>
      <c r="O43" s="44"/>
      <c r="P43" s="44"/>
      <c r="Q43" s="44"/>
      <c r="R43" s="44"/>
      <c r="S43" s="44"/>
      <c r="T43" s="44"/>
      <c r="U43" s="44"/>
      <c r="V43" s="44"/>
      <c r="W43" s="44"/>
      <c r="X43" s="44"/>
      <c r="Y43" s="44"/>
      <c r="Z43" s="44"/>
      <c r="AA43" s="44"/>
      <c r="AB43" s="44"/>
      <c r="AC43" s="44"/>
      <c r="AD43" s="44"/>
      <c r="AE43" s="44"/>
      <c r="AF43" s="44"/>
      <c r="AG43" s="44"/>
      <c r="AH43" s="44"/>
      <c r="AI43" s="44"/>
      <c r="AJ43" s="44"/>
      <c r="AM43" s="44"/>
      <c r="AN43" s="44"/>
      <c r="AO43" s="44"/>
    </row>
    <row r="44" spans="1:62" x14ac:dyDescent="0.25">
      <c r="A44" s="301" t="s">
        <v>10</v>
      </c>
      <c r="L44" s="14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M44" s="35"/>
      <c r="AN44" s="35"/>
      <c r="AO44" s="35"/>
    </row>
    <row r="45" spans="1:62" x14ac:dyDescent="0.25">
      <c r="A45" s="314"/>
      <c r="B45" s="2" t="str">
        <f t="shared" ref="B45:H45" si="96">B8</f>
        <v>4eme T 2009</v>
      </c>
      <c r="C45" s="38" t="str">
        <f t="shared" si="96"/>
        <v>1er T 2010</v>
      </c>
      <c r="D45" s="38" t="str">
        <f t="shared" si="96"/>
        <v>2eme T 2010</v>
      </c>
      <c r="E45" s="38" t="str">
        <f t="shared" si="96"/>
        <v>3eme T 2010</v>
      </c>
      <c r="F45" s="38" t="str">
        <f t="shared" si="96"/>
        <v>4eme T 2010</v>
      </c>
      <c r="G45" s="38" t="str">
        <f t="shared" si="96"/>
        <v>1er T 2011</v>
      </c>
      <c r="H45" s="38" t="str">
        <f t="shared" si="96"/>
        <v>2eme T 2011</v>
      </c>
      <c r="I45" s="38" t="str">
        <f t="shared" ref="I45:N45" si="97">I8</f>
        <v>3eme T 2011</v>
      </c>
      <c r="J45" s="38" t="str">
        <f t="shared" si="97"/>
        <v>4eme T 2011</v>
      </c>
      <c r="K45" s="38" t="str">
        <f t="shared" si="97"/>
        <v>1er T 2012</v>
      </c>
      <c r="L45" s="38" t="str">
        <f t="shared" si="97"/>
        <v>2eme T 2012</v>
      </c>
      <c r="M45" s="38" t="str">
        <f t="shared" si="97"/>
        <v>3eme T 2012</v>
      </c>
      <c r="N45" s="38" t="str">
        <f t="shared" si="97"/>
        <v>4eme T 2012</v>
      </c>
      <c r="O45" s="38" t="str">
        <f t="shared" ref="O45:T45" si="98">O8</f>
        <v>1er T 2013</v>
      </c>
      <c r="P45" s="38" t="str">
        <f t="shared" si="98"/>
        <v>2e T 2013</v>
      </c>
      <c r="Q45" s="38" t="str">
        <f t="shared" si="98"/>
        <v>3e T 2013</v>
      </c>
      <c r="R45" s="38" t="str">
        <f t="shared" si="98"/>
        <v>4e T 2013</v>
      </c>
      <c r="S45" s="38" t="str">
        <f t="shared" si="98"/>
        <v>1er T 2014</v>
      </c>
      <c r="T45" s="38" t="str">
        <f t="shared" si="98"/>
        <v>2e T 2014</v>
      </c>
      <c r="U45" s="38" t="str">
        <f t="shared" ref="U45:V45" si="99">U8</f>
        <v>3e T 2014</v>
      </c>
      <c r="V45" s="38" t="str">
        <f t="shared" si="99"/>
        <v>4e T 2014</v>
      </c>
      <c r="W45" s="38" t="str">
        <f t="shared" ref="W45:X45" si="100">W8</f>
        <v>1er T 2015</v>
      </c>
      <c r="X45" s="38" t="str">
        <f t="shared" si="100"/>
        <v>2e T 2015</v>
      </c>
      <c r="Y45" s="38" t="str">
        <f t="shared" ref="Y45:Z45" si="101">Y8</f>
        <v>3e T 2015</v>
      </c>
      <c r="Z45" s="38" t="str">
        <f t="shared" si="101"/>
        <v>4e T 2015</v>
      </c>
      <c r="AA45" s="38" t="str">
        <f t="shared" ref="AA45:AB45" si="102">AA8</f>
        <v>1er T 2016</v>
      </c>
      <c r="AB45" s="38" t="str">
        <f t="shared" si="102"/>
        <v>2e T 2016</v>
      </c>
      <c r="AC45" s="38" t="str">
        <f t="shared" ref="AC45:AD45" si="103">AC8</f>
        <v>3e T 2016</v>
      </c>
      <c r="AD45" s="38" t="str">
        <f t="shared" si="103"/>
        <v>4e T 2016</v>
      </c>
      <c r="AE45" s="38" t="str">
        <f t="shared" ref="AE45:AF45" si="104">AE8</f>
        <v>1e T 2017</v>
      </c>
      <c r="AF45" s="38" t="str">
        <f t="shared" si="104"/>
        <v>2e T 2017</v>
      </c>
      <c r="AG45" s="38" t="str">
        <f t="shared" ref="AG45:AH45" si="105">AG8</f>
        <v>3e T 2017</v>
      </c>
      <c r="AH45" s="38" t="str">
        <f t="shared" si="105"/>
        <v>4e T 2017</v>
      </c>
      <c r="AI45" s="38" t="str">
        <f t="shared" ref="AI45:AJ45" si="106">AI8</f>
        <v>1e T 2018</v>
      </c>
      <c r="AJ45" s="38" t="str">
        <f t="shared" si="106"/>
        <v>2e T 2018</v>
      </c>
      <c r="AK45" s="38" t="str">
        <f t="shared" ref="AK45:AM45" si="107">AK8</f>
        <v>3e T 2018</v>
      </c>
      <c r="AL45" s="38" t="str">
        <f t="shared" si="107"/>
        <v>4e T 2018</v>
      </c>
      <c r="AM45" s="38" t="str">
        <f t="shared" si="107"/>
        <v>1e T 2019</v>
      </c>
      <c r="AN45" s="38" t="str">
        <f t="shared" ref="AN45:AP45" si="108">AN8</f>
        <v>2e T 2019</v>
      </c>
      <c r="AO45" s="38" t="str">
        <f t="shared" si="108"/>
        <v>3e T 2019</v>
      </c>
      <c r="AP45" s="38" t="str">
        <f t="shared" si="108"/>
        <v>4e T 2019</v>
      </c>
      <c r="AQ45" s="38" t="str">
        <f t="shared" ref="AQ45" si="109">AQ8</f>
        <v>1e T 2020</v>
      </c>
      <c r="AR45" s="38" t="str">
        <f t="shared" ref="AR45" si="110">AR8</f>
        <v>2e T 2020</v>
      </c>
      <c r="AS45" s="38" t="str">
        <f t="shared" ref="AS45:AT45" si="111">AS8</f>
        <v>3e T 2020</v>
      </c>
      <c r="AT45" s="38" t="str">
        <f t="shared" si="111"/>
        <v>4e T 2020</v>
      </c>
      <c r="AU45" s="38" t="str">
        <f t="shared" ref="AU45:AV45" si="112">AU8</f>
        <v>1er T 2021</v>
      </c>
      <c r="AV45" s="38" t="str">
        <f t="shared" si="112"/>
        <v>2e T 2021</v>
      </c>
      <c r="AW45" s="38" t="str">
        <f t="shared" ref="AW45:AX45" si="113">AW8</f>
        <v>3e T 2021</v>
      </c>
      <c r="AX45" s="38" t="str">
        <f t="shared" si="113"/>
        <v>4e T 2021</v>
      </c>
      <c r="AY45" s="38" t="str">
        <f t="shared" ref="AY45:AZ45" si="114">AY8</f>
        <v>1er T 2022</v>
      </c>
      <c r="AZ45" s="38" t="str">
        <f t="shared" si="114"/>
        <v>2e T 2022</v>
      </c>
      <c r="BA45" s="38" t="str">
        <f t="shared" ref="BA45:BB45" si="115">BA8</f>
        <v>3e T 2022</v>
      </c>
      <c r="BB45" s="38" t="str">
        <f t="shared" si="115"/>
        <v>4e T 2022</v>
      </c>
      <c r="BC45" s="38" t="str">
        <f t="shared" ref="BC45:BD45" si="116">BC8</f>
        <v>1er T 2023</v>
      </c>
      <c r="BD45" s="38" t="str">
        <f t="shared" si="116"/>
        <v>2e T 2023</v>
      </c>
      <c r="BE45" s="38" t="str">
        <f t="shared" ref="BE45:BF45" si="117">BE8</f>
        <v>3e T 2023</v>
      </c>
      <c r="BF45" s="38" t="str">
        <f t="shared" si="117"/>
        <v>4e T 2023</v>
      </c>
      <c r="BG45" s="38" t="str">
        <f t="shared" ref="BG45:BH45" si="118">BG8</f>
        <v>1er T 2024</v>
      </c>
      <c r="BH45" s="38" t="str">
        <f t="shared" si="118"/>
        <v>2e T 2024</v>
      </c>
      <c r="BI45" s="38" t="str">
        <f t="shared" ref="BI45:BJ45" si="119">BI8</f>
        <v>3e T 2024</v>
      </c>
      <c r="BJ45" s="38" t="str">
        <f t="shared" si="119"/>
        <v>4e T 2024</v>
      </c>
    </row>
    <row r="46" spans="1:62" x14ac:dyDescent="0.25">
      <c r="A46" s="312" t="s">
        <v>0</v>
      </c>
      <c r="B46" s="9"/>
      <c r="C46" s="46"/>
      <c r="D46" s="46"/>
      <c r="E46" s="46"/>
      <c r="F46" s="105">
        <f>'A)NSA Nb'!F47/'A)NSA Nb'!B47-1</f>
        <v>-2.238534384320634E-2</v>
      </c>
      <c r="G46" s="105">
        <f>'A)NSA Nb'!G47/'A)NSA Nb'!C47-1</f>
        <v>-2.4122841807461493E-2</v>
      </c>
      <c r="H46" s="105">
        <f>'A)NSA Nb'!H47/'A)NSA Nb'!D47-1</f>
        <v>-2.4446016878345578E-2</v>
      </c>
      <c r="I46" s="105">
        <f>'A)NSA Nb'!I47/'A)NSA Nb'!E47-1</f>
        <v>-2.5290739440260279E-2</v>
      </c>
      <c r="J46" s="105">
        <f>'A)NSA Nb'!J47/'A)NSA Nb'!F47-1</f>
        <v>-2.7947684244174376E-2</v>
      </c>
      <c r="K46" s="105">
        <f>'A)NSA Nb'!K47/'A)NSA Nb'!G47-1</f>
        <v>-2.8689751589397017E-2</v>
      </c>
      <c r="L46" s="105">
        <f>'A)NSA Nb'!L47/'A)NSA Nb'!H47-1</f>
        <v>-3.0500598291999248E-2</v>
      </c>
      <c r="M46" s="105">
        <f>'A)NSA Nb'!M47/'A)NSA Nb'!I47-1</f>
        <v>-3.257317772046997E-2</v>
      </c>
      <c r="N46" s="105">
        <f>'A)NSA Nb'!N47/'A)NSA Nb'!J47-1</f>
        <v>-3.2695990009712794E-2</v>
      </c>
      <c r="O46" s="105">
        <f>'A)NSA Nb'!O47/'A)NSA Nb'!K47-1</f>
        <v>-3.2436767341473827E-2</v>
      </c>
      <c r="P46" s="105">
        <f>'A)NSA Nb'!P47/'A)NSA Nb'!L47-1</f>
        <v>-3.1539052208156337E-2</v>
      </c>
      <c r="Q46" s="105">
        <f>'A)NSA Nb'!Q47/'A)NSA Nb'!M47-1</f>
        <v>-2.7781772821708239E-2</v>
      </c>
      <c r="R46" s="105">
        <f>'A)NSA Nb'!R47/'A)NSA Nb'!N47-1</f>
        <v>-2.7001904936769905E-2</v>
      </c>
      <c r="S46" s="105">
        <f>'A)NSA Nb'!S47/'A)NSA Nb'!O47-1</f>
        <v>-2.8690946726285693E-2</v>
      </c>
      <c r="T46" s="105">
        <f>'A)NSA Nb'!T47/'A)NSA Nb'!P47-1</f>
        <v>-2.6278423556454267E-2</v>
      </c>
      <c r="U46" s="105">
        <f>'A)NSA Nb'!U47/'A)NSA Nb'!Q47-1</f>
        <v>-2.6598354592976325E-2</v>
      </c>
      <c r="V46" s="105">
        <f>'A)NSA Nb'!V47/'A)NSA Nb'!R47-1</f>
        <v>-2.468185731639716E-2</v>
      </c>
      <c r="W46" s="105">
        <f>'A)NSA Nb'!W47/'A)NSA Nb'!S47-1</f>
        <v>-2.249367054793916E-2</v>
      </c>
      <c r="X46" s="105">
        <f>'A)NSA Nb'!X47/'A)NSA Nb'!T47-1</f>
        <v>-2.5890958857445079E-2</v>
      </c>
      <c r="Y46" s="105">
        <f>'A)NSA Nb'!Y47/'A)NSA Nb'!U47-1</f>
        <v>-2.7639638934740085E-2</v>
      </c>
      <c r="Z46" s="105">
        <f>'A)NSA Nb'!Z47/'A)NSA Nb'!V47-1</f>
        <v>-2.7623683056970494E-2</v>
      </c>
      <c r="AA46" s="105">
        <f>'A)NSA Nb'!AA47/'A)NSA Nb'!W47-1</f>
        <v>-2.6405962254640758E-2</v>
      </c>
      <c r="AB46" s="105">
        <f>'A)NSA Nb'!AB47/'A)NSA Nb'!X47-1</f>
        <v>-2.363576685102875E-2</v>
      </c>
      <c r="AC46" s="105">
        <f>'A)NSA Nb'!AC47/'A)NSA Nb'!Y47-1</f>
        <v>-2.1726347064467189E-2</v>
      </c>
      <c r="AD46" s="105">
        <f>'A)NSA Nb'!AD47/'A)NSA Nb'!Z47-1</f>
        <v>-2.2394080476297762E-2</v>
      </c>
      <c r="AE46" s="105">
        <f>'A)NSA Nb'!AE47/'A)NSA Nb'!AA47-1</f>
        <v>-2.360732530360965E-2</v>
      </c>
      <c r="AF46" s="105">
        <f>'A)NSA Nb'!AF47/'A)NSA Nb'!AB47-1</f>
        <v>-2.4837880634904663E-2</v>
      </c>
      <c r="AG46" s="105">
        <f>'A)NSA Nb'!AG47/'A)NSA Nb'!AC47-1</f>
        <v>-2.3885602201904499E-2</v>
      </c>
      <c r="AH46" s="105">
        <f>'A)NSA Nb'!AH47/'A)NSA Nb'!AD47-1</f>
        <v>-2.1502999734452355E-2</v>
      </c>
      <c r="AI46" s="105">
        <f>'A)NSA Nb'!AI47/'A)NSA Nb'!AE47-1</f>
        <v>-1.9124963067660095E-2</v>
      </c>
      <c r="AJ46" s="105">
        <f>'A)NSA Nb'!AJ47/'A)NSA Nb'!AF47-1</f>
        <v>-1.7655862116738086E-2</v>
      </c>
      <c r="AK46" s="105">
        <f>'A)NSA Nb'!AK47/'A)NSA Nb'!AG47-1</f>
        <v>-1.7994425358138333E-2</v>
      </c>
      <c r="AL46" s="105">
        <f>'A)NSA Nb'!AL47/'A)NSA Nb'!AH47-1</f>
        <v>-1.784303975195245E-2</v>
      </c>
      <c r="AM46" s="105">
        <f>'A)NSA Nb'!AM47/'A)NSA Nb'!AI47-1</f>
        <v>-1.910383118680492E-2</v>
      </c>
      <c r="AN46" s="105">
        <f>'A)NSA Nb'!AN47/'A)NSA Nb'!AJ47-1</f>
        <v>-2.0305117932689076E-2</v>
      </c>
      <c r="AO46" s="105">
        <f>'A)NSA Nb'!AO47/'A)NSA Nb'!AK47-1</f>
        <v>-1.9807715157035943E-2</v>
      </c>
      <c r="AP46" s="105">
        <f>'A)NSA Nb'!AP47/'A)NSA Nb'!AL47-1</f>
        <v>-1.8769461900176365E-2</v>
      </c>
      <c r="AQ46" s="105">
        <f>'A)NSA Nb'!AQ47/'A)NSA Nb'!AM47-1</f>
        <v>-1.7249936507883867E-2</v>
      </c>
      <c r="AR46" s="105">
        <f>'A)NSA Nb'!AR47/'A)NSA Nb'!AN47-1</f>
        <v>-1.7170643522509521E-2</v>
      </c>
      <c r="AS46" s="105">
        <f>'A)NSA Nb'!AS47/'A)NSA Nb'!AO47-1</f>
        <v>-1.8842607323901972E-2</v>
      </c>
      <c r="AT46" s="105">
        <f>'A)NSA Nb'!AT47/'A)NSA Nb'!AP47-1</f>
        <v>-2.0448804637782869E-2</v>
      </c>
      <c r="AU46" s="105">
        <f>'A)NSA Nb'!AU47/'A)NSA Nb'!AQ47-1</f>
        <v>-2.3714413600317563E-2</v>
      </c>
      <c r="AV46" s="105">
        <f>'A)NSA Nb'!AV47/'A)NSA Nb'!AR47-1</f>
        <v>-2.5235158569173133E-2</v>
      </c>
      <c r="AW46" s="105">
        <f>'A)NSA Nb'!AW47/'A)NSA Nb'!AS47-1</f>
        <v>-2.5098621952328592E-2</v>
      </c>
      <c r="AX46" s="105">
        <f>'A)NSA Nb'!AX47/'A)NSA Nb'!AT47-1</f>
        <v>-2.3598977475190019E-2</v>
      </c>
      <c r="AY46" s="105">
        <f>'A)NSA Nb'!AY47/'A)NSA Nb'!AU47-1</f>
        <v>-2.0267990761325572E-2</v>
      </c>
      <c r="AZ46" s="105">
        <f>'A)NSA Nb'!AZ47/'A)NSA Nb'!AV47-1</f>
        <v>-1.8740608729077124E-2</v>
      </c>
      <c r="BA46" s="105">
        <f>'A)NSA Nb'!BA47/'A)NSA Nb'!AW47-1</f>
        <v>-1.7190761659690912E-2</v>
      </c>
      <c r="BB46" s="105">
        <f>'A)NSA Nb'!BB47/'A)NSA Nb'!AX47-1</f>
        <v>-1.4774173756977205E-2</v>
      </c>
      <c r="BC46" s="105">
        <f>'A)NSA Nb'!BC47/'A)NSA Nb'!AY47-1</f>
        <v>-1.6832365042645958E-2</v>
      </c>
      <c r="BD46" s="105">
        <f>'A)NSA Nb'!BD47/'A)NSA Nb'!AZ47-1</f>
        <v>-1.4408472723258292E-2</v>
      </c>
      <c r="BE46" s="105">
        <f>'A)NSA Nb'!BE47/'A)NSA Nb'!BA47-1</f>
        <v>-1.2872792525613908E-2</v>
      </c>
      <c r="BF46" s="105">
        <f>'A)NSA Nb'!BF47/'A)NSA Nb'!BB47-1</f>
        <v>-1.6366453958835181E-2</v>
      </c>
      <c r="BG46" s="105">
        <f>'A)NSA Nb'!BG47/'A)NSA Nb'!BC47-1</f>
        <v>-1.4419191102777118E-2</v>
      </c>
      <c r="BH46" s="105">
        <f>'A)NSA Nb'!BH47/'A)NSA Nb'!BD47-1</f>
        <v>-1.5672367132652409E-2</v>
      </c>
      <c r="BI46" s="105">
        <f>'A)NSA Nb'!BI47/'A)NSA Nb'!BE47-1</f>
        <v>-1.6826953604777928E-2</v>
      </c>
      <c r="BJ46" s="105">
        <f>'A)NSA Nb'!BJ47/'A)NSA Nb'!BF47-1</f>
        <v>-1.5725513025760418E-2</v>
      </c>
    </row>
    <row r="47" spans="1:62" x14ac:dyDescent="0.25">
      <c r="A47" s="312" t="s">
        <v>1</v>
      </c>
      <c r="B47" s="9"/>
      <c r="C47" s="46"/>
      <c r="D47" s="46"/>
      <c r="E47" s="46"/>
      <c r="F47" s="105">
        <f>'A)NSA Nb'!F48/'A)NSA Nb'!B48-1</f>
        <v>-4.4364554434535575E-2</v>
      </c>
      <c r="G47" s="105">
        <f>'A)NSA Nb'!G48/'A)NSA Nb'!C48-1</f>
        <v>-4.6564322519917267E-2</v>
      </c>
      <c r="H47" s="105">
        <f>'A)NSA Nb'!H48/'A)NSA Nb'!D48-1</f>
        <v>-4.755569519582914E-2</v>
      </c>
      <c r="I47" s="105">
        <f>'A)NSA Nb'!I48/'A)NSA Nb'!E48-1</f>
        <v>-4.9014297286149477E-2</v>
      </c>
      <c r="J47" s="105">
        <f>'A)NSA Nb'!J48/'A)NSA Nb'!F48-1</f>
        <v>-5.258188137559705E-2</v>
      </c>
      <c r="K47" s="105">
        <f>'A)NSA Nb'!K48/'A)NSA Nb'!G48-1</f>
        <v>-5.2410880130276616E-2</v>
      </c>
      <c r="L47" s="105">
        <f>'A)NSA Nb'!L48/'A)NSA Nb'!H48-1</f>
        <v>-5.4378359989897485E-2</v>
      </c>
      <c r="M47" s="105">
        <f>'A)NSA Nb'!M48/'A)NSA Nb'!I48-1</f>
        <v>-5.6719132125164662E-2</v>
      </c>
      <c r="N47" s="105">
        <f>'A)NSA Nb'!N48/'A)NSA Nb'!J48-1</f>
        <v>-5.5940200392302408E-2</v>
      </c>
      <c r="O47" s="105">
        <f>'A)NSA Nb'!O48/'A)NSA Nb'!K48-1</f>
        <v>-5.4450447354005727E-2</v>
      </c>
      <c r="P47" s="105">
        <f>'A)NSA Nb'!P48/'A)NSA Nb'!L48-1</f>
        <v>-5.2752356086579688E-2</v>
      </c>
      <c r="Q47" s="105">
        <f>'A)NSA Nb'!Q48/'A)NSA Nb'!M48-1</f>
        <v>-4.8734142152789373E-2</v>
      </c>
      <c r="R47" s="105">
        <f>'A)NSA Nb'!R48/'A)NSA Nb'!N48-1</f>
        <v>-4.8467525466368677E-2</v>
      </c>
      <c r="S47" s="105">
        <f>'A)NSA Nb'!S48/'A)NSA Nb'!O48-1</f>
        <v>-5.2122203479357254E-2</v>
      </c>
      <c r="T47" s="105">
        <f>'A)NSA Nb'!T48/'A)NSA Nb'!P48-1</f>
        <v>-5.0223554662999215E-2</v>
      </c>
      <c r="U47" s="105">
        <f>'A)NSA Nb'!U48/'A)NSA Nb'!Q48-1</f>
        <v>-4.994962524677804E-2</v>
      </c>
      <c r="V47" s="105">
        <f>'A)NSA Nb'!V48/'A)NSA Nb'!R48-1</f>
        <v>-4.8239272456874427E-2</v>
      </c>
      <c r="W47" s="105">
        <f>'A)NSA Nb'!W48/'A)NSA Nb'!S48-1</f>
        <v>-4.483192522020496E-2</v>
      </c>
      <c r="X47" s="105">
        <f>'A)NSA Nb'!X48/'A)NSA Nb'!T48-1</f>
        <v>-4.9989397473569452E-2</v>
      </c>
      <c r="Y47" s="105">
        <f>'A)NSA Nb'!Y48/'A)NSA Nb'!U48-1</f>
        <v>-5.312132208709297E-2</v>
      </c>
      <c r="Z47" s="105">
        <f>'A)NSA Nb'!Z48/'A)NSA Nb'!V48-1</f>
        <v>-5.4888295002883281E-2</v>
      </c>
      <c r="AA47" s="105">
        <f>'A)NSA Nb'!AA48/'A)NSA Nb'!W48-1</f>
        <v>-5.4777677406403713E-2</v>
      </c>
      <c r="AB47" s="105">
        <f>'A)NSA Nb'!AB48/'A)NSA Nb'!X48-1</f>
        <v>-5.2128772225198294E-2</v>
      </c>
      <c r="AC47" s="105">
        <f>'A)NSA Nb'!AC48/'A)NSA Nb'!Y48-1</f>
        <v>-4.9621285686541117E-2</v>
      </c>
      <c r="AD47" s="105">
        <f>'A)NSA Nb'!AD48/'A)NSA Nb'!Z48-1</f>
        <v>-5.0544216348140991E-2</v>
      </c>
      <c r="AE47" s="105">
        <f>'A)NSA Nb'!AE48/'A)NSA Nb'!AA48-1</f>
        <v>-5.2476837718017477E-2</v>
      </c>
      <c r="AF47" s="105">
        <f>'A)NSA Nb'!AF48/'A)NSA Nb'!AB48-1</f>
        <v>-5.3192491421651056E-2</v>
      </c>
      <c r="AG47" s="105">
        <f>'A)NSA Nb'!AG48/'A)NSA Nb'!AC48-1</f>
        <v>-5.2736623412009132E-2</v>
      </c>
      <c r="AH47" s="105">
        <f>'A)NSA Nb'!AH48/'A)NSA Nb'!AD48-1</f>
        <v>-4.9952666238244348E-2</v>
      </c>
      <c r="AI47" s="105">
        <f>'A)NSA Nb'!AI48/'A)NSA Nb'!AE48-1</f>
        <v>-4.705503295533342E-2</v>
      </c>
      <c r="AJ47" s="105">
        <f>'A)NSA Nb'!AJ48/'A)NSA Nb'!AF48-1</f>
        <v>-4.3922856087092454E-2</v>
      </c>
      <c r="AK47" s="105">
        <f>'A)NSA Nb'!AK48/'A)NSA Nb'!AG48-1</f>
        <v>-4.4260515018372915E-2</v>
      </c>
      <c r="AL47" s="105">
        <f>'A)NSA Nb'!AL48/'A)NSA Nb'!AH48-1</f>
        <v>-4.5480332829046843E-2</v>
      </c>
      <c r="AM47" s="105">
        <f>'A)NSA Nb'!AM48/'A)NSA Nb'!AI48-1</f>
        <v>-4.7092634379754639E-2</v>
      </c>
      <c r="AN47" s="105">
        <f>'A)NSA Nb'!AN48/'A)NSA Nb'!AJ48-1</f>
        <v>-4.8995488431207823E-2</v>
      </c>
      <c r="AO47" s="105">
        <f>'A)NSA Nb'!AO48/'A)NSA Nb'!AK48-1</f>
        <v>-4.7160441809371845E-2</v>
      </c>
      <c r="AP47" s="105">
        <f>'A)NSA Nb'!AP48/'A)NSA Nb'!AL48-1</f>
        <v>-4.6633901017259061E-2</v>
      </c>
      <c r="AQ47" s="105">
        <f>'A)NSA Nb'!AQ48/'A)NSA Nb'!AM48-1</f>
        <v>-4.442164697170714E-2</v>
      </c>
      <c r="AR47" s="105">
        <f>'A)NSA Nb'!AR48/'A)NSA Nb'!AN48-1</f>
        <v>-4.4173160037827008E-2</v>
      </c>
      <c r="AS47" s="105">
        <f>'A)NSA Nb'!AS48/'A)NSA Nb'!AO48-1</f>
        <v>-4.5475363234365185E-2</v>
      </c>
      <c r="AT47" s="105">
        <f>'A)NSA Nb'!AT48/'A)NSA Nb'!AP48-1</f>
        <v>-4.6756983575110933E-2</v>
      </c>
      <c r="AU47" s="105">
        <f>'A)NSA Nb'!AU48/'A)NSA Nb'!AQ48-1</f>
        <v>-5.0966622270654183E-2</v>
      </c>
      <c r="AV47" s="105">
        <f>'A)NSA Nb'!AV48/'A)NSA Nb'!AR48-1</f>
        <v>-5.1643921863629316E-2</v>
      </c>
      <c r="AW47" s="105">
        <f>'A)NSA Nb'!AW48/'A)NSA Nb'!AS48-1</f>
        <v>-5.2671635740935252E-2</v>
      </c>
      <c r="AX47" s="105">
        <f>'A)NSA Nb'!AX48/'A)NSA Nb'!AT48-1</f>
        <v>-5.0417138305454245E-2</v>
      </c>
      <c r="AY47" s="105">
        <f>'A)NSA Nb'!AY48/'A)NSA Nb'!AU48-1</f>
        <v>-4.7469188830578934E-2</v>
      </c>
      <c r="AZ47" s="105">
        <f>'A)NSA Nb'!AZ48/'A)NSA Nb'!AV48-1</f>
        <v>-4.6170559478544315E-2</v>
      </c>
      <c r="BA47" s="105">
        <f>'A)NSA Nb'!BA48/'A)NSA Nb'!AW48-1</f>
        <v>-4.3269818537471361E-2</v>
      </c>
      <c r="BB47" s="105">
        <f>'A)NSA Nb'!BB48/'A)NSA Nb'!AX48-1</f>
        <v>-4.225973934235161E-2</v>
      </c>
      <c r="BC47" s="105">
        <f>'A)NSA Nb'!BC48/'A)NSA Nb'!AY48-1</f>
        <v>-4.3816412179658926E-2</v>
      </c>
      <c r="BD47" s="105">
        <f>'A)NSA Nb'!BD48/'A)NSA Nb'!AZ48-1</f>
        <v>-4.4184112521242325E-2</v>
      </c>
      <c r="BE47" s="105">
        <f>'A)NSA Nb'!BE48/'A)NSA Nb'!BA48-1</f>
        <v>-4.4359660091822684E-2</v>
      </c>
      <c r="BF47" s="105">
        <f>'A)NSA Nb'!BF48/'A)NSA Nb'!BB48-1</f>
        <v>-4.835616690944633E-2</v>
      </c>
      <c r="BG47" s="105">
        <f>'A)NSA Nb'!BG48/'A)NSA Nb'!BC48-1</f>
        <v>-4.653399699298677E-2</v>
      </c>
      <c r="BH47" s="105">
        <f>'A)NSA Nb'!BH48/'A)NSA Nb'!BD48-1</f>
        <v>-4.4959334216001512E-2</v>
      </c>
      <c r="BI47" s="105">
        <f>'A)NSA Nb'!BI48/'A)NSA Nb'!BE48-1</f>
        <v>-4.4336622126285863E-2</v>
      </c>
      <c r="BJ47" s="105">
        <f>'A)NSA Nb'!BJ48/'A)NSA Nb'!BF48-1</f>
        <v>-4.1222231910173268E-2</v>
      </c>
    </row>
    <row r="48" spans="1:62" x14ac:dyDescent="0.25">
      <c r="A48" s="312" t="s">
        <v>2</v>
      </c>
      <c r="B48" s="9"/>
      <c r="C48" s="46"/>
      <c r="D48" s="46"/>
      <c r="E48" s="46"/>
      <c r="F48" s="105">
        <f>'A)NSA Nb'!F49/'A)NSA Nb'!B49-1</f>
        <v>-2.9769501841532153E-2</v>
      </c>
      <c r="G48" s="105">
        <f>'A)NSA Nb'!G49/'A)NSA Nb'!C49-1</f>
        <v>-3.0389839336511848E-2</v>
      </c>
      <c r="H48" s="105">
        <f>'A)NSA Nb'!H49/'A)NSA Nb'!D49-1</f>
        <v>-3.111669264774708E-2</v>
      </c>
      <c r="I48" s="105">
        <f>'A)NSA Nb'!I49/'A)NSA Nb'!E49-1</f>
        <v>-3.2595678562098995E-2</v>
      </c>
      <c r="J48" s="105">
        <f>'A)NSA Nb'!J49/'A)NSA Nb'!F49-1</f>
        <v>-3.356328437050482E-2</v>
      </c>
      <c r="K48" s="105">
        <f>'A)NSA Nb'!K49/'A)NSA Nb'!G49-1</f>
        <v>-3.4310585869437915E-2</v>
      </c>
      <c r="L48" s="105">
        <f>'A)NSA Nb'!L49/'A)NSA Nb'!H49-1</f>
        <v>-3.6081023320788552E-2</v>
      </c>
      <c r="M48" s="105">
        <f>'A)NSA Nb'!M49/'A)NSA Nb'!I49-1</f>
        <v>-3.7491890375409898E-2</v>
      </c>
      <c r="N48" s="105">
        <f>'A)NSA Nb'!N49/'A)NSA Nb'!J49-1</f>
        <v>-3.8642663197194227E-2</v>
      </c>
      <c r="O48" s="105">
        <f>'A)NSA Nb'!O49/'A)NSA Nb'!K49-1</f>
        <v>-3.9740837677666008E-2</v>
      </c>
      <c r="P48" s="105">
        <f>'A)NSA Nb'!P49/'A)NSA Nb'!L49-1</f>
        <v>-4.0431023916131292E-2</v>
      </c>
      <c r="Q48" s="105">
        <f>'A)NSA Nb'!Q49/'A)NSA Nb'!M49-1</f>
        <v>-3.8642590649411224E-2</v>
      </c>
      <c r="R48" s="105">
        <f>'A)NSA Nb'!R49/'A)NSA Nb'!N49-1</f>
        <v>-3.8949242050912436E-2</v>
      </c>
      <c r="S48" s="105">
        <f>'A)NSA Nb'!S49/'A)NSA Nb'!O49-1</f>
        <v>-4.0212107821475884E-2</v>
      </c>
      <c r="T48" s="105">
        <f>'A)NSA Nb'!T49/'A)NSA Nb'!P49-1</f>
        <v>-3.9331858091227079E-2</v>
      </c>
      <c r="U48" s="105">
        <f>'A)NSA Nb'!U49/'A)NSA Nb'!Q49-1</f>
        <v>-4.104101448506392E-2</v>
      </c>
      <c r="V48" s="105">
        <f>'A)NSA Nb'!V49/'A)NSA Nb'!R49-1</f>
        <v>-4.1059668537885452E-2</v>
      </c>
      <c r="W48" s="105">
        <f>'A)NSA Nb'!W49/'A)NSA Nb'!S49-1</f>
        <v>-4.0608508596808868E-2</v>
      </c>
      <c r="X48" s="105">
        <f>'A)NSA Nb'!X49/'A)NSA Nb'!T49-1</f>
        <v>-4.3769700667182887E-2</v>
      </c>
      <c r="Y48" s="105">
        <f>'A)NSA Nb'!Y49/'A)NSA Nb'!U49-1</f>
        <v>-4.4915800165198472E-2</v>
      </c>
      <c r="Z48" s="105">
        <f>'A)NSA Nb'!Z49/'A)NSA Nb'!V49-1</f>
        <v>-4.5467423791984762E-2</v>
      </c>
      <c r="AA48" s="105">
        <f>'A)NSA Nb'!AA49/'A)NSA Nb'!W49-1</f>
        <v>-4.6573806720113575E-2</v>
      </c>
      <c r="AB48" s="105">
        <f>'A)NSA Nb'!AB49/'A)NSA Nb'!X49-1</f>
        <v>-4.5278311725491793E-2</v>
      </c>
      <c r="AC48" s="105">
        <f>'A)NSA Nb'!AC49/'A)NSA Nb'!Y49-1</f>
        <v>-4.4826701536016977E-2</v>
      </c>
      <c r="AD48" s="105">
        <f>'A)NSA Nb'!AD49/'A)NSA Nb'!Z49-1</f>
        <v>-4.5751934549315809E-2</v>
      </c>
      <c r="AE48" s="105">
        <f>'A)NSA Nb'!AE49/'A)NSA Nb'!AA49-1</f>
        <v>-4.7474230510567872E-2</v>
      </c>
      <c r="AF48" s="105">
        <f>'A)NSA Nb'!AF49/'A)NSA Nb'!AB49-1</f>
        <v>-4.9083486478266325E-2</v>
      </c>
      <c r="AG48" s="105">
        <f>'A)NSA Nb'!AG49/'A)NSA Nb'!AC49-1</f>
        <v>-4.8403377362659317E-2</v>
      </c>
      <c r="AH48" s="105">
        <f>'A)NSA Nb'!AH49/'A)NSA Nb'!AD49-1</f>
        <v>-4.8322300544556884E-2</v>
      </c>
      <c r="AI48" s="105">
        <f>'A)NSA Nb'!AI49/'A)NSA Nb'!AE49-1</f>
        <v>-4.6256866149494424E-2</v>
      </c>
      <c r="AJ48" s="105">
        <f>'A)NSA Nb'!AJ49/'A)NSA Nb'!AF49-1</f>
        <v>-4.6071510624783207E-2</v>
      </c>
      <c r="AK48" s="105">
        <f>'A)NSA Nb'!AK49/'A)NSA Nb'!AG49-1</f>
        <v>-4.7073177393948784E-2</v>
      </c>
      <c r="AL48" s="105">
        <f>'A)NSA Nb'!AL49/'A)NSA Nb'!AH49-1</f>
        <v>-4.5776576792233126E-2</v>
      </c>
      <c r="AM48" s="105">
        <f>'A)NSA Nb'!AM49/'A)NSA Nb'!AI49-1</f>
        <v>-4.7187380692981673E-2</v>
      </c>
      <c r="AN48" s="105">
        <f>'A)NSA Nb'!AN49/'A)NSA Nb'!AJ49-1</f>
        <v>-4.7932978833929885E-2</v>
      </c>
      <c r="AO48" s="105">
        <f>'A)NSA Nb'!AO49/'A)NSA Nb'!AK49-1</f>
        <v>-4.8165948461193042E-2</v>
      </c>
      <c r="AP48" s="105">
        <f>'A)NSA Nb'!AP49/'A)NSA Nb'!AL49-1</f>
        <v>-4.8522565549846797E-2</v>
      </c>
      <c r="AQ48" s="105">
        <f>'A)NSA Nb'!AQ49/'A)NSA Nb'!AM49-1</f>
        <v>-4.8004612821101689E-2</v>
      </c>
      <c r="AR48" s="105">
        <f>'A)NSA Nb'!AR49/'A)NSA Nb'!AN49-1</f>
        <v>-4.84861411479931E-2</v>
      </c>
      <c r="AS48" s="105">
        <f>'A)NSA Nb'!AS49/'A)NSA Nb'!AO49-1</f>
        <v>-5.0307173402397209E-2</v>
      </c>
      <c r="AT48" s="105">
        <f>'A)NSA Nb'!AT49/'A)NSA Nb'!AP49-1</f>
        <v>-5.1499034107906128E-2</v>
      </c>
      <c r="AU48" s="105">
        <f>'A)NSA Nb'!AU49/'A)NSA Nb'!AQ49-1</f>
        <v>-5.7257100034390218E-2</v>
      </c>
      <c r="AV48" s="105">
        <f>'A)NSA Nb'!AV49/'A)NSA Nb'!AR49-1</f>
        <v>-5.8244582414546331E-2</v>
      </c>
      <c r="AW48" s="105">
        <f>'A)NSA Nb'!AW49/'A)NSA Nb'!AS49-1</f>
        <v>-5.8040409485606181E-2</v>
      </c>
      <c r="AX48" s="105">
        <f>'A)NSA Nb'!AX49/'A)NSA Nb'!AT49-1</f>
        <v>-5.9362805366974913E-2</v>
      </c>
      <c r="AY48" s="105">
        <f>'A)NSA Nb'!AY49/'A)NSA Nb'!AU49-1</f>
        <v>-5.5153864581745315E-2</v>
      </c>
      <c r="AZ48" s="105">
        <f>'A)NSA Nb'!AZ49/'A)NSA Nb'!AV49-1</f>
        <v>-5.5088123284031565E-2</v>
      </c>
      <c r="BA48" s="105">
        <f>'A)NSA Nb'!BA49/'A)NSA Nb'!AW49-1</f>
        <v>-5.4872609142068485E-2</v>
      </c>
      <c r="BB48" s="105">
        <f>'A)NSA Nb'!BB49/'A)NSA Nb'!AX49-1</f>
        <v>-5.4198278066660999E-2</v>
      </c>
      <c r="BC48" s="105">
        <f>'A)NSA Nb'!BC49/'A)NSA Nb'!AY49-1</f>
        <v>-5.8523205292212666E-2</v>
      </c>
      <c r="BD48" s="105">
        <f>'A)NSA Nb'!BD49/'A)NSA Nb'!AZ49-1</f>
        <v>-5.8188443153060265E-2</v>
      </c>
      <c r="BE48" s="105">
        <f>'A)NSA Nb'!BE49/'A)NSA Nb'!BA49-1</f>
        <v>-5.7933761153095009E-2</v>
      </c>
      <c r="BF48" s="105">
        <f>'A)NSA Nb'!BF49/'A)NSA Nb'!BB49-1</f>
        <v>-5.9322950465065971E-2</v>
      </c>
      <c r="BG48" s="105">
        <f>'A)NSA Nb'!BG49/'A)NSA Nb'!BC49-1</f>
        <v>-5.5905791335642885E-2</v>
      </c>
      <c r="BH48" s="105">
        <f>'A)NSA Nb'!BH49/'A)NSA Nb'!BD49-1</f>
        <v>-5.4860640289604468E-2</v>
      </c>
      <c r="BI48" s="105">
        <f>'A)NSA Nb'!BI49/'A)NSA Nb'!BE49-1</f>
        <v>-5.4665641620245453E-2</v>
      </c>
      <c r="BJ48" s="105">
        <f>'A)NSA Nb'!BJ49/'A)NSA Nb'!BF49-1</f>
        <v>-5.3885216058254248E-2</v>
      </c>
    </row>
    <row r="49" spans="1:62" x14ac:dyDescent="0.25">
      <c r="A49" s="312" t="s">
        <v>3</v>
      </c>
      <c r="B49" s="9"/>
      <c r="C49" s="46"/>
      <c r="D49" s="46"/>
      <c r="E49" s="46"/>
      <c r="F49" s="105">
        <f>'A)NSA Nb'!F50/'A)NSA Nb'!B50-1</f>
        <v>-9.5693080268550723E-3</v>
      </c>
      <c r="G49" s="105">
        <f>'A)NSA Nb'!G50/'A)NSA Nb'!C50-1</f>
        <v>-9.8571745416654588E-3</v>
      </c>
      <c r="H49" s="105">
        <f>'A)NSA Nb'!H50/'A)NSA Nb'!D50-1</f>
        <v>-9.3029807380995422E-3</v>
      </c>
      <c r="I49" s="105">
        <f>'A)NSA Nb'!I50/'A)NSA Nb'!E50-1</f>
        <v>-9.4196580872597524E-3</v>
      </c>
      <c r="J49" s="105">
        <f>'A)NSA Nb'!J50/'A)NSA Nb'!F50-1</f>
        <v>-9.4656185870328757E-3</v>
      </c>
      <c r="K49" s="105">
        <f>'A)NSA Nb'!K50/'A)NSA Nb'!G50-1</f>
        <v>-9.7841361748888245E-3</v>
      </c>
      <c r="L49" s="105">
        <f>'A)NSA Nb'!L50/'A)NSA Nb'!H50-1</f>
        <v>-1.2149082505533371E-2</v>
      </c>
      <c r="M49" s="105">
        <f>'A)NSA Nb'!M50/'A)NSA Nb'!I50-1</f>
        <v>-1.4048067008939458E-2</v>
      </c>
      <c r="N49" s="105">
        <f>'A)NSA Nb'!N50/'A)NSA Nb'!J50-1</f>
        <v>-1.5375312201239666E-2</v>
      </c>
      <c r="O49" s="105">
        <f>'A)NSA Nb'!O50/'A)NSA Nb'!K50-1</f>
        <v>-1.8683910069677845E-2</v>
      </c>
      <c r="P49" s="105">
        <f>'A)NSA Nb'!P50/'A)NSA Nb'!L50-1</f>
        <v>-2.0996597236543568E-2</v>
      </c>
      <c r="Q49" s="105">
        <f>'A)NSA Nb'!Q50/'A)NSA Nb'!M50-1</f>
        <v>-2.1066158951392633E-2</v>
      </c>
      <c r="R49" s="105">
        <f>'A)NSA Nb'!R50/'A)NSA Nb'!N50-1</f>
        <v>-2.0228013874592388E-2</v>
      </c>
      <c r="S49" s="105">
        <f>'A)NSA Nb'!S50/'A)NSA Nb'!O50-1</f>
        <v>-1.8867842463519136E-2</v>
      </c>
      <c r="T49" s="105">
        <f>'A)NSA Nb'!T50/'A)NSA Nb'!P50-1</f>
        <v>-1.8342000746055742E-2</v>
      </c>
      <c r="U49" s="105">
        <f>'A)NSA Nb'!U50/'A)NSA Nb'!Q50-1</f>
        <v>-1.9957842059703967E-2</v>
      </c>
      <c r="V49" s="105">
        <f>'A)NSA Nb'!V50/'A)NSA Nb'!R50-1</f>
        <v>-2.0714055540596021E-2</v>
      </c>
      <c r="W49" s="105">
        <f>'A)NSA Nb'!W50/'A)NSA Nb'!S50-1</f>
        <v>-2.2107750346888166E-2</v>
      </c>
      <c r="X49" s="105">
        <f>'A)NSA Nb'!X50/'A)NSA Nb'!T50-1</f>
        <v>-2.2580811004736523E-2</v>
      </c>
      <c r="Y49" s="105">
        <f>'A)NSA Nb'!Y50/'A)NSA Nb'!U50-1</f>
        <v>-2.0955351885397322E-2</v>
      </c>
      <c r="Z49" s="105">
        <f>'A)NSA Nb'!Z50/'A)NSA Nb'!V50-1</f>
        <v>-2.0320539837588969E-2</v>
      </c>
      <c r="AA49" s="105">
        <f>'A)NSA Nb'!AA50/'A)NSA Nb'!W50-1</f>
        <v>-2.054490230744821E-2</v>
      </c>
      <c r="AB49" s="105">
        <f>'A)NSA Nb'!AB50/'A)NSA Nb'!X50-1</f>
        <v>-2.0193519321058617E-2</v>
      </c>
      <c r="AC49" s="105">
        <f>'A)NSA Nb'!AC50/'A)NSA Nb'!Y50-1</f>
        <v>-2.2250942330736323E-2</v>
      </c>
      <c r="AD49" s="105">
        <f>'A)NSA Nb'!AD50/'A)NSA Nb'!Z50-1</f>
        <v>-2.2964389322548184E-2</v>
      </c>
      <c r="AE49" s="105">
        <f>'A)NSA Nb'!AE50/'A)NSA Nb'!AA50-1</f>
        <v>-2.4849808847624222E-2</v>
      </c>
      <c r="AF49" s="105">
        <f>'A)NSA Nb'!AF50/'A)NSA Nb'!AB50-1</f>
        <v>-2.8428784494408776E-2</v>
      </c>
      <c r="AG49" s="105">
        <f>'A)NSA Nb'!AG50/'A)NSA Nb'!AC50-1</f>
        <v>-3.0131782527134776E-2</v>
      </c>
      <c r="AH49" s="105">
        <f>'A)NSA Nb'!AH50/'A)NSA Nb'!AD50-1</f>
        <v>-3.3247702447190997E-2</v>
      </c>
      <c r="AI49" s="105">
        <f>'A)NSA Nb'!AI50/'A)NSA Nb'!AE50-1</f>
        <v>-3.5070649155864775E-2</v>
      </c>
      <c r="AJ49" s="105">
        <f>'A)NSA Nb'!AJ50/'A)NSA Nb'!AF50-1</f>
        <v>-3.6330746001888237E-2</v>
      </c>
      <c r="AK49" s="105">
        <f>'A)NSA Nb'!AK50/'A)NSA Nb'!AG50-1</f>
        <v>-3.5096043283022071E-2</v>
      </c>
      <c r="AL49" s="105">
        <f>'A)NSA Nb'!AL50/'A)NSA Nb'!AH50-1</f>
        <v>-3.20212581989473E-2</v>
      </c>
      <c r="AM49" s="105">
        <f>'A)NSA Nb'!AM50/'A)NSA Nb'!AI50-1</f>
        <v>-3.0068863748155428E-2</v>
      </c>
      <c r="AN49" s="105">
        <f>'A)NSA Nb'!AN50/'A)NSA Nb'!AJ50-1</f>
        <v>-2.88530573172191E-2</v>
      </c>
      <c r="AO49" s="105">
        <f>'A)NSA Nb'!AO50/'A)NSA Nb'!AK50-1</f>
        <v>-3.0301281745723108E-2</v>
      </c>
      <c r="AP49" s="105">
        <f>'A)NSA Nb'!AP50/'A)NSA Nb'!AL50-1</f>
        <v>-3.224767502717496E-2</v>
      </c>
      <c r="AQ49" s="105">
        <f>'A)NSA Nb'!AQ50/'A)NSA Nb'!AM50-1</f>
        <v>-3.2616247521388364E-2</v>
      </c>
      <c r="AR49" s="105">
        <f>'A)NSA Nb'!AR50/'A)NSA Nb'!AN50-1</f>
        <v>-3.3093576888916232E-2</v>
      </c>
      <c r="AS49" s="105">
        <f>'A)NSA Nb'!AS50/'A)NSA Nb'!AO50-1</f>
        <v>-3.5905091340917239E-2</v>
      </c>
      <c r="AT49" s="105">
        <f>'A)NSA Nb'!AT50/'A)NSA Nb'!AP50-1</f>
        <v>-3.6403298943339713E-2</v>
      </c>
      <c r="AU49" s="105">
        <f>'A)NSA Nb'!AU50/'A)NSA Nb'!AQ50-1</f>
        <v>-4.2467976021661191E-2</v>
      </c>
      <c r="AV49" s="105">
        <f>'A)NSA Nb'!AV50/'A)NSA Nb'!AR50-1</f>
        <v>-4.310935301457508E-2</v>
      </c>
      <c r="AW49" s="105">
        <f>'A)NSA Nb'!AW50/'A)NSA Nb'!AS50-1</f>
        <v>-4.0712106289968131E-2</v>
      </c>
      <c r="AX49" s="105">
        <f>'A)NSA Nb'!AX50/'A)NSA Nb'!AT50-1</f>
        <v>-4.2152468787691522E-2</v>
      </c>
      <c r="AY49" s="105">
        <f>'A)NSA Nb'!AY50/'A)NSA Nb'!AU50-1</f>
        <v>-3.9711586629401441E-2</v>
      </c>
      <c r="AZ49" s="105">
        <f>'A)NSA Nb'!AZ50/'A)NSA Nb'!AV50-1</f>
        <v>-4.1960758201269543E-2</v>
      </c>
      <c r="BA49" s="105">
        <f>'A)NSA Nb'!BA50/'A)NSA Nb'!AW50-1</f>
        <v>-4.4129577307186585E-2</v>
      </c>
      <c r="BB49" s="105">
        <f>'A)NSA Nb'!BB50/'A)NSA Nb'!AX50-1</f>
        <v>-4.3244080735805768E-2</v>
      </c>
      <c r="BC49" s="105">
        <f>'A)NSA Nb'!BC50/'A)NSA Nb'!AY50-1</f>
        <v>-4.8631421713673295E-2</v>
      </c>
      <c r="BD49" s="105">
        <f>'A)NSA Nb'!BD50/'A)NSA Nb'!AZ50-1</f>
        <v>-4.5284210038574302E-2</v>
      </c>
      <c r="BE49" s="105">
        <f>'A)NSA Nb'!BE50/'A)NSA Nb'!BA50-1</f>
        <v>-4.3860753010725895E-2</v>
      </c>
      <c r="BF49" s="105">
        <f>'A)NSA Nb'!BF50/'A)NSA Nb'!BB50-1</f>
        <v>-4.1768491964879861E-2</v>
      </c>
      <c r="BG49" s="105">
        <f>'A)NSA Nb'!BG50/'A)NSA Nb'!BC50-1</f>
        <v>-3.6866801301604246E-2</v>
      </c>
      <c r="BH49" s="105">
        <f>'A)NSA Nb'!BH50/'A)NSA Nb'!BD50-1</f>
        <v>-3.9612219455153808E-2</v>
      </c>
      <c r="BI49" s="105">
        <f>'A)NSA Nb'!BI50/'A)NSA Nb'!BE50-1</f>
        <v>-4.2524211222253472E-2</v>
      </c>
      <c r="BJ49" s="105">
        <f>'A)NSA Nb'!BJ50/'A)NSA Nb'!BF50-1</f>
        <v>-4.616098424325854E-2</v>
      </c>
    </row>
    <row r="50" spans="1:62" x14ac:dyDescent="0.25">
      <c r="A50" s="312" t="s">
        <v>4</v>
      </c>
      <c r="B50" s="9"/>
      <c r="C50" s="46"/>
      <c r="D50" s="46"/>
      <c r="E50" s="46"/>
      <c r="F50" s="105">
        <f>'A)NSA Nb'!F51/'A)NSA Nb'!B51-1</f>
        <v>-1.1627906976744207E-2</v>
      </c>
      <c r="G50" s="105">
        <f>'A)NSA Nb'!G51/'A)NSA Nb'!C51-1</f>
        <v>-5.2941176470588269E-2</v>
      </c>
      <c r="H50" s="105">
        <f>'A)NSA Nb'!H51/'A)NSA Nb'!D51-1</f>
        <v>-4.6012269938650263E-2</v>
      </c>
      <c r="I50" s="105">
        <f>'A)NSA Nb'!I51/'A)NSA Nb'!E51-1</f>
        <v>-2.7950310559006208E-2</v>
      </c>
      <c r="J50" s="105">
        <f>'A)NSA Nb'!J51/'A)NSA Nb'!F51-1</f>
        <v>-0.10588235294117643</v>
      </c>
      <c r="K50" s="105">
        <f>'A)NSA Nb'!K51/'A)NSA Nb'!G51-1</f>
        <v>-9.0062111801242239E-2</v>
      </c>
      <c r="L50" s="105">
        <f>'A)NSA Nb'!L51/'A)NSA Nb'!H51-1</f>
        <v>-9.6463022508038621E-2</v>
      </c>
      <c r="M50" s="105">
        <f>'A)NSA Nb'!M51/'A)NSA Nb'!I51-1</f>
        <v>-9.2651757188498385E-2</v>
      </c>
      <c r="N50" s="105">
        <f>'A)NSA Nb'!N51/'A)NSA Nb'!J51-1</f>
        <v>-7.2368421052631526E-2</v>
      </c>
      <c r="O50" s="105">
        <f>'A)NSA Nb'!O51/'A)NSA Nb'!K51-1</f>
        <v>-6.4846416382252525E-2</v>
      </c>
      <c r="P50" s="105">
        <f>'A)NSA Nb'!P51/'A)NSA Nb'!L51-1</f>
        <v>-3.5587188612099641E-2</v>
      </c>
      <c r="Q50" s="105">
        <f>'A)NSA Nb'!Q51/'A)NSA Nb'!M51-1</f>
        <v>-3.5211267605633756E-2</v>
      </c>
      <c r="R50" s="105">
        <f>'A)NSA Nb'!R51/'A)NSA Nb'!N51-1</f>
        <v>-4.2553191489361653E-2</v>
      </c>
      <c r="S50" s="105">
        <f>'A)NSA Nb'!S51/'A)NSA Nb'!O51-1</f>
        <v>3.6496350364962904E-3</v>
      </c>
      <c r="T50" s="105">
        <f>'A)NSA Nb'!T51/'A)NSA Nb'!P51-1</f>
        <v>-3.6900369003689537E-3</v>
      </c>
      <c r="U50" s="105">
        <f>'A)NSA Nb'!U51/'A)NSA Nb'!Q51-1</f>
        <v>7.2992700729928028E-3</v>
      </c>
      <c r="V50" s="105">
        <f>'A)NSA Nb'!V51/'A)NSA Nb'!R51-1</f>
        <v>-3.703703703703709E-2</v>
      </c>
      <c r="W50" s="105">
        <f>'A)NSA Nb'!W51/'A)NSA Nb'!S51-1</f>
        <v>-5.4545454545454564E-2</v>
      </c>
      <c r="X50" s="105">
        <f>'A)NSA Nb'!X51/'A)NSA Nb'!T51-1</f>
        <v>-5.555555555555558E-2</v>
      </c>
      <c r="Y50" s="105">
        <f>'A)NSA Nb'!Y51/'A)NSA Nb'!U51-1</f>
        <v>-9.7826086956521729E-2</v>
      </c>
      <c r="Z50" s="105">
        <f>'A)NSA Nb'!Z51/'A)NSA Nb'!V51-1</f>
        <v>-3.0769230769230771E-2</v>
      </c>
      <c r="AA50" s="105">
        <f>'A)NSA Nb'!AA51/'A)NSA Nb'!W51-1</f>
        <v>-2.6923076923076938E-2</v>
      </c>
      <c r="AB50" s="105">
        <f>'A)NSA Nb'!AB51/'A)NSA Nb'!X51-1</f>
        <v>-2.352941176470591E-2</v>
      </c>
      <c r="AC50" s="105">
        <f>'A)NSA Nb'!AC51/'A)NSA Nb'!Y51-1</f>
        <v>3.2128514056224855E-2</v>
      </c>
      <c r="AD50" s="105">
        <f>'A)NSA Nb'!AD51/'A)NSA Nb'!Z51-1</f>
        <v>1.1904761904761862E-2</v>
      </c>
      <c r="AE50" s="105">
        <f>'A)NSA Nb'!AE51/'A)NSA Nb'!AA51-1</f>
        <v>0</v>
      </c>
      <c r="AF50" s="105">
        <f>'A)NSA Nb'!AF51/'A)NSA Nb'!AB51-1</f>
        <v>1.2048192771084265E-2</v>
      </c>
      <c r="AG50" s="105">
        <f>'A)NSA Nb'!AG51/'A)NSA Nb'!AC51-1</f>
        <v>-1.945525291828798E-2</v>
      </c>
      <c r="AH50" s="105">
        <f>'A)NSA Nb'!AH51/'A)NSA Nb'!AD51-1</f>
        <v>-1.9607843137254943E-2</v>
      </c>
      <c r="AI50" s="105">
        <f>'A)NSA Nb'!AI51/'A)NSA Nb'!AE51-1</f>
        <v>-3.9525691699604515E-3</v>
      </c>
      <c r="AJ50" s="105">
        <f>'A)NSA Nb'!AJ51/'A)NSA Nb'!AF51-1</f>
        <v>-3.9682539682539542E-3</v>
      </c>
      <c r="AK50" s="105">
        <f>'A)NSA Nb'!AK51/'A)NSA Nb'!AG51-1</f>
        <v>-1.5873015873015928E-2</v>
      </c>
      <c r="AL50" s="105">
        <f>'A)NSA Nb'!AL51/'A)NSA Nb'!AH51-1</f>
        <v>4.0000000000000036E-3</v>
      </c>
      <c r="AM50" s="105">
        <f>'A)NSA Nb'!AM51/'A)NSA Nb'!AI51-1</f>
        <v>-1.5873015873015928E-2</v>
      </c>
      <c r="AN50" s="105">
        <f>'A)NSA Nb'!AN51/'A)NSA Nb'!AJ51-1</f>
        <v>-7.9681274900398336E-3</v>
      </c>
      <c r="AO50" s="105">
        <f>'A)NSA Nb'!AO51/'A)NSA Nb'!AK51-1</f>
        <v>0</v>
      </c>
      <c r="AP50" s="105">
        <f>'A)NSA Nb'!AP51/'A)NSA Nb'!AL51-1</f>
        <v>-1.5936254980079667E-2</v>
      </c>
      <c r="AQ50" s="105">
        <f>'A)NSA Nb'!AQ51/'A)NSA Nb'!AM51-1</f>
        <v>-2.0161290322580627E-2</v>
      </c>
      <c r="AR50" s="105">
        <f>'A)NSA Nb'!AR51/'A)NSA Nb'!AN51-1</f>
        <v>-2.8112449799196804E-2</v>
      </c>
      <c r="AS50" s="105">
        <f>'A)NSA Nb'!AS51/'A)NSA Nb'!AO51-1</f>
        <v>-2.8225806451612878E-2</v>
      </c>
      <c r="AT50" s="105">
        <f>'A)NSA Nb'!AT51/'A)NSA Nb'!AP51-1</f>
        <v>-2.4291497975708509E-2</v>
      </c>
      <c r="AU50" s="105">
        <f>'A)NSA Nb'!AU51/'A)NSA Nb'!AQ51-1</f>
        <v>-1.2345679012345734E-2</v>
      </c>
      <c r="AV50" s="105">
        <f>'A)NSA Nb'!AV51/'A)NSA Nb'!AR51-1</f>
        <v>-3.3057851239669422E-2</v>
      </c>
      <c r="AW50" s="105">
        <f>'A)NSA Nb'!AW51/'A)NSA Nb'!AS51-1</f>
        <v>0</v>
      </c>
      <c r="AX50" s="105">
        <f>'A)NSA Nb'!AX51/'A)NSA Nb'!AT51-1</f>
        <v>-1.6597510373444035E-2</v>
      </c>
      <c r="AY50" s="105">
        <f>'A)NSA Nb'!AY51/'A)NSA Nb'!AU51-1</f>
        <v>1.2499999999999956E-2</v>
      </c>
      <c r="AZ50" s="105">
        <f>'A)NSA Nb'!AZ51/'A)NSA Nb'!AV51-1</f>
        <v>3.8461538461538547E-2</v>
      </c>
      <c r="BA50" s="105">
        <f>'A)NSA Nb'!BA51/'A)NSA Nb'!AW51-1</f>
        <v>2.9045643153526868E-2</v>
      </c>
      <c r="BB50" s="105">
        <f>'A)NSA Nb'!BB51/'A)NSA Nb'!AX51-1</f>
        <v>7.1729957805907185E-2</v>
      </c>
      <c r="BC50" s="105">
        <f>'A)NSA Nb'!BC51/'A)NSA Nb'!AY51-1</f>
        <v>0</v>
      </c>
      <c r="BD50" s="105">
        <f>'A)NSA Nb'!BD51/'A)NSA Nb'!AZ51-1</f>
        <v>-2.0576131687242816E-2</v>
      </c>
      <c r="BE50" s="105">
        <f>'A)NSA Nb'!BE51/'A)NSA Nb'!BA51-1</f>
        <v>-2.8225806451612878E-2</v>
      </c>
      <c r="BF50" s="105">
        <f>'A)NSA Nb'!BF51/'A)NSA Nb'!BB51-1</f>
        <v>-6.2992125984251968E-2</v>
      </c>
      <c r="BG50" s="105">
        <f>'A)NSA Nb'!BG51/'A)NSA Nb'!BC51-1</f>
        <v>4.115226337448652E-3</v>
      </c>
      <c r="BH50" s="105">
        <f>'A)NSA Nb'!BH51/'A)NSA Nb'!BD51-1</f>
        <v>0</v>
      </c>
      <c r="BI50" s="105">
        <f>'A)NSA Nb'!BI51/'A)NSA Nb'!BE51-1</f>
        <v>-8.2987551867219622E-3</v>
      </c>
      <c r="BJ50" s="105">
        <f>'A)NSA Nb'!BJ51/'A)NSA Nb'!BF51-1</f>
        <v>1.2605042016806678E-2</v>
      </c>
    </row>
    <row r="51" spans="1:62" x14ac:dyDescent="0.25">
      <c r="A51" s="315"/>
      <c r="B51" s="13"/>
      <c r="C51" s="47"/>
      <c r="D51" s="47"/>
      <c r="E51" s="47"/>
      <c r="F51" s="47"/>
      <c r="G51" s="47"/>
      <c r="H51" s="47"/>
      <c r="I51" s="47"/>
      <c r="J51" s="47"/>
      <c r="K51" s="150"/>
      <c r="L51" s="150"/>
      <c r="M51" s="47"/>
      <c r="N51" s="47"/>
      <c r="O51" s="47"/>
      <c r="P51" s="47"/>
      <c r="Q51" s="47"/>
      <c r="R51" s="47"/>
      <c r="S51" s="47"/>
      <c r="T51" s="47"/>
      <c r="U51" s="47"/>
      <c r="V51" s="47"/>
      <c r="W51" s="47"/>
      <c r="X51" s="47"/>
      <c r="Y51" s="47"/>
      <c r="Z51" s="47"/>
      <c r="AA51" s="47"/>
      <c r="AB51" s="47"/>
      <c r="AC51" s="47"/>
      <c r="AD51" s="47"/>
      <c r="AE51" s="47"/>
      <c r="AF51" s="47"/>
      <c r="AG51" s="47"/>
      <c r="AH51" s="47"/>
      <c r="AI51" s="47"/>
      <c r="AJ51" s="47"/>
      <c r="AM51" s="47"/>
      <c r="AN51" s="47"/>
      <c r="AO51" s="47"/>
    </row>
    <row r="52" spans="1:62" x14ac:dyDescent="0.25">
      <c r="A52" s="301" t="s">
        <v>15</v>
      </c>
      <c r="L52" s="14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M52" s="35"/>
      <c r="AN52" s="35"/>
      <c r="AO52" s="35"/>
    </row>
    <row r="53" spans="1:62" x14ac:dyDescent="0.25">
      <c r="A53" s="309" t="s">
        <v>6</v>
      </c>
      <c r="L53" s="14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M53" s="35"/>
      <c r="AN53" s="35"/>
      <c r="AO53" s="35"/>
    </row>
    <row r="54" spans="1:62" x14ac:dyDescent="0.25">
      <c r="B54" s="2" t="str">
        <f t="shared" ref="B54:H54" si="120">B8</f>
        <v>4eme T 2009</v>
      </c>
      <c r="C54" s="38" t="str">
        <f t="shared" si="120"/>
        <v>1er T 2010</v>
      </c>
      <c r="D54" s="38" t="str">
        <f t="shared" si="120"/>
        <v>2eme T 2010</v>
      </c>
      <c r="E54" s="38" t="str">
        <f t="shared" si="120"/>
        <v>3eme T 2010</v>
      </c>
      <c r="F54" s="38" t="str">
        <f t="shared" si="120"/>
        <v>4eme T 2010</v>
      </c>
      <c r="G54" s="38" t="str">
        <f t="shared" si="120"/>
        <v>1er T 2011</v>
      </c>
      <c r="H54" s="38" t="str">
        <f t="shared" si="120"/>
        <v>2eme T 2011</v>
      </c>
      <c r="I54" s="38" t="str">
        <f t="shared" ref="I54:N54" si="121">I8</f>
        <v>3eme T 2011</v>
      </c>
      <c r="J54" s="38" t="str">
        <f t="shared" si="121"/>
        <v>4eme T 2011</v>
      </c>
      <c r="K54" s="38" t="str">
        <f t="shared" si="121"/>
        <v>1er T 2012</v>
      </c>
      <c r="L54" s="38" t="str">
        <f t="shared" si="121"/>
        <v>2eme T 2012</v>
      </c>
      <c r="M54" s="38" t="str">
        <f t="shared" si="121"/>
        <v>3eme T 2012</v>
      </c>
      <c r="N54" s="38" t="str">
        <f t="shared" si="121"/>
        <v>4eme T 2012</v>
      </c>
      <c r="O54" s="38" t="str">
        <f t="shared" ref="O54:T54" si="122">O8</f>
        <v>1er T 2013</v>
      </c>
      <c r="P54" s="38" t="str">
        <f t="shared" si="122"/>
        <v>2e T 2013</v>
      </c>
      <c r="Q54" s="38" t="str">
        <f t="shared" si="122"/>
        <v>3e T 2013</v>
      </c>
      <c r="R54" s="38" t="str">
        <f t="shared" si="122"/>
        <v>4e T 2013</v>
      </c>
      <c r="S54" s="38" t="str">
        <f t="shared" si="122"/>
        <v>1er T 2014</v>
      </c>
      <c r="T54" s="38" t="str">
        <f t="shared" si="122"/>
        <v>2e T 2014</v>
      </c>
      <c r="U54" s="38" t="str">
        <f t="shared" ref="U54:V54" si="123">U8</f>
        <v>3e T 2014</v>
      </c>
      <c r="V54" s="38" t="str">
        <f t="shared" si="123"/>
        <v>4e T 2014</v>
      </c>
      <c r="W54" s="38" t="str">
        <f t="shared" ref="W54:X54" si="124">W8</f>
        <v>1er T 2015</v>
      </c>
      <c r="X54" s="38" t="str">
        <f t="shared" si="124"/>
        <v>2e T 2015</v>
      </c>
      <c r="Y54" s="38" t="str">
        <f t="shared" ref="Y54:Z54" si="125">Y8</f>
        <v>3e T 2015</v>
      </c>
      <c r="Z54" s="38" t="str">
        <f t="shared" si="125"/>
        <v>4e T 2015</v>
      </c>
      <c r="AA54" s="38" t="str">
        <f t="shared" ref="AA54:AB54" si="126">AA8</f>
        <v>1er T 2016</v>
      </c>
      <c r="AB54" s="38" t="str">
        <f t="shared" si="126"/>
        <v>2e T 2016</v>
      </c>
      <c r="AC54" s="38" t="str">
        <f t="shared" ref="AC54:AD54" si="127">AC8</f>
        <v>3e T 2016</v>
      </c>
      <c r="AD54" s="38" t="str">
        <f t="shared" si="127"/>
        <v>4e T 2016</v>
      </c>
      <c r="AE54" s="38" t="str">
        <f t="shared" ref="AE54:AF54" si="128">AE8</f>
        <v>1e T 2017</v>
      </c>
      <c r="AF54" s="38" t="str">
        <f t="shared" si="128"/>
        <v>2e T 2017</v>
      </c>
      <c r="AG54" s="38" t="str">
        <f t="shared" ref="AG54:AH54" si="129">AG8</f>
        <v>3e T 2017</v>
      </c>
      <c r="AH54" s="38" t="str">
        <f t="shared" si="129"/>
        <v>4e T 2017</v>
      </c>
      <c r="AI54" s="38" t="str">
        <f t="shared" ref="AI54:AJ54" si="130">AI8</f>
        <v>1e T 2018</v>
      </c>
      <c r="AJ54" s="38" t="str">
        <f t="shared" si="130"/>
        <v>2e T 2018</v>
      </c>
      <c r="AK54" s="38" t="str">
        <f t="shared" ref="AK54:AM54" si="131">AK8</f>
        <v>3e T 2018</v>
      </c>
      <c r="AL54" s="38" t="str">
        <f t="shared" si="131"/>
        <v>4e T 2018</v>
      </c>
      <c r="AM54" s="38" t="str">
        <f t="shared" si="131"/>
        <v>1e T 2019</v>
      </c>
      <c r="AN54" s="38" t="str">
        <f t="shared" ref="AN54:AP54" si="132">AN8</f>
        <v>2e T 2019</v>
      </c>
      <c r="AO54" s="38" t="str">
        <f t="shared" si="132"/>
        <v>3e T 2019</v>
      </c>
      <c r="AP54" s="38" t="str">
        <f t="shared" si="132"/>
        <v>4e T 2019</v>
      </c>
      <c r="AQ54" s="38" t="str">
        <f t="shared" ref="AQ54" si="133">AQ8</f>
        <v>1e T 2020</v>
      </c>
      <c r="AR54" s="38" t="str">
        <f t="shared" ref="AR54" si="134">AR8</f>
        <v>2e T 2020</v>
      </c>
      <c r="AS54" s="38" t="str">
        <f t="shared" ref="AS54:AT54" si="135">AS8</f>
        <v>3e T 2020</v>
      </c>
      <c r="AT54" s="38" t="str">
        <f t="shared" si="135"/>
        <v>4e T 2020</v>
      </c>
      <c r="AU54" s="38" t="str">
        <f t="shared" ref="AU54:AV54" si="136">AU8</f>
        <v>1er T 2021</v>
      </c>
      <c r="AV54" s="38" t="str">
        <f t="shared" si="136"/>
        <v>2e T 2021</v>
      </c>
      <c r="AW54" s="38" t="str">
        <f t="shared" ref="AW54:AX54" si="137">AW8</f>
        <v>3e T 2021</v>
      </c>
      <c r="AX54" s="38" t="str">
        <f t="shared" si="137"/>
        <v>4e T 2021</v>
      </c>
      <c r="AY54" s="38" t="str">
        <f t="shared" ref="AY54:AZ54" si="138">AY8</f>
        <v>1er T 2022</v>
      </c>
      <c r="AZ54" s="38" t="str">
        <f t="shared" si="138"/>
        <v>2e T 2022</v>
      </c>
      <c r="BA54" s="38" t="str">
        <f t="shared" ref="BA54:BB54" si="139">BA8</f>
        <v>3e T 2022</v>
      </c>
      <c r="BB54" s="38" t="str">
        <f t="shared" si="139"/>
        <v>4e T 2022</v>
      </c>
      <c r="BC54" s="38" t="str">
        <f t="shared" ref="BC54:BD54" si="140">BC8</f>
        <v>1er T 2023</v>
      </c>
      <c r="BD54" s="38" t="str">
        <f t="shared" si="140"/>
        <v>2e T 2023</v>
      </c>
      <c r="BE54" s="38" t="str">
        <f t="shared" ref="BE54:BF54" si="141">BE8</f>
        <v>3e T 2023</v>
      </c>
      <c r="BF54" s="38" t="str">
        <f t="shared" si="141"/>
        <v>4e T 2023</v>
      </c>
      <c r="BG54" s="38" t="str">
        <f t="shared" ref="BG54:BH54" si="142">BG8</f>
        <v>1er T 2024</v>
      </c>
      <c r="BH54" s="38" t="str">
        <f t="shared" si="142"/>
        <v>2e T 2024</v>
      </c>
      <c r="BI54" s="38" t="str">
        <f t="shared" ref="BI54:BJ54" si="143">BI8</f>
        <v>3e T 2024</v>
      </c>
      <c r="BJ54" s="38" t="str">
        <f t="shared" si="143"/>
        <v>4e T 2024</v>
      </c>
    </row>
    <row r="55" spans="1:62" x14ac:dyDescent="0.25">
      <c r="A55" s="312" t="s">
        <v>0</v>
      </c>
      <c r="B55" s="16"/>
      <c r="C55" s="42"/>
      <c r="D55" s="42"/>
      <c r="E55" s="42"/>
      <c r="F55" s="105">
        <f>'A)NSA Nb'!F56/'A)NSA Nb'!B56-1</f>
        <v>8.2117335215883269E-3</v>
      </c>
      <c r="G55" s="105">
        <f>'A)NSA Nb'!G56/'A)NSA Nb'!C56-1</f>
        <v>9.4339622641510523E-3</v>
      </c>
      <c r="H55" s="105">
        <f>'A)NSA Nb'!H56/'A)NSA Nb'!D56-1</f>
        <v>2.286467776495793E-2</v>
      </c>
      <c r="I55" s="105">
        <f>'A)NSA Nb'!I56/'A)NSA Nb'!E56-1</f>
        <v>2.283948987405271E-2</v>
      </c>
      <c r="J55" s="105">
        <f>'A)NSA Nb'!J56/'A)NSA Nb'!F56-1</f>
        <v>2.329176134862343E-2</v>
      </c>
      <c r="K55" s="105">
        <f>'A)NSA Nb'!K56/'A)NSA Nb'!G56-1</f>
        <v>1.776887283656059E-2</v>
      </c>
      <c r="L55" s="105">
        <f>'A)NSA Nb'!L56/'A)NSA Nb'!H56-1</f>
        <v>1.7667571208497934E-2</v>
      </c>
      <c r="M55" s="105">
        <f>'A)NSA Nb'!M56/'A)NSA Nb'!I56-1</f>
        <v>1.8179823429191E-2</v>
      </c>
      <c r="N55" s="105">
        <f>'A)NSA Nb'!N56/'A)NSA Nb'!J56-1</f>
        <v>1.789426118391324E-2</v>
      </c>
      <c r="O55" s="105">
        <f>'A)NSA Nb'!O56/'A)NSA Nb'!K56-1</f>
        <v>1.9634508036419529E-2</v>
      </c>
      <c r="P55" s="105">
        <f>'A)NSA Nb'!P56/'A)NSA Nb'!L56-1</f>
        <v>9.2979655949938511E-3</v>
      </c>
      <c r="Q55" s="105">
        <f>'A)NSA Nb'!Q56/'A)NSA Nb'!M56-1</f>
        <v>8.4934302683035146E-3</v>
      </c>
      <c r="R55" s="105">
        <f>'A)NSA Nb'!R56/'A)NSA Nb'!N56-1</f>
        <v>5.3271774837966301E-3</v>
      </c>
      <c r="S55" s="105">
        <f>'A)NSA Nb'!S56/'A)NSA Nb'!O56-1</f>
        <v>9.4567302196197911E-3</v>
      </c>
      <c r="T55" s="105">
        <f>'A)NSA Nb'!T56/'A)NSA Nb'!P56-1</f>
        <v>-3.5142326422008541E-3</v>
      </c>
      <c r="U55" s="105">
        <f>'A)NSA Nb'!U56/'A)NSA Nb'!Q56-1</f>
        <v>-3.3121947847073452E-3</v>
      </c>
      <c r="V55" s="105">
        <f>'A)NSA Nb'!V56/'A)NSA Nb'!R56-1</f>
        <v>-2.7125572475750204E-4</v>
      </c>
      <c r="W55" s="105">
        <f>'A)NSA Nb'!W56/'A)NSA Nb'!S56-1</f>
        <v>-4.0014344765105792E-3</v>
      </c>
      <c r="X55" s="105">
        <f>'A)NSA Nb'!X56/'A)NSA Nb'!T56-1</f>
        <v>-4.00523955866805E-3</v>
      </c>
      <c r="Y55" s="105">
        <f>'A)NSA Nb'!Y56/'A)NSA Nb'!U56-1</f>
        <v>-3.4934607963073017E-3</v>
      </c>
      <c r="Z55" s="105">
        <f>'A)NSA Nb'!Z56/'A)NSA Nb'!V56-1</f>
        <v>-2.1453946579672589E-3</v>
      </c>
      <c r="AA55" s="105">
        <f>'A)NSA Nb'!AA56/'A)NSA Nb'!W56-1</f>
        <v>-1.8634678188583775E-3</v>
      </c>
      <c r="AB55" s="105">
        <f>'A)NSA Nb'!AB56/'A)NSA Nb'!X56-1</f>
        <v>-1.7514352917372689E-3</v>
      </c>
      <c r="AC55" s="105">
        <f>'A)NSA Nb'!AC56/'A)NSA Nb'!Y56-1</f>
        <v>-2.2844052952640803E-3</v>
      </c>
      <c r="AD55" s="105">
        <f>'A)NSA Nb'!AD56/'A)NSA Nb'!Z56-1</f>
        <v>-3.1364811969216699E-3</v>
      </c>
      <c r="AE55" s="105">
        <f>'A)NSA Nb'!AE56/'A)NSA Nb'!AA56-1</f>
        <v>-2.9364858365186208E-3</v>
      </c>
      <c r="AF55" s="105">
        <f>'A)NSA Nb'!AF56/'A)NSA Nb'!AB56-1</f>
        <v>-3.5723560448190916E-3</v>
      </c>
      <c r="AG55" s="105">
        <f>'A)NSA Nb'!AG56/'A)NSA Nb'!AC56-1</f>
        <v>-2.6194447791866304E-3</v>
      </c>
      <c r="AH55" s="105">
        <f>'A)NSA Nb'!AH56/'A)NSA Nb'!AD56-1</f>
        <v>4.4086955970135122E-3</v>
      </c>
      <c r="AI55" s="105">
        <f>'A)NSA Nb'!AI56/'A)NSA Nb'!AE56-1</f>
        <v>4.4303958158784518E-3</v>
      </c>
      <c r="AJ55" s="105">
        <f>'A)NSA Nb'!AJ56/'A)NSA Nb'!AF56-1</f>
        <v>6.0197692527730329E-3</v>
      </c>
      <c r="AK55" s="105">
        <f>'A)NSA Nb'!AK56/'A)NSA Nb'!AG56-1</f>
        <v>4.8138680097167263E-3</v>
      </c>
      <c r="AL55" s="105">
        <f>'A)NSA Nb'!AL56/'A)NSA Nb'!AH56-1</f>
        <v>-2.835705894984164E-3</v>
      </c>
      <c r="AM55" s="105">
        <f>'A)NSA Nb'!AM56/'A)NSA Nb'!AI56-1</f>
        <v>8.8469850738714939E-4</v>
      </c>
      <c r="AN55" s="105">
        <f>'A)NSA Nb'!AN56/'A)NSA Nb'!AJ56-1</f>
        <v>3.1593180928046749E-5</v>
      </c>
      <c r="AO55" s="105">
        <f>'A)NSA Nb'!AO56/'A)NSA Nb'!AK56-1</f>
        <v>-2.5314693280820144E-5</v>
      </c>
      <c r="AP55" s="105">
        <f>'A)NSA Nb'!AP56/'A)NSA Nb'!AL56-1</f>
        <v>5.3201933003554913E-4</v>
      </c>
      <c r="AQ55" s="105">
        <f>'A)NSA Nb'!AQ56/'A)NSA Nb'!AM56-1</f>
        <v>7.9110527445609424E-3</v>
      </c>
      <c r="AR55" s="105">
        <f>'A)NSA Nb'!AR56/'A)NSA Nb'!AN56-1</f>
        <v>6.8681405473030033E-3</v>
      </c>
      <c r="AS55" s="105">
        <f>'A)NSA Nb'!AS56/'A)NSA Nb'!AO56-1</f>
        <v>7.5439695709684784E-3</v>
      </c>
      <c r="AT55" s="105">
        <f>'A)NSA Nb'!AT56/'A)NSA Nb'!AP56-1</f>
        <v>7.5266026472877723E-3</v>
      </c>
      <c r="AU55" s="105">
        <f>'A)NSA Nb'!AU56/'A)NSA Nb'!AQ56-1</f>
        <v>-3.5705560671273062E-4</v>
      </c>
      <c r="AV55" s="105">
        <f>'A)NSA Nb'!AV56/'A)NSA Nb'!AR56-1</f>
        <v>8.6599646071028324E-4</v>
      </c>
      <c r="AW55" s="105">
        <f>'A)NSA Nb'!AW56/'A)NSA Nb'!AS56-1</f>
        <v>1.1934748333846112E-3</v>
      </c>
      <c r="AX55" s="105">
        <f>'A)NSA Nb'!AX56/'A)NSA Nb'!AT56-1</f>
        <v>2.3110419625413936E-3</v>
      </c>
      <c r="AY55" s="105">
        <f>'A)NSA Nb'!AY56/'A)NSA Nb'!AU56-1</f>
        <v>2.7423224519306677E-2</v>
      </c>
      <c r="AZ55" s="105">
        <f>'A)NSA Nb'!AZ56/'A)NSA Nb'!AV56-1</f>
        <v>2.6818871626131724E-2</v>
      </c>
      <c r="BA55" s="105">
        <f>'A)NSA Nb'!BA56/'A)NSA Nb'!AW56-1</f>
        <v>6.6669047779307267E-2</v>
      </c>
      <c r="BB55" s="105">
        <f>'A)NSA Nb'!BB56/'A)NSA Nb'!AX56-1</f>
        <v>6.43309824004199E-2</v>
      </c>
      <c r="BC55" s="105">
        <f>'A)NSA Nb'!BC56/'A)NSA Nb'!AY56-1</f>
        <v>4.5403377728598038E-2</v>
      </c>
      <c r="BD55" s="105">
        <f>'A)NSA Nb'!BD56/'A)NSA Nb'!AZ56-1</f>
        <v>4.6620712507071227E-2</v>
      </c>
      <c r="BE55" s="105">
        <f>'A)NSA Nb'!BE56/'A)NSA Nb'!BA56-1</f>
        <v>7.5964788001308126E-3</v>
      </c>
      <c r="BF55" s="105">
        <f>'A)NSA Nb'!BF56/'A)NSA Nb'!BB56-1</f>
        <v>9.4489545034868172E-3</v>
      </c>
      <c r="BG55" s="105">
        <f>'A)NSA Nb'!BG56/'A)NSA Nb'!BC56-1</f>
        <v>5.0787807951872654E-2</v>
      </c>
      <c r="BH55" s="105">
        <f>'A)NSA Nb'!BH56/'A)NSA Nb'!BD56-1</f>
        <v>5.0746588991305686E-2</v>
      </c>
      <c r="BI55" s="105">
        <f>'A)NSA Nb'!BI56/'A)NSA Nb'!BE56-1</f>
        <v>5.0288992539025079E-2</v>
      </c>
      <c r="BJ55" s="105">
        <f>'A)NSA Nb'!BJ56/'A)NSA Nb'!BF56-1</f>
        <v>4.9550902022792664E-2</v>
      </c>
    </row>
    <row r="56" spans="1:62" x14ac:dyDescent="0.25">
      <c r="A56" s="312" t="s">
        <v>1</v>
      </c>
      <c r="B56" s="16"/>
      <c r="C56" s="42"/>
      <c r="D56" s="42"/>
      <c r="E56" s="42"/>
      <c r="F56" s="105">
        <f>'A)NSA Nb'!F57/'A)NSA Nb'!B57-1</f>
        <v>-1.6976911400490291E-4</v>
      </c>
      <c r="G56" s="105">
        <f>'A)NSA Nb'!G57/'A)NSA Nb'!C57-1</f>
        <v>5.3389322135573014E-3</v>
      </c>
      <c r="H56" s="105">
        <f>'A)NSA Nb'!H57/'A)NSA Nb'!D57-1</f>
        <v>1.5237623762376362E-2</v>
      </c>
      <c r="I56" s="105">
        <f>'A)NSA Nb'!I57/'A)NSA Nb'!E57-1</f>
        <v>1.6000079552912716E-2</v>
      </c>
      <c r="J56" s="105">
        <f>'A)NSA Nb'!J57/'A)NSA Nb'!F57-1</f>
        <v>1.7389306724997278E-2</v>
      </c>
      <c r="K56" s="105">
        <f>'A)NSA Nb'!K57/'A)NSA Nb'!G57-1</f>
        <v>7.1603317620383411E-3</v>
      </c>
      <c r="L56" s="105">
        <f>'A)NSA Nb'!L57/'A)NSA Nb'!H57-1</f>
        <v>4.2032787524746151E-3</v>
      </c>
      <c r="M56" s="105">
        <f>'A)NSA Nb'!M57/'A)NSA Nb'!I57-1</f>
        <v>4.619706178857097E-3</v>
      </c>
      <c r="N56" s="105">
        <f>'A)NSA Nb'!N57/'A)NSA Nb'!J57-1</f>
        <v>3.9662281562928836E-3</v>
      </c>
      <c r="O56" s="105">
        <f>'A)NSA Nb'!O57/'A)NSA Nb'!K57-1</f>
        <v>4.2459071429981066E-3</v>
      </c>
      <c r="P56" s="105">
        <f>'A)NSA Nb'!P57/'A)NSA Nb'!L57-1</f>
        <v>-4.6324172088957338E-3</v>
      </c>
      <c r="Q56" s="105">
        <f>'A)NSA Nb'!Q57/'A)NSA Nb'!M57-1</f>
        <v>-6.5761912648696352E-3</v>
      </c>
      <c r="R56" s="105">
        <f>'A)NSA Nb'!R57/'A)NSA Nb'!N57-1</f>
        <v>-7.5197527966830435E-3</v>
      </c>
      <c r="S56" s="105">
        <f>'A)NSA Nb'!S57/'A)NSA Nb'!O57-1</f>
        <v>-5.8404782506095154E-3</v>
      </c>
      <c r="T56" s="105">
        <f>'A)NSA Nb'!T57/'A)NSA Nb'!P57-1</f>
        <v>-1.7630472324939306E-2</v>
      </c>
      <c r="U56" s="105">
        <f>'A)NSA Nb'!U57/'A)NSA Nb'!Q57-1</f>
        <v>-1.7966420837909891E-2</v>
      </c>
      <c r="V56" s="105">
        <f>'A)NSA Nb'!V57/'A)NSA Nb'!R57-1</f>
        <v>-1.8030444849500005E-2</v>
      </c>
      <c r="W56" s="105">
        <f>'A)NSA Nb'!W57/'A)NSA Nb'!S57-1</f>
        <v>-2.0967263376520662E-2</v>
      </c>
      <c r="X56" s="105">
        <f>'A)NSA Nb'!X57/'A)NSA Nb'!T57-1</f>
        <v>-2.1929563196472213E-2</v>
      </c>
      <c r="Y56" s="105">
        <f>'A)NSA Nb'!Y57/'A)NSA Nb'!U57-1</f>
        <v>-2.106135655508512E-2</v>
      </c>
      <c r="Z56" s="105">
        <f>'A)NSA Nb'!Z57/'A)NSA Nb'!V57-1</f>
        <v>-1.9946821853208285E-2</v>
      </c>
      <c r="AA56" s="105">
        <f>'A)NSA Nb'!AA57/'A)NSA Nb'!W57-1</f>
        <v>-1.9244368117991684E-2</v>
      </c>
      <c r="AB56" s="105">
        <f>'A)NSA Nb'!AB57/'A)NSA Nb'!X57-1</f>
        <v>-1.9679522329860477E-2</v>
      </c>
      <c r="AC56" s="105">
        <f>'A)NSA Nb'!AC57/'A)NSA Nb'!Y57-1</f>
        <v>-2.0229120548420298E-2</v>
      </c>
      <c r="AD56" s="105">
        <f>'A)NSA Nb'!AD57/'A)NSA Nb'!Z57-1</f>
        <v>-2.0608741054700674E-2</v>
      </c>
      <c r="AE56" s="105">
        <f>'A)NSA Nb'!AE57/'A)NSA Nb'!AA57-1</f>
        <v>-2.0981614049544239E-2</v>
      </c>
      <c r="AF56" s="105">
        <f>'A)NSA Nb'!AF57/'A)NSA Nb'!AB57-1</f>
        <v>-2.1835508597472519E-2</v>
      </c>
      <c r="AG56" s="105">
        <f>'A)NSA Nb'!AG57/'A)NSA Nb'!AC57-1</f>
        <v>-2.1583857398692285E-2</v>
      </c>
      <c r="AH56" s="105">
        <f>'A)NSA Nb'!AH57/'A)NSA Nb'!AD57-1</f>
        <v>-1.5502174276634917E-2</v>
      </c>
      <c r="AI56" s="105">
        <f>'A)NSA Nb'!AI57/'A)NSA Nb'!AE57-1</f>
        <v>-1.5087113879303171E-2</v>
      </c>
      <c r="AJ56" s="105">
        <f>'A)NSA Nb'!AJ57/'A)NSA Nb'!AF57-1</f>
        <v>-1.3406472382243351E-2</v>
      </c>
      <c r="AK56" s="105">
        <f>'A)NSA Nb'!AK57/'A)NSA Nb'!AG57-1</f>
        <v>-1.6324185120941581E-2</v>
      </c>
      <c r="AL56" s="105">
        <f>'A)NSA Nb'!AL57/'A)NSA Nb'!AH57-1</f>
        <v>-2.5652732504432896E-2</v>
      </c>
      <c r="AM56" s="105">
        <f>'A)NSA Nb'!AM57/'A)NSA Nb'!AI57-1</f>
        <v>-2.2945285961501471E-2</v>
      </c>
      <c r="AN56" s="105">
        <f>'A)NSA Nb'!AN57/'A)NSA Nb'!AJ57-1</f>
        <v>-2.4504647618229791E-2</v>
      </c>
      <c r="AO56" s="105">
        <f>'A)NSA Nb'!AO57/'A)NSA Nb'!AK57-1</f>
        <v>-2.3561993574001683E-2</v>
      </c>
      <c r="AP56" s="105">
        <f>'A)NSA Nb'!AP57/'A)NSA Nb'!AL57-1</f>
        <v>-2.253582520568842E-2</v>
      </c>
      <c r="AQ56" s="105">
        <f>'A)NSA Nb'!AQ57/'A)NSA Nb'!AM57-1</f>
        <v>-1.4989176305949647E-2</v>
      </c>
      <c r="AR56" s="105">
        <f>'A)NSA Nb'!AR57/'A)NSA Nb'!AN57-1</f>
        <v>-1.5261380016064585E-2</v>
      </c>
      <c r="AS56" s="105">
        <f>'A)NSA Nb'!AS57/'A)NSA Nb'!AO57-1</f>
        <v>-1.4968036428500198E-2</v>
      </c>
      <c r="AT56" s="105">
        <f>'A)NSA Nb'!AT57/'A)NSA Nb'!AP57-1</f>
        <v>-1.6120940499682268E-2</v>
      </c>
      <c r="AU56" s="105">
        <f>'A)NSA Nb'!AU57/'A)NSA Nb'!AQ57-1</f>
        <v>-2.4629557689106019E-2</v>
      </c>
      <c r="AV56" s="105">
        <f>'A)NSA Nb'!AV57/'A)NSA Nb'!AR57-1</f>
        <v>-2.2123893805309769E-2</v>
      </c>
      <c r="AW56" s="105">
        <f>'A)NSA Nb'!AW57/'A)NSA Nb'!AS57-1</f>
        <v>-2.1336662617537305E-2</v>
      </c>
      <c r="AX56" s="105">
        <f>'A)NSA Nb'!AX57/'A)NSA Nb'!AT57-1</f>
        <v>-2.0691516454453773E-2</v>
      </c>
      <c r="AY56" s="105">
        <f>'A)NSA Nb'!AY57/'A)NSA Nb'!AU57-1</f>
        <v>0.11717261030383841</v>
      </c>
      <c r="AZ56" s="105">
        <f>'A)NSA Nb'!AZ57/'A)NSA Nb'!AV57-1</f>
        <v>0.11218519504954871</v>
      </c>
      <c r="BA56" s="105">
        <f>'A)NSA Nb'!BA57/'A)NSA Nb'!AW57-1</f>
        <v>0.15322946096102785</v>
      </c>
      <c r="BB56" s="105">
        <f>'A)NSA Nb'!BB57/'A)NSA Nb'!AX57-1</f>
        <v>0.15125129071536203</v>
      </c>
      <c r="BC56" s="105">
        <f>'A)NSA Nb'!BC57/'A)NSA Nb'!AY57-1</f>
        <v>1.3446655225140658E-2</v>
      </c>
      <c r="BD56" s="105">
        <f>'A)NSA Nb'!BD57/'A)NSA Nb'!AZ57-1</f>
        <v>1.4817603430276272E-2</v>
      </c>
      <c r="BE56" s="105">
        <f>'A)NSA Nb'!BE57/'A)NSA Nb'!BA57-1</f>
        <v>-2.4042153123718601E-2</v>
      </c>
      <c r="BF56" s="105">
        <f>'A)NSA Nb'!BF57/'A)NSA Nb'!BB57-1</f>
        <v>-2.2893441916935986E-2</v>
      </c>
      <c r="BG56" s="105">
        <f>'A)NSA Nb'!BG57/'A)NSA Nb'!BC57-1</f>
        <v>1.5479209256732851E-2</v>
      </c>
      <c r="BH56" s="105">
        <f>'A)NSA Nb'!BH57/'A)NSA Nb'!BD57-1</f>
        <v>1.6707085759791074E-2</v>
      </c>
      <c r="BI56" s="105">
        <f>'A)NSA Nb'!BI57/'A)NSA Nb'!BE57-1</f>
        <v>1.8349761868894365E-2</v>
      </c>
      <c r="BJ56" s="105">
        <f>'A)NSA Nb'!BJ57/'A)NSA Nb'!BF57-1</f>
        <v>1.4661311396365617E-2</v>
      </c>
    </row>
    <row r="57" spans="1:62" x14ac:dyDescent="0.25">
      <c r="A57" s="312" t="s">
        <v>2</v>
      </c>
      <c r="B57" s="16"/>
      <c r="C57" s="42"/>
      <c r="D57" s="42"/>
      <c r="E57" s="42"/>
      <c r="F57" s="105">
        <f>'A)NSA Nb'!F58/'A)NSA Nb'!B58-1</f>
        <v>-5.7739895518282847E-3</v>
      </c>
      <c r="G57" s="105">
        <f>'A)NSA Nb'!G58/'A)NSA Nb'!C58-1</f>
        <v>3.9202694495057422E-3</v>
      </c>
      <c r="H57" s="105">
        <f>'A)NSA Nb'!H58/'A)NSA Nb'!D58-1</f>
        <v>2.1724854985224917E-2</v>
      </c>
      <c r="I57" s="105">
        <f>'A)NSA Nb'!I58/'A)NSA Nb'!E58-1</f>
        <v>1.963912421608538E-2</v>
      </c>
      <c r="J57" s="105">
        <f>'A)NSA Nb'!J58/'A)NSA Nb'!F58-1</f>
        <v>2.0962389380530855E-2</v>
      </c>
      <c r="K57" s="105">
        <f>'A)NSA Nb'!K58/'A)NSA Nb'!G58-1</f>
        <v>1.0174898251017472E-2</v>
      </c>
      <c r="L57" s="105">
        <f>'A)NSA Nb'!L58/'A)NSA Nb'!H58-1</f>
        <v>5.9986074661240174E-3</v>
      </c>
      <c r="M57" s="105">
        <f>'A)NSA Nb'!M58/'A)NSA Nb'!I58-1</f>
        <v>4.2622066360937794E-3</v>
      </c>
      <c r="N57" s="105">
        <f>'A)NSA Nb'!N58/'A)NSA Nb'!J58-1</f>
        <v>3.9005363237445412E-3</v>
      </c>
      <c r="O57" s="105">
        <f>'A)NSA Nb'!O58/'A)NSA Nb'!K58-1</f>
        <v>1.6333641857679826E-3</v>
      </c>
      <c r="P57" s="105">
        <f>'A)NSA Nb'!P58/'A)NSA Nb'!L58-1</f>
        <v>-1.3203428632273972E-2</v>
      </c>
      <c r="Q57" s="105">
        <f>'A)NSA Nb'!Q58/'A)NSA Nb'!M58-1</f>
        <v>-9.616417750080597E-3</v>
      </c>
      <c r="R57" s="105">
        <f>'A)NSA Nb'!R58/'A)NSA Nb'!N58-1</f>
        <v>-9.7674167611030427E-3</v>
      </c>
      <c r="S57" s="105">
        <f>'A)NSA Nb'!S58/'A)NSA Nb'!O58-1</f>
        <v>-8.2622166657607687E-3</v>
      </c>
      <c r="T57" s="105">
        <f>'A)NSA Nb'!T58/'A)NSA Nb'!P58-1</f>
        <v>-2.3361208524413146E-2</v>
      </c>
      <c r="U57" s="105">
        <f>'A)NSA Nb'!U58/'A)NSA Nb'!Q58-1</f>
        <v>-2.5603471657173804E-2</v>
      </c>
      <c r="V57" s="105">
        <f>'A)NSA Nb'!V58/'A)NSA Nb'!R58-1</f>
        <v>-2.2452316076294276E-2</v>
      </c>
      <c r="W57" s="105">
        <f>'A)NSA Nb'!W58/'A)NSA Nb'!S58-1</f>
        <v>-2.3458481775828988E-2</v>
      </c>
      <c r="X57" s="105">
        <f>'A)NSA Nb'!X58/'A)NSA Nb'!T58-1</f>
        <v>-2.1820793282510298E-2</v>
      </c>
      <c r="Y57" s="105">
        <f>'A)NSA Nb'!Y58/'A)NSA Nb'!U58-1</f>
        <v>-1.903913600178142E-2</v>
      </c>
      <c r="Z57" s="105">
        <f>'A)NSA Nb'!Z58/'A)NSA Nb'!V58-1</f>
        <v>-2.135132121752692E-2</v>
      </c>
      <c r="AA57" s="105">
        <f>'A)NSA Nb'!AA58/'A)NSA Nb'!W58-1</f>
        <v>-2.1945333108828624E-2</v>
      </c>
      <c r="AB57" s="105">
        <f>'A)NSA Nb'!AB58/'A)NSA Nb'!X58-1</f>
        <v>-2.2420511662054499E-2</v>
      </c>
      <c r="AC57" s="105">
        <f>'A)NSA Nb'!AC58/'A)NSA Nb'!Y58-1</f>
        <v>-2.3324442426650105E-2</v>
      </c>
      <c r="AD57" s="105">
        <f>'A)NSA Nb'!AD58/'A)NSA Nb'!Z58-1</f>
        <v>-2.3810880091142184E-2</v>
      </c>
      <c r="AE57" s="105">
        <f>'A)NSA Nb'!AE58/'A)NSA Nb'!AA58-1</f>
        <v>-2.3757603580856101E-2</v>
      </c>
      <c r="AF57" s="105">
        <f>'A)NSA Nb'!AF58/'A)NSA Nb'!AB58-1</f>
        <v>-2.2241478913922585E-2</v>
      </c>
      <c r="AG57" s="105">
        <f>'A)NSA Nb'!AG58/'A)NSA Nb'!AC58-1</f>
        <v>-2.1557234166182493E-2</v>
      </c>
      <c r="AH57" s="105">
        <f>'A)NSA Nb'!AH58/'A)NSA Nb'!AD58-1</f>
        <v>-1.7389274668845323E-2</v>
      </c>
      <c r="AI57" s="105">
        <f>'A)NSA Nb'!AI58/'A)NSA Nb'!AE58-1</f>
        <v>-1.6929226428403443E-2</v>
      </c>
      <c r="AJ57" s="105">
        <f>'A)NSA Nb'!AJ58/'A)NSA Nb'!AF58-1</f>
        <v>-8.9217134416542665E-3</v>
      </c>
      <c r="AK57" s="105">
        <f>'A)NSA Nb'!AK58/'A)NSA Nb'!AG58-1</f>
        <v>-9.0266642912285588E-3</v>
      </c>
      <c r="AL57" s="105">
        <f>'A)NSA Nb'!AL58/'A)NSA Nb'!AH58-1</f>
        <v>-1.567789061108138E-2</v>
      </c>
      <c r="AM57" s="105">
        <f>'A)NSA Nb'!AM58/'A)NSA Nb'!AI58-1</f>
        <v>-1.6144463047118585E-3</v>
      </c>
      <c r="AN57" s="105">
        <f>'A)NSA Nb'!AN58/'A)NSA Nb'!AJ58-1</f>
        <v>-1.1327053773697471E-2</v>
      </c>
      <c r="AO57" s="105">
        <f>'A)NSA Nb'!AO58/'A)NSA Nb'!AK58-1</f>
        <v>-9.6482291604244041E-3</v>
      </c>
      <c r="AP57" s="105">
        <f>'A)NSA Nb'!AP58/'A)NSA Nb'!AL58-1</f>
        <v>-8.2051282051283092E-3</v>
      </c>
      <c r="AQ57" s="105">
        <f>'A)NSA Nb'!AQ58/'A)NSA Nb'!AM58-1</f>
        <v>7.9655027849314664E-3</v>
      </c>
      <c r="AR57" s="105">
        <f>'A)NSA Nb'!AR58/'A)NSA Nb'!AN58-1</f>
        <v>3.0149541726964824E-3</v>
      </c>
      <c r="AS57" s="105">
        <f>'A)NSA Nb'!AS58/'A)NSA Nb'!AO58-1</f>
        <v>-4.2357497277012435E-4</v>
      </c>
      <c r="AT57" s="105">
        <f>'A)NSA Nb'!AT58/'A)NSA Nb'!AP58-1</f>
        <v>-3.6498570472642822E-4</v>
      </c>
      <c r="AU57" s="105">
        <f>'A)NSA Nb'!AU58/'A)NSA Nb'!AQ58-1</f>
        <v>-2.7272727272727337E-2</v>
      </c>
      <c r="AV57" s="105">
        <f>'A)NSA Nb'!AV58/'A)NSA Nb'!AR58-1</f>
        <v>-2.3265600577131229E-2</v>
      </c>
      <c r="AW57" s="105">
        <f>'A)NSA Nb'!AW58/'A)NSA Nb'!AS58-1</f>
        <v>-2.1732550396513117E-2</v>
      </c>
      <c r="AX57" s="105">
        <f>'A)NSA Nb'!AX58/'A)NSA Nb'!AT58-1</f>
        <v>-1.8965839696707842E-2</v>
      </c>
      <c r="AY57" s="105">
        <f>'A)NSA Nb'!AY58/'A)NSA Nb'!AU58-1</f>
        <v>5.1976898547339667E-2</v>
      </c>
      <c r="AZ57" s="105">
        <f>'A)NSA Nb'!AZ58/'A)NSA Nb'!AV58-1</f>
        <v>3.0029124737785517E-2</v>
      </c>
      <c r="BA57" s="105">
        <f>'A)NSA Nb'!BA58/'A)NSA Nb'!AW58-1</f>
        <v>6.9833246451608932E-2</v>
      </c>
      <c r="BB57" s="105">
        <f>'A)NSA Nb'!BB58/'A)NSA Nb'!AX58-1</f>
        <v>6.6366834102152161E-2</v>
      </c>
      <c r="BC57" s="105">
        <f>'A)NSA Nb'!BC58/'A)NSA Nb'!AY58-1</f>
        <v>2.6084323933697195E-3</v>
      </c>
      <c r="BD57" s="105">
        <f>'A)NSA Nb'!BD58/'A)NSA Nb'!AZ58-1</f>
        <v>2.8373852961057322E-2</v>
      </c>
      <c r="BE57" s="105">
        <f>'A)NSA Nb'!BE58/'A)NSA Nb'!BA58-1</f>
        <v>-1.1912123779163508E-2</v>
      </c>
      <c r="BF57" s="105">
        <f>'A)NSA Nb'!BF58/'A)NSA Nb'!BB58-1</f>
        <v>-9.7254771534188711E-3</v>
      </c>
      <c r="BG57" s="105">
        <f>'A)NSA Nb'!BG58/'A)NSA Nb'!BC58-1</f>
        <v>3.4885918375441527E-2</v>
      </c>
      <c r="BH57" s="105">
        <f>'A)NSA Nb'!BH58/'A)NSA Nb'!BD58-1</f>
        <v>2.8837678316229631E-2</v>
      </c>
      <c r="BI57" s="105">
        <f>'A)NSA Nb'!BI58/'A)NSA Nb'!BE58-1</f>
        <v>3.242049822191273E-2</v>
      </c>
      <c r="BJ57" s="105">
        <f>'A)NSA Nb'!BJ58/'A)NSA Nb'!BF58-1</f>
        <v>3.1156049758395366E-2</v>
      </c>
    </row>
    <row r="58" spans="1:62" x14ac:dyDescent="0.25">
      <c r="A58" s="312" t="s">
        <v>3</v>
      </c>
      <c r="B58" s="16"/>
      <c r="C58" s="42"/>
      <c r="D58" s="42"/>
      <c r="E58" s="42"/>
      <c r="F58" s="105">
        <f>'A)NSA Nb'!F59/'A)NSA Nb'!B59-1</f>
        <v>8.8968810404164156E-3</v>
      </c>
      <c r="G58" s="105">
        <f>'A)NSA Nb'!G59/'A)NSA Nb'!C59-1</f>
        <v>9.2514661621228012E-3</v>
      </c>
      <c r="H58" s="105">
        <f>'A)NSA Nb'!H59/'A)NSA Nb'!D59-1</f>
        <v>2.4764056359115605E-2</v>
      </c>
      <c r="I58" s="105">
        <f>'A)NSA Nb'!I59/'A)NSA Nb'!E59-1</f>
        <v>2.3555018460778232E-2</v>
      </c>
      <c r="J58" s="105">
        <f>'A)NSA Nb'!J59/'A)NSA Nb'!F59-1</f>
        <v>2.325767690253655E-2</v>
      </c>
      <c r="K58" s="105">
        <f>'A)NSA Nb'!K59/'A)NSA Nb'!G59-1</f>
        <v>2.2036012835994212E-2</v>
      </c>
      <c r="L58" s="105">
        <f>'A)NSA Nb'!L59/'A)NSA Nb'!H59-1</f>
        <v>2.16544805859753E-2</v>
      </c>
      <c r="M58" s="105">
        <f>'A)NSA Nb'!M59/'A)NSA Nb'!I59-1</f>
        <v>1.9986301816640184E-2</v>
      </c>
      <c r="N58" s="105">
        <f>'A)NSA Nb'!N59/'A)NSA Nb'!J59-1</f>
        <v>2.0184755095117524E-2</v>
      </c>
      <c r="O58" s="105">
        <f>'A)NSA Nb'!O59/'A)NSA Nb'!K59-1</f>
        <v>2.0522996984216224E-2</v>
      </c>
      <c r="P58" s="105">
        <f>'A)NSA Nb'!P59/'A)NSA Nb'!L59-1</f>
        <v>1.0476451923874919E-2</v>
      </c>
      <c r="Q58" s="105">
        <f>'A)NSA Nb'!Q59/'A)NSA Nb'!M59-1</f>
        <v>1.1357749937647377E-2</v>
      </c>
      <c r="R58" s="105">
        <f>'A)NSA Nb'!R59/'A)NSA Nb'!N59-1</f>
        <v>1.0174065405619714E-2</v>
      </c>
      <c r="S58" s="105">
        <f>'A)NSA Nb'!S59/'A)NSA Nb'!O59-1</f>
        <v>1.1251263288515778E-2</v>
      </c>
      <c r="T58" s="105">
        <f>'A)NSA Nb'!T59/'A)NSA Nb'!P59-1</f>
        <v>-2.6156509432769814E-3</v>
      </c>
      <c r="U58" s="105">
        <f>'A)NSA Nb'!U59/'A)NSA Nb'!Q59-1</f>
        <v>-1.4796547472257782E-3</v>
      </c>
      <c r="V58" s="105">
        <f>'A)NSA Nb'!V59/'A)NSA Nb'!R59-1</f>
        <v>-3.7982135735503686E-4</v>
      </c>
      <c r="W58" s="105">
        <f>'A)NSA Nb'!W59/'A)NSA Nb'!S59-1</f>
        <v>-1.853292598847589E-3</v>
      </c>
      <c r="X58" s="105">
        <f>'A)NSA Nb'!X59/'A)NSA Nb'!T59-1</f>
        <v>-7.4114427608573674E-4</v>
      </c>
      <c r="Y58" s="105">
        <f>'A)NSA Nb'!Y59/'A)NSA Nb'!U59-1</f>
        <v>-1.3678591105115157E-3</v>
      </c>
      <c r="Z58" s="105">
        <f>'A)NSA Nb'!Z59/'A)NSA Nb'!V59-1</f>
        <v>-7.5359859159374043E-4</v>
      </c>
      <c r="AA58" s="105">
        <f>'A)NSA Nb'!AA59/'A)NSA Nb'!W59-1</f>
        <v>-1.8377227446708666E-4</v>
      </c>
      <c r="AB58" s="105">
        <f>'A)NSA Nb'!AB59/'A)NSA Nb'!X59-1</f>
        <v>-8.4312221468552107E-4</v>
      </c>
      <c r="AC58" s="105">
        <f>'A)NSA Nb'!AC59/'A)NSA Nb'!Y59-1</f>
        <v>-9.3217920669652621E-4</v>
      </c>
      <c r="AD58" s="105">
        <f>'A)NSA Nb'!AD59/'A)NSA Nb'!Z59-1</f>
        <v>-2.2751758666582633E-3</v>
      </c>
      <c r="AE58" s="105">
        <f>'A)NSA Nb'!AE59/'A)NSA Nb'!AA59-1</f>
        <v>-2.833148470923752E-3</v>
      </c>
      <c r="AF58" s="105">
        <f>'A)NSA Nb'!AF59/'A)NSA Nb'!AB59-1</f>
        <v>-3.356300836220294E-3</v>
      </c>
      <c r="AG58" s="105">
        <f>'A)NSA Nb'!AG59/'A)NSA Nb'!AC59-1</f>
        <v>-2.8118414705360362E-3</v>
      </c>
      <c r="AH58" s="105">
        <f>'A)NSA Nb'!AH59/'A)NSA Nb'!AD59-1</f>
        <v>4.7512878657951507E-3</v>
      </c>
      <c r="AI58" s="105">
        <f>'A)NSA Nb'!AI59/'A)NSA Nb'!AE59-1</f>
        <v>4.8815214075053071E-3</v>
      </c>
      <c r="AJ58" s="105">
        <f>'A)NSA Nb'!AJ59/'A)NSA Nb'!AF59-1</f>
        <v>6.5251297068467107E-3</v>
      </c>
      <c r="AK58" s="105">
        <f>'A)NSA Nb'!AK59/'A)NSA Nb'!AG59-1</f>
        <v>6.2378663950861668E-3</v>
      </c>
      <c r="AL58" s="105">
        <f>'A)NSA Nb'!AL59/'A)NSA Nb'!AH59-1</f>
        <v>-1.1885269220313077E-3</v>
      </c>
      <c r="AM58" s="105">
        <f>'A)NSA Nb'!AM59/'A)NSA Nb'!AI59-1</f>
        <v>2.3403501669871929E-3</v>
      </c>
      <c r="AN58" s="105">
        <f>'A)NSA Nb'!AN59/'A)NSA Nb'!AJ59-1</f>
        <v>1.6381000569225534E-3</v>
      </c>
      <c r="AO58" s="105">
        <f>'A)NSA Nb'!AO59/'A)NSA Nb'!AK59-1</f>
        <v>3.0363412088434405E-3</v>
      </c>
      <c r="AP58" s="105">
        <f>'A)NSA Nb'!AP59/'A)NSA Nb'!AL59-1</f>
        <v>6.9624219101083185E-4</v>
      </c>
      <c r="AQ58" s="105">
        <f>'A)NSA Nb'!AQ59/'A)NSA Nb'!AM59-1</f>
        <v>7.6609493519113059E-3</v>
      </c>
      <c r="AR58" s="105">
        <f>'A)NSA Nb'!AR59/'A)NSA Nb'!AN59-1</f>
        <v>6.1059929657949485E-3</v>
      </c>
      <c r="AS58" s="105">
        <f>'A)NSA Nb'!AS59/'A)NSA Nb'!AO59-1</f>
        <v>4.1055718475073721E-3</v>
      </c>
      <c r="AT58" s="105">
        <f>'A)NSA Nb'!AT59/'A)NSA Nb'!AP59-1</f>
        <v>6.3250706826649683E-3</v>
      </c>
      <c r="AU58" s="105">
        <f>'A)NSA Nb'!AU59/'A)NSA Nb'!AQ59-1</f>
        <v>-1.1147294589177736E-3</v>
      </c>
      <c r="AV58" s="105">
        <f>'A)NSA Nb'!AV59/'A)NSA Nb'!AR59-1</f>
        <v>-1.7133604458501317E-3</v>
      </c>
      <c r="AW58" s="105">
        <f>'A)NSA Nb'!AW59/'A)NSA Nb'!AS59-1</f>
        <v>-2.1229022208824055E-3</v>
      </c>
      <c r="AX58" s="105">
        <f>'A)NSA Nb'!AX59/'A)NSA Nb'!AT59-1</f>
        <v>-1.6974325749492536E-3</v>
      </c>
      <c r="AY58" s="105">
        <f>'A)NSA Nb'!AY59/'A)NSA Nb'!AU59-1</f>
        <v>6.6799185558488183E-3</v>
      </c>
      <c r="AZ58" s="105">
        <f>'A)NSA Nb'!AZ59/'A)NSA Nb'!AV59-1</f>
        <v>8.3219399346294853E-3</v>
      </c>
      <c r="BA58" s="105">
        <f>'A)NSA Nb'!BA59/'A)NSA Nb'!AW59-1</f>
        <v>4.8021539334690777E-2</v>
      </c>
      <c r="BB58" s="105">
        <f>'A)NSA Nb'!BB59/'A)NSA Nb'!AX59-1</f>
        <v>4.2805357008482314E-2</v>
      </c>
      <c r="BC58" s="105">
        <f>'A)NSA Nb'!BC59/'A)NSA Nb'!AY59-1</f>
        <v>4.1901599736295037E-2</v>
      </c>
      <c r="BD58" s="105">
        <f>'A)NSA Nb'!BD59/'A)NSA Nb'!AZ59-1</f>
        <v>4.1753145933424607E-2</v>
      </c>
      <c r="BE58" s="105">
        <f>'A)NSA Nb'!BE59/'A)NSA Nb'!BA59-1</f>
        <v>2.1404595005334315E-3</v>
      </c>
      <c r="BF58" s="105">
        <f>'A)NSA Nb'!BF59/'A)NSA Nb'!BB59-1</f>
        <v>6.2964592641348016E-3</v>
      </c>
      <c r="BG58" s="105">
        <f>'A)NSA Nb'!BG59/'A)NSA Nb'!BC59-1</f>
        <v>4.6185736466484384E-2</v>
      </c>
      <c r="BH58" s="105">
        <f>'A)NSA Nb'!BH59/'A)NSA Nb'!BD59-1</f>
        <v>4.5841645003361631E-2</v>
      </c>
      <c r="BI58" s="105">
        <f>'A)NSA Nb'!BI59/'A)NSA Nb'!BE59-1</f>
        <v>4.5753170039083857E-2</v>
      </c>
      <c r="BJ58" s="105">
        <f>'A)NSA Nb'!BJ59/'A)NSA Nb'!BF59-1</f>
        <v>4.6821268425469409E-2</v>
      </c>
    </row>
    <row r="59" spans="1:62" ht="13" thickBot="1" x14ac:dyDescent="0.3">
      <c r="A59" s="310"/>
      <c r="B59" s="15"/>
      <c r="C59" s="43"/>
      <c r="D59" s="43"/>
      <c r="E59" s="43"/>
      <c r="F59" s="43"/>
      <c r="G59" s="43"/>
      <c r="H59" s="43"/>
      <c r="I59" s="43"/>
      <c r="J59" s="43"/>
      <c r="K59" s="149"/>
      <c r="L59" s="149"/>
      <c r="M59" s="43"/>
      <c r="N59" s="43"/>
      <c r="O59" s="43"/>
      <c r="P59" s="43"/>
      <c r="Q59" s="43"/>
      <c r="R59" s="43"/>
      <c r="S59" s="43"/>
      <c r="T59" s="43"/>
      <c r="U59" s="43"/>
      <c r="V59" s="43"/>
      <c r="W59" s="43"/>
      <c r="X59" s="43"/>
      <c r="Y59" s="43"/>
      <c r="Z59" s="43"/>
      <c r="AA59" s="43"/>
      <c r="AB59" s="43"/>
      <c r="AC59" s="43"/>
      <c r="AD59" s="43"/>
      <c r="AE59" s="43"/>
      <c r="AF59" s="43"/>
      <c r="AG59" s="43"/>
      <c r="AH59" s="43"/>
      <c r="AI59" s="43"/>
      <c r="AJ59" s="43"/>
      <c r="AM59" s="43"/>
      <c r="AN59" s="43"/>
      <c r="AO59" s="43"/>
    </row>
    <row r="60" spans="1:62" x14ac:dyDescent="0.25">
      <c r="A60" s="311"/>
      <c r="B60" s="10"/>
      <c r="C60" s="44"/>
      <c r="D60" s="44"/>
      <c r="E60" s="44"/>
      <c r="F60" s="44"/>
      <c r="G60" s="44"/>
      <c r="H60" s="44"/>
      <c r="I60" s="44"/>
      <c r="J60" s="44"/>
      <c r="K60" s="148"/>
      <c r="L60" s="148"/>
      <c r="M60" s="44"/>
      <c r="N60" s="44"/>
      <c r="O60" s="44"/>
      <c r="P60" s="44"/>
      <c r="Q60" s="44"/>
      <c r="R60" s="44"/>
      <c r="S60" s="44"/>
      <c r="T60" s="44"/>
      <c r="U60" s="44"/>
      <c r="V60" s="44"/>
      <c r="W60" s="44"/>
      <c r="X60" s="44"/>
      <c r="Y60" s="44"/>
      <c r="Z60" s="44"/>
      <c r="AA60" s="44"/>
      <c r="AB60" s="44"/>
      <c r="AC60" s="44"/>
      <c r="AD60" s="44"/>
      <c r="AE60" s="44"/>
      <c r="AF60" s="44"/>
      <c r="AG60" s="44"/>
      <c r="AH60" s="44"/>
      <c r="AI60" s="44"/>
      <c r="AJ60" s="44"/>
      <c r="AM60" s="44"/>
      <c r="AN60" s="44"/>
      <c r="AO60" s="44"/>
    </row>
    <row r="61" spans="1:62" ht="13" x14ac:dyDescent="0.3">
      <c r="A61" s="305" t="s">
        <v>31</v>
      </c>
      <c r="B61" s="26"/>
      <c r="C61" s="41"/>
      <c r="D61" s="41"/>
      <c r="E61" s="41"/>
      <c r="F61" s="41"/>
      <c r="G61" s="41"/>
      <c r="H61" s="41"/>
      <c r="I61" s="41"/>
      <c r="J61" s="41"/>
      <c r="K61" s="147"/>
      <c r="L61" s="147"/>
      <c r="M61" s="41"/>
      <c r="N61" s="41"/>
      <c r="O61" s="41"/>
      <c r="P61" s="41"/>
      <c r="Q61" s="41"/>
      <c r="R61" s="41"/>
      <c r="S61" s="41"/>
      <c r="T61" s="41"/>
      <c r="U61" s="41"/>
      <c r="V61" s="41"/>
      <c r="W61" s="41"/>
      <c r="X61" s="41"/>
      <c r="Y61" s="41"/>
      <c r="Z61" s="41"/>
      <c r="AA61" s="41"/>
      <c r="AB61" s="41"/>
      <c r="AC61" s="41"/>
      <c r="AD61" s="41"/>
      <c r="AE61" s="41"/>
      <c r="AF61" s="41"/>
      <c r="AG61" s="41"/>
      <c r="AH61" s="41"/>
      <c r="AI61" s="41"/>
      <c r="AJ61" s="41"/>
      <c r="AM61" s="41"/>
      <c r="AN61" s="41"/>
      <c r="AO61" s="41"/>
    </row>
    <row r="62" spans="1:62" x14ac:dyDescent="0.25">
      <c r="A62" s="325" t="s">
        <v>82</v>
      </c>
      <c r="B62" s="2" t="str">
        <f t="shared" ref="B62:H62" si="144">B8</f>
        <v>4eme T 2009</v>
      </c>
      <c r="C62" s="38" t="str">
        <f t="shared" si="144"/>
        <v>1er T 2010</v>
      </c>
      <c r="D62" s="38" t="str">
        <f t="shared" si="144"/>
        <v>2eme T 2010</v>
      </c>
      <c r="E62" s="38" t="str">
        <f t="shared" si="144"/>
        <v>3eme T 2010</v>
      </c>
      <c r="F62" s="38" t="str">
        <f t="shared" si="144"/>
        <v>4eme T 2010</v>
      </c>
      <c r="G62" s="38" t="str">
        <f t="shared" si="144"/>
        <v>1er T 2011</v>
      </c>
      <c r="H62" s="38" t="str">
        <f t="shared" si="144"/>
        <v>2eme T 2011</v>
      </c>
      <c r="I62" s="38" t="str">
        <f t="shared" ref="I62:N62" si="145">I8</f>
        <v>3eme T 2011</v>
      </c>
      <c r="J62" s="38" t="str">
        <f t="shared" si="145"/>
        <v>4eme T 2011</v>
      </c>
      <c r="K62" s="38" t="str">
        <f t="shared" si="145"/>
        <v>1er T 2012</v>
      </c>
      <c r="L62" s="38" t="str">
        <f t="shared" si="145"/>
        <v>2eme T 2012</v>
      </c>
      <c r="M62" s="38" t="str">
        <f t="shared" si="145"/>
        <v>3eme T 2012</v>
      </c>
      <c r="N62" s="38" t="str">
        <f t="shared" si="145"/>
        <v>4eme T 2012</v>
      </c>
      <c r="O62" s="38" t="str">
        <f t="shared" ref="O62:T62" si="146">O8</f>
        <v>1er T 2013</v>
      </c>
      <c r="P62" s="38" t="str">
        <f t="shared" si="146"/>
        <v>2e T 2013</v>
      </c>
      <c r="Q62" s="38" t="str">
        <f t="shared" si="146"/>
        <v>3e T 2013</v>
      </c>
      <c r="R62" s="38" t="str">
        <f t="shared" si="146"/>
        <v>4e T 2013</v>
      </c>
      <c r="S62" s="38" t="str">
        <f t="shared" si="146"/>
        <v>1er T 2014</v>
      </c>
      <c r="T62" s="38" t="str">
        <f t="shared" si="146"/>
        <v>2e T 2014</v>
      </c>
      <c r="U62" s="38" t="str">
        <f t="shared" ref="U62:V62" si="147">U8</f>
        <v>3e T 2014</v>
      </c>
      <c r="V62" s="38" t="str">
        <f t="shared" si="147"/>
        <v>4e T 2014</v>
      </c>
      <c r="W62" s="38" t="str">
        <f t="shared" ref="W62:X62" si="148">W8</f>
        <v>1er T 2015</v>
      </c>
      <c r="X62" s="38" t="str">
        <f t="shared" si="148"/>
        <v>2e T 2015</v>
      </c>
      <c r="Y62" s="38" t="str">
        <f t="shared" ref="Y62:Z62" si="149">Y8</f>
        <v>3e T 2015</v>
      </c>
      <c r="Z62" s="38" t="str">
        <f t="shared" si="149"/>
        <v>4e T 2015</v>
      </c>
      <c r="AA62" s="38" t="str">
        <f t="shared" ref="AA62:AB62" si="150">AA8</f>
        <v>1er T 2016</v>
      </c>
      <c r="AB62" s="38" t="str">
        <f t="shared" si="150"/>
        <v>2e T 2016</v>
      </c>
      <c r="AC62" s="38" t="str">
        <f t="shared" ref="AC62:AD62" si="151">AC8</f>
        <v>3e T 2016</v>
      </c>
      <c r="AD62" s="38" t="str">
        <f t="shared" si="151"/>
        <v>4e T 2016</v>
      </c>
      <c r="AE62" s="38" t="str">
        <f t="shared" ref="AE62:AF62" si="152">AE8</f>
        <v>1e T 2017</v>
      </c>
      <c r="AF62" s="38" t="str">
        <f t="shared" si="152"/>
        <v>2e T 2017</v>
      </c>
      <c r="AG62" s="38" t="str">
        <f t="shared" ref="AG62:AH62" si="153">AG8</f>
        <v>3e T 2017</v>
      </c>
      <c r="AH62" s="38" t="str">
        <f t="shared" si="153"/>
        <v>4e T 2017</v>
      </c>
      <c r="AI62" s="38" t="str">
        <f t="shared" ref="AI62:AJ62" si="154">AI8</f>
        <v>1e T 2018</v>
      </c>
      <c r="AJ62" s="38" t="str">
        <f t="shared" si="154"/>
        <v>2e T 2018</v>
      </c>
      <c r="AK62" s="38" t="str">
        <f t="shared" ref="AK62:AM62" si="155">AK8</f>
        <v>3e T 2018</v>
      </c>
      <c r="AL62" s="38" t="str">
        <f t="shared" si="155"/>
        <v>4e T 2018</v>
      </c>
      <c r="AM62" s="38" t="str">
        <f t="shared" si="155"/>
        <v>1e T 2019</v>
      </c>
      <c r="AN62" s="38" t="str">
        <f t="shared" ref="AN62:AP62" si="156">AN8</f>
        <v>2e T 2019</v>
      </c>
      <c r="AO62" s="38" t="str">
        <f t="shared" si="156"/>
        <v>3e T 2019</v>
      </c>
      <c r="AP62" s="38" t="str">
        <f t="shared" si="156"/>
        <v>4e T 2019</v>
      </c>
      <c r="AQ62" s="38" t="str">
        <f t="shared" ref="AQ62" si="157">AQ8</f>
        <v>1e T 2020</v>
      </c>
      <c r="AR62" s="38" t="str">
        <f t="shared" ref="AR62" si="158">AR8</f>
        <v>2e T 2020</v>
      </c>
      <c r="AS62" s="38" t="str">
        <f t="shared" ref="AS62:AT62" si="159">AS8</f>
        <v>3e T 2020</v>
      </c>
      <c r="AT62" s="38" t="str">
        <f t="shared" si="159"/>
        <v>4e T 2020</v>
      </c>
      <c r="AU62" s="38" t="str">
        <f t="shared" ref="AU62:AV62" si="160">AU8</f>
        <v>1er T 2021</v>
      </c>
      <c r="AV62" s="38" t="str">
        <f t="shared" si="160"/>
        <v>2e T 2021</v>
      </c>
      <c r="AW62" s="38" t="str">
        <f t="shared" ref="AW62:AX62" si="161">AW8</f>
        <v>3e T 2021</v>
      </c>
      <c r="AX62" s="38" t="str">
        <f t="shared" si="161"/>
        <v>4e T 2021</v>
      </c>
      <c r="AY62" s="38" t="str">
        <f t="shared" ref="AY62:AZ62" si="162">AY8</f>
        <v>1er T 2022</v>
      </c>
      <c r="AZ62" s="38" t="str">
        <f t="shared" si="162"/>
        <v>2e T 2022</v>
      </c>
      <c r="BA62" s="38" t="str">
        <f t="shared" ref="BA62:BB62" si="163">BA8</f>
        <v>3e T 2022</v>
      </c>
      <c r="BB62" s="38" t="str">
        <f t="shared" si="163"/>
        <v>4e T 2022</v>
      </c>
      <c r="BC62" s="38" t="str">
        <f t="shared" ref="BC62:BD62" si="164">BC8</f>
        <v>1er T 2023</v>
      </c>
      <c r="BD62" s="38" t="str">
        <f t="shared" si="164"/>
        <v>2e T 2023</v>
      </c>
      <c r="BE62" s="38" t="str">
        <f t="shared" ref="BE62:BF62" si="165">BE8</f>
        <v>3e T 2023</v>
      </c>
      <c r="BF62" s="38" t="str">
        <f t="shared" si="165"/>
        <v>4e T 2023</v>
      </c>
      <c r="BG62" s="38" t="str">
        <f t="shared" ref="BG62:BH62" si="166">BG8</f>
        <v>1er T 2024</v>
      </c>
      <c r="BH62" s="38" t="str">
        <f t="shared" si="166"/>
        <v>2e T 2024</v>
      </c>
      <c r="BI62" s="38" t="str">
        <f t="shared" ref="BI62:BJ62" si="167">BI8</f>
        <v>3e T 2024</v>
      </c>
      <c r="BJ62" s="38" t="str">
        <f t="shared" si="167"/>
        <v>4e T 2024</v>
      </c>
    </row>
    <row r="63" spans="1:62" x14ac:dyDescent="0.25">
      <c r="A63" s="306" t="s">
        <v>16</v>
      </c>
      <c r="B63" s="29"/>
      <c r="C63" s="48"/>
      <c r="D63" s="48"/>
      <c r="E63" s="48"/>
      <c r="F63" s="48">
        <f>'A)NSA Nb'!F65-'A)NSA Nb'!B65</f>
        <v>0.24939999999999429</v>
      </c>
      <c r="G63" s="48">
        <f>'A)NSA Nb'!G65-'A)NSA Nb'!C65</f>
        <v>0.26049999999999329</v>
      </c>
      <c r="H63" s="48">
        <f>'A)NSA Nb'!H65-'A)NSA Nb'!D65</f>
        <v>0.25520000000000209</v>
      </c>
      <c r="I63" s="48">
        <f>'A)NSA Nb'!I65-'A)NSA Nb'!E65</f>
        <v>0.27290000000000703</v>
      </c>
      <c r="J63" s="48">
        <f>'A)NSA Nb'!J65-'A)NSA Nb'!F65</f>
        <v>0.30360000000000298</v>
      </c>
      <c r="K63" s="48">
        <f>'A)NSA Nb'!K65-'A)NSA Nb'!G65</f>
        <v>0.30700000000000216</v>
      </c>
      <c r="L63" s="48">
        <f>'A)NSA Nb'!L65-'A)NSA Nb'!H65</f>
        <v>0.31329999999999814</v>
      </c>
      <c r="M63" s="48">
        <f>'A)NSA Nb'!M65-'A)NSA Nb'!I65</f>
        <v>0.32799999999998875</v>
      </c>
      <c r="N63" s="48">
        <f>'A)NSA Nb'!N65-'A)NSA Nb'!J65</f>
        <v>0.31730000000000302</v>
      </c>
      <c r="O63" s="48">
        <f>'A)NSA Nb'!O65-'A)NSA Nb'!K65</f>
        <v>0.30879999999999086</v>
      </c>
      <c r="P63" s="48">
        <f>'A)NSA Nb'!P65-'A)NSA Nb'!L65</f>
        <v>0.2926000000000073</v>
      </c>
      <c r="Q63" s="48">
        <f>'A)NSA Nb'!Q65-'A)NSA Nb'!M65</f>
        <v>0.2482000000000113</v>
      </c>
      <c r="R63" s="48">
        <f>'A)NSA Nb'!R65-'A)NSA Nb'!N65</f>
        <v>0.22729999999999961</v>
      </c>
      <c r="S63" s="48">
        <f>'A)NSA Nb'!S65-'A)NSA Nb'!O65</f>
        <v>0.24699999999999989</v>
      </c>
      <c r="T63" s="48">
        <f>'A)NSA Nb'!T65-'A)NSA Nb'!P65</f>
        <v>0.26160000000000139</v>
      </c>
      <c r="U63" s="48">
        <f>'A)NSA Nb'!U65-'A)NSA Nb'!Q65</f>
        <v>0.26529999999999632</v>
      </c>
      <c r="V63" s="48">
        <f>'A)NSA Nb'!V65-'A)NSA Nb'!R65</f>
        <v>0.24719999999999231</v>
      </c>
      <c r="W63" s="48">
        <f>'A)NSA Nb'!W65-'A)NSA Nb'!S65</f>
        <v>0.25620000000000687</v>
      </c>
      <c r="X63" s="48">
        <f>'A)NSA Nb'!X65-'A)NSA Nb'!T65</f>
        <v>0.18649999999999523</v>
      </c>
      <c r="Y63" s="48">
        <f>'A)NSA Nb'!Y65-'A)NSA Nb'!U65</f>
        <v>0.18219999999999459</v>
      </c>
      <c r="Z63" s="48">
        <f>'A)NSA Nb'!Z65-'A)NSA Nb'!V65</f>
        <v>0.17150000000000887</v>
      </c>
      <c r="AA63" s="48">
        <f>'A)NSA Nb'!AA65-'A)NSA Nb'!W65</f>
        <v>9.9500000000006139E-2</v>
      </c>
      <c r="AB63" s="48">
        <f>'A)NSA Nb'!AB65-'A)NSA Nb'!X65</f>
        <v>0.1296999999999997</v>
      </c>
      <c r="AC63" s="48">
        <f>'A)NSA Nb'!AC65-'A)NSA Nb'!Y65</f>
        <v>0.10670000000000357</v>
      </c>
      <c r="AD63" s="48">
        <f>'A)NSA Nb'!AD65-'A)NSA Nb'!Z65</f>
        <v>0.12429999999999097</v>
      </c>
      <c r="AE63" s="48">
        <f>'A)NSA Nb'!AE65-'A)NSA Nb'!AA65</f>
        <v>0.12249999999998806</v>
      </c>
      <c r="AF63" s="48">
        <f>'A)NSA Nb'!AF65-'A)NSA Nb'!AB65</f>
        <v>0.109800000000007</v>
      </c>
      <c r="AG63" s="48">
        <f>'A)NSA Nb'!AG65-'A)NSA Nb'!AC65</f>
        <v>9.6400000000002706E-2</v>
      </c>
      <c r="AH63" s="48">
        <f>'A)NSA Nb'!AH65-'A)NSA Nb'!AD65</f>
        <v>5.1900000000003388E-2</v>
      </c>
      <c r="AI63" s="48">
        <f>'A)NSA Nb'!AI65-'A)NSA Nb'!AE65</f>
        <v>1.7600000000001614E-2</v>
      </c>
      <c r="AJ63" s="48">
        <f>'A)NSA Nb'!AJ65-'A)NSA Nb'!AF65</f>
        <v>2.7699999999995839E-2</v>
      </c>
      <c r="AK63" s="48">
        <f>'A)NSA Nb'!AK65-'A)NSA Nb'!AG65</f>
        <v>1.3199999999997658E-2</v>
      </c>
      <c r="AL63" s="48">
        <f>'A)NSA Nb'!AL65-'A)NSA Nb'!AH65</f>
        <v>3.6000000000058208E-3</v>
      </c>
      <c r="AM63" s="48">
        <f>'A)NSA Nb'!AM65-'A)NSA Nb'!AI65</f>
        <v>6.6000000000059345E-3</v>
      </c>
      <c r="AN63" s="48">
        <f>'A)NSA Nb'!AN65-'A)NSA Nb'!AJ65</f>
        <v>-9.1000000000036607E-3</v>
      </c>
      <c r="AO63" s="48">
        <f>'A)NSA Nb'!AO65-'A)NSA Nb'!AK65</f>
        <v>-1.4000000000038426E-3</v>
      </c>
      <c r="AP63" s="48">
        <f>'A)NSA Nb'!AP65-'A)NSA Nb'!AL65</f>
        <v>-1.0900000000006571E-2</v>
      </c>
      <c r="AQ63" s="48">
        <f>'A)NSA Nb'!AQ65-'A)NSA Nb'!AM65</f>
        <v>-5.2000000000020918E-3</v>
      </c>
      <c r="AR63" s="48">
        <f>'A)NSA Nb'!AR65-'A)NSA Nb'!AN65</f>
        <v>-1.5999999999962711E-3</v>
      </c>
      <c r="AS63" s="48">
        <f>'A)NSA Nb'!AS65-'A)NSA Nb'!AO65</f>
        <v>7.8000000000031378E-3</v>
      </c>
      <c r="AT63" s="48">
        <f>'A)NSA Nb'!AT65-'A)NSA Nb'!AP65</f>
        <v>1.2299999999996203E-2</v>
      </c>
      <c r="AU63" s="48">
        <f>'A)NSA Nb'!AU65-'A)NSA Nb'!AQ65</f>
        <v>-1.8600000000006389E-2</v>
      </c>
      <c r="AV63" s="48">
        <f>'A)NSA Nb'!AV65-'A)NSA Nb'!AR65</f>
        <v>-2.6300000000006207E-2</v>
      </c>
      <c r="AW63" s="48">
        <f>'A)NSA Nb'!AW65-'A)NSA Nb'!AS65</f>
        <v>-3.3799999999999386E-2</v>
      </c>
      <c r="AX63" s="48">
        <f>'A)NSA Nb'!AX65-'A)NSA Nb'!AT65</f>
        <v>-3.5691076329698035E-2</v>
      </c>
      <c r="AY63" s="48">
        <f>'A)NSA Nb'!AY65-'A)NSA Nb'!AU65</f>
        <v>-3.1741709274086816E-2</v>
      </c>
      <c r="AZ63" s="48">
        <f>'A)NSA Nb'!AZ65-'A)NSA Nb'!AV65</f>
        <v>-4.1804449146496836E-2</v>
      </c>
      <c r="BA63" s="48">
        <f>'A)NSA Nb'!BA65-'A)NSA Nb'!AW65</f>
        <v>-4.7185972566694545E-2</v>
      </c>
      <c r="BB63" s="48">
        <f>'A)NSA Nb'!BB65-'A)NSA Nb'!AX65</f>
        <v>-4.6824387538293877E-2</v>
      </c>
      <c r="BC63" s="48">
        <f>'A)NSA Nb'!BC65-'A)NSA Nb'!AY65</f>
        <v>-8.2019814636709043E-2</v>
      </c>
      <c r="BD63" s="48">
        <f>'A)NSA Nb'!BD65-'A)NSA Nb'!AZ65</f>
        <v>-8.5412479775200723E-2</v>
      </c>
      <c r="BE63" s="48">
        <f>'A)NSA Nb'!BE65-'A)NSA Nb'!BA65</f>
        <v>-9.5808652546210737E-2</v>
      </c>
      <c r="BF63" s="48">
        <f>'A)NSA Nb'!BF65-'A)NSA Nb'!BB65</f>
        <v>-7.0782107169705455E-2</v>
      </c>
      <c r="BG63" s="48">
        <f>'A)NSA Nb'!BG65-'A)NSA Nb'!BC65</f>
        <v>-1.783810650439932E-2</v>
      </c>
      <c r="BH63" s="48">
        <f>'A)NSA Nb'!BH65-'A)NSA Nb'!BD65</f>
        <v>9.3663802107073479E-3</v>
      </c>
      <c r="BI63" s="48">
        <f>'A)NSA Nb'!BI65-'A)NSA Nb'!BE65</f>
        <v>3.4445047122602546E-2</v>
      </c>
      <c r="BJ63" s="48">
        <f>'A)NSA Nb'!BJ65-'A)NSA Nb'!BF65</f>
        <v>1.7776328855305223E-2</v>
      </c>
    </row>
    <row r="64" spans="1:62" x14ac:dyDescent="0.25">
      <c r="A64" s="306" t="s">
        <v>17</v>
      </c>
      <c r="B64" s="29"/>
      <c r="C64" s="48"/>
      <c r="D64" s="48"/>
      <c r="E64" s="48"/>
      <c r="F64" s="48">
        <f>'A)NSA Nb'!F66-'A)NSA Nb'!B66</f>
        <v>0.30329999999999302</v>
      </c>
      <c r="G64" s="48">
        <f>'A)NSA Nb'!G66-'A)NSA Nb'!C66</f>
        <v>0.30589999999999407</v>
      </c>
      <c r="H64" s="48">
        <f>'A)NSA Nb'!H66-'A)NSA Nb'!D66</f>
        <v>0.31109999999999616</v>
      </c>
      <c r="I64" s="48">
        <f>'A)NSA Nb'!I66-'A)NSA Nb'!E66</f>
        <v>0.32840000000000202</v>
      </c>
      <c r="J64" s="48">
        <f>'A)NSA Nb'!J66-'A)NSA Nb'!F66</f>
        <v>0.3200999999999965</v>
      </c>
      <c r="K64" s="48">
        <f>'A)NSA Nb'!K66-'A)NSA Nb'!G66</f>
        <v>0.33710000000000662</v>
      </c>
      <c r="L64" s="48">
        <f>'A)NSA Nb'!L66-'A)NSA Nb'!H66</f>
        <v>0.32410000000000139</v>
      </c>
      <c r="M64" s="48">
        <f>'A)NSA Nb'!M66-'A)NSA Nb'!I66</f>
        <v>0.29619999999999891</v>
      </c>
      <c r="N64" s="48">
        <f>'A)NSA Nb'!N66-'A)NSA Nb'!J66</f>
        <v>0.29810000000000514</v>
      </c>
      <c r="O64" s="48">
        <f>'A)NSA Nb'!O66-'A)NSA Nb'!K66</f>
        <v>0.2967999999999904</v>
      </c>
      <c r="P64" s="48">
        <f>'A)NSA Nb'!P66-'A)NSA Nb'!L66</f>
        <v>0.30379999999999541</v>
      </c>
      <c r="Q64" s="48">
        <f>'A)NSA Nb'!Q66-'A)NSA Nb'!M66</f>
        <v>0.32059999999999889</v>
      </c>
      <c r="R64" s="48">
        <f>'A)NSA Nb'!R66-'A)NSA Nb'!N66</f>
        <v>0.32089999999999463</v>
      </c>
      <c r="S64" s="48">
        <f>'A)NSA Nb'!S66-'A)NSA Nb'!O66</f>
        <v>0.29250000000000398</v>
      </c>
      <c r="T64" s="48">
        <f>'A)NSA Nb'!T66-'A)NSA Nb'!P66</f>
        <v>0.30180000000000007</v>
      </c>
      <c r="U64" s="48">
        <f>'A)NSA Nb'!U66-'A)NSA Nb'!Q66</f>
        <v>0.32510000000000616</v>
      </c>
      <c r="V64" s="48">
        <f>'A)NSA Nb'!V66-'A)NSA Nb'!R66</f>
        <v>0.3492999999999995</v>
      </c>
      <c r="W64" s="48">
        <f>'A)NSA Nb'!W66-'A)NSA Nb'!S66</f>
        <v>0.35760000000000502</v>
      </c>
      <c r="X64" s="48">
        <f>'A)NSA Nb'!X66-'A)NSA Nb'!T66</f>
        <v>0.30570000000000164</v>
      </c>
      <c r="Y64" s="48">
        <f>'A)NSA Nb'!Y66-'A)NSA Nb'!U66</f>
        <v>0.27290000000000703</v>
      </c>
      <c r="Z64" s="48">
        <f>'A)NSA Nb'!Z66-'A)NSA Nb'!V66</f>
        <v>0.25450000000000728</v>
      </c>
      <c r="AA64" s="48">
        <f>'A)NSA Nb'!AA66-'A)NSA Nb'!W66</f>
        <v>0.25950000000000273</v>
      </c>
      <c r="AB64" s="48">
        <f>'A)NSA Nb'!AB66-'A)NSA Nb'!X66</f>
        <v>0.31270000000000664</v>
      </c>
      <c r="AC64" s="48">
        <f>'A)NSA Nb'!AC66-'A)NSA Nb'!Y66</f>
        <v>0.32209999999999184</v>
      </c>
      <c r="AD64" s="48">
        <f>'A)NSA Nb'!AD66-'A)NSA Nb'!Z66</f>
        <v>0.30589999999999407</v>
      </c>
      <c r="AE64" s="48">
        <f>'A)NSA Nb'!AE66-'A)NSA Nb'!AA66</f>
        <v>0.28069999999999595</v>
      </c>
      <c r="AF64" s="48">
        <f>'A)NSA Nb'!AF66-'A)NSA Nb'!AB66</f>
        <v>0.25449999999999307</v>
      </c>
      <c r="AG64" s="48">
        <f>'A)NSA Nb'!AG66-'A)NSA Nb'!AC66</f>
        <v>0.27769999999999584</v>
      </c>
      <c r="AH64" s="48">
        <f>'A)NSA Nb'!AH66-'A)NSA Nb'!AD66</f>
        <v>0.29820000000000846</v>
      </c>
      <c r="AI64" s="48">
        <f>'A)NSA Nb'!AI66-'A)NSA Nb'!AE66</f>
        <v>0.31189999999999429</v>
      </c>
      <c r="AJ64" s="48">
        <f>'A)NSA Nb'!AJ66-'A)NSA Nb'!AF66</f>
        <v>0.33549999999999613</v>
      </c>
      <c r="AK64" s="48">
        <f>'A)NSA Nb'!AK66-'A)NSA Nb'!AG66</f>
        <v>0.29250000000000398</v>
      </c>
      <c r="AL64" s="48">
        <f>'A)NSA Nb'!AL66-'A)NSA Nb'!AH66</f>
        <v>0.26850000000000307</v>
      </c>
      <c r="AM64" s="48">
        <f>'A)NSA Nb'!AM66-'A)NSA Nb'!AI66</f>
        <v>0.2494000000000085</v>
      </c>
      <c r="AN64" s="48">
        <f>'A)NSA Nb'!AN66-'A)NSA Nb'!AJ66</f>
        <v>0.20980000000000132</v>
      </c>
      <c r="AO64" s="48">
        <f>'A)NSA Nb'!AO66-'A)NSA Nb'!AK66</f>
        <v>0.21510000000000673</v>
      </c>
      <c r="AP64" s="48">
        <f>'A)NSA Nb'!AP66-'A)NSA Nb'!AL66</f>
        <v>0.22239999999999327</v>
      </c>
      <c r="AQ64" s="48">
        <f>'A)NSA Nb'!AQ66-'A)NSA Nb'!AM66</f>
        <v>0.23550000000000182</v>
      </c>
      <c r="AR64" s="48">
        <f>'A)NSA Nb'!AR66-'A)NSA Nb'!AN66</f>
        <v>0.25840000000000884</v>
      </c>
      <c r="AS64" s="48">
        <f>'A)NSA Nb'!AS66-'A)NSA Nb'!AO66</f>
        <v>0.26139999999999475</v>
      </c>
      <c r="AT64" s="48">
        <f>'A)NSA Nb'!AT66-'A)NSA Nb'!AP66</f>
        <v>0.26739999999999498</v>
      </c>
      <c r="AU64" s="48">
        <f>'A)NSA Nb'!AU66-'A)NSA Nb'!AQ66</f>
        <v>0.21309999999999718</v>
      </c>
      <c r="AV64" s="48">
        <f>'A)NSA Nb'!AV66-'A)NSA Nb'!AR66</f>
        <v>0.21169999999999334</v>
      </c>
      <c r="AW64" s="48">
        <f>'A)NSA Nb'!AW66-'A)NSA Nb'!AS66</f>
        <v>0.21599999999999397</v>
      </c>
      <c r="AX64" s="48">
        <f>'A)NSA Nb'!AX66-'A)NSA Nb'!AT66</f>
        <v>0.19943974155010835</v>
      </c>
      <c r="AY64" s="48">
        <f>'A)NSA Nb'!AY66-'A)NSA Nb'!AU66</f>
        <v>0.23082832883389415</v>
      </c>
      <c r="AZ64" s="48">
        <f>'A)NSA Nb'!AZ66-'A)NSA Nb'!AV66</f>
        <v>0.19787247212610737</v>
      </c>
      <c r="BA64" s="48">
        <f>'A)NSA Nb'!BA66-'A)NSA Nb'!AW66</f>
        <v>0.20133408697191157</v>
      </c>
      <c r="BB64" s="48">
        <f>'A)NSA Nb'!BB66-'A)NSA Nb'!AX66</f>
        <v>0.21347587705729154</v>
      </c>
      <c r="BC64" s="48">
        <f>'A)NSA Nb'!BC66-'A)NSA Nb'!AY66</f>
        <v>0.16751143651750056</v>
      </c>
      <c r="BD64" s="48">
        <f>'A)NSA Nb'!BD66-'A)NSA Nb'!AZ66</f>
        <v>0.17319697256759525</v>
      </c>
      <c r="BE64" s="48">
        <f>'A)NSA Nb'!BE66-'A)NSA Nb'!BA66</f>
        <v>0.17233207144128926</v>
      </c>
      <c r="BF64" s="48">
        <f>'A)NSA Nb'!BF66-'A)NSA Nb'!BB66</f>
        <v>0.12651987253670427</v>
      </c>
      <c r="BG64" s="48">
        <f>'A)NSA Nb'!BG66-'A)NSA Nb'!BC66</f>
        <v>0.16281252376710142</v>
      </c>
      <c r="BH64" s="48">
        <f>'A)NSA Nb'!BH66-'A)NSA Nb'!BD66</f>
        <v>0.17442681058659559</v>
      </c>
      <c r="BI64" s="48">
        <f>'A)NSA Nb'!BI66-'A)NSA Nb'!BE66</f>
        <v>0.15724465040869973</v>
      </c>
      <c r="BJ64" s="48">
        <f>'A)NSA Nb'!BJ66-'A)NSA Nb'!BF66</f>
        <v>0.17472047867799745</v>
      </c>
    </row>
    <row r="65" spans="1:62" x14ac:dyDescent="0.25">
      <c r="A65" s="306" t="s">
        <v>18</v>
      </c>
      <c r="B65" s="29"/>
      <c r="C65" s="48"/>
      <c r="D65" s="48"/>
      <c r="E65" s="48"/>
      <c r="F65" s="48">
        <f>'A)NSA Nb'!F67-'A)NSA Nb'!B67</f>
        <v>0.40139999999999532</v>
      </c>
      <c r="G65" s="48">
        <f>'A)NSA Nb'!G67-'A)NSA Nb'!C67</f>
        <v>0.39670000000000982</v>
      </c>
      <c r="H65" s="48">
        <f>'A)NSA Nb'!H67-'A)NSA Nb'!D67</f>
        <v>0.39589999999999748</v>
      </c>
      <c r="I65" s="48">
        <f>'A)NSA Nb'!I67-'A)NSA Nb'!E67</f>
        <v>0.40289999999998827</v>
      </c>
      <c r="J65" s="48">
        <f>'A)NSA Nb'!J67-'A)NSA Nb'!F67</f>
        <v>0.40690000000000737</v>
      </c>
      <c r="K65" s="48">
        <f>'A)NSA Nb'!K67-'A)NSA Nb'!G67</f>
        <v>0.41519999999999868</v>
      </c>
      <c r="L65" s="48">
        <f>'A)NSA Nb'!L67-'A)NSA Nb'!H67</f>
        <v>0.41190000000000282</v>
      </c>
      <c r="M65" s="48">
        <f>'A)NSA Nb'!M67-'A)NSA Nb'!I67</f>
        <v>0.4077000000000055</v>
      </c>
      <c r="N65" s="48">
        <f>'A)NSA Nb'!N67-'A)NSA Nb'!J67</f>
        <v>0.40979999999998995</v>
      </c>
      <c r="O65" s="48">
        <f>'A)NSA Nb'!O67-'A)NSA Nb'!K67</f>
        <v>0.40519999999999357</v>
      </c>
      <c r="P65" s="48">
        <f>'A)NSA Nb'!P67-'A)NSA Nb'!L67</f>
        <v>0.404200000000003</v>
      </c>
      <c r="Q65" s="48">
        <f>'A)NSA Nb'!Q67-'A)NSA Nb'!M67</f>
        <v>0.40380000000000393</v>
      </c>
      <c r="R65" s="48">
        <f>'A)NSA Nb'!R67-'A)NSA Nb'!N67</f>
        <v>0.39750000000000796</v>
      </c>
      <c r="S65" s="48">
        <f>'A)NSA Nb'!S67-'A)NSA Nb'!O67</f>
        <v>0.39939999999999998</v>
      </c>
      <c r="T65" s="48">
        <f>'A)NSA Nb'!T67-'A)NSA Nb'!P67</f>
        <v>0.42349999999999</v>
      </c>
      <c r="U65" s="48">
        <f>'A)NSA Nb'!U67-'A)NSA Nb'!Q67</f>
        <v>0.42829999999999302</v>
      </c>
      <c r="V65" s="48">
        <f>'A)NSA Nb'!V67-'A)NSA Nb'!R67</f>
        <v>0.42869999999999209</v>
      </c>
      <c r="W65" s="48">
        <f>'A)NSA Nb'!W67-'A)NSA Nb'!S67</f>
        <v>0.44250000000000966</v>
      </c>
      <c r="X65" s="48">
        <f>'A)NSA Nb'!X67-'A)NSA Nb'!T67</f>
        <v>0.37940000000000396</v>
      </c>
      <c r="Y65" s="48">
        <f>'A)NSA Nb'!Y67-'A)NSA Nb'!U67</f>
        <v>0.36679999999999779</v>
      </c>
      <c r="Z65" s="48">
        <f>'A)NSA Nb'!Z67-'A)NSA Nb'!V67</f>
        <v>0.35720000000000596</v>
      </c>
      <c r="AA65" s="48">
        <f>'A)NSA Nb'!AA67-'A)NSA Nb'!W67</f>
        <v>0.32079999999999131</v>
      </c>
      <c r="AB65" s="48">
        <f>'A)NSA Nb'!AB67-'A)NSA Nb'!X67</f>
        <v>0.35550000000000637</v>
      </c>
      <c r="AC65" s="48">
        <f>'A)NSA Nb'!AC67-'A)NSA Nb'!Y67</f>
        <v>0.3539000000000101</v>
      </c>
      <c r="AD65" s="48">
        <f>'A)NSA Nb'!AD67-'A)NSA Nb'!Z67</f>
        <v>0.34860000000000468</v>
      </c>
      <c r="AE65" s="48">
        <f>'A)NSA Nb'!AE67-'A)NSA Nb'!AA67</f>
        <v>0.33740000000000236</v>
      </c>
      <c r="AF65" s="48">
        <f>'A)NSA Nb'!AF67-'A)NSA Nb'!AB67</f>
        <v>0.3171999999999997</v>
      </c>
      <c r="AG65" s="48">
        <f>'A)NSA Nb'!AG67-'A)NSA Nb'!AC67</f>
        <v>0.31300000000000239</v>
      </c>
      <c r="AH65" s="48">
        <f>'A)NSA Nb'!AH67-'A)NSA Nb'!AD67</f>
        <v>0.30679999999999552</v>
      </c>
      <c r="AI65" s="48">
        <f>'A)NSA Nb'!AI67-'A)NSA Nb'!AE67</f>
        <v>0.30570000000000164</v>
      </c>
      <c r="AJ65" s="48">
        <f>'A)NSA Nb'!AJ67-'A)NSA Nb'!AF67</f>
        <v>0.32039999999999225</v>
      </c>
      <c r="AK65" s="48">
        <f>'A)NSA Nb'!AK67-'A)NSA Nb'!AG67</f>
        <v>0.29119999999998925</v>
      </c>
      <c r="AL65" s="48">
        <f>'A)NSA Nb'!AL67-'A)NSA Nb'!AH67</f>
        <v>0.27909999999999968</v>
      </c>
      <c r="AM65" s="48">
        <f>'A)NSA Nb'!AM67-'A)NSA Nb'!AI67</f>
        <v>0.26529999999999632</v>
      </c>
      <c r="AN65" s="48">
        <f>'A)NSA Nb'!AN67-'A)NSA Nb'!AJ67</f>
        <v>0.24670000000000414</v>
      </c>
      <c r="AO65" s="48">
        <f>'A)NSA Nb'!AO67-'A)NSA Nb'!AK67</f>
        <v>0.25720000000001164</v>
      </c>
      <c r="AP65" s="48">
        <f>'A)NSA Nb'!AP67-'A)NSA Nb'!AL67</f>
        <v>0.25190000000000623</v>
      </c>
      <c r="AQ65" s="48">
        <f>'A)NSA Nb'!AQ67-'A)NSA Nb'!AM67</f>
        <v>0.25780000000000314</v>
      </c>
      <c r="AR65" s="48">
        <f>'A)NSA Nb'!AR67-'A)NSA Nb'!AN67</f>
        <v>0.24750000000000227</v>
      </c>
      <c r="AS65" s="48">
        <f>'A)NSA Nb'!AS67-'A)NSA Nb'!AO67</f>
        <v>0.24929999999999097</v>
      </c>
      <c r="AT65" s="48">
        <f>'A)NSA Nb'!AT67-'A)NSA Nb'!AP67</f>
        <v>0.24109999999998877</v>
      </c>
      <c r="AU65" s="48">
        <f>'A)NSA Nb'!AU67-'A)NSA Nb'!AQ67</f>
        <v>0.19750000000000512</v>
      </c>
      <c r="AV65" s="48">
        <f>'A)NSA Nb'!AV67-'A)NSA Nb'!AR67</f>
        <v>0.18559999999999377</v>
      </c>
      <c r="AW65" s="48">
        <f>'A)NSA Nb'!AW67-'A)NSA Nb'!AS67</f>
        <v>0.17709999999999582</v>
      </c>
      <c r="AX65" s="48">
        <f>'A)NSA Nb'!AX67-'A)NSA Nb'!AT67</f>
        <v>0.18346601242460281</v>
      </c>
      <c r="AY65" s="48">
        <f>'A)NSA Nb'!AY67-'A)NSA Nb'!AU67</f>
        <v>0.20441747201559224</v>
      </c>
      <c r="AZ65" s="48">
        <f>'A)NSA Nb'!AZ67-'A)NSA Nb'!AV67</f>
        <v>0.1909275434146025</v>
      </c>
      <c r="BA65" s="48">
        <f>'A)NSA Nb'!BA67-'A)NSA Nb'!AW67</f>
        <v>0.18291593371580461</v>
      </c>
      <c r="BB65" s="48">
        <f>'A)NSA Nb'!BB67-'A)NSA Nb'!AX67</f>
        <v>0.18939405597589598</v>
      </c>
      <c r="BC65" s="48">
        <f>'A)NSA Nb'!BC67-'A)NSA Nb'!AY67</f>
        <v>0.13021343314130718</v>
      </c>
      <c r="BD65" s="48">
        <f>'A)NSA Nb'!BD67-'A)NSA Nb'!AZ67</f>
        <v>0.12895530210779782</v>
      </c>
      <c r="BE65" s="48">
        <f>'A)NSA Nb'!BE67-'A)NSA Nb'!BA67</f>
        <v>0.11660858309440414</v>
      </c>
      <c r="BF65" s="48">
        <f>'A)NSA Nb'!BF67-'A)NSA Nb'!BB67</f>
        <v>9.4706424164911596E-2</v>
      </c>
      <c r="BG65" s="48">
        <f>'A)NSA Nb'!BG67-'A)NSA Nb'!BC67</f>
        <v>0.13357930460209388</v>
      </c>
      <c r="BH65" s="48">
        <f>'A)NSA Nb'!BH67-'A)NSA Nb'!BD67</f>
        <v>0.13196772504400656</v>
      </c>
      <c r="BI65" s="48">
        <f>'A)NSA Nb'!BI67-'A)NSA Nb'!BE67</f>
        <v>0.13210863169560128</v>
      </c>
      <c r="BJ65" s="48">
        <f>'A)NSA Nb'!BJ67-'A)NSA Nb'!BF67</f>
        <v>0.12483191554919415</v>
      </c>
    </row>
    <row r="66" spans="1:62" x14ac:dyDescent="0.25">
      <c r="A66" s="307" t="s">
        <v>29</v>
      </c>
      <c r="B66" s="29"/>
      <c r="C66" s="48"/>
      <c r="D66" s="48"/>
      <c r="E66" s="48"/>
      <c r="F66" s="48">
        <f>'A)NSA Nb'!F68-'A)NSA Nb'!B68</f>
        <v>0.30649999999999977</v>
      </c>
      <c r="G66" s="48">
        <f>'A)NSA Nb'!G68-'A)NSA Nb'!C68</f>
        <v>0.31589999999999918</v>
      </c>
      <c r="H66" s="48">
        <f>'A)NSA Nb'!H68-'A)NSA Nb'!D68</f>
        <v>0.31279999999999575</v>
      </c>
      <c r="I66" s="48">
        <f>'A)NSA Nb'!I68-'A)NSA Nb'!E68</f>
        <v>0.32959999999999923</v>
      </c>
      <c r="J66" s="48">
        <f>'A)NSA Nb'!J68-'A)NSA Nb'!F68</f>
        <v>0.35460000000000491</v>
      </c>
      <c r="K66" s="48">
        <f>'A)NSA Nb'!K68-'A)NSA Nb'!G68</f>
        <v>0.35999999999999943</v>
      </c>
      <c r="L66" s="48">
        <f>'A)NSA Nb'!L68-'A)NSA Nb'!H68</f>
        <v>0.36310000000000286</v>
      </c>
      <c r="M66" s="48">
        <f>'A)NSA Nb'!M68-'A)NSA Nb'!I68</f>
        <v>0.37000000000000455</v>
      </c>
      <c r="N66" s="48">
        <f>'A)NSA Nb'!N68-'A)NSA Nb'!J68</f>
        <v>0.36209999999999809</v>
      </c>
      <c r="O66" s="48">
        <f>'A)NSA Nb'!O68-'A)NSA Nb'!K68</f>
        <v>0.35060000000000002</v>
      </c>
      <c r="P66" s="48">
        <f>'A)NSA Nb'!P68-'A)NSA Nb'!L68</f>
        <v>0.33490000000000464</v>
      </c>
      <c r="Q66" s="48">
        <f>'A)NSA Nb'!Q68-'A)NSA Nb'!M68</f>
        <v>0.30060000000000286</v>
      </c>
      <c r="R66" s="48">
        <f>'A)NSA Nb'!R68-'A)NSA Nb'!N68</f>
        <v>0.28480000000000416</v>
      </c>
      <c r="S66" s="48">
        <f>'A)NSA Nb'!S68-'A)NSA Nb'!O68</f>
        <v>0.30180000000000007</v>
      </c>
      <c r="T66" s="48">
        <f>'A)NSA Nb'!T68-'A)NSA Nb'!P68</f>
        <v>0.31589999999999918</v>
      </c>
      <c r="U66" s="48">
        <f>'A)NSA Nb'!U68-'A)NSA Nb'!Q68</f>
        <v>0.32029999999998893</v>
      </c>
      <c r="V66" s="48">
        <f>'A)NSA Nb'!V68-'A)NSA Nb'!R68</f>
        <v>0.30629999999999313</v>
      </c>
      <c r="W66" s="48">
        <f>'A)NSA Nb'!W68-'A)NSA Nb'!S68</f>
        <v>0.22560000000000002</v>
      </c>
      <c r="X66" s="48">
        <f>'A)NSA Nb'!X68-'A)NSA Nb'!T68</f>
        <v>0.24949999999999761</v>
      </c>
      <c r="Y66" s="48">
        <f>'A)NSA Nb'!Y68-'A)NSA Nb'!U68</f>
        <v>0.24550000000000693</v>
      </c>
      <c r="Z66" s="48">
        <f>'A)NSA Nb'!Z68-'A)NSA Nb'!V68</f>
        <v>0.23620000000001085</v>
      </c>
      <c r="AA66" s="48">
        <f>'A)NSA Nb'!AA68-'A)NSA Nb'!W68</f>
        <v>0.26260000000000616</v>
      </c>
      <c r="AB66" s="48">
        <f>'A)NSA Nb'!AB68-'A)NSA Nb'!X68</f>
        <v>0.20600000000000307</v>
      </c>
      <c r="AC66" s="48">
        <f>'A)NSA Nb'!AC68-'A)NSA Nb'!Y68</f>
        <v>0.18540000000000134</v>
      </c>
      <c r="AD66" s="48">
        <f>'A)NSA Nb'!AD68-'A)NSA Nb'!Z68</f>
        <v>0.19519999999999982</v>
      </c>
      <c r="AE66" s="48">
        <f>'A)NSA Nb'!AE68-'A)NSA Nb'!AA68</f>
        <v>0.18880000000000052</v>
      </c>
      <c r="AF66" s="48">
        <f>'A)NSA Nb'!AF68-'A)NSA Nb'!AB68</f>
        <v>0.17019999999999413</v>
      </c>
      <c r="AG66" s="48">
        <f>'A)NSA Nb'!AG68-'A)NSA Nb'!AC68</f>
        <v>0.15739999999999554</v>
      </c>
      <c r="AH66" s="48">
        <f>'A)NSA Nb'!AH68-'A)NSA Nb'!AD68</f>
        <v>0.11909999999998888</v>
      </c>
      <c r="AI66" s="48">
        <f>'A)NSA Nb'!AI68-'A)NSA Nb'!AE68</f>
        <v>8.9399999999997704E-2</v>
      </c>
      <c r="AJ66" s="48">
        <f>'A)NSA Nb'!AJ68-'A)NSA Nb'!AF68</f>
        <v>9.7099999999997522E-2</v>
      </c>
      <c r="AK66" s="48">
        <f>'A)NSA Nb'!AK68-'A)NSA Nb'!AG68</f>
        <v>8.0200000000004934E-2</v>
      </c>
      <c r="AL66" s="48">
        <f>'A)NSA Nb'!AL68-'A)NSA Nb'!AH68</f>
        <v>7.2800000000000864E-2</v>
      </c>
      <c r="AM66" s="48">
        <f>'A)NSA Nb'!AM68-'A)NSA Nb'!AI68</f>
        <v>7.4799999999996203E-2</v>
      </c>
      <c r="AN66" s="48">
        <f>'A)NSA Nb'!AN68-'A)NSA Nb'!AJ68</f>
        <v>6.0300000000012233E-2</v>
      </c>
      <c r="AO66" s="48">
        <f>'A)NSA Nb'!AO68-'A)NSA Nb'!AK68</f>
        <v>6.4700000000001978E-2</v>
      </c>
      <c r="AP66" s="48">
        <f>'A)NSA Nb'!AP68-'A)NSA Nb'!AL68</f>
        <v>5.3200000000003911E-2</v>
      </c>
      <c r="AQ66" s="48">
        <f>'A)NSA Nb'!AQ68-'A)NSA Nb'!AM68</f>
        <v>5.6399999999996453E-2</v>
      </c>
      <c r="AR66" s="48">
        <f>'A)NSA Nb'!AR68-'A)NSA Nb'!AN68</f>
        <v>5.6299999999993133E-2</v>
      </c>
      <c r="AS66" s="48">
        <f>'A)NSA Nb'!AS68-'A)NSA Nb'!AO68</f>
        <v>6.2299999999993361E-2</v>
      </c>
      <c r="AT66" s="48">
        <f>'A)NSA Nb'!AT68-'A)NSA Nb'!AP68</f>
        <v>6.5500000000000114E-2</v>
      </c>
      <c r="AU66" s="48">
        <f>'A)NSA Nb'!AU68-'A)NSA Nb'!AQ68</f>
        <v>2.5600000000011391E-2</v>
      </c>
      <c r="AV66" s="48">
        <f>'A)NSA Nb'!AV68-'A)NSA Nb'!AR68</f>
        <v>1.8900000000002137E-2</v>
      </c>
      <c r="AW66" s="48">
        <f>'A)NSA Nb'!AW68-'A)NSA Nb'!AS68</f>
        <v>1.5000000000000568E-2</v>
      </c>
      <c r="AX66" s="48">
        <f>'A)NSA Nb'!AX68-'A)NSA Nb'!AT68</f>
        <v>9.5208642831039469E-3</v>
      </c>
      <c r="AY66" s="48">
        <f>'A)NSA Nb'!AY68-'A)NSA Nb'!AU68</f>
        <v>1.6996804631588702E-2</v>
      </c>
      <c r="AZ66" s="48">
        <f>'A)NSA Nb'!AZ68-'A)NSA Nb'!AV68</f>
        <v>-1.3799881531042502E-3</v>
      </c>
      <c r="BA66" s="48">
        <f>'A)NSA Nb'!BA68-'A)NSA Nb'!AW68</f>
        <v>-1.3051779750995252E-2</v>
      </c>
      <c r="BB66" s="48">
        <f>'A)NSA Nb'!BB68-'A)NSA Nb'!AX68</f>
        <v>-1.18417718108077E-2</v>
      </c>
      <c r="BC66" s="48">
        <f>'A)NSA Nb'!BC68-'A)NSA Nb'!AY68</f>
        <v>-5.9823021834887413E-2</v>
      </c>
      <c r="BD66" s="48">
        <f>'A)NSA Nb'!BD68-'A)NSA Nb'!AZ68</f>
        <v>-5.9823379663100695E-2</v>
      </c>
      <c r="BE66" s="48">
        <f>'A)NSA Nb'!BE68-'A)NSA Nb'!BA68</f>
        <v>-6.9649919012803707E-2</v>
      </c>
      <c r="BF66" s="48">
        <f>'A)NSA Nb'!BF68-'A)NSA Nb'!BB68</f>
        <v>-5.2603483803395079E-2</v>
      </c>
      <c r="BG66" s="48">
        <f>'A)NSA Nb'!BG68-'A)NSA Nb'!BC68</f>
        <v>1.7760476022914418E-3</v>
      </c>
      <c r="BH66" s="48">
        <f>'A)NSA Nb'!BH68-'A)NSA Nb'!BD68</f>
        <v>1.8504260665409333E-2</v>
      </c>
      <c r="BI66" s="48">
        <f>'A)NSA Nb'!BI68-'A)NSA Nb'!BE68</f>
        <v>3.1668056304994252E-2</v>
      </c>
      <c r="BJ66" s="48">
        <f>'A)NSA Nb'!BJ68-'A)NSA Nb'!BF68</f>
        <v>1.0982936344902328E-2</v>
      </c>
    </row>
    <row r="67" spans="1:62" ht="13.5" thickBot="1" x14ac:dyDescent="0.35">
      <c r="A67" s="299"/>
      <c r="B67" s="11"/>
      <c r="C67" s="36"/>
      <c r="D67" s="36"/>
      <c r="E67" s="36"/>
      <c r="F67" s="36"/>
      <c r="G67" s="36"/>
      <c r="H67" s="36"/>
      <c r="I67" s="36"/>
      <c r="J67" s="36"/>
      <c r="K67" s="143"/>
      <c r="L67" s="143"/>
      <c r="M67" s="36"/>
      <c r="N67" s="36"/>
      <c r="O67" s="36"/>
      <c r="P67" s="36"/>
      <c r="Q67" s="36"/>
      <c r="R67" s="36"/>
      <c r="S67" s="36"/>
      <c r="T67" s="36"/>
      <c r="U67" s="36"/>
      <c r="V67" s="36"/>
      <c r="W67" s="36"/>
      <c r="X67" s="36"/>
      <c r="Y67" s="36"/>
      <c r="Z67" s="36"/>
      <c r="AA67" s="36"/>
      <c r="AB67" s="36"/>
      <c r="AC67" s="36"/>
      <c r="AD67" s="36"/>
      <c r="AE67" s="36"/>
      <c r="AF67" s="36"/>
      <c r="AG67" s="36"/>
      <c r="AH67" s="36"/>
      <c r="AI67" s="36"/>
      <c r="AJ67" s="36"/>
      <c r="AM67" s="36"/>
      <c r="AN67" s="36"/>
      <c r="AO67" s="36"/>
    </row>
    <row r="68" spans="1:62" ht="13" x14ac:dyDescent="0.3">
      <c r="A68" s="305"/>
      <c r="B68" s="26"/>
      <c r="C68" s="41"/>
      <c r="D68" s="41"/>
      <c r="E68" s="41"/>
      <c r="F68" s="41"/>
      <c r="G68" s="41"/>
      <c r="H68" s="41"/>
      <c r="I68" s="41"/>
      <c r="J68" s="41"/>
      <c r="K68" s="147"/>
      <c r="L68" s="147"/>
      <c r="M68" s="41"/>
      <c r="N68" s="41"/>
      <c r="O68" s="41"/>
      <c r="P68" s="41"/>
      <c r="Q68" s="41"/>
      <c r="R68" s="41"/>
      <c r="S68" s="41"/>
      <c r="T68" s="41"/>
      <c r="U68" s="41"/>
      <c r="V68" s="41"/>
      <c r="W68" s="41"/>
      <c r="X68" s="41"/>
      <c r="Y68" s="41"/>
      <c r="Z68" s="41"/>
      <c r="AA68" s="41"/>
      <c r="AB68" s="41"/>
      <c r="AC68" s="41"/>
      <c r="AD68" s="41"/>
      <c r="AE68" s="41"/>
      <c r="AF68" s="41"/>
      <c r="AG68" s="41"/>
      <c r="AH68" s="41"/>
      <c r="AI68" s="41"/>
      <c r="AJ68" s="41"/>
      <c r="AM68" s="41"/>
      <c r="AN68" s="41"/>
      <c r="AO68" s="41"/>
    </row>
    <row r="69" spans="1:62" ht="13" x14ac:dyDescent="0.3">
      <c r="A69" s="305" t="s">
        <v>245</v>
      </c>
      <c r="B69" s="26"/>
      <c r="C69" s="41"/>
      <c r="D69" s="41"/>
      <c r="E69" s="41"/>
      <c r="F69" s="41"/>
      <c r="G69" s="41"/>
      <c r="H69" s="41"/>
      <c r="I69" s="41"/>
      <c r="J69" s="41"/>
      <c r="K69" s="147"/>
      <c r="L69" s="147"/>
      <c r="M69" s="41"/>
      <c r="N69" s="41"/>
      <c r="O69" s="41"/>
      <c r="P69" s="41"/>
      <c r="Q69" s="41"/>
      <c r="R69" s="41"/>
      <c r="S69" s="41"/>
      <c r="T69" s="41"/>
      <c r="U69" s="41"/>
      <c r="V69" s="41"/>
      <c r="W69" s="41"/>
      <c r="X69" s="41"/>
      <c r="Y69" s="41"/>
      <c r="Z69" s="41"/>
      <c r="AA69" s="41"/>
      <c r="AB69" s="41"/>
      <c r="AC69" s="41"/>
      <c r="AD69" s="41"/>
      <c r="AE69" s="41"/>
      <c r="AF69" s="41"/>
      <c r="AG69" s="41"/>
      <c r="AH69" s="41"/>
      <c r="AI69" s="41"/>
      <c r="AJ69" s="41"/>
      <c r="AM69" s="41"/>
      <c r="AN69" s="41"/>
      <c r="AO69" s="41"/>
      <c r="BB69" s="389" t="s">
        <v>241</v>
      </c>
      <c r="BC69" s="389"/>
      <c r="BD69" s="389"/>
      <c r="BE69" s="389"/>
      <c r="BF69" s="389"/>
      <c r="BG69" s="389"/>
      <c r="BH69" s="389"/>
      <c r="BI69" s="389"/>
      <c r="BJ69" s="389"/>
    </row>
    <row r="70" spans="1:62" x14ac:dyDescent="0.25">
      <c r="A70" s="325" t="s">
        <v>81</v>
      </c>
      <c r="B70" s="27" t="str">
        <f t="shared" ref="B70:H70" si="168">B8</f>
        <v>4eme T 2009</v>
      </c>
      <c r="C70" s="49" t="str">
        <f t="shared" si="168"/>
        <v>1er T 2010</v>
      </c>
      <c r="D70" s="49" t="str">
        <f t="shared" si="168"/>
        <v>2eme T 2010</v>
      </c>
      <c r="E70" s="49" t="str">
        <f t="shared" si="168"/>
        <v>3eme T 2010</v>
      </c>
      <c r="F70" s="49" t="str">
        <f t="shared" si="168"/>
        <v>4eme T 2010</v>
      </c>
      <c r="G70" s="49" t="str">
        <f t="shared" si="168"/>
        <v>1er T 2011</v>
      </c>
      <c r="H70" s="49" t="str">
        <f t="shared" si="168"/>
        <v>2eme T 2011</v>
      </c>
      <c r="I70" s="49" t="str">
        <f t="shared" ref="I70:N70" si="169">I8</f>
        <v>3eme T 2011</v>
      </c>
      <c r="J70" s="49" t="str">
        <f t="shared" si="169"/>
        <v>4eme T 2011</v>
      </c>
      <c r="K70" s="49" t="str">
        <f t="shared" si="169"/>
        <v>1er T 2012</v>
      </c>
      <c r="L70" s="49" t="str">
        <f t="shared" si="169"/>
        <v>2eme T 2012</v>
      </c>
      <c r="M70" s="49" t="str">
        <f t="shared" si="169"/>
        <v>3eme T 2012</v>
      </c>
      <c r="N70" s="49" t="str">
        <f t="shared" si="169"/>
        <v>4eme T 2012</v>
      </c>
      <c r="O70" s="49" t="str">
        <f t="shared" ref="O70:T70" si="170">O8</f>
        <v>1er T 2013</v>
      </c>
      <c r="P70" s="49" t="str">
        <f t="shared" si="170"/>
        <v>2e T 2013</v>
      </c>
      <c r="Q70" s="49" t="str">
        <f t="shared" si="170"/>
        <v>3e T 2013</v>
      </c>
      <c r="R70" s="49" t="str">
        <f t="shared" si="170"/>
        <v>4e T 2013</v>
      </c>
      <c r="S70" s="49" t="str">
        <f t="shared" si="170"/>
        <v>1er T 2014</v>
      </c>
      <c r="T70" s="49" t="str">
        <f t="shared" si="170"/>
        <v>2e T 2014</v>
      </c>
      <c r="U70" s="49" t="str">
        <f t="shared" ref="U70:V70" si="171">U8</f>
        <v>3e T 2014</v>
      </c>
      <c r="V70" s="49" t="str">
        <f t="shared" si="171"/>
        <v>4e T 2014</v>
      </c>
      <c r="W70" s="49" t="str">
        <f t="shared" ref="W70:X70" si="172">W8</f>
        <v>1er T 2015</v>
      </c>
      <c r="X70" s="49" t="str">
        <f t="shared" si="172"/>
        <v>2e T 2015</v>
      </c>
      <c r="Y70" s="49" t="str">
        <f t="shared" ref="Y70:Z70" si="173">Y8</f>
        <v>3e T 2015</v>
      </c>
      <c r="Z70" s="49" t="str">
        <f t="shared" si="173"/>
        <v>4e T 2015</v>
      </c>
      <c r="AA70" s="49" t="str">
        <f t="shared" ref="AA70:AB70" si="174">AA8</f>
        <v>1er T 2016</v>
      </c>
      <c r="AB70" s="49" t="str">
        <f t="shared" si="174"/>
        <v>2e T 2016</v>
      </c>
      <c r="AC70" s="49" t="str">
        <f t="shared" ref="AC70:AD70" si="175">AC8</f>
        <v>3e T 2016</v>
      </c>
      <c r="AD70" s="49" t="str">
        <f t="shared" si="175"/>
        <v>4e T 2016</v>
      </c>
      <c r="AE70" s="49" t="str">
        <f t="shared" ref="AE70:AF70" si="176">AE8</f>
        <v>1e T 2017</v>
      </c>
      <c r="AF70" s="49" t="str">
        <f t="shared" si="176"/>
        <v>2e T 2017</v>
      </c>
      <c r="AG70" s="49" t="str">
        <f t="shared" ref="AG70:AH70" si="177">AG8</f>
        <v>3e T 2017</v>
      </c>
      <c r="AH70" s="49" t="str">
        <f t="shared" si="177"/>
        <v>4e T 2017</v>
      </c>
      <c r="AI70" s="49" t="str">
        <f t="shared" ref="AI70:AJ70" si="178">AI8</f>
        <v>1e T 2018</v>
      </c>
      <c r="AJ70" s="49" t="str">
        <f t="shared" si="178"/>
        <v>2e T 2018</v>
      </c>
      <c r="AK70" s="49" t="str">
        <f t="shared" ref="AK70:AM70" si="179">AK8</f>
        <v>3e T 2018</v>
      </c>
      <c r="AL70" s="49" t="str">
        <f t="shared" si="179"/>
        <v>4e T 2018</v>
      </c>
      <c r="AM70" s="49" t="str">
        <f t="shared" si="179"/>
        <v>1e T 2019</v>
      </c>
      <c r="AN70" s="49" t="str">
        <f t="shared" ref="AN70:AP70" si="180">AN8</f>
        <v>2e T 2019</v>
      </c>
      <c r="AO70" s="49" t="str">
        <f t="shared" si="180"/>
        <v>3e T 2019</v>
      </c>
      <c r="AP70" s="49" t="str">
        <f t="shared" si="180"/>
        <v>4e T 2019</v>
      </c>
      <c r="AQ70" s="49" t="str">
        <f t="shared" ref="AQ70" si="181">AQ8</f>
        <v>1e T 2020</v>
      </c>
      <c r="AR70" s="49" t="str">
        <f t="shared" ref="AR70" si="182">AR8</f>
        <v>2e T 2020</v>
      </c>
      <c r="AS70" s="49" t="str">
        <f t="shared" ref="AS70:AT70" si="183">AS8</f>
        <v>3e T 2020</v>
      </c>
      <c r="AT70" s="49" t="str">
        <f t="shared" si="183"/>
        <v>4e T 2020</v>
      </c>
      <c r="AU70" s="49" t="str">
        <f t="shared" ref="AU70:AV70" si="184">AU8</f>
        <v>1er T 2021</v>
      </c>
      <c r="AV70" s="49" t="str">
        <f t="shared" si="184"/>
        <v>2e T 2021</v>
      </c>
      <c r="AW70" s="49" t="str">
        <f t="shared" ref="AW70:AX70" si="185">AW8</f>
        <v>3e T 2021</v>
      </c>
      <c r="AX70" s="49" t="str">
        <f t="shared" si="185"/>
        <v>4e T 2021</v>
      </c>
      <c r="AY70" s="49" t="str">
        <f t="shared" ref="AY70:AZ70" si="186">AY8</f>
        <v>1er T 2022</v>
      </c>
      <c r="AZ70" s="49" t="str">
        <f t="shared" si="186"/>
        <v>2e T 2022</v>
      </c>
      <c r="BA70" s="49" t="str">
        <f t="shared" ref="BA70:BB70" si="187">BA8</f>
        <v>3e T 2022</v>
      </c>
      <c r="BB70" s="49" t="str">
        <f t="shared" si="187"/>
        <v>4e T 2022</v>
      </c>
      <c r="BC70" s="49" t="str">
        <f t="shared" ref="BC70:BD70" si="188">BC8</f>
        <v>1er T 2023</v>
      </c>
      <c r="BD70" s="49" t="str">
        <f t="shared" si="188"/>
        <v>2e T 2023</v>
      </c>
      <c r="BE70" s="49" t="str">
        <f t="shared" ref="BE70:BF70" si="189">BE8</f>
        <v>3e T 2023</v>
      </c>
      <c r="BF70" s="49" t="str">
        <f t="shared" si="189"/>
        <v>4e T 2023</v>
      </c>
      <c r="BG70" s="49" t="str">
        <f t="shared" ref="BG70:BH70" si="190">BG8</f>
        <v>1er T 2024</v>
      </c>
      <c r="BH70" s="49" t="str">
        <f t="shared" si="190"/>
        <v>2e T 2024</v>
      </c>
      <c r="BI70" s="49" t="str">
        <f t="shared" ref="BI70:BJ70" si="191">BI8</f>
        <v>3e T 2024</v>
      </c>
      <c r="BJ70" s="49" t="str">
        <f t="shared" si="191"/>
        <v>4e T 2024</v>
      </c>
    </row>
    <row r="71" spans="1:62" x14ac:dyDescent="0.25">
      <c r="A71" s="307" t="s">
        <v>253</v>
      </c>
      <c r="B71" s="33"/>
      <c r="C71" s="50"/>
      <c r="D71" s="50"/>
      <c r="E71" s="50"/>
      <c r="F71" s="106">
        <f>('A)NSA Nb'!F73-'A)NSA Nb'!B73)*100</f>
        <v>1.5327984125234173</v>
      </c>
      <c r="G71" s="106">
        <f>('A)NSA Nb'!G73-'A)NSA Nb'!C73)*100</f>
        <v>1.5152293904544201</v>
      </c>
      <c r="H71" s="106">
        <f>('A)NSA Nb'!H73-'A)NSA Nb'!D73)*100</f>
        <v>1.4973854494907624</v>
      </c>
      <c r="I71" s="106">
        <f>('A)NSA Nb'!I73-'A)NSA Nb'!E73)*100</f>
        <v>1.4509058744106018</v>
      </c>
      <c r="J71" s="106">
        <f>('A)NSA Nb'!J73-'A)NSA Nb'!F73)*100</f>
        <v>1.4223621178881651</v>
      </c>
      <c r="K71" s="106">
        <f>('A)NSA Nb'!K73-'A)NSA Nb'!G73)*100</f>
        <v>1.39334192558902</v>
      </c>
      <c r="L71" s="106">
        <f>('A)NSA Nb'!L73-'A)NSA Nb'!H73)*100</f>
        <v>1.4089982787933275</v>
      </c>
      <c r="M71" s="106">
        <f>('A)NSA Nb'!M73-'A)NSA Nb'!I73)*100</f>
        <v>1.4057783983108862</v>
      </c>
      <c r="N71" s="106">
        <f>('A)NSA Nb'!N73-'A)NSA Nb'!J73)*100</f>
        <v>1.383073684177949</v>
      </c>
      <c r="O71" s="106">
        <f>('A)NSA Nb'!O73-'A)NSA Nb'!K73)*100</f>
        <v>1.3805812309438004</v>
      </c>
      <c r="P71" s="106">
        <f>('A)NSA Nb'!P73-'A)NSA Nb'!L73)*100</f>
        <v>1.3474844610232739</v>
      </c>
      <c r="Q71" s="106">
        <f>('A)NSA Nb'!Q73-'A)NSA Nb'!M73)*100</f>
        <v>1.3348300230523136</v>
      </c>
      <c r="R71" s="106">
        <f>('A)NSA Nb'!R73-'A)NSA Nb'!N73)*100</f>
        <v>1.3213024093722936</v>
      </c>
      <c r="S71" s="106">
        <f>('A)NSA Nb'!S73-'A)NSA Nb'!O73)*100</f>
        <v>1.2732874548747719</v>
      </c>
      <c r="T71" s="106">
        <f>('A)NSA Nb'!T73-'A)NSA Nb'!P73)*100</f>
        <v>1.1999200727809356</v>
      </c>
      <c r="U71" s="106">
        <f>('A)NSA Nb'!U73-'A)NSA Nb'!Q73)*100</f>
        <v>1.1751317165899389</v>
      </c>
      <c r="V71" s="106">
        <f>('A)NSA Nb'!V73-'A)NSA Nb'!R73)*100</f>
        <v>1.1624975285969841</v>
      </c>
      <c r="W71" s="106">
        <f>('A)NSA Nb'!W73-'A)NSA Nb'!S73)*100</f>
        <v>1.1735193642377073</v>
      </c>
      <c r="X71" s="106">
        <f>('A)NSA Nb'!X73-'A)NSA Nb'!T73)*100</f>
        <v>1.193146396907574</v>
      </c>
      <c r="Y71" s="106">
        <f>('A)NSA Nb'!Y73-'A)NSA Nb'!U73)*100</f>
        <v>1.1782389486777567</v>
      </c>
      <c r="Z71" s="106">
        <f>('A)NSA Nb'!Z73-'A)NSA Nb'!V73)*100</f>
        <v>1.1542931399463718</v>
      </c>
      <c r="AA71" s="106">
        <f>('A)NSA Nb'!AA73-'A)NSA Nb'!W73)*100</f>
        <v>1.1277177540688132</v>
      </c>
      <c r="AB71" s="106">
        <f>('A)NSA Nb'!AB73-'A)NSA Nb'!X73)*100</f>
        <v>1.0820164836244817</v>
      </c>
      <c r="AC71" s="106">
        <f>('A)NSA Nb'!AC73-'A)NSA Nb'!Y73)*100</f>
        <v>1.0594252485080391</v>
      </c>
      <c r="AD71" s="106">
        <f>('A)NSA Nb'!AD73-'A)NSA Nb'!Z73)*100</f>
        <v>1.0256849506597332</v>
      </c>
      <c r="AE71" s="106">
        <f>('A)NSA Nb'!AE73-'A)NSA Nb'!AA73)*100</f>
        <v>1.0187635337951639</v>
      </c>
      <c r="AF71" s="106">
        <f>('A)NSA Nb'!AF73-'A)NSA Nb'!AB73)*100</f>
        <v>1.0222702412567286</v>
      </c>
      <c r="AG71" s="106">
        <f>('A)NSA Nb'!AG73-'A)NSA Nb'!AC73)*100</f>
        <v>0.99001370699501878</v>
      </c>
      <c r="AH71" s="106">
        <f>('A)NSA Nb'!AH73-'A)NSA Nb'!AD73)*100</f>
        <v>0.97257707695095341</v>
      </c>
      <c r="AI71" s="106">
        <f>('A)NSA Nb'!AI73-'A)NSA Nb'!AE73)*100</f>
        <v>0.92211750227519929</v>
      </c>
      <c r="AJ71" s="106">
        <f>('A)NSA Nb'!AJ73-'A)NSA Nb'!AF73)*100</f>
        <v>0.86982859160601445</v>
      </c>
      <c r="AK71" s="106">
        <f>('A)NSA Nb'!AK73-'A)NSA Nb'!AG73)*100</f>
        <v>0.85847177622603299</v>
      </c>
      <c r="AL71" s="106">
        <f>('A)NSA Nb'!AL73-'A)NSA Nb'!AH73)*100</f>
        <v>0.82752265690227977</v>
      </c>
      <c r="AM71" s="106">
        <f>('A)NSA Nb'!AM73-'A)NSA Nb'!AI73)*100</f>
        <v>0.77761663805111514</v>
      </c>
      <c r="AN71" s="106">
        <f>('A)NSA Nb'!AN73-'A)NSA Nb'!AJ73)*100</f>
        <v>0.74915599190396032</v>
      </c>
      <c r="AO71" s="106">
        <f>('A)NSA Nb'!AO73-'A)NSA Nb'!AK73)*100</f>
        <v>0.71641569079760048</v>
      </c>
      <c r="AP71" s="106">
        <f>('A)NSA Nb'!AP73-'A)NSA Nb'!AL73)*100</f>
        <v>0.67442257064139755</v>
      </c>
      <c r="AQ71" s="106">
        <f>('A)NSA Nb'!AQ73-'A)NSA Nb'!AM73)*100</f>
        <v>0.63878933856134079</v>
      </c>
      <c r="AR71" s="106">
        <f>('A)NSA Nb'!AR73-'A)NSA Nb'!AN73)*100</f>
        <v>0.60885584708624263</v>
      </c>
      <c r="AS71" s="106">
        <f>('A)NSA Nb'!AS73-'A)NSA Nb'!AO73)*100</f>
        <v>0.58561480188110693</v>
      </c>
      <c r="AT71" s="106">
        <f>('A)NSA Nb'!AT73-'A)NSA Nb'!AP73)*100</f>
        <v>0.56531579712131297</v>
      </c>
      <c r="AU71" s="106">
        <f>('A)NSA Nb'!AU73-'A)NSA Nb'!AQ73)*100</f>
        <v>0.57773249414643235</v>
      </c>
      <c r="AV71" s="106">
        <f>('A)NSA Nb'!AV73-'A)NSA Nb'!AR73)*100</f>
        <v>0.56319301300451485</v>
      </c>
      <c r="AW71" s="106">
        <f>('A)NSA Nb'!AW73-'A)NSA Nb'!AS73)*100</f>
        <v>0.53145554458228217</v>
      </c>
      <c r="AX71" s="106">
        <f>('A)NSA Nb'!AX73-'A)NSA Nb'!AT73)*100</f>
        <v>0.51039057976689506</v>
      </c>
      <c r="AY71" s="106">
        <f>('A)NSA Nb'!AY73-'A)NSA Nb'!AU73)*100</f>
        <v>-20.447556682691335</v>
      </c>
      <c r="AZ71" s="106">
        <f>('A)NSA Nb'!AZ73-'A)NSA Nb'!AV73)*100</f>
        <v>-20.044882360231664</v>
      </c>
      <c r="BA71" s="106">
        <f>('A)NSA Nb'!BA73-'A)NSA Nb'!AW73)*100</f>
        <v>-19.68310375852419</v>
      </c>
      <c r="BB71" s="400">
        <f>('A)NSA Nb'!BB73-'A)NSA Nb'!AX73)*100</f>
        <v>-19.384803453544475</v>
      </c>
      <c r="BC71" s="456">
        <f>('A)NSA Nb'!BC73-'A)NSA Nb'!AY73)*100</f>
        <v>2.0599374118309033</v>
      </c>
      <c r="BD71" s="456">
        <f>('A)NSA Nb'!BD73-'A)NSA Nb'!AZ73)*100</f>
        <v>2.0024281137449917</v>
      </c>
      <c r="BE71" s="456">
        <f>('A)NSA Nb'!BE73-'A)NSA Nb'!BA73)*100</f>
        <v>1.9597531744156349</v>
      </c>
      <c r="BF71" s="456">
        <f>('A)NSA Nb'!BF73-'A)NSA Nb'!BB73)*100</f>
        <v>1.9316267534594922</v>
      </c>
      <c r="BG71" s="456">
        <f>('A)NSA Nb'!BG73-'A)NSA Nb'!BC73)*100</f>
        <v>1.7674126201440599</v>
      </c>
      <c r="BH71" s="456">
        <f>('A)NSA Nb'!BH73-'A)NSA Nb'!BD73)*100</f>
        <v>1.7465169725703111</v>
      </c>
      <c r="BI71" s="456">
        <f>('A)NSA Nb'!BI73-'A)NSA Nb'!BE73)*100</f>
        <v>1.7167745467899564</v>
      </c>
      <c r="BJ71" s="456">
        <f>('A)NSA Nb'!BJ73-'A)NSA Nb'!BF73)*100</f>
        <v>1.7194170203059245</v>
      </c>
    </row>
    <row r="72" spans="1:62" x14ac:dyDescent="0.25">
      <c r="A72" s="305"/>
      <c r="B72" s="56"/>
      <c r="C72" s="56"/>
      <c r="D72" s="56"/>
      <c r="E72" s="56"/>
      <c r="F72" s="56"/>
      <c r="G72" s="56"/>
      <c r="H72" s="56"/>
      <c r="I72" s="56"/>
      <c r="J72" s="56"/>
      <c r="K72" s="163"/>
      <c r="L72" s="163"/>
      <c r="M72" s="56"/>
      <c r="N72" s="56"/>
      <c r="O72" s="56"/>
      <c r="P72" s="56"/>
      <c r="Q72" s="56"/>
      <c r="R72" s="56"/>
      <c r="S72" s="56"/>
      <c r="T72" s="56"/>
      <c r="U72" s="56"/>
      <c r="V72" s="56"/>
      <c r="W72" s="56"/>
      <c r="X72" s="56"/>
      <c r="Y72" s="56"/>
      <c r="Z72" s="56"/>
      <c r="AA72" s="56"/>
      <c r="AB72" s="56"/>
      <c r="AC72" s="56"/>
      <c r="AD72" s="56"/>
      <c r="AE72" s="56"/>
      <c r="AF72" s="56"/>
      <c r="AG72" s="56"/>
      <c r="AH72" s="56"/>
      <c r="AI72" s="56"/>
      <c r="AJ72" s="56"/>
      <c r="AM72" s="56"/>
      <c r="AN72" s="56"/>
      <c r="AO72" s="56"/>
    </row>
    <row r="73" spans="1:62" ht="13" x14ac:dyDescent="0.3">
      <c r="A73" s="305" t="s">
        <v>32</v>
      </c>
      <c r="B73" s="26"/>
      <c r="C73" s="41"/>
      <c r="D73" s="41"/>
      <c r="E73" s="41"/>
      <c r="F73" s="41"/>
      <c r="G73" s="41"/>
      <c r="H73" s="41"/>
      <c r="I73" s="41"/>
      <c r="J73" s="41"/>
      <c r="K73" s="147"/>
      <c r="L73" s="147"/>
      <c r="M73" s="41"/>
      <c r="N73" s="41"/>
      <c r="O73" s="41"/>
      <c r="P73" s="41"/>
      <c r="Q73" s="41"/>
      <c r="R73" s="41"/>
      <c r="S73" s="41"/>
      <c r="T73" s="41"/>
      <c r="U73" s="41"/>
      <c r="V73" s="41"/>
      <c r="W73" s="41"/>
      <c r="X73" s="41"/>
      <c r="Y73" s="41"/>
      <c r="Z73" s="41"/>
      <c r="AA73" s="41"/>
      <c r="AB73" s="41"/>
      <c r="AC73" s="41"/>
      <c r="AD73" s="41"/>
      <c r="AE73" s="41"/>
      <c r="AF73" s="41"/>
      <c r="AG73" s="41"/>
      <c r="AH73" s="41"/>
      <c r="AI73" s="41"/>
      <c r="AJ73" s="41"/>
      <c r="AM73" s="41"/>
      <c r="AN73" s="41"/>
      <c r="AO73" s="41"/>
    </row>
    <row r="74" spans="1:62" x14ac:dyDescent="0.25">
      <c r="A74" s="325" t="s">
        <v>82</v>
      </c>
      <c r="B74" s="27" t="str">
        <f t="shared" ref="B74:H74" si="192">B8</f>
        <v>4eme T 2009</v>
      </c>
      <c r="C74" s="49" t="str">
        <f t="shared" si="192"/>
        <v>1er T 2010</v>
      </c>
      <c r="D74" s="49" t="str">
        <f t="shared" si="192"/>
        <v>2eme T 2010</v>
      </c>
      <c r="E74" s="49" t="str">
        <f t="shared" si="192"/>
        <v>3eme T 2010</v>
      </c>
      <c r="F74" s="49" t="str">
        <f t="shared" si="192"/>
        <v>4eme T 2010</v>
      </c>
      <c r="G74" s="49" t="str">
        <f t="shared" si="192"/>
        <v>1er T 2011</v>
      </c>
      <c r="H74" s="49" t="str">
        <f t="shared" si="192"/>
        <v>2eme T 2011</v>
      </c>
      <c r="I74" s="49" t="str">
        <f t="shared" ref="I74:N74" si="193">I8</f>
        <v>3eme T 2011</v>
      </c>
      <c r="J74" s="49" t="str">
        <f t="shared" si="193"/>
        <v>4eme T 2011</v>
      </c>
      <c r="K74" s="49" t="str">
        <f t="shared" si="193"/>
        <v>1er T 2012</v>
      </c>
      <c r="L74" s="49" t="str">
        <f t="shared" si="193"/>
        <v>2eme T 2012</v>
      </c>
      <c r="M74" s="49" t="str">
        <f t="shared" si="193"/>
        <v>3eme T 2012</v>
      </c>
      <c r="N74" s="49" t="str">
        <f t="shared" si="193"/>
        <v>4eme T 2012</v>
      </c>
      <c r="O74" s="49" t="str">
        <f t="shared" ref="O74:T74" si="194">O8</f>
        <v>1er T 2013</v>
      </c>
      <c r="P74" s="49" t="str">
        <f t="shared" si="194"/>
        <v>2e T 2013</v>
      </c>
      <c r="Q74" s="49" t="str">
        <f t="shared" si="194"/>
        <v>3e T 2013</v>
      </c>
      <c r="R74" s="49" t="str">
        <f t="shared" si="194"/>
        <v>4e T 2013</v>
      </c>
      <c r="S74" s="49" t="str">
        <f t="shared" si="194"/>
        <v>1er T 2014</v>
      </c>
      <c r="T74" s="49" t="str">
        <f t="shared" si="194"/>
        <v>2e T 2014</v>
      </c>
      <c r="U74" s="49" t="str">
        <f t="shared" ref="U74:V74" si="195">U8</f>
        <v>3e T 2014</v>
      </c>
      <c r="V74" s="49" t="str">
        <f t="shared" si="195"/>
        <v>4e T 2014</v>
      </c>
      <c r="W74" s="49" t="str">
        <f t="shared" ref="W74:X74" si="196">W8</f>
        <v>1er T 2015</v>
      </c>
      <c r="X74" s="49" t="str">
        <f t="shared" si="196"/>
        <v>2e T 2015</v>
      </c>
      <c r="Y74" s="49" t="str">
        <f t="shared" ref="Y74:Z74" si="197">Y8</f>
        <v>3e T 2015</v>
      </c>
      <c r="Z74" s="49" t="str">
        <f t="shared" si="197"/>
        <v>4e T 2015</v>
      </c>
      <c r="AA74" s="49" t="str">
        <f t="shared" ref="AA74:AB74" si="198">AA8</f>
        <v>1er T 2016</v>
      </c>
      <c r="AB74" s="49" t="str">
        <f t="shared" si="198"/>
        <v>2e T 2016</v>
      </c>
      <c r="AC74" s="49" t="str">
        <f t="shared" ref="AC74:AD74" si="199">AC8</f>
        <v>3e T 2016</v>
      </c>
      <c r="AD74" s="49" t="str">
        <f t="shared" si="199"/>
        <v>4e T 2016</v>
      </c>
      <c r="AE74" s="49" t="str">
        <f t="shared" ref="AE74:AF74" si="200">AE8</f>
        <v>1e T 2017</v>
      </c>
      <c r="AF74" s="49" t="str">
        <f t="shared" si="200"/>
        <v>2e T 2017</v>
      </c>
      <c r="AG74" s="49" t="str">
        <f t="shared" ref="AG74:AH74" si="201">AG8</f>
        <v>3e T 2017</v>
      </c>
      <c r="AH74" s="49" t="str">
        <f t="shared" si="201"/>
        <v>4e T 2017</v>
      </c>
      <c r="AI74" s="49" t="str">
        <f t="shared" ref="AI74:AJ74" si="202">AI8</f>
        <v>1e T 2018</v>
      </c>
      <c r="AJ74" s="49" t="str">
        <f t="shared" si="202"/>
        <v>2e T 2018</v>
      </c>
      <c r="AK74" s="49" t="str">
        <f t="shared" ref="AK74:AM74" si="203">AK8</f>
        <v>3e T 2018</v>
      </c>
      <c r="AL74" s="49" t="str">
        <f t="shared" si="203"/>
        <v>4e T 2018</v>
      </c>
      <c r="AM74" s="49" t="str">
        <f t="shared" si="203"/>
        <v>1e T 2019</v>
      </c>
      <c r="AN74" s="49" t="str">
        <f t="shared" ref="AN74:AP74" si="204">AN8</f>
        <v>2e T 2019</v>
      </c>
      <c r="AO74" s="49" t="str">
        <f t="shared" si="204"/>
        <v>3e T 2019</v>
      </c>
      <c r="AP74" s="49" t="str">
        <f t="shared" si="204"/>
        <v>4e T 2019</v>
      </c>
      <c r="AQ74" s="49" t="str">
        <f t="shared" ref="AQ74" si="205">AQ8</f>
        <v>1e T 2020</v>
      </c>
      <c r="AR74" s="49" t="str">
        <f t="shared" ref="AR74" si="206">AR8</f>
        <v>2e T 2020</v>
      </c>
      <c r="AS74" s="49" t="str">
        <f t="shared" ref="AS74:AT74" si="207">AS8</f>
        <v>3e T 2020</v>
      </c>
      <c r="AT74" s="49" t="str">
        <f t="shared" si="207"/>
        <v>4e T 2020</v>
      </c>
      <c r="AU74" s="49" t="str">
        <f t="shared" ref="AU74:AV74" si="208">AU8</f>
        <v>1er T 2021</v>
      </c>
      <c r="AV74" s="49" t="str">
        <f t="shared" si="208"/>
        <v>2e T 2021</v>
      </c>
      <c r="AW74" s="49" t="str">
        <f t="shared" ref="AW74:AX74" si="209">AW8</f>
        <v>3e T 2021</v>
      </c>
      <c r="AX74" s="49" t="str">
        <f t="shared" si="209"/>
        <v>4e T 2021</v>
      </c>
      <c r="AY74" s="49" t="str">
        <f t="shared" ref="AY74:AZ74" si="210">AY8</f>
        <v>1er T 2022</v>
      </c>
      <c r="AZ74" s="49" t="str">
        <f t="shared" si="210"/>
        <v>2e T 2022</v>
      </c>
      <c r="BA74" s="49" t="str">
        <f t="shared" ref="BA74:BB74" si="211">BA8</f>
        <v>3e T 2022</v>
      </c>
      <c r="BB74" s="49" t="str">
        <f t="shared" si="211"/>
        <v>4e T 2022</v>
      </c>
      <c r="BC74" s="49" t="str">
        <f t="shared" ref="BC74:BD74" si="212">BC8</f>
        <v>1er T 2023</v>
      </c>
      <c r="BD74" s="49" t="str">
        <f t="shared" si="212"/>
        <v>2e T 2023</v>
      </c>
      <c r="BE74" s="49" t="str">
        <f t="shared" ref="BE74:BF74" si="213">BE8</f>
        <v>3e T 2023</v>
      </c>
      <c r="BF74" s="49" t="str">
        <f t="shared" si="213"/>
        <v>4e T 2023</v>
      </c>
      <c r="BG74" s="49" t="str">
        <f t="shared" ref="BG74:BH74" si="214">BG8</f>
        <v>1er T 2024</v>
      </c>
      <c r="BH74" s="49" t="str">
        <f t="shared" si="214"/>
        <v>2e T 2024</v>
      </c>
      <c r="BI74" s="49" t="str">
        <f t="shared" ref="BI74:BJ74" si="215">BI8</f>
        <v>3e T 2024</v>
      </c>
      <c r="BJ74" s="49" t="str">
        <f t="shared" si="215"/>
        <v>4e T 2024</v>
      </c>
    </row>
    <row r="75" spans="1:62" x14ac:dyDescent="0.25">
      <c r="A75" s="307" t="s">
        <v>33</v>
      </c>
      <c r="B75" s="29"/>
      <c r="C75" s="48"/>
      <c r="D75" s="48"/>
      <c r="E75" s="48"/>
      <c r="F75" s="48">
        <f>'A)NSA Nb'!F77-'A)NSA Nb'!B77</f>
        <v>-0.41899999999999693</v>
      </c>
      <c r="G75" s="48">
        <f>'A)NSA Nb'!G77-'A)NSA Nb'!C77</f>
        <v>-0.44299999999999784</v>
      </c>
      <c r="H75" s="48">
        <f>'A)NSA Nb'!H77-'A)NSA Nb'!D77</f>
        <v>-0.43400000000001171</v>
      </c>
      <c r="I75" s="48">
        <f>'A)NSA Nb'!I77-'A)NSA Nb'!E77</f>
        <v>-0.42100000000000648</v>
      </c>
      <c r="J75" s="48">
        <f>'A)NSA Nb'!J77-'A)NSA Nb'!F77</f>
        <v>-0.42499999999999716</v>
      </c>
      <c r="K75" s="48">
        <f>'A)NSA Nb'!K77-'A)NSA Nb'!G77</f>
        <v>-0.41899999999999693</v>
      </c>
      <c r="L75" s="48">
        <f>'A)NSA Nb'!L77-'A)NSA Nb'!H77</f>
        <v>-0.43099999999999739</v>
      </c>
      <c r="M75" s="48">
        <f>'A)NSA Nb'!M77-'A)NSA Nb'!I77</f>
        <v>-0.43099999999999739</v>
      </c>
      <c r="N75" s="48">
        <f>'A)NSA Nb'!N77-'A)NSA Nb'!J77</f>
        <v>-0.42400000000000659</v>
      </c>
      <c r="O75" s="48">
        <f>'A)NSA Nb'!O77-'A)NSA Nb'!K77</f>
        <v>-0.42300000000000182</v>
      </c>
      <c r="P75" s="48">
        <f>'A)NSA Nb'!P77-'A)NSA Nb'!L77</f>
        <v>-0.40999999999999659</v>
      </c>
      <c r="Q75" s="48">
        <f>'A)NSA Nb'!Q77-'A)NSA Nb'!M77</f>
        <v>-0.43600000000000705</v>
      </c>
      <c r="R75" s="48">
        <f>'A)NSA Nb'!R77-'A)NSA Nb'!N77</f>
        <v>-0.43200000000000216</v>
      </c>
      <c r="S75" s="48">
        <f>'A)NSA Nb'!S77-'A)NSA Nb'!O77</f>
        <v>-0.39799999999999613</v>
      </c>
      <c r="T75" s="48">
        <f>'A)NSA Nb'!T77-'A)NSA Nb'!P77</f>
        <v>-0.35999999999999943</v>
      </c>
      <c r="U75" s="48">
        <f>'A)NSA Nb'!U77-'A)NSA Nb'!Q77</f>
        <v>-0.31399999999999295</v>
      </c>
      <c r="V75" s="48">
        <f>'A)NSA Nb'!V77-'A)NSA Nb'!R77</f>
        <v>-0.31099999999999284</v>
      </c>
      <c r="W75" s="48">
        <f>'A)NSA Nb'!W77-'A)NSA Nb'!S77</f>
        <v>-0.3370000000000033</v>
      </c>
      <c r="X75" s="48">
        <f>'A)NSA Nb'!X77-'A)NSA Nb'!T77</f>
        <v>-0.37170000000000414</v>
      </c>
      <c r="Y75" s="48">
        <f>'A)NSA Nb'!Y77-'A)NSA Nb'!U77</f>
        <v>-0.39610000000000412</v>
      </c>
      <c r="Z75" s="48">
        <f>'A)NSA Nb'!Z77-'A)NSA Nb'!V77</f>
        <v>-0.36580000000000723</v>
      </c>
      <c r="AA75" s="48">
        <f>'A)NSA Nb'!AA77-'A)NSA Nb'!W77</f>
        <v>-0.34570000000000789</v>
      </c>
      <c r="AB75" s="48">
        <f>'A)NSA Nb'!AB77-'A)NSA Nb'!X77</f>
        <v>-0.3422999999999945</v>
      </c>
      <c r="AC75" s="48">
        <f>'A)NSA Nb'!AC77-'A)NSA Nb'!Y77</f>
        <v>-0.34749999999999659</v>
      </c>
      <c r="AD75" s="48">
        <f>'A)NSA Nb'!AD77-'A)NSA Nb'!Z77</f>
        <v>-0.33769999999999811</v>
      </c>
      <c r="AE75" s="48">
        <f>'A)NSA Nb'!AE77-'A)NSA Nb'!AA77</f>
        <v>-0.33650000000000091</v>
      </c>
      <c r="AF75" s="48">
        <f>'A)NSA Nb'!AF77-'A)NSA Nb'!AB77</f>
        <v>-0.33129999999999882</v>
      </c>
      <c r="AG75" s="48">
        <f>'A)NSA Nb'!AG77-'A)NSA Nb'!AC77</f>
        <v>-0.31940000000000168</v>
      </c>
      <c r="AH75" s="48">
        <f>'A)NSA Nb'!AH77-'A)NSA Nb'!AD77</f>
        <v>-0.31140000000000612</v>
      </c>
      <c r="AI75" s="48">
        <f>'A)NSA Nb'!AI77-'A)NSA Nb'!AE77</f>
        <v>-0.34359999999999502</v>
      </c>
      <c r="AJ75" s="48">
        <f>'A)NSA Nb'!AJ77-'A)NSA Nb'!AF77</f>
        <v>-0.32123850000000687</v>
      </c>
      <c r="AK75" s="48">
        <f>'A)NSA Nb'!AK77-'A)NSA Nb'!AG77</f>
        <v>-0.34820000000000562</v>
      </c>
      <c r="AL75" s="48">
        <f>'A)NSA Nb'!AL77-'A)NSA Nb'!AH77</f>
        <v>-0.3282999999999987</v>
      </c>
      <c r="AM75" s="48">
        <f>'A)NSA Nb'!AM77-'A)NSA Nb'!AI77</f>
        <v>-0.34980000000000189</v>
      </c>
      <c r="AN75" s="48">
        <f>'A)NSA Nb'!AN77-'A)NSA Nb'!AJ77</f>
        <v>-0.37486149999999441</v>
      </c>
      <c r="AO75" s="48">
        <f>'A)NSA Nb'!AO77-'A)NSA Nb'!AK77</f>
        <v>-0.39300000000000068</v>
      </c>
      <c r="AP75" s="48">
        <f>'A)NSA Nb'!AP77-'A)NSA Nb'!AL77</f>
        <v>-0.4316999999999922</v>
      </c>
      <c r="AQ75" s="48">
        <f>'A)NSA Nb'!AQ77-'A)NSA Nb'!AM77</f>
        <v>-0.39860000000000184</v>
      </c>
      <c r="AR75" s="48">
        <f>'A)NSA Nb'!AR77-'A)NSA Nb'!AN77</f>
        <v>-0.42440000000000566</v>
      </c>
      <c r="AS75" s="48">
        <f>'A)NSA Nb'!AS77-'A)NSA Nb'!AO77</f>
        <v>-0.39869999999999095</v>
      </c>
      <c r="AT75" s="48">
        <f>'A)NSA Nb'!AT77-'A)NSA Nb'!AP77</f>
        <v>-0.39150000000000773</v>
      </c>
      <c r="AU75" s="48">
        <f>'A)NSA Nb'!AU77-'A)NSA Nb'!AQ77</f>
        <v>-0.37359999999999616</v>
      </c>
      <c r="AV75" s="48">
        <f>'A)NSA Nb'!AV77-'A)NSA Nb'!AR77</f>
        <v>-0.39039999999999964</v>
      </c>
      <c r="AW75" s="48">
        <f>'A)NSA Nb'!AW77-'A)NSA Nb'!AS77</f>
        <v>-0.39679999999999893</v>
      </c>
      <c r="AX75" s="48">
        <f>'A)NSA Nb'!AX77-'A)NSA Nb'!AT77</f>
        <v>-0.33065597749749998</v>
      </c>
      <c r="AY75" s="48">
        <f>'A)NSA Nb'!AY77-'A)NSA Nb'!AU77</f>
        <v>-0.31190698160079933</v>
      </c>
      <c r="AZ75" s="48">
        <f>'A)NSA Nb'!AZ77-'A)NSA Nb'!AV77</f>
        <v>-0.28693606851220466</v>
      </c>
      <c r="BA75" s="48">
        <f>'A)NSA Nb'!BA77-'A)NSA Nb'!AW77</f>
        <v>-0.27687701802530285</v>
      </c>
      <c r="BB75" s="48">
        <f>'A)NSA Nb'!BB77-'A)NSA Nb'!AX77</f>
        <v>-0.22549092486968902</v>
      </c>
      <c r="BC75" s="48">
        <f>'A)NSA Nb'!BC77-'A)NSA Nb'!AY77</f>
        <v>-0.26119923270040601</v>
      </c>
      <c r="BD75" s="48">
        <f>'A)NSA Nb'!BD77-'A)NSA Nb'!AZ77</f>
        <v>2.1140753225691071</v>
      </c>
      <c r="BE75" s="48">
        <f>'A)NSA Nb'!BE77-'A)NSA Nb'!BA77</f>
        <v>2.1611636114343042</v>
      </c>
      <c r="BF75" s="48">
        <f>'A)NSA Nb'!BF77-'A)NSA Nb'!BB77</f>
        <v>2.1576967749832932</v>
      </c>
      <c r="BG75" s="48">
        <f>'A)NSA Nb'!BG77-'A)NSA Nb'!BC77</f>
        <v>2.2192181689601114</v>
      </c>
      <c r="BH75" s="48">
        <f>'A)NSA Nb'!BH77-'A)NSA Nb'!BD77</f>
        <v>-0.17115098656110206</v>
      </c>
      <c r="BI75" s="48">
        <f>'A)NSA Nb'!BI77-'A)NSA Nb'!BE77</f>
        <v>-0.1980169644638039</v>
      </c>
      <c r="BJ75" s="48">
        <f>'A)NSA Nb'!BJ77-'A)NSA Nb'!BF77</f>
        <v>-0.23040891148509957</v>
      </c>
    </row>
    <row r="76" spans="1:62" ht="13.5" thickBot="1" x14ac:dyDescent="0.35">
      <c r="A76" s="299"/>
      <c r="B76" s="11"/>
      <c r="C76" s="36"/>
      <c r="D76" s="36"/>
      <c r="E76" s="36"/>
      <c r="F76" s="36"/>
      <c r="G76" s="36"/>
      <c r="H76" s="36"/>
      <c r="I76" s="36"/>
      <c r="J76" s="36"/>
      <c r="K76" s="143"/>
      <c r="L76" s="143"/>
      <c r="M76" s="36"/>
      <c r="N76" s="36"/>
      <c r="O76" s="36"/>
      <c r="P76" s="36"/>
      <c r="Q76" s="36"/>
      <c r="R76" s="36"/>
      <c r="S76" s="36"/>
      <c r="T76" s="36"/>
      <c r="U76" s="36"/>
      <c r="V76" s="36"/>
      <c r="W76" s="36"/>
      <c r="X76" s="36"/>
      <c r="Y76" s="36"/>
      <c r="Z76" s="36"/>
      <c r="AA76" s="36"/>
      <c r="AB76" s="36"/>
      <c r="AC76" s="36"/>
      <c r="AD76" s="36"/>
      <c r="AE76" s="36"/>
      <c r="AF76" s="36"/>
      <c r="AG76" s="36"/>
      <c r="AH76" s="36"/>
      <c r="AI76" s="36"/>
      <c r="AJ76" s="36"/>
      <c r="AM76" s="36"/>
      <c r="AN76" s="36"/>
      <c r="AO76" s="36"/>
    </row>
    <row r="77" spans="1:62" ht="13" x14ac:dyDescent="0.3">
      <c r="A77" s="305"/>
      <c r="B77" s="26"/>
      <c r="C77" s="41"/>
      <c r="D77" s="41"/>
      <c r="E77" s="41"/>
      <c r="F77" s="41"/>
      <c r="G77" s="41"/>
      <c r="H77" s="41"/>
      <c r="I77" s="41"/>
      <c r="J77" s="41"/>
      <c r="K77" s="147"/>
      <c r="L77" s="147"/>
      <c r="M77" s="41"/>
      <c r="N77" s="41"/>
      <c r="O77" s="41"/>
      <c r="P77" s="41"/>
      <c r="Q77" s="41"/>
      <c r="R77" s="41"/>
      <c r="S77" s="41"/>
      <c r="T77" s="41"/>
      <c r="U77" s="41"/>
      <c r="V77" s="41"/>
      <c r="W77" s="41"/>
      <c r="X77" s="41"/>
      <c r="Y77" s="41"/>
      <c r="Z77" s="41"/>
      <c r="AA77" s="41"/>
      <c r="AB77" s="41"/>
      <c r="AC77" s="41"/>
      <c r="AD77" s="41"/>
      <c r="AE77" s="41"/>
      <c r="AF77" s="41"/>
      <c r="AG77" s="41"/>
      <c r="AH77" s="41"/>
      <c r="AI77" s="41"/>
      <c r="AJ77" s="41"/>
      <c r="AM77" s="41"/>
      <c r="AN77" s="41"/>
      <c r="AO77" s="41"/>
    </row>
    <row r="78" spans="1:62" ht="13" x14ac:dyDescent="0.3">
      <c r="A78" s="301" t="s">
        <v>22</v>
      </c>
      <c r="L78" s="14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M78" s="35"/>
      <c r="AN78" s="35"/>
      <c r="AO78" s="35"/>
      <c r="BB78" s="389" t="s">
        <v>241</v>
      </c>
      <c r="BC78" s="389"/>
      <c r="BD78" s="389"/>
      <c r="BE78" s="389"/>
      <c r="BF78" s="389"/>
      <c r="BG78" s="389"/>
      <c r="BH78" s="389"/>
      <c r="BI78" s="389"/>
      <c r="BJ78" s="389"/>
    </row>
    <row r="79" spans="1:62" x14ac:dyDescent="0.25">
      <c r="A79" s="316" t="s">
        <v>246</v>
      </c>
      <c r="L79" s="14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M79" s="35"/>
      <c r="AN79" s="35"/>
      <c r="AO79" s="35"/>
      <c r="BB79" s="383" t="s">
        <v>244</v>
      </c>
      <c r="BC79" s="383"/>
      <c r="BD79" s="383"/>
      <c r="BE79" s="383"/>
      <c r="BF79" s="383"/>
      <c r="BG79" s="383"/>
      <c r="BH79" s="383"/>
      <c r="BI79" s="383"/>
      <c r="BJ79" s="383"/>
    </row>
    <row r="80" spans="1:62" x14ac:dyDescent="0.25">
      <c r="A80" s="302"/>
      <c r="B80" s="2" t="str">
        <f t="shared" ref="B80:H80" si="216">B8</f>
        <v>4eme T 2009</v>
      </c>
      <c r="C80" s="38" t="str">
        <f t="shared" si="216"/>
        <v>1er T 2010</v>
      </c>
      <c r="D80" s="38" t="str">
        <f t="shared" si="216"/>
        <v>2eme T 2010</v>
      </c>
      <c r="E80" s="38" t="str">
        <f t="shared" si="216"/>
        <v>3eme T 2010</v>
      </c>
      <c r="F80" s="38" t="str">
        <f t="shared" si="216"/>
        <v>4eme T 2010</v>
      </c>
      <c r="G80" s="38" t="str">
        <f t="shared" si="216"/>
        <v>1er T 2011</v>
      </c>
      <c r="H80" s="38" t="str">
        <f t="shared" si="216"/>
        <v>2eme T 2011</v>
      </c>
      <c r="I80" s="38" t="str">
        <f t="shared" ref="I80:N80" si="217">I8</f>
        <v>3eme T 2011</v>
      </c>
      <c r="J80" s="38" t="str">
        <f t="shared" si="217"/>
        <v>4eme T 2011</v>
      </c>
      <c r="K80" s="38" t="str">
        <f t="shared" si="217"/>
        <v>1er T 2012</v>
      </c>
      <c r="L80" s="38" t="str">
        <f t="shared" si="217"/>
        <v>2eme T 2012</v>
      </c>
      <c r="M80" s="38" t="str">
        <f t="shared" si="217"/>
        <v>3eme T 2012</v>
      </c>
      <c r="N80" s="38" t="str">
        <f t="shared" si="217"/>
        <v>4eme T 2012</v>
      </c>
      <c r="O80" s="38" t="str">
        <f t="shared" ref="O80:T80" si="218">O8</f>
        <v>1er T 2013</v>
      </c>
      <c r="P80" s="38" t="str">
        <f t="shared" si="218"/>
        <v>2e T 2013</v>
      </c>
      <c r="Q80" s="38" t="str">
        <f t="shared" si="218"/>
        <v>3e T 2013</v>
      </c>
      <c r="R80" s="38" t="str">
        <f t="shared" si="218"/>
        <v>4e T 2013</v>
      </c>
      <c r="S80" s="38" t="str">
        <f t="shared" si="218"/>
        <v>1er T 2014</v>
      </c>
      <c r="T80" s="38" t="str">
        <f t="shared" si="218"/>
        <v>2e T 2014</v>
      </c>
      <c r="U80" s="38" t="str">
        <f t="shared" ref="U80:V80" si="219">U8</f>
        <v>3e T 2014</v>
      </c>
      <c r="V80" s="38" t="str">
        <f t="shared" si="219"/>
        <v>4e T 2014</v>
      </c>
      <c r="W80" s="38" t="str">
        <f t="shared" ref="W80:X80" si="220">W8</f>
        <v>1er T 2015</v>
      </c>
      <c r="X80" s="38" t="str">
        <f t="shared" si="220"/>
        <v>2e T 2015</v>
      </c>
      <c r="Y80" s="38" t="str">
        <f t="shared" ref="Y80:Z80" si="221">Y8</f>
        <v>3e T 2015</v>
      </c>
      <c r="Z80" s="38" t="str">
        <f t="shared" si="221"/>
        <v>4e T 2015</v>
      </c>
      <c r="AA80" s="38" t="str">
        <f t="shared" ref="AA80:AB80" si="222">AA8</f>
        <v>1er T 2016</v>
      </c>
      <c r="AB80" s="38" t="str">
        <f t="shared" si="222"/>
        <v>2e T 2016</v>
      </c>
      <c r="AC80" s="38" t="str">
        <f t="shared" ref="AC80:AD80" si="223">AC8</f>
        <v>3e T 2016</v>
      </c>
      <c r="AD80" s="38" t="str">
        <f t="shared" si="223"/>
        <v>4e T 2016</v>
      </c>
      <c r="AE80" s="38" t="str">
        <f t="shared" ref="AE80:AF80" si="224">AE8</f>
        <v>1e T 2017</v>
      </c>
      <c r="AF80" s="38" t="str">
        <f t="shared" si="224"/>
        <v>2e T 2017</v>
      </c>
      <c r="AG80" s="38" t="str">
        <f t="shared" ref="AG80:AH80" si="225">AG8</f>
        <v>3e T 2017</v>
      </c>
      <c r="AH80" s="38" t="str">
        <f t="shared" si="225"/>
        <v>4e T 2017</v>
      </c>
      <c r="AI80" s="38" t="str">
        <f t="shared" ref="AI80:AJ80" si="226">AI8</f>
        <v>1e T 2018</v>
      </c>
      <c r="AJ80" s="38" t="str">
        <f t="shared" si="226"/>
        <v>2e T 2018</v>
      </c>
      <c r="AK80" s="38" t="str">
        <f t="shared" ref="AK80:AM80" si="227">AK8</f>
        <v>3e T 2018</v>
      </c>
      <c r="AL80" s="38" t="str">
        <f t="shared" si="227"/>
        <v>4e T 2018</v>
      </c>
      <c r="AM80" s="38" t="str">
        <f t="shared" si="227"/>
        <v>1e T 2019</v>
      </c>
      <c r="AN80" s="38" t="str">
        <f t="shared" ref="AN80:AP80" si="228">AN8</f>
        <v>2e T 2019</v>
      </c>
      <c r="AO80" s="38" t="str">
        <f t="shared" si="228"/>
        <v>3e T 2019</v>
      </c>
      <c r="AP80" s="38" t="str">
        <f t="shared" si="228"/>
        <v>4e T 2019</v>
      </c>
      <c r="AQ80" s="38" t="str">
        <f t="shared" ref="AQ80" si="229">AQ8</f>
        <v>1e T 2020</v>
      </c>
      <c r="AR80" s="38" t="str">
        <f t="shared" ref="AR80" si="230">AR8</f>
        <v>2e T 2020</v>
      </c>
      <c r="AS80" s="38" t="str">
        <f t="shared" ref="AS80:AT80" si="231">AS8</f>
        <v>3e T 2020</v>
      </c>
      <c r="AT80" s="38" t="str">
        <f t="shared" si="231"/>
        <v>4e T 2020</v>
      </c>
      <c r="AU80" s="38" t="str">
        <f t="shared" ref="AU80:AV80" si="232">AU8</f>
        <v>1er T 2021</v>
      </c>
      <c r="AV80" s="38" t="str">
        <f t="shared" si="232"/>
        <v>2e T 2021</v>
      </c>
      <c r="AW80" s="38" t="str">
        <f t="shared" ref="AW80:AX80" si="233">AW8</f>
        <v>3e T 2021</v>
      </c>
      <c r="AX80" s="38" t="str">
        <f t="shared" si="233"/>
        <v>4e T 2021</v>
      </c>
      <c r="AY80" s="38" t="str">
        <f t="shared" ref="AY80:AZ80" si="234">AY8</f>
        <v>1er T 2022</v>
      </c>
      <c r="AZ80" s="38" t="str">
        <f t="shared" si="234"/>
        <v>2e T 2022</v>
      </c>
      <c r="BA80" s="38" t="str">
        <f t="shared" ref="BA80:BB80" si="235">BA8</f>
        <v>3e T 2022</v>
      </c>
      <c r="BB80" s="38" t="str">
        <f t="shared" si="235"/>
        <v>4e T 2022</v>
      </c>
      <c r="BC80" s="38" t="str">
        <f t="shared" ref="BC80:BD80" si="236">BC8</f>
        <v>1er T 2023</v>
      </c>
      <c r="BD80" s="38" t="str">
        <f t="shared" si="236"/>
        <v>2e T 2023</v>
      </c>
      <c r="BE80" s="38" t="str">
        <f t="shared" ref="BE80:BF80" si="237">BE8</f>
        <v>3e T 2023</v>
      </c>
      <c r="BF80" s="38" t="str">
        <f t="shared" si="237"/>
        <v>4e T 2023</v>
      </c>
      <c r="BG80" s="38" t="str">
        <f t="shared" ref="BG80:BH80" si="238">BG8</f>
        <v>1er T 2024</v>
      </c>
      <c r="BH80" s="38" t="str">
        <f t="shared" si="238"/>
        <v>2e T 2024</v>
      </c>
      <c r="BI80" s="38" t="str">
        <f t="shared" ref="BI80:BJ80" si="239">BI8</f>
        <v>3e T 2024</v>
      </c>
      <c r="BJ80" s="38" t="str">
        <f t="shared" si="239"/>
        <v>4e T 2024</v>
      </c>
    </row>
    <row r="81" spans="1:62" x14ac:dyDescent="0.25">
      <c r="A81" s="312" t="s">
        <v>0</v>
      </c>
      <c r="B81" s="9"/>
      <c r="C81" s="46"/>
      <c r="D81" s="46"/>
      <c r="E81" s="46"/>
      <c r="F81" s="105">
        <f>'A)NSA Nb'!F86/'A)NSA Nb'!B86-1</f>
        <v>-2.5903193127609025E-2</v>
      </c>
      <c r="G81" s="105">
        <f>'A)NSA Nb'!G86/'A)NSA Nb'!C86-1</f>
        <v>-2.7914247431889194E-2</v>
      </c>
      <c r="H81" s="105">
        <f>'A)NSA Nb'!H86/'A)NSA Nb'!D86-1</f>
        <v>-2.8374357329539523E-2</v>
      </c>
      <c r="I81" s="105">
        <f>'A)NSA Nb'!I86/'A)NSA Nb'!E86-1</f>
        <v>-2.9341835426813678E-2</v>
      </c>
      <c r="J81" s="105">
        <f>'A)NSA Nb'!J86/'A)NSA Nb'!F86-1</f>
        <v>-3.2023748961626852E-2</v>
      </c>
      <c r="K81" s="105">
        <f>'A)NSA Nb'!K86/'A)NSA Nb'!G86-1</f>
        <v>-3.2876792110346442E-2</v>
      </c>
      <c r="L81" s="105">
        <f>'A)NSA Nb'!L86/'A)NSA Nb'!H86-1</f>
        <v>-3.4576189199965968E-2</v>
      </c>
      <c r="M81" s="105">
        <f>'A)NSA Nb'!M86/'A)NSA Nb'!I86-1</f>
        <v>-3.6385484099919818E-2</v>
      </c>
      <c r="N81" s="105">
        <f>'A)NSA Nb'!N86/'A)NSA Nb'!J86-1</f>
        <v>-3.7018188107877936E-2</v>
      </c>
      <c r="O81" s="105">
        <f>'A)NSA Nb'!O86/'A)NSA Nb'!K86-1</f>
        <v>-3.6864925627797751E-2</v>
      </c>
      <c r="P81" s="105">
        <f>'A)NSA Nb'!P86/'A)NSA Nb'!L86-1</f>
        <v>-3.5821289647677723E-2</v>
      </c>
      <c r="Q81" s="105">
        <f>'A)NSA Nb'!Q86/'A)NSA Nb'!M86-1</f>
        <v>-3.2634352057718252E-2</v>
      </c>
      <c r="R81" s="105">
        <f>'A)NSA Nb'!R86/'A)NSA Nb'!N86-1</f>
        <v>-3.1387842090173979E-2</v>
      </c>
      <c r="S81" s="105">
        <f>'A)NSA Nb'!S86/'A)NSA Nb'!O86-1</f>
        <v>-3.2666048359924038E-2</v>
      </c>
      <c r="T81" s="105">
        <f>'A)NSA Nb'!T86/'A)NSA Nb'!P86-1</f>
        <v>-2.9483641266564109E-2</v>
      </c>
      <c r="U81" s="105">
        <f>'A)NSA Nb'!U86/'A)NSA Nb'!Q86-1</f>
        <v>-2.9691013722886184E-2</v>
      </c>
      <c r="V81" s="105">
        <f>'A)NSA Nb'!V86/'A)NSA Nb'!R86-1</f>
        <v>-2.7876043078239765E-2</v>
      </c>
      <c r="W81" s="105">
        <f>'A)NSA Nb'!W86/'A)NSA Nb'!S86-1</f>
        <v>-2.5732640522265537E-2</v>
      </c>
      <c r="X81" s="105">
        <f>'A)NSA Nb'!X86/'A)NSA Nb'!T86-1</f>
        <v>-3.0368481033266392E-2</v>
      </c>
      <c r="Y81" s="105">
        <f>'A)NSA Nb'!Y86/'A)NSA Nb'!U86-1</f>
        <v>-3.2128792551580188E-2</v>
      </c>
      <c r="Z81" s="105">
        <f>'A)NSA Nb'!Z86/'A)NSA Nb'!V86-1</f>
        <v>-3.1243236501432459E-2</v>
      </c>
      <c r="AA81" s="105">
        <f>'A)NSA Nb'!AA86/'A)NSA Nb'!W86-1</f>
        <v>-2.9825330890889901E-2</v>
      </c>
      <c r="AB81" s="105">
        <f>'A)NSA Nb'!AB86/'A)NSA Nb'!X86-1</f>
        <v>-2.68906873225353E-2</v>
      </c>
      <c r="AC81" s="105">
        <f>'A)NSA Nb'!AC86/'A)NSA Nb'!Y86-1</f>
        <v>-2.5208531306092241E-2</v>
      </c>
      <c r="AD81" s="105">
        <f>'A)NSA Nb'!AD86/'A)NSA Nb'!Z86-1</f>
        <v>-2.584385389607935E-2</v>
      </c>
      <c r="AE81" s="105">
        <f>'A)NSA Nb'!AE86/'A)NSA Nb'!AA86-1</f>
        <v>-2.6931741768323914E-2</v>
      </c>
      <c r="AF81" s="105">
        <f>'A)NSA Nb'!AF86/'A)NSA Nb'!AB86-1</f>
        <v>-2.7273354703148733E-2</v>
      </c>
      <c r="AG81" s="105">
        <f>'A)NSA Nb'!AG86/'A)NSA Nb'!AC86-1</f>
        <v>-2.5539355442683487E-2</v>
      </c>
      <c r="AH81" s="105">
        <f>'A)NSA Nb'!AH86/'A)NSA Nb'!AD86-1</f>
        <v>-2.2584068319722039E-2</v>
      </c>
      <c r="AI81" s="105">
        <f>'A)NSA Nb'!AI86/'A)NSA Nb'!AE86-1</f>
        <v>-2.0801774085237312E-2</v>
      </c>
      <c r="AJ81" s="105">
        <f>'A)NSA Nb'!AJ86/'A)NSA Nb'!AF86-1</f>
        <v>-1.9712957889716276E-2</v>
      </c>
      <c r="AK81" s="105">
        <f>'A)NSA Nb'!AK86/'A)NSA Nb'!AG86-1</f>
        <v>-2.1369506274290351E-2</v>
      </c>
      <c r="AL81" s="105">
        <f>'A)NSA Nb'!AL86/'A)NSA Nb'!AH86-1</f>
        <v>-2.2087802394900047E-2</v>
      </c>
      <c r="AM81" s="105">
        <f>'A)NSA Nb'!AM86/'A)NSA Nb'!AI86-1</f>
        <v>-2.3109679271463013E-2</v>
      </c>
      <c r="AN81" s="105">
        <f>'A)NSA Nb'!AN86/'A)NSA Nb'!AJ86-1</f>
        <v>-2.4894446901765233E-2</v>
      </c>
      <c r="AO81" s="105">
        <f>'A)NSA Nb'!AO86/'A)NSA Nb'!AK86-1</f>
        <v>-2.4829829870435471E-2</v>
      </c>
      <c r="AP81" s="105">
        <f>'A)NSA Nb'!AP86/'A)NSA Nb'!AL86-1</f>
        <v>-2.3522043782559399E-2</v>
      </c>
      <c r="AQ81" s="105">
        <f>'A)NSA Nb'!AQ86/'A)NSA Nb'!AM86-1</f>
        <v>-2.312577548488215E-2</v>
      </c>
      <c r="AR81" s="105">
        <f>'A)NSA Nb'!AR86/'A)NSA Nb'!AN86-1</f>
        <v>-2.3711437985311279E-2</v>
      </c>
      <c r="AS81" s="105">
        <f>'A)NSA Nb'!AS86/'A)NSA Nb'!AO86-1</f>
        <v>-2.463841062908434E-2</v>
      </c>
      <c r="AT81" s="105">
        <f>'A)NSA Nb'!AT86/'A)NSA Nb'!AP86-1</f>
        <v>-2.6191834677839143E-2</v>
      </c>
      <c r="AU81" s="105">
        <f>'A)NSA Nb'!AU86/'A)NSA Nb'!AQ86-1</f>
        <v>-2.9021233214396092E-2</v>
      </c>
      <c r="AV81" s="105">
        <f>'A)NSA Nb'!AV86/'A)NSA Nb'!AR86-1</f>
        <v>-3.0707627064950671E-2</v>
      </c>
      <c r="AW81" s="105">
        <f>'A)NSA Nb'!AW86/'A)NSA Nb'!AS86-1</f>
        <v>-3.0916007744995144E-2</v>
      </c>
      <c r="AX81" s="105">
        <f>'A)NSA Nb'!AX86/'A)NSA Nb'!AT86-1</f>
        <v>-2.8525728753250323E-2</v>
      </c>
      <c r="AY81" s="105">
        <f>'A)NSA Nb'!AY86/'A)NSA Nb'!AU86-1</f>
        <v>-0.24843370798120445</v>
      </c>
      <c r="AZ81" s="105">
        <f>'A)NSA Nb'!AZ86/'A)NSA Nb'!AV86-1</f>
        <v>-0.2499487970576828</v>
      </c>
      <c r="BA81" s="105">
        <f>'A)NSA Nb'!BA86/'A)NSA Nb'!AW86-1</f>
        <v>-0.25100231048520194</v>
      </c>
      <c r="BB81" s="396">
        <f>'A)NSA Nb'!BB86/'A)NSA Nb'!AX86-1</f>
        <v>-0.24950474127684297</v>
      </c>
      <c r="BC81" s="455">
        <f>'A)NSA Nb'!BC86/'A)NSA Nb'!AY86-1</f>
        <v>-3.2199517923291454E-2</v>
      </c>
      <c r="BD81" s="455">
        <f>'A)NSA Nb'!BD86/'A)NSA Nb'!AZ86-1</f>
        <v>-3.0617995479924054E-2</v>
      </c>
      <c r="BE81" s="455">
        <f>'A)NSA Nb'!BE86/'A)NSA Nb'!BA86-1</f>
        <v>-2.8938075456399037E-2</v>
      </c>
      <c r="BF81" s="455">
        <f>'A)NSA Nb'!BF86/'A)NSA Nb'!BB86-1</f>
        <v>-3.4239022043900058E-2</v>
      </c>
      <c r="BG81" s="455">
        <f>'A)NSA Nb'!BG86/'A)NSA Nb'!BC86-1</f>
        <v>-3.1614380283606525E-2</v>
      </c>
      <c r="BH81" s="455">
        <f>'A)NSA Nb'!BH86/'A)NSA Nb'!BD86-1</f>
        <v>-3.279572792491503E-2</v>
      </c>
      <c r="BI81" s="455">
        <f>'A)NSA Nb'!BI86/'A)NSA Nb'!BE86-1</f>
        <v>-3.478029358730772E-2</v>
      </c>
      <c r="BJ81" s="455">
        <f>'A)NSA Nb'!BJ86/'A)NSA Nb'!BF86-1</f>
        <v>-3.4693666826610681E-2</v>
      </c>
    </row>
    <row r="82" spans="1:62" x14ac:dyDescent="0.25">
      <c r="A82" s="312" t="s">
        <v>1</v>
      </c>
      <c r="B82" s="9"/>
      <c r="C82" s="46"/>
      <c r="D82" s="46"/>
      <c r="E82" s="46"/>
      <c r="F82" s="105">
        <f>'A)NSA Nb'!F87/'A)NSA Nb'!B87-1</f>
        <v>-8.1593628639580529E-2</v>
      </c>
      <c r="G82" s="105">
        <f>'A)NSA Nb'!G87/'A)NSA Nb'!C87-1</f>
        <v>-8.4461364918217763E-2</v>
      </c>
      <c r="H82" s="105">
        <f>'A)NSA Nb'!H87/'A)NSA Nb'!D87-1</f>
        <v>-8.6379352926648556E-2</v>
      </c>
      <c r="I82" s="105">
        <f>'A)NSA Nb'!I87/'A)NSA Nb'!E87-1</f>
        <v>-8.7542866760640381E-2</v>
      </c>
      <c r="J82" s="105">
        <f>'A)NSA Nb'!J87/'A)NSA Nb'!F87-1</f>
        <v>-9.1096419678887264E-2</v>
      </c>
      <c r="K82" s="105">
        <f>'A)NSA Nb'!K87/'A)NSA Nb'!G87-1</f>
        <v>-9.0581065323095178E-2</v>
      </c>
      <c r="L82" s="105">
        <f>'A)NSA Nb'!L87/'A)NSA Nb'!H87-1</f>
        <v>-9.2631389245567797E-2</v>
      </c>
      <c r="M82" s="105">
        <f>'A)NSA Nb'!M87/'A)NSA Nb'!I87-1</f>
        <v>-9.478902467143191E-2</v>
      </c>
      <c r="N82" s="105">
        <f>'A)NSA Nb'!N87/'A)NSA Nb'!J87-1</f>
        <v>-9.4960324957491071E-2</v>
      </c>
      <c r="O82" s="105">
        <f>'A)NSA Nb'!O87/'A)NSA Nb'!K87-1</f>
        <v>-9.399041950936271E-2</v>
      </c>
      <c r="P82" s="105">
        <f>'A)NSA Nb'!P87/'A)NSA Nb'!L87-1</f>
        <v>-9.3621986643163901E-2</v>
      </c>
      <c r="Q82" s="105">
        <f>'A)NSA Nb'!Q87/'A)NSA Nb'!M87-1</f>
        <v>-9.2284571690567807E-2</v>
      </c>
      <c r="R82" s="105">
        <f>'A)NSA Nb'!R87/'A)NSA Nb'!N87-1</f>
        <v>-9.3077264306030361E-2</v>
      </c>
      <c r="S82" s="105">
        <f>'A)NSA Nb'!S87/'A)NSA Nb'!O87-1</f>
        <v>-9.6157440786135862E-2</v>
      </c>
      <c r="T82" s="105">
        <f>'A)NSA Nb'!T87/'A)NSA Nb'!P87-1</f>
        <v>-9.0062452065300724E-2</v>
      </c>
      <c r="U82" s="105">
        <f>'A)NSA Nb'!U87/'A)NSA Nb'!Q87-1</f>
        <v>-9.0919295094847863E-2</v>
      </c>
      <c r="V82" s="105">
        <f>'A)NSA Nb'!V87/'A)NSA Nb'!R87-1</f>
        <v>-8.948095292899072E-2</v>
      </c>
      <c r="W82" s="105">
        <f>'A)NSA Nb'!W87/'A)NSA Nb'!S87-1</f>
        <v>-8.7804301583550015E-2</v>
      </c>
      <c r="X82" s="105">
        <f>'A)NSA Nb'!X87/'A)NSA Nb'!T87-1</f>
        <v>-9.7892835641180009E-2</v>
      </c>
      <c r="Y82" s="105">
        <f>'A)NSA Nb'!Y87/'A)NSA Nb'!U87-1</f>
        <v>-0.10010495122854668</v>
      </c>
      <c r="Z82" s="105">
        <f>'A)NSA Nb'!Z87/'A)NSA Nb'!V87-1</f>
        <v>-0.10206661189407829</v>
      </c>
      <c r="AA82" s="105">
        <f>'A)NSA Nb'!AA87/'A)NSA Nb'!W87-1</f>
        <v>-0.10179427386967221</v>
      </c>
      <c r="AB82" s="105">
        <f>'A)NSA Nb'!AB87/'A)NSA Nb'!X87-1</f>
        <v>-9.8805392418579774E-2</v>
      </c>
      <c r="AC82" s="105">
        <f>'A)NSA Nb'!AC87/'A)NSA Nb'!Y87-1</f>
        <v>-9.6902548622783247E-2</v>
      </c>
      <c r="AD82" s="105">
        <f>'A)NSA Nb'!AD87/'A)NSA Nb'!Z87-1</f>
        <v>-9.4805743243243201E-2</v>
      </c>
      <c r="AE82" s="105">
        <f>'A)NSA Nb'!AE87/'A)NSA Nb'!AA87-1</f>
        <v>-9.7537230014783871E-2</v>
      </c>
      <c r="AF82" s="105">
        <f>'A)NSA Nb'!AF87/'A)NSA Nb'!AB87-1</f>
        <v>-9.9900025919206104E-2</v>
      </c>
      <c r="AG82" s="105">
        <f>'A)NSA Nb'!AG87/'A)NSA Nb'!AC87-1</f>
        <v>-9.80704952901853E-2</v>
      </c>
      <c r="AH82" s="105">
        <f>'A)NSA Nb'!AH87/'A)NSA Nb'!AD87-1</f>
        <v>-9.8242749397402962E-2</v>
      </c>
      <c r="AI82" s="105">
        <f>'A)NSA Nb'!AI87/'A)NSA Nb'!AE87-1</f>
        <v>-9.5692824037078461E-2</v>
      </c>
      <c r="AJ82" s="105">
        <f>'A)NSA Nb'!AJ87/'A)NSA Nb'!AF87-1</f>
        <v>-9.0830556583981203E-2</v>
      </c>
      <c r="AK82" s="105">
        <f>'A)NSA Nb'!AK87/'A)NSA Nb'!AG87-1</f>
        <v>-9.5047586962014652E-2</v>
      </c>
      <c r="AL82" s="105">
        <f>'A)NSA Nb'!AL87/'A)NSA Nb'!AH87-1</f>
        <v>-9.8124595818064209E-2</v>
      </c>
      <c r="AM82" s="105">
        <f>'A)NSA Nb'!AM87/'A)NSA Nb'!AI87-1</f>
        <v>-0.10135642645694343</v>
      </c>
      <c r="AN82" s="105">
        <f>'A)NSA Nb'!AN87/'A)NSA Nb'!AJ87-1</f>
        <v>-0.10492737885163572</v>
      </c>
      <c r="AO82" s="105">
        <f>'A)NSA Nb'!AO87/'A)NSA Nb'!AK87-1</f>
        <v>-0.1007026850946996</v>
      </c>
      <c r="AP82" s="105">
        <f>'A)NSA Nb'!AP87/'A)NSA Nb'!AL87-1</f>
        <v>-9.9048711697499847E-2</v>
      </c>
      <c r="AQ82" s="105">
        <f>'A)NSA Nb'!AQ87/'A)NSA Nb'!AM87-1</f>
        <v>-9.5629086975760891E-2</v>
      </c>
      <c r="AR82" s="105">
        <f>'A)NSA Nb'!AR87/'A)NSA Nb'!AN87-1</f>
        <v>-9.372156505914464E-2</v>
      </c>
      <c r="AS82" s="105">
        <f>'A)NSA Nb'!AS87/'A)NSA Nb'!AO87-1</f>
        <v>-9.6662354463130651E-2</v>
      </c>
      <c r="AT82" s="105">
        <f>'A)NSA Nb'!AT87/'A)NSA Nb'!AP87-1</f>
        <v>-9.8052740489202539E-2</v>
      </c>
      <c r="AU82" s="105">
        <f>'A)NSA Nb'!AU87/'A)NSA Nb'!AQ87-1</f>
        <v>-0.10264216592367081</v>
      </c>
      <c r="AV82" s="105">
        <f>'A)NSA Nb'!AV87/'A)NSA Nb'!AR87-1</f>
        <v>-0.10491967871485941</v>
      </c>
      <c r="AW82" s="105">
        <f>'A)NSA Nb'!AW87/'A)NSA Nb'!AS87-1</f>
        <v>-0.10374061980867277</v>
      </c>
      <c r="AX82" s="105">
        <f>'A)NSA Nb'!AX87/'A)NSA Nb'!AT87-1</f>
        <v>-0.1016530384140244</v>
      </c>
      <c r="AY82" s="105">
        <f>'A)NSA Nb'!AY87/'A)NSA Nb'!AU87-1</f>
        <v>-0.31885375015146011</v>
      </c>
      <c r="AZ82" s="105">
        <f>'A)NSA Nb'!AZ87/'A)NSA Nb'!AV87-1</f>
        <v>-0.32435969340063564</v>
      </c>
      <c r="BA82" s="105">
        <f>'A)NSA Nb'!BA87/'A)NSA Nb'!AW87-1</f>
        <v>-0.32845455707529081</v>
      </c>
      <c r="BB82" s="396">
        <f>'A)NSA Nb'!BB87/'A)NSA Nb'!AX87-1</f>
        <v>-0.3303647436317203</v>
      </c>
      <c r="BC82" s="455">
        <f>'A)NSA Nb'!BC87/'A)NSA Nb'!AY87-1</f>
        <v>-0.1213199324023837</v>
      </c>
      <c r="BD82" s="455">
        <f>'A)NSA Nb'!BD87/'A)NSA Nb'!AZ87-1</f>
        <v>-0.12340896513558386</v>
      </c>
      <c r="BE82" s="455">
        <f>'A)NSA Nb'!BE87/'A)NSA Nb'!BA87-1</f>
        <v>-0.1222994194346626</v>
      </c>
      <c r="BF82" s="455">
        <f>'A)NSA Nb'!BF87/'A)NSA Nb'!BB87-1</f>
        <v>-0.12742030119303738</v>
      </c>
      <c r="BG82" s="455">
        <f>'A)NSA Nb'!BG87/'A)NSA Nb'!BC87-1</f>
        <v>-0.12794817289199312</v>
      </c>
      <c r="BH82" s="455">
        <f>'A)NSA Nb'!BH87/'A)NSA Nb'!BD87-1</f>
        <v>-0.12457912457912457</v>
      </c>
      <c r="BI82" s="455">
        <f>'A)NSA Nb'!BI87/'A)NSA Nb'!BE87-1</f>
        <v>-0.12448492734764693</v>
      </c>
      <c r="BJ82" s="455">
        <f>'A)NSA Nb'!BJ87/'A)NSA Nb'!BF87-1</f>
        <v>-0.12697523254510812</v>
      </c>
    </row>
    <row r="83" spans="1:62" x14ac:dyDescent="0.25">
      <c r="A83" s="312" t="s">
        <v>2</v>
      </c>
      <c r="B83" s="9"/>
      <c r="C83" s="46"/>
      <c r="D83" s="46"/>
      <c r="E83" s="46"/>
      <c r="F83" s="105">
        <f>'A)NSA Nb'!F88/'A)NSA Nb'!B88-1</f>
        <v>-3.8858905165767177E-2</v>
      </c>
      <c r="G83" s="105">
        <f>'A)NSA Nb'!G88/'A)NSA Nb'!C88-1</f>
        <v>-4.0921114050101126E-2</v>
      </c>
      <c r="H83" s="105">
        <f>'A)NSA Nb'!H88/'A)NSA Nb'!D88-1</f>
        <v>-4.3245793363736462E-2</v>
      </c>
      <c r="I83" s="105">
        <f>'A)NSA Nb'!I88/'A)NSA Nb'!E88-1</f>
        <v>-4.8451151707704532E-2</v>
      </c>
      <c r="J83" s="105">
        <f>'A)NSA Nb'!J88/'A)NSA Nb'!F88-1</f>
        <v>-4.9414407187550191E-2</v>
      </c>
      <c r="K83" s="105">
        <f>'A)NSA Nb'!K88/'A)NSA Nb'!G88-1</f>
        <v>-5.0940947436729389E-2</v>
      </c>
      <c r="L83" s="105">
        <f>'A)NSA Nb'!L88/'A)NSA Nb'!H88-1</f>
        <v>-5.5226824457593637E-2</v>
      </c>
      <c r="M83" s="105">
        <f>'A)NSA Nb'!M88/'A)NSA Nb'!I88-1</f>
        <v>-5.6928213689482421E-2</v>
      </c>
      <c r="N83" s="105">
        <f>'A)NSA Nb'!N88/'A)NSA Nb'!J88-1</f>
        <v>-6.0421940928270024E-2</v>
      </c>
      <c r="O83" s="105">
        <f>'A)NSA Nb'!O88/'A)NSA Nb'!K88-1</f>
        <v>-6.461538461538463E-2</v>
      </c>
      <c r="P83" s="105">
        <f>'A)NSA Nb'!P88/'A)NSA Nb'!L88-1</f>
        <v>-6.7849686847599178E-2</v>
      </c>
      <c r="Q83" s="105">
        <f>'A)NSA Nb'!Q88/'A)NSA Nb'!M88-1</f>
        <v>-6.2311913613028902E-2</v>
      </c>
      <c r="R83" s="105">
        <f>'A)NSA Nb'!R88/'A)NSA Nb'!N88-1</f>
        <v>-5.8020477815699634E-2</v>
      </c>
      <c r="S83" s="105">
        <f>'A)NSA Nb'!S88/'A)NSA Nb'!O88-1</f>
        <v>-5.7748538011695882E-2</v>
      </c>
      <c r="T83" s="105">
        <f>'A)NSA Nb'!T88/'A)NSA Nb'!P88-1</f>
        <v>-5.2444942142590545E-2</v>
      </c>
      <c r="U83" s="105">
        <f>'A)NSA Nb'!U88/'A)NSA Nb'!Q88-1</f>
        <v>-5.4936756654710206E-2</v>
      </c>
      <c r="V83" s="105">
        <f>'A)NSA Nb'!V88/'A)NSA Nb'!R88-1</f>
        <v>-5.8352402745995402E-2</v>
      </c>
      <c r="W83" s="105">
        <f>'A)NSA Nb'!W88/'A)NSA Nb'!S88-1</f>
        <v>-5.8378588052754088E-2</v>
      </c>
      <c r="X83" s="105">
        <f>'A)NSA Nb'!X88/'A)NSA Nb'!T88-1</f>
        <v>-6.3029348040181232E-2</v>
      </c>
      <c r="Y83" s="105">
        <f>'A)NSA Nb'!Y88/'A)NSA Nb'!U88-1</f>
        <v>-6.3523771474230939E-2</v>
      </c>
      <c r="Z83" s="105">
        <f>'A)NSA Nb'!Z88/'A)NSA Nb'!V88-1</f>
        <v>-6.4398541919805541E-2</v>
      </c>
      <c r="AA83" s="105">
        <f>'A)NSA Nb'!AA88/'A)NSA Nb'!W88-1</f>
        <v>-6.879505664263641E-2</v>
      </c>
      <c r="AB83" s="105">
        <f>'A)NSA Nb'!AB88/'A)NSA Nb'!X88-1</f>
        <v>-7.210426739541731E-2</v>
      </c>
      <c r="AC83" s="105">
        <f>'A)NSA Nb'!AC88/'A)NSA Nb'!Y88-1</f>
        <v>-7.6578498293515374E-2</v>
      </c>
      <c r="AD83" s="105">
        <f>'A)NSA Nb'!AD88/'A)NSA Nb'!Z88-1</f>
        <v>-7.6839826839826819E-2</v>
      </c>
      <c r="AE83" s="105">
        <f>'A)NSA Nb'!AE88/'A)NSA Nb'!AA88-1</f>
        <v>-7.7637690776376944E-2</v>
      </c>
      <c r="AF83" s="105">
        <f>'A)NSA Nb'!AF88/'A)NSA Nb'!AB88-1</f>
        <v>-7.38559130040779E-2</v>
      </c>
      <c r="AG83" s="105">
        <f>'A)NSA Nb'!AG88/'A)NSA Nb'!AC88-1</f>
        <v>-7.0224070224070179E-2</v>
      </c>
      <c r="AH83" s="105">
        <f>'A)NSA Nb'!AH88/'A)NSA Nb'!AD88-1</f>
        <v>-7.6201641266119613E-2</v>
      </c>
      <c r="AI83" s="105">
        <f>'A)NSA Nb'!AI88/'A)NSA Nb'!AE88-1</f>
        <v>-6.9304556354916058E-2</v>
      </c>
      <c r="AJ83" s="105">
        <f>'A)NSA Nb'!AJ88/'A)NSA Nb'!AF88-1</f>
        <v>-7.6565557729941336E-2</v>
      </c>
      <c r="AK83" s="105">
        <f>'A)NSA Nb'!AK88/'A)NSA Nb'!AG88-1</f>
        <v>-7.9254658385093157E-2</v>
      </c>
      <c r="AL83" s="105">
        <f>'A)NSA Nb'!AL88/'A)NSA Nb'!AH88-1</f>
        <v>-7.6142131979695438E-2</v>
      </c>
      <c r="AM83" s="105">
        <f>'A)NSA Nb'!AM88/'A)NSA Nb'!AI88-1</f>
        <v>-8.5802628188611174E-2</v>
      </c>
      <c r="AN83" s="105">
        <f>'A)NSA Nb'!AN88/'A)NSA Nb'!AJ88-1</f>
        <v>-8.3708609271523127E-2</v>
      </c>
      <c r="AO83" s="105">
        <f>'A)NSA Nb'!AO88/'A)NSA Nb'!AK88-1</f>
        <v>-8.2838640043173206E-2</v>
      </c>
      <c r="AP83" s="105">
        <f>'A)NSA Nb'!AP88/'A)NSA Nb'!AL88-1</f>
        <v>-7.8571428571428625E-2</v>
      </c>
      <c r="AQ83" s="105">
        <f>'A)NSA Nb'!AQ88/'A)NSA Nb'!AM88-1</f>
        <v>-7.4408117249154415E-2</v>
      </c>
      <c r="AR83" s="105">
        <f>'A)NSA Nb'!AR88/'A)NSA Nb'!AN88-1</f>
        <v>-7.4588031222896811E-2</v>
      </c>
      <c r="AS83" s="105">
        <f>'A)NSA Nb'!AS88/'A)NSA Nb'!AO88-1</f>
        <v>-8.2082965578111233E-2</v>
      </c>
      <c r="AT83" s="105">
        <f>'A)NSA Nb'!AT88/'A)NSA Nb'!AP88-1</f>
        <v>-8.7060226595110368E-2</v>
      </c>
      <c r="AU83" s="105">
        <f>'A)NSA Nb'!AU88/'A)NSA Nb'!AQ88-1</f>
        <v>-9.2874543239951257E-2</v>
      </c>
      <c r="AV83" s="105">
        <f>'A)NSA Nb'!AV88/'A)NSA Nb'!AR88-1</f>
        <v>-9.6844736019993771E-2</v>
      </c>
      <c r="AW83" s="105">
        <f>'A)NSA Nb'!AW88/'A)NSA Nb'!AS88-1</f>
        <v>-9.0064102564102577E-2</v>
      </c>
      <c r="AX83" s="105">
        <f>'A)NSA Nb'!AX88/'A)NSA Nb'!AT88-1</f>
        <v>-8.7851077726975868E-2</v>
      </c>
      <c r="AY83" s="105">
        <f>'A)NSA Nb'!AY88/'A)NSA Nb'!AU88-1</f>
        <v>-0.3712655253440752</v>
      </c>
      <c r="AZ83" s="105">
        <f>'A)NSA Nb'!AZ88/'A)NSA Nb'!AV88-1</f>
        <v>-0.37357315807679004</v>
      </c>
      <c r="BA83" s="105">
        <f>'A)NSA Nb'!BA88/'A)NSA Nb'!AW88-1</f>
        <v>-0.3779499823881648</v>
      </c>
      <c r="BB83" s="396">
        <f>'A)NSA Nb'!BB88/'A)NSA Nb'!AX88-1</f>
        <v>-0.38560687432867879</v>
      </c>
      <c r="BC83" s="455">
        <f>'A)NSA Nb'!BC88/'A)NSA Nb'!AY88-1</f>
        <v>-0.12226374799786444</v>
      </c>
      <c r="BD83" s="455">
        <f>'A)NSA Nb'!BD88/'A)NSA Nb'!AZ88-1</f>
        <v>-0.11430149088901165</v>
      </c>
      <c r="BE83" s="455">
        <f>'A)NSA Nb'!BE88/'A)NSA Nb'!BA88-1</f>
        <v>-0.12400906002265011</v>
      </c>
      <c r="BF83" s="455">
        <f>'A)NSA Nb'!BF88/'A)NSA Nb'!BB88-1</f>
        <v>-0.11305361305361306</v>
      </c>
      <c r="BG83" s="455">
        <f>'A)NSA Nb'!BG88/'A)NSA Nb'!BC88-1</f>
        <v>-0.10705596107055959</v>
      </c>
      <c r="BH83" s="455">
        <f>'A)NSA Nb'!BH88/'A)NSA Nb'!BD88-1</f>
        <v>-0.11408977556109723</v>
      </c>
      <c r="BI83" s="455">
        <f>'A)NSA Nb'!BI88/'A)NSA Nb'!BE88-1</f>
        <v>-0.10213316095669034</v>
      </c>
      <c r="BJ83" s="455">
        <f>'A)NSA Nb'!BJ88/'A)NSA Nb'!BF88-1</f>
        <v>-0.10643889618922475</v>
      </c>
    </row>
    <row r="84" spans="1:62" x14ac:dyDescent="0.25">
      <c r="A84" s="312" t="s">
        <v>3</v>
      </c>
      <c r="B84" s="9"/>
      <c r="C84" s="46"/>
      <c r="D84" s="46"/>
      <c r="E84" s="46"/>
      <c r="F84" s="105">
        <f>'A)NSA Nb'!F89/'A)NSA Nb'!B89-1</f>
        <v>-1.5048412934688615E-2</v>
      </c>
      <c r="G84" s="105">
        <f>'A)NSA Nb'!G89/'A)NSA Nb'!C89-1</f>
        <v>-1.5878654399488434E-2</v>
      </c>
      <c r="H84" s="105">
        <f>'A)NSA Nb'!H89/'A)NSA Nb'!D89-1</f>
        <v>-1.438776896618299E-2</v>
      </c>
      <c r="I84" s="105">
        <f>'A)NSA Nb'!I89/'A)NSA Nb'!E89-1</f>
        <v>-1.458010447161473E-2</v>
      </c>
      <c r="J84" s="105">
        <f>'A)NSA Nb'!J89/'A)NSA Nb'!F89-1</f>
        <v>-1.5127199453060292E-2</v>
      </c>
      <c r="K84" s="105">
        <f>'A)NSA Nb'!K89/'A)NSA Nb'!G89-1</f>
        <v>-1.5080854750216588E-2</v>
      </c>
      <c r="L84" s="105">
        <f>'A)NSA Nb'!L89/'A)NSA Nb'!H89-1</f>
        <v>-1.9197701499684361E-2</v>
      </c>
      <c r="M84" s="105">
        <f>'A)NSA Nb'!M89/'A)NSA Nb'!I89-1</f>
        <v>-2.1669482145977748E-2</v>
      </c>
      <c r="N84" s="105">
        <f>'A)NSA Nb'!N89/'A)NSA Nb'!J89-1</f>
        <v>-2.217708051705114E-2</v>
      </c>
      <c r="O84" s="105">
        <f>'A)NSA Nb'!O89/'A)NSA Nb'!K89-1</f>
        <v>-2.6592196788119971E-2</v>
      </c>
      <c r="P84" s="105">
        <f>'A)NSA Nb'!P89/'A)NSA Nb'!L89-1</f>
        <v>-2.852429669411094E-2</v>
      </c>
      <c r="Q84" s="105">
        <f>'A)NSA Nb'!Q89/'A)NSA Nb'!M89-1</f>
        <v>-2.8297112235784461E-2</v>
      </c>
      <c r="R84" s="105">
        <f>'A)NSA Nb'!R89/'A)NSA Nb'!N89-1</f>
        <v>-2.8538761601578311E-2</v>
      </c>
      <c r="S84" s="105">
        <f>'A)NSA Nb'!S89/'A)NSA Nb'!O89-1</f>
        <v>-2.6136457760743359E-2</v>
      </c>
      <c r="T84" s="105">
        <f>'A)NSA Nb'!T89/'A)NSA Nb'!P89-1</f>
        <v>-2.6772864681291697E-2</v>
      </c>
      <c r="U84" s="105">
        <f>'A)NSA Nb'!U89/'A)NSA Nb'!Q89-1</f>
        <v>-2.6976516184377797E-2</v>
      </c>
      <c r="V84" s="105">
        <f>'A)NSA Nb'!V89/'A)NSA Nb'!R89-1</f>
        <v>-2.7354056569665941E-2</v>
      </c>
      <c r="W84" s="105">
        <f>'A)NSA Nb'!W89/'A)NSA Nb'!S89-1</f>
        <v>-2.9915256858318084E-2</v>
      </c>
      <c r="X84" s="105">
        <f>'A)NSA Nb'!X89/'A)NSA Nb'!T89-1</f>
        <v>-2.9254133055840237E-2</v>
      </c>
      <c r="Y84" s="105">
        <f>'A)NSA Nb'!Y89/'A)NSA Nb'!U89-1</f>
        <v>-2.9440473566548109E-2</v>
      </c>
      <c r="Z84" s="105">
        <f>'A)NSA Nb'!Z89/'A)NSA Nb'!V89-1</f>
        <v>-2.8415966087486089E-2</v>
      </c>
      <c r="AA84" s="105">
        <f>'A)NSA Nb'!AA89/'A)NSA Nb'!W89-1</f>
        <v>-2.8661836557391407E-2</v>
      </c>
      <c r="AB84" s="105">
        <f>'A)NSA Nb'!AB89/'A)NSA Nb'!X89-1</f>
        <v>-2.882197433748146E-2</v>
      </c>
      <c r="AC84" s="105">
        <f>'A)NSA Nb'!AC89/'A)NSA Nb'!Y89-1</f>
        <v>-3.091746690890218E-2</v>
      </c>
      <c r="AD84" s="105">
        <f>'A)NSA Nb'!AD89/'A)NSA Nb'!Z89-1</f>
        <v>-3.3056573056573058E-2</v>
      </c>
      <c r="AE84" s="105">
        <f>'A)NSA Nb'!AE89/'A)NSA Nb'!AA89-1</f>
        <v>-3.5341807051950114E-2</v>
      </c>
      <c r="AF84" s="105">
        <f>'A)NSA Nb'!AF89/'A)NSA Nb'!AB89-1</f>
        <v>-4.0134112335679206E-2</v>
      </c>
      <c r="AG84" s="105">
        <f>'A)NSA Nb'!AG89/'A)NSA Nb'!AC89-1</f>
        <v>-4.1788021827190214E-2</v>
      </c>
      <c r="AH84" s="105">
        <f>'A)NSA Nb'!AH89/'A)NSA Nb'!AD89-1</f>
        <v>-4.4229684566752803E-2</v>
      </c>
      <c r="AI84" s="105">
        <f>'A)NSA Nb'!AI89/'A)NSA Nb'!AE89-1</f>
        <v>-4.6512419190200771E-2</v>
      </c>
      <c r="AJ84" s="105">
        <f>'A)NSA Nb'!AJ89/'A)NSA Nb'!AF89-1</f>
        <v>-4.6524295348435052E-2</v>
      </c>
      <c r="AK84" s="105">
        <f>'A)NSA Nb'!AK89/'A)NSA Nb'!AG89-1</f>
        <v>-4.5339808369216805E-2</v>
      </c>
      <c r="AL84" s="105">
        <f>'A)NSA Nb'!AL89/'A)NSA Nb'!AH89-1</f>
        <v>-4.2392213854758443E-2</v>
      </c>
      <c r="AM84" s="105">
        <f>'A)NSA Nb'!AM89/'A)NSA Nb'!AI89-1</f>
        <v>-4.0770081718588314E-2</v>
      </c>
      <c r="AN84" s="105">
        <f>'A)NSA Nb'!AN89/'A)NSA Nb'!AJ89-1</f>
        <v>-3.9708376028074199E-2</v>
      </c>
      <c r="AO84" s="105">
        <f>'A)NSA Nb'!AO89/'A)NSA Nb'!AK89-1</f>
        <v>-4.1802378774016491E-2</v>
      </c>
      <c r="AP84" s="105">
        <f>'A)NSA Nb'!AP89/'A)NSA Nb'!AL89-1</f>
        <v>-4.4912713158330453E-2</v>
      </c>
      <c r="AQ84" s="105">
        <f>'A)NSA Nb'!AQ89/'A)NSA Nb'!AM89-1</f>
        <v>-4.4456018303230982E-2</v>
      </c>
      <c r="AR84" s="105">
        <f>'A)NSA Nb'!AR89/'A)NSA Nb'!AN89-1</f>
        <v>-4.6156751652502326E-2</v>
      </c>
      <c r="AS84" s="105">
        <f>'A)NSA Nb'!AS89/'A)NSA Nb'!AO89-1</f>
        <v>-4.9259531561810732E-2</v>
      </c>
      <c r="AT84" s="105">
        <f>'A)NSA Nb'!AT89/'A)NSA Nb'!AP89-1</f>
        <v>-4.9413033638613602E-2</v>
      </c>
      <c r="AU84" s="105">
        <f>'A)NSA Nb'!AU89/'A)NSA Nb'!AQ89-1</f>
        <v>-5.6130890969613212E-2</v>
      </c>
      <c r="AV84" s="105">
        <f>'A)NSA Nb'!AV89/'A)NSA Nb'!AR89-1</f>
        <v>-5.7993109729537085E-2</v>
      </c>
      <c r="AW84" s="105">
        <f>'A)NSA Nb'!AW89/'A)NSA Nb'!AS89-1</f>
        <v>-5.6562085726911127E-2</v>
      </c>
      <c r="AX84" s="105">
        <f>'A)NSA Nb'!AX89/'A)NSA Nb'!AT89-1</f>
        <v>-5.7614377760667801E-2</v>
      </c>
      <c r="AY84" s="105">
        <f>'A)NSA Nb'!AY89/'A)NSA Nb'!AU89-1</f>
        <v>-0.10692446506831654</v>
      </c>
      <c r="AZ84" s="105">
        <f>'A)NSA Nb'!AZ89/'A)NSA Nb'!AV89-1</f>
        <v>-0.10967484288626861</v>
      </c>
      <c r="BA84" s="105">
        <f>'A)NSA Nb'!BA89/'A)NSA Nb'!AW89-1</f>
        <v>-0.11286991696827764</v>
      </c>
      <c r="BB84" s="396">
        <f>'A)NSA Nb'!BB89/'A)NSA Nb'!AX89-1</f>
        <v>-0.11358725449092144</v>
      </c>
      <c r="BC84" s="455">
        <f>'A)NSA Nb'!BC89/'A)NSA Nb'!AY89-1</f>
        <v>-7.3713137657898997E-2</v>
      </c>
      <c r="BD84" s="455">
        <f>'A)NSA Nb'!BD89/'A)NSA Nb'!AZ89-1</f>
        <v>-7.1165513822328164E-2</v>
      </c>
      <c r="BE84" s="455">
        <f>'A)NSA Nb'!BE89/'A)NSA Nb'!BA89-1</f>
        <v>-7.0544896024574921E-2</v>
      </c>
      <c r="BF84" s="455">
        <f>'A)NSA Nb'!BF89/'A)NSA Nb'!BB89-1</f>
        <v>-7.0523315747983761E-2</v>
      </c>
      <c r="BG84" s="455">
        <f>'A)NSA Nb'!BG89/'A)NSA Nb'!BC89-1</f>
        <v>-6.3910149335593691E-2</v>
      </c>
      <c r="BH84" s="455">
        <f>'A)NSA Nb'!BH89/'A)NSA Nb'!BD89-1</f>
        <v>-6.8853334011107048E-2</v>
      </c>
      <c r="BI84" s="455">
        <f>'A)NSA Nb'!BI89/'A)NSA Nb'!BE89-1</f>
        <v>-7.119987606186573E-2</v>
      </c>
      <c r="BJ84" s="455">
        <f>'A)NSA Nb'!BJ89/'A)NSA Nb'!BF89-1</f>
        <v>-7.3760438413361218E-2</v>
      </c>
    </row>
    <row r="85" spans="1:62" x14ac:dyDescent="0.25">
      <c r="A85" s="307" t="s">
        <v>29</v>
      </c>
      <c r="B85" s="3"/>
      <c r="C85" s="3"/>
      <c r="D85" s="3"/>
      <c r="E85" s="3"/>
      <c r="F85" s="105">
        <f>'A)NSA Nb'!F91/'A)NSA Nb'!B91-1</f>
        <v>-2.8567229580125697E-2</v>
      </c>
      <c r="G85" s="105">
        <f>'A)NSA Nb'!G91/'A)NSA Nb'!C91-1</f>
        <v>-3.0239099859353025E-2</v>
      </c>
      <c r="H85" s="105">
        <f>'A)NSA Nb'!H91/'A)NSA Nb'!D91-1</f>
        <v>-3.0252018403523762E-2</v>
      </c>
      <c r="I85" s="105">
        <f>'A)NSA Nb'!I91/'A)NSA Nb'!E91-1</f>
        <v>-3.0983189319062521E-2</v>
      </c>
      <c r="J85" s="105">
        <f>'A)NSA Nb'!J91/'A)NSA Nb'!F91-1</f>
        <v>-3.3044163723878195E-2</v>
      </c>
      <c r="K85" s="105">
        <f>'A)NSA Nb'!K91/'A)NSA Nb'!G91-1</f>
        <v>-3.3415598620186726E-2</v>
      </c>
      <c r="L85" s="105">
        <f>'A)NSA Nb'!L91/'A)NSA Nb'!H91-1</f>
        <v>-3.5756050385824634E-2</v>
      </c>
      <c r="M85" s="105">
        <f>'A)NSA Nb'!M91/'A)NSA Nb'!I91-1</f>
        <v>-3.7682361182878932E-2</v>
      </c>
      <c r="N85" s="105">
        <f>'A)NSA Nb'!N91/'A)NSA Nb'!J91-1</f>
        <v>-3.817332910626281E-2</v>
      </c>
      <c r="O85" s="105">
        <f>'A)NSA Nb'!O91/'A)NSA Nb'!K91-1</f>
        <v>-3.919032904540154E-2</v>
      </c>
      <c r="P85" s="105">
        <f>'A)NSA Nb'!P91/'A)NSA Nb'!L91-1</f>
        <v>-3.9022814015312823E-2</v>
      </c>
      <c r="Q85" s="105">
        <f>'A)NSA Nb'!Q91/'A)NSA Nb'!M91-1</f>
        <v>-3.6723553544481868E-2</v>
      </c>
      <c r="R85" s="105">
        <f>'A)NSA Nb'!R91/'A)NSA Nb'!N91-1</f>
        <v>-3.5949188275205213E-2</v>
      </c>
      <c r="S85" s="105">
        <f>'A)NSA Nb'!S91/'A)NSA Nb'!O91-1</f>
        <v>-3.6220333170120411E-2</v>
      </c>
      <c r="T85" s="105">
        <f>'A)NSA Nb'!T91/'A)NSA Nb'!P91-1</f>
        <v>-3.3803862487581715E-2</v>
      </c>
      <c r="U85" s="105">
        <f>'A)NSA Nb'!U91/'A)NSA Nb'!Q91-1</f>
        <v>-3.4012241498592055E-2</v>
      </c>
      <c r="V85" s="105">
        <f>'A)NSA Nb'!V91/'A)NSA Nb'!R91-1</f>
        <v>-3.2833872460975244E-2</v>
      </c>
      <c r="W85" s="105">
        <f>'A)NSA Nb'!W91/'A)NSA Nb'!S91-1</f>
        <v>-3.2022201582310394E-2</v>
      </c>
      <c r="X85" s="105">
        <f>'A)NSA Nb'!X91/'A)NSA Nb'!T91-1</f>
        <v>-3.549048276547806E-2</v>
      </c>
      <c r="Y85" s="105">
        <f>'A)NSA Nb'!Y91/'A)NSA Nb'!U91-1</f>
        <v>-3.6731146890374489E-2</v>
      </c>
      <c r="Z85" s="105">
        <f>'A)NSA Nb'!Z91/'A)NSA Nb'!V91-1</f>
        <v>-3.5943346417831701E-2</v>
      </c>
      <c r="AA85" s="105">
        <f>'A)NSA Nb'!AA91/'A)NSA Nb'!W91-1</f>
        <v>-3.5063016321123075E-2</v>
      </c>
      <c r="AB85" s="105">
        <f>'A)NSA Nb'!AB91/'A)NSA Nb'!X91-1</f>
        <v>-3.3005473187006751E-2</v>
      </c>
      <c r="AC85" s="105">
        <f>'A)NSA Nb'!AC91/'A)NSA Nb'!Y91-1</f>
        <v>-3.2394482921920376E-2</v>
      </c>
      <c r="AD85" s="105">
        <f>'A)NSA Nb'!AD91/'A)NSA Nb'!Z91-1</f>
        <v>-3.3180783480803444E-2</v>
      </c>
      <c r="AE85" s="105">
        <f>'A)NSA Nb'!AE91/'A)NSA Nb'!AA91-1</f>
        <v>-3.4628673845431335E-2</v>
      </c>
      <c r="AF85" s="105">
        <f>'A)NSA Nb'!AF91/'A)NSA Nb'!AB91-1</f>
        <v>-3.6278745205598928E-2</v>
      </c>
      <c r="AG85" s="105">
        <f>'A)NSA Nb'!AG91/'A)NSA Nb'!AC91-1</f>
        <v>-3.5436712639852819E-2</v>
      </c>
      <c r="AH85" s="105">
        <f>'A)NSA Nb'!AH91/'A)NSA Nb'!AD91-1</f>
        <v>-3.4272738691301541E-2</v>
      </c>
      <c r="AI85" s="105">
        <f>'A)NSA Nb'!AI91/'A)NSA Nb'!AE91-1</f>
        <v>-3.3458264042294461E-2</v>
      </c>
      <c r="AJ85" s="105">
        <f>'A)NSA Nb'!AJ91/'A)NSA Nb'!AF91-1</f>
        <v>-3.2440137976809447E-2</v>
      </c>
      <c r="AK85" s="105">
        <f>'A)NSA Nb'!AK91/'A)NSA Nb'!AG91-1</f>
        <v>-3.3361832541359826E-2</v>
      </c>
      <c r="AL85" s="105">
        <f>'A)NSA Nb'!AL91/'A)NSA Nb'!AH91-1</f>
        <v>-3.3007668551289004E-2</v>
      </c>
      <c r="AM85" s="105">
        <f>'A)NSA Nb'!AM91/'A)NSA Nb'!AI91-1</f>
        <v>-3.3234893813718136E-2</v>
      </c>
      <c r="AN85" s="105">
        <f>'A)NSA Nb'!AN91/'A)NSA Nb'!AJ91-1</f>
        <v>-3.4174797645805444E-2</v>
      </c>
      <c r="AO85" s="105">
        <f>'A)NSA Nb'!AO91/'A)NSA Nb'!AK91-1</f>
        <v>-3.4410899365638459E-2</v>
      </c>
      <c r="AP85" s="105">
        <f>'A)NSA Nb'!AP91/'A)NSA Nb'!AL91-1</f>
        <v>-3.4226669268786702E-2</v>
      </c>
      <c r="AQ85" s="105">
        <f>'A)NSA Nb'!AQ91/'A)NSA Nb'!AM91-1</f>
        <v>-3.3628356194948861E-2</v>
      </c>
      <c r="AR85" s="105">
        <f>'A)NSA Nb'!AR91/'A)NSA Nb'!AN91-1</f>
        <v>-3.4324025472634689E-2</v>
      </c>
      <c r="AS85" s="105">
        <f>'A)NSA Nb'!AS91/'A)NSA Nb'!AO91-1</f>
        <v>-3.5974254013297013E-2</v>
      </c>
      <c r="AT85" s="105">
        <f>'A)NSA Nb'!AT91/'A)NSA Nb'!AP91-1</f>
        <v>-3.7039868924085173E-2</v>
      </c>
      <c r="AU85" s="105">
        <f>'A)NSA Nb'!AU91/'A)NSA Nb'!AQ91-1</f>
        <v>-4.0977658545166662E-2</v>
      </c>
      <c r="AV85" s="105">
        <f>'A)NSA Nb'!AV91/'A)NSA Nb'!AR91-1</f>
        <v>-4.2692966693133827E-2</v>
      </c>
      <c r="AW85" s="105">
        <f>'A)NSA Nb'!AW91/'A)NSA Nb'!AS91-1</f>
        <v>-4.222834377035356E-2</v>
      </c>
      <c r="AX85" s="105">
        <f>'A)NSA Nb'!AX91/'A)NSA Nb'!AT91-1</f>
        <v>-4.0721877516759486E-2</v>
      </c>
      <c r="AY85" s="105">
        <f>'A)NSA Nb'!AY91/'A)NSA Nb'!AU91-1</f>
        <v>-0.2134766408713098</v>
      </c>
      <c r="AZ85" s="105">
        <f>'A)NSA Nb'!AZ91/'A)NSA Nb'!AV91-1</f>
        <v>-0.21560427343711352</v>
      </c>
      <c r="BA85" s="105">
        <f>'A)NSA Nb'!BA91/'A)NSA Nb'!AW91-1</f>
        <v>-0.21741293532338313</v>
      </c>
      <c r="BB85" s="396">
        <f>'A)NSA Nb'!BB91/'A)NSA Nb'!AX91-1</f>
        <v>-0.21687320412917266</v>
      </c>
      <c r="BC85" s="455">
        <f>'A)NSA Nb'!BC91/'A)NSA Nb'!AY91-1</f>
        <v>-4.9563075308471038E-2</v>
      </c>
      <c r="BD85" s="455">
        <f>'A)NSA Nb'!BD91/'A)NSA Nb'!AZ91-1</f>
        <v>-4.7668693674474127E-2</v>
      </c>
      <c r="BE85" s="455">
        <f>'A)NSA Nb'!BE91/'A)NSA Nb'!BA91-1</f>
        <v>-4.6314094727220034E-2</v>
      </c>
      <c r="BF85" s="455">
        <f>'A)NSA Nb'!BF91/'A)NSA Nb'!BB91-1</f>
        <v>-4.9661587011584962E-2</v>
      </c>
      <c r="BG85" s="455">
        <f>'A)NSA Nb'!BG91/'A)NSA Nb'!BC91-1</f>
        <v>-4.5668035442474997E-2</v>
      </c>
      <c r="BH85" s="455">
        <f>'A)NSA Nb'!BH91/'A)NSA Nb'!BD91-1</f>
        <v>-4.7760042699246941E-2</v>
      </c>
      <c r="BI85" s="455">
        <f>'A)NSA Nb'!BI91/'A)NSA Nb'!BE91-1</f>
        <v>-4.9576964796371192E-2</v>
      </c>
      <c r="BJ85" s="455">
        <f>'A)NSA Nb'!BJ91/'A)NSA Nb'!BF91-1</f>
        <v>-5.028658587447421E-2</v>
      </c>
    </row>
    <row r="86" spans="1:62" x14ac:dyDescent="0.25">
      <c r="A86" s="302"/>
      <c r="B86" s="10"/>
      <c r="C86" s="40"/>
      <c r="D86" s="40"/>
      <c r="E86" s="40"/>
      <c r="F86" s="40"/>
      <c r="G86" s="40"/>
      <c r="H86" s="40"/>
      <c r="I86" s="40"/>
      <c r="J86" s="40"/>
      <c r="K86" s="146"/>
      <c r="L86" s="146"/>
      <c r="M86" s="40"/>
      <c r="N86" s="40"/>
      <c r="O86" s="40"/>
      <c r="P86" s="40"/>
      <c r="Q86" s="40"/>
      <c r="R86" s="40"/>
      <c r="S86" s="40"/>
      <c r="T86" s="40"/>
      <c r="U86" s="40"/>
      <c r="V86" s="40"/>
      <c r="W86" s="40"/>
      <c r="X86" s="40"/>
      <c r="Y86" s="40"/>
      <c r="Z86" s="40"/>
      <c r="AA86" s="40"/>
      <c r="AB86" s="40"/>
      <c r="AC86" s="40"/>
      <c r="AD86" s="40"/>
      <c r="AE86" s="40"/>
      <c r="AF86" s="40"/>
      <c r="AG86" s="40"/>
      <c r="AH86" s="40"/>
      <c r="AI86" s="40"/>
      <c r="AJ86" s="40"/>
      <c r="AM86" s="40"/>
      <c r="AN86" s="40"/>
      <c r="AO86" s="40"/>
    </row>
    <row r="87" spans="1:62" x14ac:dyDescent="0.25">
      <c r="A87" s="301" t="s">
        <v>23</v>
      </c>
      <c r="L87" s="14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M87" s="35"/>
      <c r="AN87" s="35"/>
      <c r="AO87" s="35"/>
      <c r="BB87" s="377" t="s">
        <v>241</v>
      </c>
      <c r="BC87" s="377"/>
      <c r="BD87" s="377"/>
      <c r="BE87" s="377"/>
      <c r="BF87" s="377"/>
      <c r="BG87" s="377"/>
      <c r="BH87" s="377"/>
      <c r="BI87" s="377"/>
      <c r="BJ87" s="377"/>
    </row>
    <row r="88" spans="1:62" x14ac:dyDescent="0.25">
      <c r="A88" s="316" t="s">
        <v>6</v>
      </c>
      <c r="L88" s="14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M88" s="35"/>
      <c r="AN88" s="35"/>
      <c r="AO88" s="35"/>
      <c r="BB88" s="383" t="s">
        <v>244</v>
      </c>
      <c r="BC88" s="383"/>
      <c r="BD88" s="383"/>
      <c r="BE88" s="383"/>
      <c r="BF88" s="383"/>
      <c r="BG88" s="383"/>
      <c r="BH88" s="383"/>
      <c r="BI88" s="383"/>
      <c r="BJ88" s="383"/>
    </row>
    <row r="89" spans="1:62" x14ac:dyDescent="0.25">
      <c r="B89" s="2" t="str">
        <f t="shared" ref="B89:H89" si="240">B8</f>
        <v>4eme T 2009</v>
      </c>
      <c r="C89" s="38" t="str">
        <f t="shared" si="240"/>
        <v>1er T 2010</v>
      </c>
      <c r="D89" s="38" t="str">
        <f t="shared" si="240"/>
        <v>2eme T 2010</v>
      </c>
      <c r="E89" s="38" t="str">
        <f t="shared" si="240"/>
        <v>3eme T 2010</v>
      </c>
      <c r="F89" s="38" t="str">
        <f t="shared" si="240"/>
        <v>4eme T 2010</v>
      </c>
      <c r="G89" s="38" t="str">
        <f t="shared" si="240"/>
        <v>1er T 2011</v>
      </c>
      <c r="H89" s="38" t="str">
        <f t="shared" si="240"/>
        <v>2eme T 2011</v>
      </c>
      <c r="I89" s="38" t="str">
        <f t="shared" ref="I89:N89" si="241">I8</f>
        <v>3eme T 2011</v>
      </c>
      <c r="J89" s="38" t="str">
        <f t="shared" si="241"/>
        <v>4eme T 2011</v>
      </c>
      <c r="K89" s="38" t="str">
        <f t="shared" si="241"/>
        <v>1er T 2012</v>
      </c>
      <c r="L89" s="38" t="str">
        <f t="shared" si="241"/>
        <v>2eme T 2012</v>
      </c>
      <c r="M89" s="38" t="str">
        <f t="shared" si="241"/>
        <v>3eme T 2012</v>
      </c>
      <c r="N89" s="38" t="str">
        <f t="shared" si="241"/>
        <v>4eme T 2012</v>
      </c>
      <c r="O89" s="38" t="str">
        <f t="shared" ref="O89:T89" si="242">O8</f>
        <v>1er T 2013</v>
      </c>
      <c r="P89" s="38" t="str">
        <f t="shared" si="242"/>
        <v>2e T 2013</v>
      </c>
      <c r="Q89" s="38" t="str">
        <f t="shared" si="242"/>
        <v>3e T 2013</v>
      </c>
      <c r="R89" s="38" t="str">
        <f t="shared" si="242"/>
        <v>4e T 2013</v>
      </c>
      <c r="S89" s="38" t="str">
        <f t="shared" si="242"/>
        <v>1er T 2014</v>
      </c>
      <c r="T89" s="38" t="str">
        <f t="shared" si="242"/>
        <v>2e T 2014</v>
      </c>
      <c r="U89" s="38" t="str">
        <f t="shared" ref="U89:V89" si="243">U8</f>
        <v>3e T 2014</v>
      </c>
      <c r="V89" s="38" t="str">
        <f t="shared" si="243"/>
        <v>4e T 2014</v>
      </c>
      <c r="W89" s="38" t="str">
        <f t="shared" ref="W89:X89" si="244">W8</f>
        <v>1er T 2015</v>
      </c>
      <c r="X89" s="38" t="str">
        <f t="shared" si="244"/>
        <v>2e T 2015</v>
      </c>
      <c r="Y89" s="38" t="str">
        <f t="shared" ref="Y89:Z89" si="245">Y8</f>
        <v>3e T 2015</v>
      </c>
      <c r="Z89" s="38" t="str">
        <f t="shared" si="245"/>
        <v>4e T 2015</v>
      </c>
      <c r="AA89" s="38" t="str">
        <f t="shared" ref="AA89:AB89" si="246">AA8</f>
        <v>1er T 2016</v>
      </c>
      <c r="AB89" s="38" t="str">
        <f t="shared" si="246"/>
        <v>2e T 2016</v>
      </c>
      <c r="AC89" s="38" t="str">
        <f t="shared" ref="AC89:AD89" si="247">AC8</f>
        <v>3e T 2016</v>
      </c>
      <c r="AD89" s="38" t="str">
        <f t="shared" si="247"/>
        <v>4e T 2016</v>
      </c>
      <c r="AE89" s="38" t="str">
        <f t="shared" ref="AE89:AF89" si="248">AE8</f>
        <v>1e T 2017</v>
      </c>
      <c r="AF89" s="38" t="str">
        <f t="shared" si="248"/>
        <v>2e T 2017</v>
      </c>
      <c r="AG89" s="38" t="str">
        <f t="shared" ref="AG89:AH89" si="249">AG8</f>
        <v>3e T 2017</v>
      </c>
      <c r="AH89" s="38" t="str">
        <f t="shared" si="249"/>
        <v>4e T 2017</v>
      </c>
      <c r="AI89" s="38" t="str">
        <f t="shared" ref="AI89:AJ89" si="250">AI8</f>
        <v>1e T 2018</v>
      </c>
      <c r="AJ89" s="38" t="str">
        <f t="shared" si="250"/>
        <v>2e T 2018</v>
      </c>
      <c r="AK89" s="38" t="str">
        <f t="shared" ref="AK89:AM89" si="251">AK8</f>
        <v>3e T 2018</v>
      </c>
      <c r="AL89" s="38" t="str">
        <f t="shared" si="251"/>
        <v>4e T 2018</v>
      </c>
      <c r="AM89" s="38" t="str">
        <f t="shared" si="251"/>
        <v>1e T 2019</v>
      </c>
      <c r="AN89" s="38" t="str">
        <f t="shared" ref="AN89:AP89" si="252">AN8</f>
        <v>2e T 2019</v>
      </c>
      <c r="AO89" s="38" t="str">
        <f t="shared" si="252"/>
        <v>3e T 2019</v>
      </c>
      <c r="AP89" s="38" t="str">
        <f t="shared" si="252"/>
        <v>4e T 2019</v>
      </c>
      <c r="AQ89" s="38" t="str">
        <f t="shared" ref="AQ89" si="253">AQ8</f>
        <v>1e T 2020</v>
      </c>
      <c r="AR89" s="38" t="str">
        <f t="shared" ref="AR89" si="254">AR8</f>
        <v>2e T 2020</v>
      </c>
      <c r="AS89" s="38" t="str">
        <f t="shared" ref="AS89:AT89" si="255">AS8</f>
        <v>3e T 2020</v>
      </c>
      <c r="AT89" s="38" t="str">
        <f t="shared" si="255"/>
        <v>4e T 2020</v>
      </c>
      <c r="AU89" s="38" t="str">
        <f t="shared" ref="AU89:AV89" si="256">AU8</f>
        <v>1er T 2021</v>
      </c>
      <c r="AV89" s="38" t="str">
        <f t="shared" si="256"/>
        <v>2e T 2021</v>
      </c>
      <c r="AW89" s="38" t="str">
        <f t="shared" ref="AW89:AX89" si="257">AW8</f>
        <v>3e T 2021</v>
      </c>
      <c r="AX89" s="38" t="str">
        <f t="shared" si="257"/>
        <v>4e T 2021</v>
      </c>
      <c r="AY89" s="38" t="str">
        <f t="shared" ref="AY89:AZ89" si="258">AY8</f>
        <v>1er T 2022</v>
      </c>
      <c r="AZ89" s="38" t="str">
        <f t="shared" si="258"/>
        <v>2e T 2022</v>
      </c>
      <c r="BA89" s="38" t="str">
        <f t="shared" ref="BA89:BB89" si="259">BA8</f>
        <v>3e T 2022</v>
      </c>
      <c r="BB89" s="38" t="str">
        <f t="shared" si="259"/>
        <v>4e T 2022</v>
      </c>
      <c r="BC89" s="38" t="str">
        <f t="shared" ref="BC89:BD89" si="260">BC8</f>
        <v>1er T 2023</v>
      </c>
      <c r="BD89" s="38" t="str">
        <f t="shared" si="260"/>
        <v>2e T 2023</v>
      </c>
      <c r="BE89" s="38" t="str">
        <f t="shared" ref="BE89:BF89" si="261">BE8</f>
        <v>3e T 2023</v>
      </c>
      <c r="BF89" s="38" t="str">
        <f t="shared" si="261"/>
        <v>4e T 2023</v>
      </c>
      <c r="BG89" s="38" t="str">
        <f t="shared" ref="BG89:BH89" si="262">BG8</f>
        <v>1er T 2024</v>
      </c>
      <c r="BH89" s="38" t="str">
        <f t="shared" si="262"/>
        <v>2e T 2024</v>
      </c>
      <c r="BI89" s="38" t="str">
        <f t="shared" ref="BI89:BJ89" si="263">BI8</f>
        <v>3e T 2024</v>
      </c>
      <c r="BJ89" s="38" t="str">
        <f t="shared" si="263"/>
        <v>4e T 2024</v>
      </c>
    </row>
    <row r="90" spans="1:62" x14ac:dyDescent="0.25">
      <c r="A90" s="312" t="s">
        <v>0</v>
      </c>
      <c r="B90" s="16"/>
      <c r="C90" s="42"/>
      <c r="D90" s="42"/>
      <c r="E90" s="42"/>
      <c r="F90" s="105">
        <f>'A)NSA Nb'!F96/'A)NSA Nb'!B96-1</f>
        <v>1.4631814463269999E-2</v>
      </c>
      <c r="G90" s="105">
        <f>'A)NSA Nb'!G96/'A)NSA Nb'!C96-1</f>
        <v>1.4793190217818664E-2</v>
      </c>
      <c r="H90" s="105">
        <f>'A)NSA Nb'!H96/'A)NSA Nb'!D96-1</f>
        <v>2.8491802162419866E-2</v>
      </c>
      <c r="I90" s="105">
        <f>'A)NSA Nb'!I96/'A)NSA Nb'!E96-1</f>
        <v>2.8675037308172779E-2</v>
      </c>
      <c r="J90" s="105">
        <f>'A)NSA Nb'!J96/'A)NSA Nb'!F96-1</f>
        <v>2.8768766726733119E-2</v>
      </c>
      <c r="K90" s="105">
        <f>'A)NSA Nb'!K96/'A)NSA Nb'!G96-1</f>
        <v>2.3939132708904243E-2</v>
      </c>
      <c r="L90" s="105">
        <f>'A)NSA Nb'!L96/'A)NSA Nb'!H96-1</f>
        <v>2.4746880039345331E-2</v>
      </c>
      <c r="M90" s="105">
        <f>'A)NSA Nb'!M96/'A)NSA Nb'!I96-1</f>
        <v>2.4879736128306629E-2</v>
      </c>
      <c r="N90" s="105">
        <f>'A)NSA Nb'!N96/'A)NSA Nb'!J96-1</f>
        <v>2.4900144471828201E-2</v>
      </c>
      <c r="O90" s="105">
        <f>'A)NSA Nb'!O96/'A)NSA Nb'!K96-1</f>
        <v>2.6780182097670524E-2</v>
      </c>
      <c r="P90" s="105">
        <f>'A)NSA Nb'!P96/'A)NSA Nb'!L96-1</f>
        <v>1.6027208875188048E-2</v>
      </c>
      <c r="Q90" s="105">
        <f>'A)NSA Nb'!Q96/'A)NSA Nb'!M96-1</f>
        <v>1.5759649211787075E-2</v>
      </c>
      <c r="R90" s="105">
        <f>'A)NSA Nb'!R96/'A)NSA Nb'!N96-1</f>
        <v>1.2124562373318382E-2</v>
      </c>
      <c r="S90" s="105">
        <f>'A)NSA Nb'!S96/'A)NSA Nb'!O96-1</f>
        <v>1.6716800176887592E-2</v>
      </c>
      <c r="T90" s="105">
        <f>'A)NSA Nb'!T96/'A)NSA Nb'!P96-1</f>
        <v>3.0840225828574486E-3</v>
      </c>
      <c r="U90" s="105">
        <f>'A)NSA Nb'!U96/'A)NSA Nb'!Q96-1</f>
        <v>3.0231365268427179E-3</v>
      </c>
      <c r="V90" s="105">
        <f>'A)NSA Nb'!V96/'A)NSA Nb'!R96-1</f>
        <v>6.6314083891640951E-3</v>
      </c>
      <c r="W90" s="105">
        <f>'A)NSA Nb'!W96/'A)NSA Nb'!S96-1</f>
        <v>2.9902680367532852E-3</v>
      </c>
      <c r="X90" s="105">
        <f>'A)NSA Nb'!X96/'A)NSA Nb'!T96-1</f>
        <v>3.8941162620105274E-3</v>
      </c>
      <c r="Y90" s="105">
        <f>'A)NSA Nb'!Y96/'A)NSA Nb'!U96-1</f>
        <v>4.6341761439490092E-3</v>
      </c>
      <c r="Z90" s="105">
        <f>'A)NSA Nb'!Z96/'A)NSA Nb'!V96-1</f>
        <v>5.9411581189043883E-3</v>
      </c>
      <c r="AA90" s="105">
        <f>'A)NSA Nb'!AA96/'A)NSA Nb'!W96-1</f>
        <v>6.2156692685746417E-3</v>
      </c>
      <c r="AB90" s="105">
        <f>'A)NSA Nb'!AB96/'A)NSA Nb'!X96-1</f>
        <v>6.4725357004320472E-3</v>
      </c>
      <c r="AC90" s="105">
        <f>'A)NSA Nb'!AC96/'A)NSA Nb'!Y96-1</f>
        <v>6.0633088728823115E-3</v>
      </c>
      <c r="AD90" s="105">
        <f>'A)NSA Nb'!AD96/'A)NSA Nb'!Z96-1</f>
        <v>5.2093867846083608E-3</v>
      </c>
      <c r="AE90" s="105">
        <f>'A)NSA Nb'!AE96/'A)NSA Nb'!AA96-1</f>
        <v>5.4230713977876377E-3</v>
      </c>
      <c r="AF90" s="105">
        <f>'A)NSA Nb'!AF96/'A)NSA Nb'!AB96-1</f>
        <v>4.1722498330651892E-3</v>
      </c>
      <c r="AG90" s="105">
        <f>'A)NSA Nb'!AG96/'A)NSA Nb'!AC96-1</f>
        <v>5.2879728840271589E-3</v>
      </c>
      <c r="AH90" s="105">
        <f>'A)NSA Nb'!AH96/'A)NSA Nb'!AD96-1</f>
        <v>1.1956609223669812E-2</v>
      </c>
      <c r="AI90" s="105">
        <f>'A)NSA Nb'!AI96/'A)NSA Nb'!AE96-1</f>
        <v>1.2430791212716619E-2</v>
      </c>
      <c r="AJ90" s="105">
        <f>'A)NSA Nb'!AJ96/'A)NSA Nb'!AF96-1</f>
        <v>1.4035667107001437E-2</v>
      </c>
      <c r="AK90" s="105">
        <f>'A)NSA Nb'!AK96/'A)NSA Nb'!AG96-1</f>
        <v>1.3299601813663076E-2</v>
      </c>
      <c r="AL90" s="105">
        <f>'A)NSA Nb'!AL96/'A)NSA Nb'!AH96-1</f>
        <v>6.3583661782642409E-3</v>
      </c>
      <c r="AM90" s="105">
        <f>'A)NSA Nb'!AM96/'A)NSA Nb'!AI96-1</f>
        <v>9.3762128215078011E-3</v>
      </c>
      <c r="AN90" s="105">
        <f>'A)NSA Nb'!AN96/'A)NSA Nb'!AJ96-1</f>
        <v>9.1674478582148833E-3</v>
      </c>
      <c r="AO90" s="105">
        <f>'A)NSA Nb'!AO96/'A)NSA Nb'!AK96-1</f>
        <v>9.1734650819326191E-3</v>
      </c>
      <c r="AP90" s="105">
        <f>'A)NSA Nb'!AP96/'A)NSA Nb'!AL96-1</f>
        <v>9.5936422910583019E-3</v>
      </c>
      <c r="AQ90" s="105">
        <f>'A)NSA Nb'!AQ96/'A)NSA Nb'!AM96-1</f>
        <v>1.6166382662647028E-2</v>
      </c>
      <c r="AR90" s="105">
        <f>'A)NSA Nb'!AR96/'A)NSA Nb'!AN96-1</f>
        <v>1.5922372437854326E-2</v>
      </c>
      <c r="AS90" s="105">
        <f>'A)NSA Nb'!AS96/'A)NSA Nb'!AO96-1</f>
        <v>1.5823791002260501E-2</v>
      </c>
      <c r="AT90" s="105">
        <f>'A)NSA Nb'!AT96/'A)NSA Nb'!AP96-1</f>
        <v>1.5699747760285154E-2</v>
      </c>
      <c r="AU90" s="105">
        <f>'A)NSA Nb'!AU96/'A)NSA Nb'!AQ96-1</f>
        <v>9.369222169669289E-3</v>
      </c>
      <c r="AV90" s="105">
        <f>'A)NSA Nb'!AV96/'A)NSA Nb'!AR96-1</f>
        <v>1.0281132083571176E-2</v>
      </c>
      <c r="AW90" s="105">
        <f>'A)NSA Nb'!AW96/'A)NSA Nb'!AS96-1</f>
        <v>1.1212396665866375E-2</v>
      </c>
      <c r="AX90" s="105">
        <f>'A)NSA Nb'!AX96/'A)NSA Nb'!AT96-1</f>
        <v>1.1832292257769161E-2</v>
      </c>
      <c r="AY90" s="105">
        <f>'A)NSA Nb'!AY96/'A)NSA Nb'!AU96-1</f>
        <v>5.9026028337424208E-2</v>
      </c>
      <c r="AZ90" s="105">
        <f>'A)NSA Nb'!AZ96/'A)NSA Nb'!AV96-1</f>
        <v>5.8988500809174393E-2</v>
      </c>
      <c r="BA90" s="105">
        <f>'A)NSA Nb'!BA96/'A)NSA Nb'!AW96-1</f>
        <v>0.1002826328637545</v>
      </c>
      <c r="BB90" s="396">
        <f>'A)NSA Nb'!BB96/'A)NSA Nb'!AX96-1</f>
        <v>9.7055186682791339E-2</v>
      </c>
      <c r="BC90" s="455">
        <f>'A)NSA Nb'!BC96/'A)NSA Nb'!AY96-1</f>
        <v>5.5989958795295891E-2</v>
      </c>
      <c r="BD90" s="455">
        <f>'A)NSA Nb'!BD96/'A)NSA Nb'!AZ96-1</f>
        <v>5.7190215205485284E-2</v>
      </c>
      <c r="BE90" s="455">
        <f>'A)NSA Nb'!BE96/'A)NSA Nb'!BA96-1</f>
        <v>1.8219015723327292E-2</v>
      </c>
      <c r="BF90" s="455">
        <f>'A)NSA Nb'!BF96/'A)NSA Nb'!BB96-1</f>
        <v>2.1607478736416441E-2</v>
      </c>
      <c r="BG90" s="455">
        <f>'A)NSA Nb'!BG96/'A)NSA Nb'!BC96-1</f>
        <v>6.3519438748797619E-2</v>
      </c>
      <c r="BH90" s="455">
        <f>'A)NSA Nb'!BH96/'A)NSA Nb'!BD96-1</f>
        <v>6.3399624046415637E-2</v>
      </c>
      <c r="BI90" s="455">
        <f>'A)NSA Nb'!BI96/'A)NSA Nb'!BE96-1</f>
        <v>6.3504071633972092E-2</v>
      </c>
      <c r="BJ90" s="455">
        <f>'A)NSA Nb'!BJ96/'A)NSA Nb'!BF96-1</f>
        <v>6.2985935332137144E-2</v>
      </c>
    </row>
    <row r="91" spans="1:62" x14ac:dyDescent="0.25">
      <c r="A91" s="312" t="s">
        <v>1</v>
      </c>
      <c r="B91" s="16"/>
      <c r="C91" s="42"/>
      <c r="D91" s="42"/>
      <c r="E91" s="42"/>
      <c r="F91" s="105">
        <f>'A)NSA Nb'!F97/'A)NSA Nb'!B97-1</f>
        <v>1.032852087313274E-2</v>
      </c>
      <c r="G91" s="105">
        <f>'A)NSA Nb'!G97/'A)NSA Nb'!C97-1</f>
        <v>9.5983581426488662E-3</v>
      </c>
      <c r="H91" s="105">
        <f>'A)NSA Nb'!H97/'A)NSA Nb'!D97-1</f>
        <v>2.1807278179092116E-2</v>
      </c>
      <c r="I91" s="105">
        <f>'A)NSA Nb'!I97/'A)NSA Nb'!E97-1</f>
        <v>2.1897267488691918E-2</v>
      </c>
      <c r="J91" s="105">
        <f>'A)NSA Nb'!J97/'A)NSA Nb'!F97-1</f>
        <v>2.2721073252988111E-2</v>
      </c>
      <c r="K91" s="105">
        <f>'A)NSA Nb'!K97/'A)NSA Nb'!G97-1</f>
        <v>2.1827917671193076E-2</v>
      </c>
      <c r="L91" s="105">
        <f>'A)NSA Nb'!L97/'A)NSA Nb'!H97-1</f>
        <v>2.0450604484217871E-2</v>
      </c>
      <c r="M91" s="105">
        <f>'A)NSA Nb'!M97/'A)NSA Nb'!I97-1</f>
        <v>2.059736605951823E-2</v>
      </c>
      <c r="N91" s="105">
        <f>'A)NSA Nb'!N97/'A)NSA Nb'!J97-1</f>
        <v>2.0385648212694507E-2</v>
      </c>
      <c r="O91" s="105">
        <f>'A)NSA Nb'!O97/'A)NSA Nb'!K97-1</f>
        <v>2.0385140257771051E-2</v>
      </c>
      <c r="P91" s="105">
        <f>'A)NSA Nb'!P97/'A)NSA Nb'!L97-1</f>
        <v>1.1675093727533614E-2</v>
      </c>
      <c r="Q91" s="105">
        <f>'A)NSA Nb'!Q97/'A)NSA Nb'!M97-1</f>
        <v>1.1394894279382894E-2</v>
      </c>
      <c r="R91" s="105">
        <f>'A)NSA Nb'!R97/'A)NSA Nb'!N97-1</f>
        <v>1.0907017085283854E-2</v>
      </c>
      <c r="S91" s="105">
        <f>'A)NSA Nb'!S97/'A)NSA Nb'!O97-1</f>
        <v>1.1721629140017509E-2</v>
      </c>
      <c r="T91" s="105">
        <f>'A)NSA Nb'!T97/'A)NSA Nb'!P97-1</f>
        <v>-1.4095094906972916E-3</v>
      </c>
      <c r="U91" s="105">
        <f>'A)NSA Nb'!U97/'A)NSA Nb'!Q97-1</f>
        <v>-1.9149548575825293E-3</v>
      </c>
      <c r="V91" s="105">
        <f>'A)NSA Nb'!V97/'A)NSA Nb'!R97-1</f>
        <v>-1.6630623854074766E-3</v>
      </c>
      <c r="W91" s="105">
        <f>'A)NSA Nb'!W97/'A)NSA Nb'!S97-1</f>
        <v>-2.6438240270727498E-3</v>
      </c>
      <c r="X91" s="105">
        <f>'A)NSA Nb'!X97/'A)NSA Nb'!T97-1</f>
        <v>-2.0113860920296656E-3</v>
      </c>
      <c r="Y91" s="105">
        <f>'A)NSA Nb'!Y97/'A)NSA Nb'!U97-1</f>
        <v>-1.3300924590821106E-3</v>
      </c>
      <c r="Z91" s="105">
        <f>'A)NSA Nb'!Z97/'A)NSA Nb'!V97-1</f>
        <v>-3.5318009241502857E-5</v>
      </c>
      <c r="AA91" s="105">
        <f>'A)NSA Nb'!AA97/'A)NSA Nb'!W97-1</f>
        <v>-4.7125908646428183E-4</v>
      </c>
      <c r="AB91" s="105">
        <f>'A)NSA Nb'!AB97/'A)NSA Nb'!X97-1</f>
        <v>-2.8286876068128741E-4</v>
      </c>
      <c r="AC91" s="105">
        <f>'A)NSA Nb'!AC97/'A)NSA Nb'!Y97-1</f>
        <v>-3.3001938863908009E-4</v>
      </c>
      <c r="AD91" s="105">
        <f>'A)NSA Nb'!AD97/'A)NSA Nb'!Z97-1</f>
        <v>-1.6187992630048997E-3</v>
      </c>
      <c r="AE91" s="105">
        <f>'A)NSA Nb'!AE97/'A)NSA Nb'!AA97-1</f>
        <v>-1.3614021853156633E-3</v>
      </c>
      <c r="AF91" s="105">
        <f>'A)NSA Nb'!AF97/'A)NSA Nb'!AB97-1</f>
        <v>-1.9393782200162191E-3</v>
      </c>
      <c r="AG91" s="105">
        <f>'A)NSA Nb'!AG97/'A)NSA Nb'!AC97-1</f>
        <v>-1.7567543668315366E-3</v>
      </c>
      <c r="AH91" s="105">
        <f>'A)NSA Nb'!AH97/'A)NSA Nb'!AD97-1</f>
        <v>5.9373599679253264E-3</v>
      </c>
      <c r="AI91" s="105">
        <f>'A)NSA Nb'!AI97/'A)NSA Nb'!AE97-1</f>
        <v>6.0313844446935327E-3</v>
      </c>
      <c r="AJ91" s="105">
        <f>'A)NSA Nb'!AJ97/'A)NSA Nb'!AF97-1</f>
        <v>6.7744355129255585E-3</v>
      </c>
      <c r="AK91" s="105">
        <f>'A)NSA Nb'!AK97/'A)NSA Nb'!AG97-1</f>
        <v>5.8700902954533785E-3</v>
      </c>
      <c r="AL91" s="105">
        <f>'A)NSA Nb'!AL97/'A)NSA Nb'!AH97-1</f>
        <v>-2.3152082808258756E-3</v>
      </c>
      <c r="AM91" s="105">
        <f>'A)NSA Nb'!AM97/'A)NSA Nb'!AI97-1</f>
        <v>1.255360212120582E-3</v>
      </c>
      <c r="AN91" s="105">
        <f>'A)NSA Nb'!AN97/'A)NSA Nb'!AJ97-1</f>
        <v>9.2103719347647051E-4</v>
      </c>
      <c r="AO91" s="105">
        <f>'A)NSA Nb'!AO97/'A)NSA Nb'!AK97-1</f>
        <v>1.3444726907654303E-3</v>
      </c>
      <c r="AP91" s="105">
        <f>'A)NSA Nb'!AP97/'A)NSA Nb'!AL97-1</f>
        <v>1.3688489918690649E-3</v>
      </c>
      <c r="AQ91" s="105">
        <f>'A)NSA Nb'!AQ97/'A)NSA Nb'!AM97-1</f>
        <v>1.2168757286900256E-2</v>
      </c>
      <c r="AR91" s="105">
        <f>'A)NSA Nb'!AR97/'A)NSA Nb'!AN97-1</f>
        <v>1.1997632123410984E-2</v>
      </c>
      <c r="AS91" s="105">
        <f>'A)NSA Nb'!AS97/'A)NSA Nb'!AO97-1</f>
        <v>1.2025375829639584E-2</v>
      </c>
      <c r="AT91" s="105">
        <f>'A)NSA Nb'!AT97/'A)NSA Nb'!AP97-1</f>
        <v>1.1463839623582439E-2</v>
      </c>
      <c r="AU91" s="105">
        <f>'A)NSA Nb'!AU97/'A)NSA Nb'!AQ97-1</f>
        <v>1.001389210465442E-3</v>
      </c>
      <c r="AV91" s="105">
        <f>'A)NSA Nb'!AV97/'A)NSA Nb'!AR97-1</f>
        <v>2.7973404994672268E-3</v>
      </c>
      <c r="AW91" s="105">
        <f>'A)NSA Nb'!AW97/'A)NSA Nb'!AS97-1</f>
        <v>3.5977683407972805E-3</v>
      </c>
      <c r="AX91" s="105">
        <f>'A)NSA Nb'!AX97/'A)NSA Nb'!AT97-1</f>
        <v>4.6732546700289923E-3</v>
      </c>
      <c r="AY91" s="105">
        <f>'A)NSA Nb'!AY97/'A)NSA Nb'!AU97-1</f>
        <v>0.21079241440439933</v>
      </c>
      <c r="AZ91" s="105">
        <f>'A)NSA Nb'!AZ97/'A)NSA Nb'!AV97-1</f>
        <v>0.20801315375119978</v>
      </c>
      <c r="BA91" s="105">
        <f>'A)NSA Nb'!BA97/'A)NSA Nb'!AW97-1</f>
        <v>0.25429758071158837</v>
      </c>
      <c r="BB91" s="396">
        <f>'A)NSA Nb'!BB97/'A)NSA Nb'!AX97-1</f>
        <v>0.25007661783253199</v>
      </c>
      <c r="BC91" s="455">
        <f>'A)NSA Nb'!BC97/'A)NSA Nb'!AY97-1</f>
        <v>4.4525158129840925E-2</v>
      </c>
      <c r="BD91" s="455">
        <f>'A)NSA Nb'!BD97/'A)NSA Nb'!AZ97-1</f>
        <v>4.6775567738835067E-2</v>
      </c>
      <c r="BE91" s="455">
        <f>'A)NSA Nb'!BE97/'A)NSA Nb'!BA97-1</f>
        <v>7.0375542832221694E-3</v>
      </c>
      <c r="BF91" s="455">
        <f>'A)NSA Nb'!BF97/'A)NSA Nb'!BB97-1</f>
        <v>1.0609088855106918E-2</v>
      </c>
      <c r="BG91" s="455">
        <f>'A)NSA Nb'!BG97/'A)NSA Nb'!BC97-1</f>
        <v>5.0690061095730377E-2</v>
      </c>
      <c r="BH91" s="455">
        <f>'A)NSA Nb'!BH97/'A)NSA Nb'!BD97-1</f>
        <v>5.1466897741205608E-2</v>
      </c>
      <c r="BI91" s="455">
        <f>'A)NSA Nb'!BI97/'A)NSA Nb'!BE97-1</f>
        <v>5.14434715459684E-2</v>
      </c>
      <c r="BJ91" s="455">
        <f>'A)NSA Nb'!BJ97/'A)NSA Nb'!BF97-1</f>
        <v>5.0277715218937979E-2</v>
      </c>
    </row>
    <row r="92" spans="1:62" x14ac:dyDescent="0.25">
      <c r="A92" s="312" t="s">
        <v>2</v>
      </c>
      <c r="B92" s="16"/>
      <c r="C92" s="42"/>
      <c r="D92" s="42"/>
      <c r="E92" s="42"/>
      <c r="F92" s="105">
        <f>'A)NSA Nb'!F98/'A)NSA Nb'!B98-1</f>
        <v>1.6311550060806868E-2</v>
      </c>
      <c r="G92" s="105">
        <f>'A)NSA Nb'!G98/'A)NSA Nb'!C98-1</f>
        <v>1.3335728321276719E-2</v>
      </c>
      <c r="H92" s="105">
        <f>'A)NSA Nb'!H98/'A)NSA Nb'!D98-1</f>
        <v>3.8889215743954875E-2</v>
      </c>
      <c r="I92" s="105">
        <f>'A)NSA Nb'!I98/'A)NSA Nb'!E98-1</f>
        <v>3.4407658513353701E-2</v>
      </c>
      <c r="J92" s="105">
        <f>'A)NSA Nb'!J98/'A)NSA Nb'!F98-1</f>
        <v>3.6488908445035939E-2</v>
      </c>
      <c r="K92" s="105">
        <f>'A)NSA Nb'!K98/'A)NSA Nb'!G98-1</f>
        <v>3.6332969860394027E-2</v>
      </c>
      <c r="L92" s="105">
        <f>'A)NSA Nb'!L98/'A)NSA Nb'!H98-1</f>
        <v>3.6496463101967525E-2</v>
      </c>
      <c r="M92" s="105">
        <f>'A)NSA Nb'!M98/'A)NSA Nb'!I98-1</f>
        <v>3.4199485792030471E-2</v>
      </c>
      <c r="N92" s="105">
        <f>'A)NSA Nb'!N98/'A)NSA Nb'!J98-1</f>
        <v>3.497137058780897E-2</v>
      </c>
      <c r="O92" s="105">
        <f>'A)NSA Nb'!O98/'A)NSA Nb'!K98-1</f>
        <v>3.5660417454945081E-2</v>
      </c>
      <c r="P92" s="105">
        <f>'A)NSA Nb'!P98/'A)NSA Nb'!L98-1</f>
        <v>7.212147401987723E-3</v>
      </c>
      <c r="Q92" s="105">
        <f>'A)NSA Nb'!Q98/'A)NSA Nb'!M98-1</f>
        <v>9.5088986484459515E-3</v>
      </c>
      <c r="R92" s="105">
        <f>'A)NSA Nb'!R98/'A)NSA Nb'!N98-1</f>
        <v>9.1389754543225177E-3</v>
      </c>
      <c r="S92" s="105">
        <f>'A)NSA Nb'!S98/'A)NSA Nb'!O98-1</f>
        <v>9.1836785762546835E-3</v>
      </c>
      <c r="T92" s="105">
        <f>'A)NSA Nb'!T98/'A)NSA Nb'!P98-1</f>
        <v>-1.923769226596439E-2</v>
      </c>
      <c r="U92" s="105">
        <f>'A)NSA Nb'!U98/'A)NSA Nb'!Q98-1</f>
        <v>-2.1638200565853638E-2</v>
      </c>
      <c r="V92" s="105">
        <f>'A)NSA Nb'!V98/'A)NSA Nb'!R98-1</f>
        <v>-1.5257261822147372E-2</v>
      </c>
      <c r="W92" s="105">
        <f>'A)NSA Nb'!W98/'A)NSA Nb'!S98-1</f>
        <v>-1.7228211816748162E-2</v>
      </c>
      <c r="X92" s="105">
        <f>'A)NSA Nb'!X98/'A)NSA Nb'!T98-1</f>
        <v>-5.3751546174036768E-3</v>
      </c>
      <c r="Y92" s="105">
        <f>'A)NSA Nb'!Y98/'A)NSA Nb'!U98-1</f>
        <v>3.3982942689869677E-3</v>
      </c>
      <c r="Z92" s="105">
        <f>'A)NSA Nb'!Z98/'A)NSA Nb'!V98-1</f>
        <v>-2.8641612386867132E-3</v>
      </c>
      <c r="AA92" s="105">
        <f>'A)NSA Nb'!AA98/'A)NSA Nb'!W98-1</f>
        <v>-7.3673374644245282E-4</v>
      </c>
      <c r="AB92" s="105">
        <f>'A)NSA Nb'!AB98/'A)NSA Nb'!X98-1</f>
        <v>-2.7299061215613207E-4</v>
      </c>
      <c r="AC92" s="105">
        <f>'A)NSA Nb'!AC98/'A)NSA Nb'!Y98-1</f>
        <v>-1.9684741297073538E-3</v>
      </c>
      <c r="AD92" s="105">
        <f>'A)NSA Nb'!AD98/'A)NSA Nb'!Z98-1</f>
        <v>-3.028880374369658E-3</v>
      </c>
      <c r="AE92" s="105">
        <f>'A)NSA Nb'!AE98/'A)NSA Nb'!AA98-1</f>
        <v>-3.4490420449839743E-3</v>
      </c>
      <c r="AF92" s="105">
        <f>'A)NSA Nb'!AF98/'A)NSA Nb'!AB98-1</f>
        <v>-3.1402492983743091E-3</v>
      </c>
      <c r="AG92" s="105">
        <f>'A)NSA Nb'!AG98/'A)NSA Nb'!AC98-1</f>
        <v>-2.9383056950533781E-3</v>
      </c>
      <c r="AH92" s="105">
        <f>'A)NSA Nb'!AH98/'A)NSA Nb'!AD98-1</f>
        <v>4.4356002491228175E-3</v>
      </c>
      <c r="AI92" s="105">
        <f>'A)NSA Nb'!AI98/'A)NSA Nb'!AE98-1</f>
        <v>1.3783108597720251E-3</v>
      </c>
      <c r="AJ92" s="105">
        <f>'A)NSA Nb'!AJ98/'A)NSA Nb'!AF98-1</f>
        <v>2.4556900382481039E-2</v>
      </c>
      <c r="AK92" s="105">
        <f>'A)NSA Nb'!AK98/'A)NSA Nb'!AG98-1</f>
        <v>2.415902450900842E-2</v>
      </c>
      <c r="AL92" s="105">
        <f>'A)NSA Nb'!AL98/'A)NSA Nb'!AH98-1</f>
        <v>1.5466126259647384E-2</v>
      </c>
      <c r="AM92" s="105">
        <f>'A)NSA Nb'!AM98/'A)NSA Nb'!AI98-1</f>
        <v>4.7703868633453883E-2</v>
      </c>
      <c r="AN92" s="105">
        <f>'A)NSA Nb'!AN98/'A)NSA Nb'!AJ98-1</f>
        <v>2.2829558113627968E-2</v>
      </c>
      <c r="AO92" s="105">
        <f>'A)NSA Nb'!AO98/'A)NSA Nb'!AK98-1</f>
        <v>2.3336552509719333E-2</v>
      </c>
      <c r="AP92" s="105">
        <f>'A)NSA Nb'!AP98/'A)NSA Nb'!AL98-1</f>
        <v>2.1887736612439701E-2</v>
      </c>
      <c r="AQ92" s="105">
        <f>'A)NSA Nb'!AQ98/'A)NSA Nb'!AM98-1</f>
        <v>5.4732856135469854E-2</v>
      </c>
      <c r="AR92" s="105">
        <f>'A)NSA Nb'!AR98/'A)NSA Nb'!AN98-1</f>
        <v>4.2481097460621564E-2</v>
      </c>
      <c r="AS92" s="105">
        <f>'A)NSA Nb'!AS98/'A)NSA Nb'!AO98-1</f>
        <v>4.1257918858619735E-2</v>
      </c>
      <c r="AT92" s="105">
        <f>'A)NSA Nb'!AT98/'A)NSA Nb'!AP98-1</f>
        <v>4.3683141766174716E-2</v>
      </c>
      <c r="AU92" s="105">
        <f>'A)NSA Nb'!AU98/'A)NSA Nb'!AQ98-1</f>
        <v>-1.515748211783452E-2</v>
      </c>
      <c r="AV92" s="105">
        <f>'A)NSA Nb'!AV98/'A)NSA Nb'!AR98-1</f>
        <v>-6.7374931510664204E-3</v>
      </c>
      <c r="AW92" s="105">
        <f>'A)NSA Nb'!AW98/'A)NSA Nb'!AS98-1</f>
        <v>-9.0168810887186757E-3</v>
      </c>
      <c r="AX92" s="105">
        <f>'A)NSA Nb'!AX98/'A)NSA Nb'!AT98-1</f>
        <v>-6.8757359124131945E-3</v>
      </c>
      <c r="AY92" s="105">
        <f>'A)NSA Nb'!AY98/'A)NSA Nb'!AU98-1</f>
        <v>0.15828742291322606</v>
      </c>
      <c r="AZ92" s="105">
        <f>'A)NSA Nb'!AZ98/'A)NSA Nb'!AV98-1</f>
        <v>9.537910099784952E-2</v>
      </c>
      <c r="BA92" s="105">
        <f>'A)NSA Nb'!BA98/'A)NSA Nb'!AW98-1</f>
        <v>0.14333961472297529</v>
      </c>
      <c r="BB92" s="396">
        <f>'A)NSA Nb'!BB98/'A)NSA Nb'!AX98-1</f>
        <v>0.14160493040807953</v>
      </c>
      <c r="BC92" s="455">
        <f>'A)NSA Nb'!BC98/'A)NSA Nb'!AY98-1</f>
        <v>-9.8553011118789335E-3</v>
      </c>
      <c r="BD92" s="455">
        <f>'A)NSA Nb'!BD98/'A)NSA Nb'!AZ98-1</f>
        <v>4.6083082675828058E-2</v>
      </c>
      <c r="BE92" s="455">
        <f>'A)NSA Nb'!BE98/'A)NSA Nb'!BA98-1</f>
        <v>6.9621346627088965E-3</v>
      </c>
      <c r="BF92" s="455">
        <f>'A)NSA Nb'!BF98/'A)NSA Nb'!BB98-1</f>
        <v>5.4108665384329235E-3</v>
      </c>
      <c r="BG92" s="455">
        <f>'A)NSA Nb'!BG98/'A)NSA Nb'!BC98-1</f>
        <v>5.3545269180723443E-2</v>
      </c>
      <c r="BH92" s="455">
        <f>'A)NSA Nb'!BH98/'A)NSA Nb'!BD98-1</f>
        <v>5.4605283159621321E-2</v>
      </c>
      <c r="BI92" s="455">
        <f>'A)NSA Nb'!BI98/'A)NSA Nb'!BE98-1</f>
        <v>5.2713959589349546E-2</v>
      </c>
      <c r="BJ92" s="455">
        <f>'A)NSA Nb'!BJ98/'A)NSA Nb'!BF98-1</f>
        <v>5.5584766566076471E-2</v>
      </c>
    </row>
    <row r="93" spans="1:62" x14ac:dyDescent="0.25">
      <c r="A93" s="312" t="s">
        <v>3</v>
      </c>
      <c r="B93" s="16"/>
      <c r="C93" s="42"/>
      <c r="D93" s="42"/>
      <c r="E93" s="42"/>
      <c r="F93" s="105">
        <f>'A)NSA Nb'!F99/'A)NSA Nb'!B99-1</f>
        <v>1.7591967257133856E-2</v>
      </c>
      <c r="G93" s="105">
        <f>'A)NSA Nb'!G99/'A)NSA Nb'!C99-1</f>
        <v>1.7370834855310546E-2</v>
      </c>
      <c r="H93" s="105">
        <f>'A)NSA Nb'!H99/'A)NSA Nb'!D99-1</f>
        <v>3.0857629282826204E-2</v>
      </c>
      <c r="I93" s="105">
        <f>'A)NSA Nb'!I99/'A)NSA Nb'!E99-1</f>
        <v>3.063783419996291E-2</v>
      </c>
      <c r="J93" s="105">
        <f>'A)NSA Nb'!J99/'A)NSA Nb'!F99-1</f>
        <v>3.0845440951870806E-2</v>
      </c>
      <c r="K93" s="105">
        <f>'A)NSA Nb'!K99/'A)NSA Nb'!G99-1</f>
        <v>2.9484980252922233E-2</v>
      </c>
      <c r="L93" s="105">
        <f>'A)NSA Nb'!L99/'A)NSA Nb'!H99-1</f>
        <v>2.9984575354844667E-2</v>
      </c>
      <c r="M93" s="105">
        <f>'A)NSA Nb'!M99/'A)NSA Nb'!I99-1</f>
        <v>2.9280067165745605E-2</v>
      </c>
      <c r="N93" s="105">
        <f>'A)NSA Nb'!N99/'A)NSA Nb'!J99-1</f>
        <v>2.895284932495068E-2</v>
      </c>
      <c r="O93" s="105">
        <f>'A)NSA Nb'!O99/'A)NSA Nb'!K99-1</f>
        <v>2.978753085510788E-2</v>
      </c>
      <c r="P93" s="105">
        <f>'A)NSA Nb'!P99/'A)NSA Nb'!L99-1</f>
        <v>1.998638581098966E-2</v>
      </c>
      <c r="Q93" s="105">
        <f>'A)NSA Nb'!Q99/'A)NSA Nb'!M99-1</f>
        <v>2.0116537704818915E-2</v>
      </c>
      <c r="R93" s="105">
        <f>'A)NSA Nb'!R99/'A)NSA Nb'!N99-1</f>
        <v>1.9513905118018204E-2</v>
      </c>
      <c r="S93" s="105">
        <f>'A)NSA Nb'!S99/'A)NSA Nb'!O99-1</f>
        <v>2.0237217213299852E-2</v>
      </c>
      <c r="T93" s="105">
        <f>'A)NSA Nb'!T99/'A)NSA Nb'!P99-1</f>
        <v>6.4734998053501691E-3</v>
      </c>
      <c r="U93" s="105">
        <f>'A)NSA Nb'!U99/'A)NSA Nb'!Q99-1</f>
        <v>6.4190364781921971E-3</v>
      </c>
      <c r="V93" s="105">
        <f>'A)NSA Nb'!V99/'A)NSA Nb'!R99-1</f>
        <v>6.8102412422590408E-3</v>
      </c>
      <c r="W93" s="105">
        <f>'A)NSA Nb'!W99/'A)NSA Nb'!S99-1</f>
        <v>5.8238604929072846E-3</v>
      </c>
      <c r="X93" s="105">
        <f>'A)NSA Nb'!X99/'A)NSA Nb'!T99-1</f>
        <v>6.7191972327516059E-3</v>
      </c>
      <c r="Y93" s="105">
        <f>'A)NSA Nb'!Y99/'A)NSA Nb'!U99-1</f>
        <v>7.1394941662867861E-3</v>
      </c>
      <c r="Z93" s="105">
        <f>'A)NSA Nb'!Z99/'A)NSA Nb'!V99-1</f>
        <v>8.0347536143539067E-3</v>
      </c>
      <c r="AA93" s="105">
        <f>'A)NSA Nb'!AA99/'A)NSA Nb'!W99-1</f>
        <v>8.5623659265505747E-3</v>
      </c>
      <c r="AB93" s="105">
        <f>'A)NSA Nb'!AB99/'A)NSA Nb'!X99-1</f>
        <v>7.9660427758567742E-3</v>
      </c>
      <c r="AC93" s="105">
        <f>'A)NSA Nb'!AC99/'A)NSA Nb'!Y99-1</f>
        <v>7.7170582413286226E-3</v>
      </c>
      <c r="AD93" s="105">
        <f>'A)NSA Nb'!AD99/'A)NSA Nb'!Z99-1</f>
        <v>6.7649041001074384E-3</v>
      </c>
      <c r="AE93" s="105">
        <f>'A)NSA Nb'!AE99/'A)NSA Nb'!AA99-1</f>
        <v>6.5517742873764107E-3</v>
      </c>
      <c r="AF93" s="105">
        <f>'A)NSA Nb'!AF99/'A)NSA Nb'!AB99-1</f>
        <v>6.3565936499410114E-3</v>
      </c>
      <c r="AG93" s="105">
        <f>'A)NSA Nb'!AG99/'A)NSA Nb'!AC99-1</f>
        <v>6.614188067642246E-3</v>
      </c>
      <c r="AH93" s="105">
        <f>'A)NSA Nb'!AH99/'A)NSA Nb'!AD99-1</f>
        <v>1.4064885910508584E-2</v>
      </c>
      <c r="AI93" s="105">
        <f>'A)NSA Nb'!AI99/'A)NSA Nb'!AE99-1</f>
        <v>1.3794872165350691E-2</v>
      </c>
      <c r="AJ93" s="105">
        <f>'A)NSA Nb'!AJ99/'A)NSA Nb'!AF99-1</f>
        <v>1.4256185676717825E-2</v>
      </c>
      <c r="AK93" s="105">
        <f>'A)NSA Nb'!AK99/'A)NSA Nb'!AG99-1</f>
        <v>1.3890339049566824E-2</v>
      </c>
      <c r="AL93" s="105">
        <f>'A)NSA Nb'!AL99/'A)NSA Nb'!AH99-1</f>
        <v>6.1409674967618511E-3</v>
      </c>
      <c r="AM93" s="105">
        <f>'A)NSA Nb'!AM99/'A)NSA Nb'!AI99-1</f>
        <v>9.3493574098288956E-3</v>
      </c>
      <c r="AN93" s="105">
        <f>'A)NSA Nb'!AN99/'A)NSA Nb'!AJ99-1</f>
        <v>9.1156438390269656E-3</v>
      </c>
      <c r="AO93" s="105">
        <f>'A)NSA Nb'!AO99/'A)NSA Nb'!AK99-1</f>
        <v>1.1338577084923918E-2</v>
      </c>
      <c r="AP93" s="105">
        <f>'A)NSA Nb'!AP99/'A)NSA Nb'!AL99-1</f>
        <v>9.2137461432066914E-3</v>
      </c>
      <c r="AQ93" s="105">
        <f>'A)NSA Nb'!AQ99/'A)NSA Nb'!AM99-1</f>
        <v>1.5817992481070187E-2</v>
      </c>
      <c r="AR93" s="105">
        <f>'A)NSA Nb'!AR99/'A)NSA Nb'!AN99-1</f>
        <v>1.5180031579540954E-2</v>
      </c>
      <c r="AS93" s="105">
        <f>'A)NSA Nb'!AS99/'A)NSA Nb'!AO99-1</f>
        <v>1.2440396351097949E-2</v>
      </c>
      <c r="AT93" s="105">
        <f>'A)NSA Nb'!AT99/'A)NSA Nb'!AP99-1</f>
        <v>1.461513592533259E-2</v>
      </c>
      <c r="AU93" s="105">
        <f>'A)NSA Nb'!AU99/'A)NSA Nb'!AQ99-1</f>
        <v>8.2150080273557524E-3</v>
      </c>
      <c r="AV93" s="105">
        <f>'A)NSA Nb'!AV99/'A)NSA Nb'!AR99-1</f>
        <v>8.2594129185689091E-3</v>
      </c>
      <c r="AW93" s="105">
        <f>'A)NSA Nb'!AW99/'A)NSA Nb'!AS99-1</f>
        <v>8.8506317173069338E-3</v>
      </c>
      <c r="AX93" s="105">
        <f>'A)NSA Nb'!AX99/'A)NSA Nb'!AT99-1</f>
        <v>8.9561936975135481E-3</v>
      </c>
      <c r="AY93" s="105">
        <f>'A)NSA Nb'!AY99/'A)NSA Nb'!AU99-1</f>
        <v>2.2393841179626284E-2</v>
      </c>
      <c r="AZ93" s="105">
        <f>'A)NSA Nb'!AZ99/'A)NSA Nb'!AV99-1</f>
        <v>2.3403604635454878E-2</v>
      </c>
      <c r="BA93" s="105">
        <f>'A)NSA Nb'!BA99/'A)NSA Nb'!AW99-1</f>
        <v>6.3873879287463131E-2</v>
      </c>
      <c r="BB93" s="396">
        <f>'A)NSA Nb'!BB99/'A)NSA Nb'!AX99-1</f>
        <v>5.8248922619617671E-2</v>
      </c>
      <c r="BC93" s="455">
        <f>'A)NSA Nb'!BC99/'A)NSA Nb'!AY99-1</f>
        <v>5.507763899118312E-2</v>
      </c>
      <c r="BD93" s="455">
        <f>'A)NSA Nb'!BD99/'A)NSA Nb'!AZ99-1</f>
        <v>5.4737662929524422E-2</v>
      </c>
      <c r="BE93" s="455">
        <f>'A)NSA Nb'!BE99/'A)NSA Nb'!BA99-1</f>
        <v>1.4829343638274484E-2</v>
      </c>
      <c r="BF93" s="455">
        <f>'A)NSA Nb'!BF99/'A)NSA Nb'!BB99-1</f>
        <v>2.0566815726380749E-2</v>
      </c>
      <c r="BG93" s="455">
        <f>'A)NSA Nb'!BG99/'A)NSA Nb'!BC99-1</f>
        <v>5.8881330302042345E-2</v>
      </c>
      <c r="BH93" s="455">
        <f>'A)NSA Nb'!BH99/'A)NSA Nb'!BD99-1</f>
        <v>5.9680999579923677E-2</v>
      </c>
      <c r="BI93" s="455">
        <f>'A)NSA Nb'!BI99/'A)NSA Nb'!BE99-1</f>
        <v>5.9268953478305075E-2</v>
      </c>
      <c r="BJ93" s="455">
        <f>'A)NSA Nb'!BJ99/'A)NSA Nb'!BF99-1</f>
        <v>5.9201612025192141E-2</v>
      </c>
    </row>
    <row r="94" spans="1:62" x14ac:dyDescent="0.25">
      <c r="A94" s="307" t="s">
        <v>29</v>
      </c>
      <c r="B94" s="16"/>
      <c r="C94" s="16"/>
      <c r="D94" s="16"/>
      <c r="E94" s="16"/>
      <c r="F94" s="105">
        <f>'A)NSA Nb'!F100/'A)NSA Nb'!B100-1</f>
        <v>1.7232189596916303E-2</v>
      </c>
      <c r="G94" s="105">
        <f>'A)NSA Nb'!G100/'A)NSA Nb'!C100-1</f>
        <v>1.7233116812252813E-2</v>
      </c>
      <c r="H94" s="105">
        <f>'A)NSA Nb'!H100/'A)NSA Nb'!D100-1</f>
        <v>3.1053626990421579E-2</v>
      </c>
      <c r="I94" s="105">
        <f>'A)NSA Nb'!I100/'A)NSA Nb'!E100-1</f>
        <v>3.1110902872135915E-2</v>
      </c>
      <c r="J94" s="105">
        <f>'A)NSA Nb'!J100/'A)NSA Nb'!F100-1</f>
        <v>3.1424414388704358E-2</v>
      </c>
      <c r="K94" s="105">
        <f>'A)NSA Nb'!K100/'A)NSA Nb'!G100-1</f>
        <v>2.8056476778193007E-2</v>
      </c>
      <c r="L94" s="105">
        <f>'A)NSA Nb'!L100/'A)NSA Nb'!H100-1</f>
        <v>2.8511606736458805E-2</v>
      </c>
      <c r="M94" s="105">
        <f>'A)NSA Nb'!M100/'A)NSA Nb'!I100-1</f>
        <v>2.8322806379788457E-2</v>
      </c>
      <c r="N94" s="105">
        <f>'A)NSA Nb'!N100/'A)NSA Nb'!J100-1</f>
        <v>2.8230854364352354E-2</v>
      </c>
      <c r="O94" s="105">
        <f>'A)NSA Nb'!O100/'A)NSA Nb'!K100-1</f>
        <v>2.93778697301319E-2</v>
      </c>
      <c r="P94" s="105">
        <f>'A)NSA Nb'!P100/'A)NSA Nb'!L100-1</f>
        <v>1.8728647041121649E-2</v>
      </c>
      <c r="Q94" s="105">
        <f>'A)NSA Nb'!Q100/'A)NSA Nb'!M100-1</f>
        <v>1.8514999801151344E-2</v>
      </c>
      <c r="R94" s="105">
        <f>'A)NSA Nb'!R100/'A)NSA Nb'!N100-1</f>
        <v>1.6065851463660019E-2</v>
      </c>
      <c r="S94" s="105">
        <f>'A)NSA Nb'!S100/'A)NSA Nb'!O100-1</f>
        <v>1.9327482931430273E-2</v>
      </c>
      <c r="T94" s="105">
        <f>'A)NSA Nb'!T100/'A)NSA Nb'!P100-1</f>
        <v>5.239013710055751E-3</v>
      </c>
      <c r="U94" s="105">
        <f>'A)NSA Nb'!U100/'A)NSA Nb'!Q100-1</f>
        <v>5.1411539612917778E-3</v>
      </c>
      <c r="V94" s="105">
        <f>'A)NSA Nb'!V100/'A)NSA Nb'!R100-1</f>
        <v>7.3979525384875178E-3</v>
      </c>
      <c r="W94" s="105">
        <f>'A)NSA Nb'!W100/'A)NSA Nb'!S100-1</f>
        <v>4.5835062958350381E-3</v>
      </c>
      <c r="X94" s="105">
        <f>'A)NSA Nb'!X100/'A)NSA Nb'!T100-1</f>
        <v>5.9809336133656021E-3</v>
      </c>
      <c r="Y94" s="105">
        <f>'A)NSA Nb'!Y100/'A)NSA Nb'!U100-1</f>
        <v>6.7723305622457985E-3</v>
      </c>
      <c r="Z94" s="105">
        <f>'A)NSA Nb'!Z100/'A)NSA Nb'!V100-1</f>
        <v>7.9211163688706065E-3</v>
      </c>
      <c r="AA94" s="105">
        <f>'A)NSA Nb'!AA100/'A)NSA Nb'!W100-1</f>
        <v>8.1997555138513256E-3</v>
      </c>
      <c r="AB94" s="105">
        <f>'A)NSA Nb'!AB100/'A)NSA Nb'!X100-1</f>
        <v>7.9944670212124258E-3</v>
      </c>
      <c r="AC94" s="105">
        <f>'A)NSA Nb'!AC100/'A)NSA Nb'!Y100-1</f>
        <v>7.4470411195000086E-3</v>
      </c>
      <c r="AD94" s="105">
        <f>'A)NSA Nb'!AD100/'A)NSA Nb'!Z100-1</f>
        <v>6.3880004788861022E-3</v>
      </c>
      <c r="AE94" s="105">
        <f>'A)NSA Nb'!AE100/'A)NSA Nb'!AA100-1</f>
        <v>6.4167972368922577E-3</v>
      </c>
      <c r="AF94" s="105">
        <f>'A)NSA Nb'!AF100/'A)NSA Nb'!AB100-1</f>
        <v>5.3612447634108218E-3</v>
      </c>
      <c r="AG94" s="105">
        <f>'A)NSA Nb'!AG100/'A)NSA Nb'!AC100-1</f>
        <v>5.9365744050658975E-3</v>
      </c>
      <c r="AH94" s="105">
        <f>'A)NSA Nb'!AH100/'A)NSA Nb'!AD100-1</f>
        <v>1.2699154522666678E-2</v>
      </c>
      <c r="AI94" s="105">
        <f>'A)NSA Nb'!AI100/'A)NSA Nb'!AE100-1</f>
        <v>1.261177947839065E-2</v>
      </c>
      <c r="AJ94" s="105">
        <f>'A)NSA Nb'!AJ100/'A)NSA Nb'!AF100-1</f>
        <v>1.384879506581016E-2</v>
      </c>
      <c r="AK94" s="105">
        <f>'A)NSA Nb'!AK100/'A)NSA Nb'!AG100-1</f>
        <v>1.342758874519312E-2</v>
      </c>
      <c r="AL94" s="105">
        <f>'A)NSA Nb'!AL100/'A)NSA Nb'!AH100-1</f>
        <v>6.3643495735423716E-3</v>
      </c>
      <c r="AM94" s="105">
        <f>'A)NSA Nb'!AM100/'A)NSA Nb'!AI100-1</f>
        <v>9.8908694832533506E-3</v>
      </c>
      <c r="AN94" s="105">
        <f>'A)NSA Nb'!AN100/'A)NSA Nb'!AJ100-1</f>
        <v>9.6374157510077385E-3</v>
      </c>
      <c r="AO94" s="105">
        <f>'A)NSA Nb'!AO100/'A)NSA Nb'!AK100-1</f>
        <v>1.0214858507303193E-2</v>
      </c>
      <c r="AP94" s="105">
        <f>'A)NSA Nb'!AP100/'A)NSA Nb'!AL100-1</f>
        <v>9.4882355883871838E-3</v>
      </c>
      <c r="AQ94" s="105">
        <f>'A)NSA Nb'!AQ100/'A)NSA Nb'!AM100-1</f>
        <v>1.6360664714227591E-2</v>
      </c>
      <c r="AR94" s="105">
        <f>'A)NSA Nb'!AR100/'A)NSA Nb'!AN100-1</f>
        <v>1.5790323716130317E-2</v>
      </c>
      <c r="AS94" s="105">
        <f>'A)NSA Nb'!AS100/'A)NSA Nb'!AO100-1</f>
        <v>1.4714876033057989E-2</v>
      </c>
      <c r="AT94" s="105">
        <f>'A)NSA Nb'!AT100/'A)NSA Nb'!AP100-1</f>
        <v>1.5440714922858367E-2</v>
      </c>
      <c r="AU94" s="105">
        <f>'A)NSA Nb'!AU100/'A)NSA Nb'!AQ100-1</f>
        <v>8.3425166319741617E-3</v>
      </c>
      <c r="AV94" s="105">
        <f>'A)NSA Nb'!AV100/'A)NSA Nb'!AR100-1</f>
        <v>9.0708956745078062E-3</v>
      </c>
      <c r="AW94" s="105">
        <f>'A)NSA Nb'!AW100/'A)NSA Nb'!AS100-1</f>
        <v>9.91606973420045E-3</v>
      </c>
      <c r="AX94" s="105">
        <f>'A)NSA Nb'!AX100/'A)NSA Nb'!AT100-1</f>
        <v>1.0224340752768457E-2</v>
      </c>
      <c r="AY94" s="105">
        <f>'A)NSA Nb'!AY100/'A)NSA Nb'!AU100-1</f>
        <v>6.1157393930982629E-2</v>
      </c>
      <c r="AZ94" s="105">
        <f>'A)NSA Nb'!AZ100/'A)NSA Nb'!AV100-1</f>
        <v>6.0963080021388505E-2</v>
      </c>
      <c r="BA94" s="105">
        <f>'A)NSA Nb'!BA100/'A)NSA Nb'!AW100-1</f>
        <v>0.10240692365509529</v>
      </c>
      <c r="BB94" s="396">
        <f>'A)NSA Nb'!BB100/'A)NSA Nb'!AX100-1</f>
        <v>9.8053839442313606E-2</v>
      </c>
      <c r="BC94" s="455">
        <f>'A)NSA Nb'!BC100/'A)NSA Nb'!AY100-1</f>
        <v>5.3866215214433799E-2</v>
      </c>
      <c r="BD94" s="455">
        <f>'A)NSA Nb'!BD100/'A)NSA Nb'!AZ100-1</f>
        <v>5.5015498468631741E-2</v>
      </c>
      <c r="BE94" s="455">
        <f>'A)NSA Nb'!BE100/'A)NSA Nb'!BA100-1</f>
        <v>1.5703135612333829E-2</v>
      </c>
      <c r="BF94" s="455">
        <f>'A)NSA Nb'!BF100/'A)NSA Nb'!BB100-1</f>
        <v>2.0137100909918715E-2</v>
      </c>
      <c r="BG94" s="455">
        <f>'A)NSA Nb'!BG100/'A)NSA Nb'!BC100-1</f>
        <v>6.0957843776090037E-2</v>
      </c>
      <c r="BH94" s="455">
        <f>'A)NSA Nb'!BH100/'A)NSA Nb'!BD100-1</f>
        <v>6.1006232352472489E-2</v>
      </c>
      <c r="BI94" s="455">
        <f>'A)NSA Nb'!BI100/'A)NSA Nb'!BE100-1</f>
        <v>6.0921405660518957E-2</v>
      </c>
      <c r="BJ94" s="455">
        <f>'A)NSA Nb'!BJ100/'A)NSA Nb'!BF100-1</f>
        <v>6.0450217545908291E-2</v>
      </c>
    </row>
    <row r="95" spans="1:62" x14ac:dyDescent="0.25">
      <c r="A95" s="317"/>
      <c r="B95" s="18"/>
      <c r="C95" s="44"/>
      <c r="D95" s="44"/>
      <c r="E95" s="44"/>
      <c r="F95" s="44"/>
      <c r="G95" s="44"/>
      <c r="H95" s="44"/>
      <c r="I95" s="44"/>
      <c r="J95" s="44"/>
      <c r="K95" s="148"/>
      <c r="L95" s="148"/>
      <c r="BC95" s="452"/>
    </row>
    <row r="96" spans="1:62" x14ac:dyDescent="0.25">
      <c r="L96" s="145"/>
    </row>
    <row r="97" spans="1:12" ht="13" x14ac:dyDescent="0.3">
      <c r="A97" s="326"/>
      <c r="B97" s="58"/>
      <c r="C97" s="58" t="s">
        <v>89</v>
      </c>
      <c r="D97" s="123" t="s">
        <v>90</v>
      </c>
      <c r="E97" s="58"/>
      <c r="F97" s="58"/>
      <c r="G97" s="58"/>
      <c r="H97" s="58"/>
      <c r="I97" s="58"/>
      <c r="J97" s="58"/>
      <c r="K97" s="82"/>
      <c r="L97" s="82"/>
    </row>
    <row r="98" spans="1:12" x14ac:dyDescent="0.25">
      <c r="A98" s="327"/>
      <c r="B98" s="58">
        <v>1.01</v>
      </c>
      <c r="C98" s="120">
        <v>0.01</v>
      </c>
      <c r="D98" s="58"/>
      <c r="E98" s="58"/>
      <c r="F98" s="119"/>
      <c r="G98" s="119"/>
      <c r="H98" s="119"/>
      <c r="I98" s="119"/>
      <c r="J98" s="119"/>
      <c r="K98" s="164"/>
      <c r="L98" s="164"/>
    </row>
    <row r="99" spans="1:12" x14ac:dyDescent="0.25">
      <c r="A99" s="327"/>
      <c r="B99" s="58">
        <v>1.0089999999999999</v>
      </c>
      <c r="C99" s="120">
        <v>8.9999999999999993E-3</v>
      </c>
      <c r="D99" s="58"/>
      <c r="E99" s="58"/>
      <c r="F99" s="119">
        <f>($C99-F26)*100</f>
        <v>-6.8995452666399143E-2</v>
      </c>
      <c r="G99" s="119">
        <f>($C99-G26)*100</f>
        <v>-0.21799190818266953</v>
      </c>
      <c r="H99" s="119"/>
      <c r="I99" s="119"/>
      <c r="J99" s="119"/>
      <c r="K99" s="164"/>
      <c r="L99" s="164"/>
    </row>
    <row r="100" spans="1:12" x14ac:dyDescent="0.25">
      <c r="A100" s="327"/>
      <c r="B100" s="58">
        <v>1.0209999999999999</v>
      </c>
      <c r="C100" s="120">
        <v>2.1000000000000001E-2</v>
      </c>
      <c r="D100" s="58"/>
      <c r="E100" s="58"/>
      <c r="F100" s="119"/>
      <c r="G100" s="119"/>
      <c r="H100" s="119">
        <f>($C100-H26)*100</f>
        <v>-0.42475652672068381</v>
      </c>
      <c r="I100" s="119">
        <f>($C100-I26)*100</f>
        <v>-0.40360230547550507</v>
      </c>
      <c r="J100" s="119">
        <f>($C100-J26)*100</f>
        <v>-0.42943777533940469</v>
      </c>
      <c r="K100" s="164">
        <f>($C100-K26)*100</f>
        <v>3.4086752025084752E-2</v>
      </c>
      <c r="L100" s="164">
        <f>($C100-L26)*100</f>
        <v>9.0820195569750115E-2</v>
      </c>
    </row>
    <row r="101" spans="1:12" x14ac:dyDescent="0.25">
      <c r="A101" s="328"/>
      <c r="B101" s="121"/>
      <c r="C101" s="120"/>
    </row>
  </sheetData>
  <phoneticPr fontId="2" type="noConversion"/>
  <pageMargins left="0.78740157480314965" right="0.78740157480314965" top="0.47244094488188981" bottom="0.55118110236220474" header="0.19685039370078741" footer="0.4724409448818898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100"/>
  <sheetViews>
    <sheetView workbookViewId="0">
      <pane xSplit="16" ySplit="8" topLeftCell="BA9" activePane="bottomRight" state="frozen"/>
      <selection pane="topRight" activeCell="Q1" sqref="Q1"/>
      <selection pane="bottomLeft" activeCell="A9" sqref="A9"/>
      <selection pane="bottomRight" activeCell="BK1" sqref="BK1"/>
    </sheetView>
  </sheetViews>
  <sheetFormatPr baseColWidth="10" defaultColWidth="11.453125" defaultRowHeight="12.5" x14ac:dyDescent="0.25"/>
  <cols>
    <col min="1" max="1" width="70.26953125" style="4" customWidth="1"/>
    <col min="2" max="2" width="11.81640625" style="4" hidden="1" customWidth="1"/>
    <col min="3" max="3" width="10.81640625" style="35" hidden="1" customWidth="1"/>
    <col min="4" max="10" width="11.81640625" style="35" hidden="1" customWidth="1"/>
    <col min="11" max="11" width="11.81640625" style="145" hidden="1" customWidth="1"/>
    <col min="12" max="16" width="0" style="4" hidden="1" customWidth="1"/>
    <col min="17" max="28" width="11.453125" style="4"/>
    <col min="29" max="35" width="11.453125" style="4" customWidth="1"/>
    <col min="36" max="37" width="11.453125" style="4"/>
    <col min="38" max="51" width="11" style="4" customWidth="1"/>
    <col min="52" max="16384" width="11.453125" style="4"/>
  </cols>
  <sheetData>
    <row r="1" spans="1:62" ht="15.5" x14ac:dyDescent="0.35">
      <c r="A1" s="32" t="s">
        <v>51</v>
      </c>
      <c r="L1" s="145"/>
      <c r="M1" s="145"/>
      <c r="N1" s="145"/>
      <c r="O1" s="145"/>
      <c r="P1" s="145"/>
      <c r="Q1" s="145"/>
      <c r="R1" s="145"/>
      <c r="S1" s="145"/>
      <c r="T1" s="145"/>
      <c r="U1" s="145"/>
      <c r="V1" s="145"/>
      <c r="W1" s="145"/>
      <c r="X1" s="145"/>
      <c r="Y1" s="145"/>
      <c r="Z1" s="145"/>
      <c r="AA1" s="145"/>
      <c r="AB1" s="145"/>
    </row>
    <row r="2" spans="1:62" ht="15.5" x14ac:dyDescent="0.35">
      <c r="A2" s="32" t="s">
        <v>52</v>
      </c>
      <c r="L2" s="145"/>
      <c r="M2" s="145"/>
      <c r="N2" s="145"/>
      <c r="O2" s="145"/>
      <c r="P2" s="145"/>
      <c r="Q2" s="145"/>
      <c r="R2" s="145"/>
      <c r="S2" s="145"/>
      <c r="T2" s="145"/>
      <c r="U2" s="145"/>
      <c r="V2" s="145"/>
      <c r="W2" s="145"/>
      <c r="X2" s="145"/>
      <c r="Y2" s="145"/>
      <c r="Z2" s="145"/>
      <c r="AA2" s="145"/>
      <c r="AB2" s="145"/>
    </row>
    <row r="3" spans="1:62" ht="13" x14ac:dyDescent="0.3">
      <c r="A3" s="108" t="s">
        <v>83</v>
      </c>
      <c r="L3" s="145"/>
      <c r="M3" s="145"/>
      <c r="N3" s="145"/>
      <c r="O3" s="145"/>
      <c r="P3" s="145"/>
      <c r="Q3" s="145"/>
      <c r="R3" s="145"/>
      <c r="S3" s="145"/>
      <c r="T3" s="145"/>
      <c r="U3" s="145"/>
      <c r="V3" s="145"/>
      <c r="W3" s="145"/>
      <c r="X3" s="145"/>
      <c r="Y3" s="145"/>
      <c r="Z3" s="145"/>
      <c r="AA3" s="145"/>
      <c r="AB3" s="145"/>
    </row>
    <row r="4" spans="1:62" ht="13" x14ac:dyDescent="0.3">
      <c r="A4" s="1" t="s">
        <v>8</v>
      </c>
      <c r="L4" s="145"/>
      <c r="M4" s="145"/>
      <c r="N4" s="145"/>
      <c r="O4" s="145"/>
      <c r="P4" s="145"/>
      <c r="Q4" s="145"/>
      <c r="R4" s="145"/>
      <c r="S4" s="145"/>
      <c r="T4" s="145"/>
      <c r="U4" s="145"/>
      <c r="V4" s="145"/>
      <c r="W4" s="145"/>
      <c r="X4" s="145"/>
      <c r="Y4" s="145"/>
      <c r="Z4" s="145"/>
      <c r="AA4" s="145"/>
      <c r="AB4" s="145"/>
    </row>
    <row r="5" spans="1:62" ht="13.5" thickBot="1" x14ac:dyDescent="0.35">
      <c r="A5" s="11"/>
      <c r="B5" s="11"/>
      <c r="C5" s="36"/>
      <c r="D5" s="36"/>
      <c r="E5" s="36"/>
      <c r="F5" s="36"/>
      <c r="G5" s="36"/>
      <c r="H5" s="36"/>
      <c r="I5" s="36"/>
      <c r="J5" s="36"/>
      <c r="K5" s="143"/>
      <c r="L5" s="143"/>
      <c r="M5" s="143"/>
      <c r="N5" s="143"/>
      <c r="O5" s="143"/>
      <c r="P5" s="143"/>
      <c r="Q5" s="143"/>
      <c r="R5" s="143"/>
      <c r="S5" s="143"/>
      <c r="T5" s="143"/>
      <c r="U5" s="143"/>
      <c r="V5" s="143"/>
      <c r="W5" s="143"/>
      <c r="X5" s="143"/>
      <c r="Y5" s="143"/>
      <c r="Z5" s="143"/>
      <c r="AA5" s="143"/>
      <c r="AB5" s="143"/>
    </row>
    <row r="6" spans="1:62" ht="13" x14ac:dyDescent="0.3">
      <c r="A6" s="1"/>
      <c r="B6" s="1"/>
      <c r="C6" s="37"/>
      <c r="D6" s="37"/>
      <c r="E6" s="37"/>
      <c r="F6" s="37"/>
      <c r="G6" s="37"/>
      <c r="H6" s="37"/>
      <c r="I6" s="37"/>
      <c r="J6" s="37"/>
      <c r="K6" s="144"/>
      <c r="L6" s="144"/>
      <c r="M6" s="144"/>
      <c r="N6" s="144"/>
      <c r="O6" s="144"/>
      <c r="P6" s="144"/>
      <c r="Q6" s="144"/>
      <c r="R6" s="144"/>
      <c r="S6" s="144"/>
      <c r="T6" s="144"/>
      <c r="U6" s="144"/>
      <c r="V6" s="144"/>
      <c r="W6" s="144"/>
      <c r="X6" s="144"/>
      <c r="Y6" s="144"/>
      <c r="Z6" s="144"/>
      <c r="AA6" s="144"/>
      <c r="AB6" s="144"/>
    </row>
    <row r="7" spans="1:62" ht="13" x14ac:dyDescent="0.3">
      <c r="A7" s="25" t="s">
        <v>5</v>
      </c>
      <c r="L7" s="145"/>
      <c r="M7" s="145"/>
      <c r="N7" s="145"/>
      <c r="O7" s="145"/>
      <c r="P7" s="145"/>
      <c r="Q7" s="145"/>
      <c r="R7" s="145"/>
      <c r="S7" s="145"/>
      <c r="T7" s="145"/>
      <c r="U7" s="145"/>
      <c r="V7" s="145"/>
      <c r="W7" s="145"/>
      <c r="X7" s="145"/>
      <c r="Y7" s="145"/>
      <c r="Z7" s="145"/>
      <c r="AA7" s="145"/>
      <c r="AB7" s="145"/>
    </row>
    <row r="8" spans="1:62" x14ac:dyDescent="0.25">
      <c r="A8" s="5"/>
      <c r="B8" s="2" t="s">
        <v>55</v>
      </c>
      <c r="C8" s="38" t="s">
        <v>56</v>
      </c>
      <c r="D8" s="38" t="s">
        <v>57</v>
      </c>
      <c r="E8" s="38" t="s">
        <v>58</v>
      </c>
      <c r="F8" s="38" t="s">
        <v>59</v>
      </c>
      <c r="G8" s="38" t="s">
        <v>78</v>
      </c>
      <c r="H8" s="38" t="s">
        <v>79</v>
      </c>
      <c r="I8" s="38" t="s">
        <v>103</v>
      </c>
      <c r="J8" s="38" t="s">
        <v>130</v>
      </c>
      <c r="K8" s="38" t="s">
        <v>134</v>
      </c>
      <c r="L8" s="38" t="s">
        <v>140</v>
      </c>
      <c r="M8" s="38" t="s">
        <v>141</v>
      </c>
      <c r="N8" s="38" t="s">
        <v>142</v>
      </c>
      <c r="O8" s="38" t="s">
        <v>143</v>
      </c>
      <c r="P8" s="38" t="s">
        <v>146</v>
      </c>
      <c r="Q8" s="38" t="s">
        <v>149</v>
      </c>
      <c r="R8" s="38" t="s">
        <v>151</v>
      </c>
      <c r="S8" s="38" t="s">
        <v>153</v>
      </c>
      <c r="T8" s="38" t="s">
        <v>154</v>
      </c>
      <c r="U8" s="38" t="s">
        <v>156</v>
      </c>
      <c r="V8" s="38" t="s">
        <v>158</v>
      </c>
      <c r="W8" s="38" t="s">
        <v>161</v>
      </c>
      <c r="X8" s="38" t="s">
        <v>162</v>
      </c>
      <c r="Y8" s="38" t="s">
        <v>163</v>
      </c>
      <c r="Z8" s="38" t="s">
        <v>165</v>
      </c>
      <c r="AA8" s="38" t="s">
        <v>166</v>
      </c>
      <c r="AB8" s="38" t="s">
        <v>177</v>
      </c>
      <c r="AC8" s="38" t="s">
        <v>178</v>
      </c>
      <c r="AD8" s="178" t="s">
        <v>180</v>
      </c>
      <c r="AE8" s="178" t="s">
        <v>181</v>
      </c>
      <c r="AF8" s="178" t="s">
        <v>182</v>
      </c>
      <c r="AG8" s="178" t="s">
        <v>183</v>
      </c>
      <c r="AH8" s="178" t="s">
        <v>184</v>
      </c>
      <c r="AI8" s="178" t="s">
        <v>188</v>
      </c>
      <c r="AJ8" s="178" t="s">
        <v>203</v>
      </c>
      <c r="AK8" s="178" t="s">
        <v>205</v>
      </c>
      <c r="AL8" s="178" t="s">
        <v>207</v>
      </c>
      <c r="AM8" s="178" t="s">
        <v>209</v>
      </c>
      <c r="AN8" s="178" t="s">
        <v>211</v>
      </c>
      <c r="AO8" s="178" t="s">
        <v>213</v>
      </c>
      <c r="AP8" s="178" t="s">
        <v>215</v>
      </c>
      <c r="AQ8" s="178" t="s">
        <v>217</v>
      </c>
      <c r="AR8" s="178" t="s">
        <v>219</v>
      </c>
      <c r="AS8" s="178" t="s">
        <v>221</v>
      </c>
      <c r="AT8" s="178" t="s">
        <v>223</v>
      </c>
      <c r="AU8" s="178" t="s">
        <v>226</v>
      </c>
      <c r="AV8" s="178" t="s">
        <v>228</v>
      </c>
      <c r="AW8" s="178" t="s">
        <v>232</v>
      </c>
      <c r="AX8" s="178" t="s">
        <v>233</v>
      </c>
      <c r="AY8" s="178" t="s">
        <v>235</v>
      </c>
      <c r="AZ8" s="178" t="s">
        <v>237</v>
      </c>
      <c r="BA8" s="178" t="s">
        <v>239</v>
      </c>
      <c r="BB8" s="178" t="s">
        <v>242</v>
      </c>
      <c r="BC8" s="178" t="s">
        <v>257</v>
      </c>
      <c r="BD8" s="178" t="s">
        <v>256</v>
      </c>
      <c r="BE8" s="178" t="s">
        <v>260</v>
      </c>
      <c r="BF8" s="178" t="s">
        <v>278</v>
      </c>
      <c r="BG8" s="178" t="s">
        <v>281</v>
      </c>
      <c r="BH8" s="178" t="s">
        <v>283</v>
      </c>
      <c r="BI8" s="178" t="s">
        <v>285</v>
      </c>
      <c r="BJ8" s="178" t="s">
        <v>287</v>
      </c>
    </row>
    <row r="9" spans="1:62" x14ac:dyDescent="0.25">
      <c r="A9" s="20" t="s">
        <v>27</v>
      </c>
      <c r="B9" s="3"/>
      <c r="C9" s="105" t="e">
        <f>'A)NSA Nb'!C9/'A)NSA Nb'!B9-1</f>
        <v>#REF!</v>
      </c>
      <c r="D9" s="105">
        <f>'A)NSA Nb'!D9/'A)NSA Nb'!C9-1</f>
        <v>-8.4040891816840047E-3</v>
      </c>
      <c r="E9" s="105">
        <f>'A)NSA Nb'!E9/'A)NSA Nb'!D9-1</f>
        <v>-7.6314130947470193E-3</v>
      </c>
      <c r="F9" s="105">
        <f>'A)NSA Nb'!F9/'A)NSA Nb'!E9-1</f>
        <v>-5.2743330236891817E-3</v>
      </c>
      <c r="G9" s="105">
        <f>'A)NSA Nb'!G9/'A)NSA Nb'!F9-1</f>
        <v>-5.61131629065037E-3</v>
      </c>
      <c r="H9" s="105">
        <f>'A)NSA Nb'!H9/'A)NSA Nb'!G9-1</f>
        <v>-8.8368368094295935E-3</v>
      </c>
      <c r="I9" s="105">
        <f>'A)NSA Nb'!I9/'A)NSA Nb'!H9-1</f>
        <v>-8.5109321694452067E-3</v>
      </c>
      <c r="J9" s="105">
        <f>'A)NSA Nb'!J9/'A)NSA Nb'!I9-1</f>
        <v>-7.5001950273595464E-3</v>
      </c>
      <c r="K9" s="105">
        <f>'A)NSA Nb'!K9/'A)NSA Nb'!J9-1</f>
        <v>-6.304879965864929E-3</v>
      </c>
      <c r="L9" s="105">
        <f>'A)NSA Nb'!L9/'A)NSA Nb'!K9-1</f>
        <v>-1.0771612436650035E-2</v>
      </c>
      <c r="M9" s="105">
        <f>'A)NSA Nb'!M9/'A)NSA Nb'!L9-1</f>
        <v>-1.0316329357203391E-2</v>
      </c>
      <c r="N9" s="105">
        <f>'A)NSA Nb'!N9/'A)NSA Nb'!M9-1</f>
        <v>-7.8312444724658592E-3</v>
      </c>
      <c r="O9" s="105">
        <f>'A)NSA Nb'!O9/'A)NSA Nb'!N9-1</f>
        <v>-6.5843334162191125E-3</v>
      </c>
      <c r="P9" s="105">
        <f>'A)NSA Nb'!P9/'A)NSA Nb'!O9-1</f>
        <v>-1.0518688750155492E-2</v>
      </c>
      <c r="Q9" s="105">
        <f>'A)NSA Nb'!Q9/'A)NSA Nb'!P9-1</f>
        <v>-7.0445975392726679E-3</v>
      </c>
      <c r="R9" s="105">
        <f>'A)NSA Nb'!R9/'A)NSA Nb'!Q9-1</f>
        <v>-6.7876707532735781E-3</v>
      </c>
      <c r="S9" s="105">
        <f>'A)NSA Nb'!S9/'A)NSA Nb'!R9-1</f>
        <v>-7.8375666193162274E-3</v>
      </c>
      <c r="T9" s="105">
        <f>'A)NSA Nb'!T9/'A)NSA Nb'!S9-1</f>
        <v>-8.3364074528752274E-3</v>
      </c>
      <c r="U9" s="105">
        <f>'A)NSA Nb'!U9/'A)NSA Nb'!T9-1</f>
        <v>-7.7021353148697402E-3</v>
      </c>
      <c r="V9" s="105">
        <f>'A)NSA Nb'!V9/'A)NSA Nb'!U9-1</f>
        <v>-5.5494952909183048E-3</v>
      </c>
      <c r="W9" s="105">
        <f>'A)NSA Nb'!W9/'A)NSA Nb'!V9-1</f>
        <v>-5.8245707275923486E-3</v>
      </c>
      <c r="X9" s="105">
        <f>'A)NSA Nb'!X9/'A)NSA Nb'!W9-1</f>
        <v>-1.1258951215873503E-2</v>
      </c>
      <c r="Y9" s="105">
        <f>'A)NSA Nb'!Y9/'A)NSA Nb'!X9-1</f>
        <v>-8.7780926469918086E-3</v>
      </c>
      <c r="Z9" s="105">
        <f>'A)NSA Nb'!Z9/'A)NSA Nb'!Y9-1</f>
        <v>-5.0566233996872656E-3</v>
      </c>
      <c r="AA9" s="105">
        <f>'A)NSA Nb'!AA9/'A)NSA Nb'!Z9-1</f>
        <v>-5.0153872143484657E-3</v>
      </c>
      <c r="AB9" s="105">
        <f>'A)NSA Nb'!AB9/'A)NSA Nb'!AA9-1</f>
        <v>-8.7711149054494619E-3</v>
      </c>
      <c r="AC9" s="105">
        <f>'A)NSA Nb'!AC9/'A)NSA Nb'!AB9-1</f>
        <v>-7.4008719455244121E-3</v>
      </c>
      <c r="AD9" s="105">
        <f>'A)NSA Nb'!AD9/'A)NSA Nb'!AC9-1</f>
        <v>-5.4862225810967669E-3</v>
      </c>
      <c r="AE9" s="105">
        <f>'A)NSA Nb'!AE9/'A)NSA Nb'!AD9-1</f>
        <v>-6.181084832770245E-3</v>
      </c>
      <c r="AF9" s="105">
        <f>'A)NSA Nb'!AF9/'A)NSA Nb'!AE9-1</f>
        <v>-1.0123204638292305E-2</v>
      </c>
      <c r="AG9" s="105">
        <f>'A)NSA Nb'!AG9/'A)NSA Nb'!AF9-1</f>
        <v>-6.386299573692078E-3</v>
      </c>
      <c r="AH9" s="105">
        <f>'A)NSA Nb'!AH9/'A)NSA Nb'!AG9-1</f>
        <v>-3.9940650036173198E-3</v>
      </c>
      <c r="AI9" s="105">
        <f>'A)NSA Nb'!AI9/'A)NSA Nb'!AH9-1</f>
        <v>-4.452283392545775E-3</v>
      </c>
      <c r="AJ9" s="105">
        <f>'A)NSA Nb'!AJ9/'A)NSA Nb'!AI9-1</f>
        <v>-9.2754132304683212E-3</v>
      </c>
      <c r="AK9" s="105">
        <f>'A)NSA Nb'!AK9/'A)NSA Nb'!AJ9-1</f>
        <v>-6.8409900257581091E-3</v>
      </c>
      <c r="AL9" s="105">
        <f>'A)NSA Nb'!AL9/'A)NSA Nb'!AK9-1</f>
        <v>-2.8699034325555539E-3</v>
      </c>
      <c r="AM9" s="105">
        <f>'A)NSA Nb'!AM9/'A)NSA Nb'!AL9-1</f>
        <v>-4.9524380041520155E-3</v>
      </c>
      <c r="AN9" s="105">
        <f>'A)NSA Nb'!AN9/'A)NSA Nb'!AM9-1</f>
        <v>-1.0125439192871233E-2</v>
      </c>
      <c r="AO9" s="105">
        <f>'A)NSA Nb'!AO9/'A)NSA Nb'!AN9-1</f>
        <v>-6.8315751945137171E-3</v>
      </c>
      <c r="AP9" s="105">
        <f>'A)NSA Nb'!AP9/'A)NSA Nb'!AO9-1</f>
        <v>-2.7802853135827643E-3</v>
      </c>
      <c r="AQ9" s="105">
        <f>'A)NSA Nb'!AQ9/'A)NSA Nb'!AP9-1</f>
        <v>-3.550335534941329E-3</v>
      </c>
      <c r="AR9" s="105">
        <f>'A)NSA Nb'!AR9/'A)NSA Nb'!AQ9-1</f>
        <v>-1.0085090181425338E-2</v>
      </c>
      <c r="AS9" s="105">
        <f>'A)NSA Nb'!AS9/'A)NSA Nb'!AR9-1</f>
        <v>-8.9212880143112461E-3</v>
      </c>
      <c r="AT9" s="105">
        <f>'A)NSA Nb'!AT9/'A)NSA Nb'!AS9-1</f>
        <v>-4.0396163988931644E-3</v>
      </c>
      <c r="AU9" s="105">
        <f>'A)NSA Nb'!AU9/'A)NSA Nb'!AT9-1</f>
        <v>-8.4998414208690143E-3</v>
      </c>
      <c r="AV9" s="105">
        <f>'A)NSA Nb'!AV9/'A)NSA Nb'!AU9-1</f>
        <v>-1.1535684582834493E-2</v>
      </c>
      <c r="AW9" s="105">
        <f>'A)NSA Nb'!AW9/'A)NSA Nb'!AV9-1</f>
        <v>-8.3158583807653175E-3</v>
      </c>
      <c r="AX9" s="105">
        <f>'A)NSA Nb'!AX9/'A)NSA Nb'!AW9-1</f>
        <v>-3.134574110021493E-3</v>
      </c>
      <c r="AY9" s="105">
        <f>'A)NSA Nb'!AY9/'A)NSA Nb'!AX9-1</f>
        <v>-4.0086345576846316E-3</v>
      </c>
      <c r="AZ9" s="105">
        <f>'A)NSA Nb'!AZ9/'A)NSA Nb'!AY9-1</f>
        <v>-1.0322037813666141E-2</v>
      </c>
      <c r="BA9" s="105">
        <f>'A)NSA Nb'!BA9/'A)NSA Nb'!AZ9-1</f>
        <v>-7.279531346960022E-3</v>
      </c>
      <c r="BB9" s="105">
        <f>'A)NSA Nb'!BB9/'A)NSA Nb'!BA9-1</f>
        <v>-1.0284427503388649E-3</v>
      </c>
      <c r="BC9" s="105">
        <f>'A)NSA Nb'!BC9/'A)NSA Nb'!BB9-1</f>
        <v>-7.2696585996865348E-3</v>
      </c>
      <c r="BD9" s="105">
        <f>'A)NSA Nb'!BD9/'A)NSA Nb'!BC9-1</f>
        <v>-7.6448001480384775E-3</v>
      </c>
      <c r="BE9" s="105">
        <f>'A)NSA Nb'!BE9/'A)NSA Nb'!BD9-1</f>
        <v>-5.4776639511439074E-3</v>
      </c>
      <c r="BF9" s="105">
        <f>'A)NSA Nb'!BF9/'A)NSA Nb'!BE9-1</f>
        <v>-3.6484517517646475E-3</v>
      </c>
      <c r="BG9" s="105">
        <f>'A)NSA Nb'!BG9/'A)NSA Nb'!BF9-1</f>
        <v>-4.3792758708564028E-3</v>
      </c>
      <c r="BH9" s="105">
        <f>'A)NSA Nb'!BH9/'A)NSA Nb'!BG9-1</f>
        <v>-9.3247436483059332E-3</v>
      </c>
      <c r="BI9" s="105">
        <f>'A)NSA Nb'!BI9/'A)NSA Nb'!BH9-1</f>
        <v>-7.035535416169858E-3</v>
      </c>
      <c r="BJ9" s="105">
        <f>'A)NSA Nb'!BJ9/'A)NSA Nb'!BI9-1</f>
        <v>-3.0743364957367403E-3</v>
      </c>
    </row>
    <row r="10" spans="1:62" x14ac:dyDescent="0.25">
      <c r="A10" s="20" t="s">
        <v>28</v>
      </c>
      <c r="B10" s="3"/>
      <c r="C10" s="105">
        <f>'A)NSA Nb'!C10/'A)NSA Nb'!B10-1</f>
        <v>-3.8293816731127528E-3</v>
      </c>
      <c r="D10" s="105">
        <f>'A)NSA Nb'!D10/'A)NSA Nb'!C10-1</f>
        <v>-6.9416100575049322E-3</v>
      </c>
      <c r="E10" s="105">
        <f>'A)NSA Nb'!E10/'A)NSA Nb'!D10-1</f>
        <v>-5.6258819053122133E-3</v>
      </c>
      <c r="F10" s="105">
        <f>'A)NSA Nb'!F10/'A)NSA Nb'!E10-1</f>
        <v>-4.4463678617431279E-3</v>
      </c>
      <c r="G10" s="105">
        <f>'A)NSA Nb'!G10/'A)NSA Nb'!F10-1</f>
        <v>-5.0612436169239494E-3</v>
      </c>
      <c r="H10" s="105">
        <f>'A)NSA Nb'!H10/'A)NSA Nb'!G10-1</f>
        <v>-6.9844116030887138E-3</v>
      </c>
      <c r="I10" s="105">
        <f>'A)NSA Nb'!I10/'A)NSA Nb'!H10-1</f>
        <v>-6.3667965475132648E-3</v>
      </c>
      <c r="J10" s="105">
        <f>'A)NSA Nb'!J10/'A)NSA Nb'!I10-1</f>
        <v>-5.8684794817815966E-3</v>
      </c>
      <c r="K10" s="105">
        <f>'A)NSA Nb'!K10/'A)NSA Nb'!J10-1</f>
        <v>-5.389257497628086E-3</v>
      </c>
      <c r="L10" s="105">
        <f>'A)NSA Nb'!L10/'A)NSA Nb'!K10-1</f>
        <v>-9.0074734079439445E-3</v>
      </c>
      <c r="M10" s="105">
        <f>'A)NSA Nb'!M10/'A)NSA Nb'!L10-1</f>
        <v>-8.4056147113213964E-3</v>
      </c>
      <c r="N10" s="105">
        <f>'A)NSA Nb'!N10/'A)NSA Nb'!M10-1</f>
        <v>-6.4901693972998498E-3</v>
      </c>
      <c r="O10" s="105">
        <f>'A)NSA Nb'!O10/'A)NSA Nb'!N10-1</f>
        <v>-6.6236584326394565E-3</v>
      </c>
      <c r="P10" s="105">
        <f>'A)NSA Nb'!P10/'A)NSA Nb'!O10-1</f>
        <v>-9.4919332213295737E-3</v>
      </c>
      <c r="Q10" s="105">
        <f>'A)NSA Nb'!Q10/'A)NSA Nb'!P10-1</f>
        <v>-6.570812016584604E-3</v>
      </c>
      <c r="R10" s="105">
        <f>'A)NSA Nb'!R10/'A)NSA Nb'!Q10-1</f>
        <v>-6.2293095950227695E-3</v>
      </c>
      <c r="S10" s="105">
        <f>'A)NSA Nb'!S10/'A)NSA Nb'!R10-1</f>
        <v>-7.350109235751634E-3</v>
      </c>
      <c r="T10" s="105">
        <f>'A)NSA Nb'!T10/'A)NSA Nb'!S10-1</f>
        <v>-8.3244769086298076E-3</v>
      </c>
      <c r="U10" s="105">
        <f>'A)NSA Nb'!U10/'A)NSA Nb'!T10-1</f>
        <v>-7.5721577757793535E-3</v>
      </c>
      <c r="V10" s="105">
        <f>'A)NSA Nb'!V10/'A)NSA Nb'!U10-1</f>
        <v>-5.6850255854719034E-3</v>
      </c>
      <c r="W10" s="105">
        <f>'A)NSA Nb'!W10/'A)NSA Nb'!V10-1</f>
        <v>-7.0357222073458292E-3</v>
      </c>
      <c r="X10" s="105">
        <f>'A)NSA Nb'!X10/'A)NSA Nb'!W10-1</f>
        <v>-1.0921182533978224E-2</v>
      </c>
      <c r="Y10" s="105">
        <f>'A)NSA Nb'!Y10/'A)NSA Nb'!X10-1</f>
        <v>-8.1982463756753443E-3</v>
      </c>
      <c r="Z10" s="105">
        <f>'A)NSA Nb'!Z10/'A)NSA Nb'!Y10-1</f>
        <v>-6.125769408200199E-3</v>
      </c>
      <c r="AA10" s="105">
        <f>'A)NSA Nb'!AA10/'A)NSA Nb'!Z10-1</f>
        <v>-7.0574269179403126E-3</v>
      </c>
      <c r="AB10" s="105">
        <f>'A)NSA Nb'!AB10/'A)NSA Nb'!AA10-1</f>
        <v>-9.5058761641739764E-3</v>
      </c>
      <c r="AC10" s="105">
        <f>'A)NSA Nb'!AC10/'A)NSA Nb'!AB10-1</f>
        <v>-8.1390113690268384E-3</v>
      </c>
      <c r="AD10" s="105">
        <f>'A)NSA Nb'!AD10/'A)NSA Nb'!AC10-1</f>
        <v>-7.0837835995989362E-3</v>
      </c>
      <c r="AE10" s="105">
        <f>'A)NSA Nb'!AE10/'A)NSA Nb'!AD10-1</f>
        <v>-8.9359798508422683E-3</v>
      </c>
      <c r="AF10" s="105">
        <f>'A)NSA Nb'!AF10/'A)NSA Nb'!AE10-1</f>
        <v>-1.1902936346188109E-2</v>
      </c>
      <c r="AG10" s="105">
        <f>'A)NSA Nb'!AG10/'A)NSA Nb'!AF10-1</f>
        <v>-8.7446917956092163E-3</v>
      </c>
      <c r="AH10" s="105">
        <f>'A)NSA Nb'!AH10/'A)NSA Nb'!AG10-1</f>
        <v>-7.3976151876486984E-3</v>
      </c>
      <c r="AI10" s="105">
        <f>'A)NSA Nb'!AI10/'A)NSA Nb'!AH10-1</f>
        <v>-8.1421809749501195E-3</v>
      </c>
      <c r="AJ10" s="105">
        <f>'A)NSA Nb'!AJ10/'A)NSA Nb'!AI10-1</f>
        <v>-1.1390801177810328E-2</v>
      </c>
      <c r="AK10" s="105">
        <f>'A)NSA Nb'!AK10/'A)NSA Nb'!AJ10-1</f>
        <v>-8.3282524939354285E-3</v>
      </c>
      <c r="AL10" s="105">
        <f>'A)NSA Nb'!AL10/'A)NSA Nb'!AK10-1</f>
        <v>-6.2724834848584266E-3</v>
      </c>
      <c r="AM10" s="105">
        <f>'A)NSA Nb'!AM10/'A)NSA Nb'!AL10-1</f>
        <v>-8.3643232783302546E-3</v>
      </c>
      <c r="AN10" s="105">
        <f>'A)NSA Nb'!AN10/'A)NSA Nb'!AM10-1</f>
        <v>-1.1570408110436636E-2</v>
      </c>
      <c r="AO10" s="105">
        <f>'A)NSA Nb'!AO10/'A)NSA Nb'!AN10-1</f>
        <v>-8.4019957425948144E-3</v>
      </c>
      <c r="AP10" s="105">
        <f>'A)NSA Nb'!AP10/'A)NSA Nb'!AO10-1</f>
        <v>-6.4971035947389844E-3</v>
      </c>
      <c r="AQ10" s="105">
        <f>'A)NSA Nb'!AQ10/'A)NSA Nb'!AP10-1</f>
        <v>-7.7978874813914301E-3</v>
      </c>
      <c r="AR10" s="105">
        <f>'A)NSA Nb'!AR10/'A)NSA Nb'!AQ10-1</f>
        <v>-1.183684797722484E-2</v>
      </c>
      <c r="AS10" s="105">
        <f>'A)NSA Nb'!AS10/'A)NSA Nb'!AR10-1</f>
        <v>-1.036294645278002E-2</v>
      </c>
      <c r="AT10" s="105">
        <f>'A)NSA Nb'!AT10/'A)NSA Nb'!AS10-1</f>
        <v>-7.616502562719174E-3</v>
      </c>
      <c r="AU10" s="105">
        <f>'A)NSA Nb'!AU10/'A)NSA Nb'!AT10-1</f>
        <v>-1.2196969375200872E-2</v>
      </c>
      <c r="AV10" s="105">
        <f>'A)NSA Nb'!AV10/'A)NSA Nb'!AU10-1</f>
        <v>-1.266575702156203E-2</v>
      </c>
      <c r="AW10" s="105">
        <f>'A)NSA Nb'!AW10/'A)NSA Nb'!AV10-1</f>
        <v>-9.490891618314623E-3</v>
      </c>
      <c r="AX10" s="105">
        <f>'A)NSA Nb'!AX10/'A)NSA Nb'!AW10-1</f>
        <v>-7.7440194157397668E-3</v>
      </c>
      <c r="AY10" s="105">
        <f>'A)NSA Nb'!AY10/'A)NSA Nb'!AX10-1</f>
        <v>-9.8057895366510106E-3</v>
      </c>
      <c r="AZ10" s="105">
        <f>'A)NSA Nb'!AZ10/'A)NSA Nb'!AY10-1</f>
        <v>-1.323070956578809E-2</v>
      </c>
      <c r="BA10" s="105">
        <f>'A)NSA Nb'!BA10/'A)NSA Nb'!AZ10-1</f>
        <v>-9.5549777791213986E-3</v>
      </c>
      <c r="BB10" s="105">
        <f>'A)NSA Nb'!BB10/'A)NSA Nb'!BA10-1</f>
        <v>-6.4009132824291992E-3</v>
      </c>
      <c r="BC10" s="105">
        <f>'A)NSA Nb'!BC10/'A)NSA Nb'!BB10-1</f>
        <v>-1.3211474213739915E-2</v>
      </c>
      <c r="BD10" s="105">
        <f>'A)NSA Nb'!BD10/'A)NSA Nb'!BC10-1</f>
        <v>-1.1363211835174303E-2</v>
      </c>
      <c r="BE10" s="105">
        <f>'A)NSA Nb'!BE10/'A)NSA Nb'!BD10-1</f>
        <v>-8.7904094318589365E-3</v>
      </c>
      <c r="BF10" s="105">
        <f>'A)NSA Nb'!BF10/'A)NSA Nb'!BE10-1</f>
        <v>-7.1941303266983558E-3</v>
      </c>
      <c r="BG10" s="105">
        <f>'A)NSA Nb'!BG10/'A)NSA Nb'!BF10-1</f>
        <v>-9.8366111370661313E-3</v>
      </c>
      <c r="BH10" s="105">
        <f>'A)NSA Nb'!BH10/'A)NSA Nb'!BG10-1</f>
        <v>-1.1941234261485523E-2</v>
      </c>
      <c r="BI10" s="105">
        <f>'A)NSA Nb'!BI10/'A)NSA Nb'!BH10-1</f>
        <v>-9.8810415487821102E-3</v>
      </c>
      <c r="BJ10" s="105">
        <f>'A)NSA Nb'!BJ10/'A)NSA Nb'!BI10-1</f>
        <v>-7.8109515189154211E-3</v>
      </c>
    </row>
    <row r="11" spans="1:62" x14ac:dyDescent="0.25">
      <c r="A11" s="20" t="s">
        <v>13</v>
      </c>
      <c r="B11" s="3"/>
      <c r="C11" s="105">
        <f>'A)NSA Nb'!C11/'A)NSA Nb'!B11-1</f>
        <v>-4.0956752484901937E-3</v>
      </c>
      <c r="D11" s="105">
        <f>'A)NSA Nb'!D11/'A)NSA Nb'!C11-1</f>
        <v>-7.572275061253908E-3</v>
      </c>
      <c r="E11" s="105">
        <f>'A)NSA Nb'!E11/'A)NSA Nb'!D11-1</f>
        <v>-6.4900024202168005E-3</v>
      </c>
      <c r="F11" s="105">
        <f>'A)NSA Nb'!F11/'A)NSA Nb'!E11-1</f>
        <v>-4.8027022412027165E-3</v>
      </c>
      <c r="G11" s="105">
        <f>'A)NSA Nb'!G11/'A)NSA Nb'!F11-1</f>
        <v>-5.2978682038897773E-3</v>
      </c>
      <c r="H11" s="105">
        <f>'A)NSA Nb'!H11/'A)NSA Nb'!G11-1</f>
        <v>-7.7810176607966408E-3</v>
      </c>
      <c r="I11" s="105">
        <f>'A)NSA Nb'!I11/'A)NSA Nb'!H11-1</f>
        <v>-7.2878668853283424E-3</v>
      </c>
      <c r="J11" s="105">
        <f>'A)NSA Nb'!J11/'A)NSA Nb'!I11-1</f>
        <v>-6.568562584535087E-3</v>
      </c>
      <c r="K11" s="105">
        <f>'A)NSA Nb'!K11/'A)NSA Nb'!J11-1</f>
        <v>-5.7817344120288938E-3</v>
      </c>
      <c r="L11" s="105">
        <f>'A)NSA Nb'!L11/'A)NSA Nb'!K11-1</f>
        <v>-9.7632647330956335E-3</v>
      </c>
      <c r="M11" s="105">
        <f>'A)NSA Nb'!M11/'A)NSA Nb'!L11-1</f>
        <v>-9.2233683107968423E-3</v>
      </c>
      <c r="N11" s="105">
        <f>'A)NSA Nb'!N11/'A)NSA Nb'!M11-1</f>
        <v>-7.0634937278495347E-3</v>
      </c>
      <c r="O11" s="105">
        <f>'A)NSA Nb'!O11/'A)NSA Nb'!N11-1</f>
        <v>-6.6068595551612708E-3</v>
      </c>
      <c r="P11" s="105">
        <f>'A)NSA Nb'!P11/'A)NSA Nb'!O11-1</f>
        <v>-9.9305530369445671E-3</v>
      </c>
      <c r="Q11" s="105">
        <f>'A)NSA Nb'!Q11/'A)NSA Nb'!P11-1</f>
        <v>-6.7730882794120317E-3</v>
      </c>
      <c r="R11" s="105">
        <f>'A)NSA Nb'!R11/'A)NSA Nb'!Q11-1</f>
        <v>-6.4676291061750435E-3</v>
      </c>
      <c r="S11" s="105">
        <f>'A)NSA Nb'!S11/'A)NSA Nb'!R11-1</f>
        <v>-7.5580986028174202E-3</v>
      </c>
      <c r="T11" s="105">
        <f>'A)NSA Nb'!T11/'A)NSA Nb'!S11-1</f>
        <v>-8.3295660254827375E-3</v>
      </c>
      <c r="U11" s="105">
        <f>'A)NSA Nb'!U11/'A)NSA Nb'!T11-1</f>
        <v>-7.6276008727291789E-3</v>
      </c>
      <c r="V11" s="105">
        <f>'A)NSA Nb'!V11/'A)NSA Nb'!U11-1</f>
        <v>-5.6272182524496062E-3</v>
      </c>
      <c r="W11" s="105">
        <f>'A)NSA Nb'!W11/'A)NSA Nb'!V11-1</f>
        <v>-6.5190929946111753E-3</v>
      </c>
      <c r="X11" s="105">
        <f>'A)NSA Nb'!X11/'A)NSA Nb'!W11-1</f>
        <v>-1.1065361987453337E-2</v>
      </c>
      <c r="Y11" s="105">
        <f>'A)NSA Nb'!Y11/'A)NSA Nb'!X11-1</f>
        <v>-8.4457102687387486E-3</v>
      </c>
      <c r="Z11" s="105">
        <f>'A)NSA Nb'!Z11/'A)NSA Nb'!Y11-1</f>
        <v>-5.6696375720881598E-3</v>
      </c>
      <c r="AA11" s="105">
        <f>'A)NSA Nb'!AA11/'A)NSA Nb'!Z11-1</f>
        <v>-6.1856904542251234E-3</v>
      </c>
      <c r="AB11" s="105">
        <f>'A)NSA Nb'!AB11/'A)NSA Nb'!AA11-1</f>
        <v>-9.191840914816507E-3</v>
      </c>
      <c r="AC11" s="105">
        <f>'A)NSA Nb'!AC11/'A)NSA Nb'!AB11-1</f>
        <v>-7.8233983383138028E-3</v>
      </c>
      <c r="AD11" s="105">
        <f>'A)NSA Nb'!AD11/'A)NSA Nb'!AC11-1</f>
        <v>-6.4004089130794695E-3</v>
      </c>
      <c r="AE11" s="105">
        <f>'A)NSA Nb'!AE11/'A)NSA Nb'!AD11-1</f>
        <v>-7.7564582835427665E-3</v>
      </c>
      <c r="AF11" s="105">
        <f>'A)NSA Nb'!AF11/'A)NSA Nb'!AE11-1</f>
        <v>-1.1139725826138092E-2</v>
      </c>
      <c r="AG11" s="105">
        <f>'A)NSA Nb'!AG11/'A)NSA Nb'!AF11-1</f>
        <v>-7.7322919799167611E-3</v>
      </c>
      <c r="AH11" s="105">
        <f>'A)NSA Nb'!AH11/'A)NSA Nb'!AG11-1</f>
        <v>-5.9345728460897806E-3</v>
      </c>
      <c r="AI11" s="105">
        <f>'A)NSA Nb'!AI11/'A)NSA Nb'!AH11-1</f>
        <v>-6.5529537172750452E-3</v>
      </c>
      <c r="AJ11" s="105">
        <f>'A)NSA Nb'!AJ11/'A)NSA Nb'!AI11-1</f>
        <v>-1.0477783730787893E-2</v>
      </c>
      <c r="AK11" s="105">
        <f>'A)NSA Nb'!AK11/'A)NSA Nb'!AJ11-1</f>
        <v>-7.6855587665684011E-3</v>
      </c>
      <c r="AL11" s="105">
        <f>'A)NSA Nb'!AL11/'A)NSA Nb'!AK11-1</f>
        <v>-4.8008682689851812E-3</v>
      </c>
      <c r="AM11" s="105">
        <f>'A)NSA Nb'!AM11/'A)NSA Nb'!AL11-1</f>
        <v>-6.8858204017512303E-3</v>
      </c>
      <c r="AN11" s="105">
        <f>'A)NSA Nb'!AN11/'A)NSA Nb'!AM11-1</f>
        <v>-1.0943027753783752E-2</v>
      </c>
      <c r="AO11" s="105">
        <f>'A)NSA Nb'!AO11/'A)NSA Nb'!AN11-1</f>
        <v>-7.7195828311616976E-3</v>
      </c>
      <c r="AP11" s="105">
        <f>'A)NSA Nb'!AP11/'A)NSA Nb'!AO11-1</f>
        <v>-4.8805463885334133E-3</v>
      </c>
      <c r="AQ11" s="105">
        <f>'A)NSA Nb'!AQ11/'A)NSA Nb'!AP11-1</f>
        <v>-5.9465990483288378E-3</v>
      </c>
      <c r="AR11" s="105">
        <f>'A)NSA Nb'!AR11/'A)NSA Nb'!AQ11-1</f>
        <v>-1.1071506769402384E-2</v>
      </c>
      <c r="AS11" s="105">
        <f>'A)NSA Nb'!AS11/'A)NSA Nb'!AR11-1</f>
        <v>-9.7324590810337064E-3</v>
      </c>
      <c r="AT11" s="105">
        <f>'A)NSA Nb'!AT11/'A)NSA Nb'!AS11-1</f>
        <v>-6.0509244665445383E-3</v>
      </c>
      <c r="AU11" s="105">
        <f>'A)NSA Nb'!AU11/'A)NSA Nb'!AT11-1</f>
        <v>-1.0575487760094981E-2</v>
      </c>
      <c r="AV11" s="105">
        <f>'A)NSA Nb'!AV11/'A)NSA Nb'!AU11-1</f>
        <v>-1.2169091567834966E-2</v>
      </c>
      <c r="AW11" s="105">
        <f>'A)NSA Nb'!AW11/'A)NSA Nb'!AV11-1</f>
        <v>-8.9741348112666319E-3</v>
      </c>
      <c r="AX11" s="105">
        <f>'A)NSA Nb'!AX11/'A)NSA Nb'!AW11-1</f>
        <v>-5.7155283478717012E-3</v>
      </c>
      <c r="AY11" s="105">
        <f>'A)NSA Nb'!AY11/'A)NSA Nb'!AX11-1</f>
        <v>-7.2479975570401978E-3</v>
      </c>
      <c r="AZ11" s="105">
        <f>'A)NSA Nb'!AZ11/'A)NSA Nb'!AY11-1</f>
        <v>-1.1943172248211176E-2</v>
      </c>
      <c r="BA11" s="105">
        <f>'A)NSA Nb'!BA11/'A)NSA Nb'!AZ11-1</f>
        <v>-8.546088042292066E-3</v>
      </c>
      <c r="BB11" s="105">
        <f>'A)NSA Nb'!BB11/'A)NSA Nb'!BA11-1</f>
        <v>-4.0158188638254044E-3</v>
      </c>
      <c r="BC11" s="105">
        <f>'A)NSA Nb'!BC11/'A)NSA Nb'!BB11-1</f>
        <v>-1.05657084818781E-2</v>
      </c>
      <c r="BD11" s="105">
        <f>'A)NSA Nb'!BD11/'A)NSA Nb'!BC11-1</f>
        <v>-9.7019655393348891E-3</v>
      </c>
      <c r="BE11" s="105">
        <f>'A)NSA Nb'!BE11/'A)NSA Nb'!BD11-1</f>
        <v>-7.3073250650902422E-3</v>
      </c>
      <c r="BF11" s="105">
        <f>'A)NSA Nb'!BF11/'A)NSA Nb'!BE11-1</f>
        <v>-5.6038383270304859E-3</v>
      </c>
      <c r="BG11" s="105">
        <f>'A)NSA Nb'!BG11/'A)NSA Nb'!BF11-1</f>
        <v>-7.3840982009298894E-3</v>
      </c>
      <c r="BH11" s="105">
        <f>'A)NSA Nb'!BH11/'A)NSA Nb'!BG11-1</f>
        <v>-1.0761830380915161E-2</v>
      </c>
      <c r="BI11" s="105">
        <f>'A)NSA Nb'!BI11/'A)NSA Nb'!BH11-1</f>
        <v>-8.5965437982332693E-3</v>
      </c>
      <c r="BJ11" s="105">
        <f>'A)NSA Nb'!BJ11/'A)NSA Nb'!BI11-1</f>
        <v>-5.6694164618497078E-3</v>
      </c>
    </row>
    <row r="12" spans="1:62" x14ac:dyDescent="0.25">
      <c r="A12" s="30"/>
      <c r="B12" s="10"/>
      <c r="C12" s="40"/>
      <c r="D12" s="40"/>
      <c r="E12" s="40"/>
      <c r="F12" s="40"/>
      <c r="G12" s="40"/>
      <c r="H12" s="40"/>
      <c r="I12" s="40"/>
      <c r="J12" s="40"/>
      <c r="K12" s="146"/>
      <c r="L12" s="146"/>
      <c r="M12" s="40"/>
      <c r="N12" s="40"/>
      <c r="O12" s="40"/>
      <c r="P12" s="40"/>
      <c r="Q12" s="40"/>
      <c r="R12" s="40"/>
      <c r="S12" s="40"/>
      <c r="T12" s="40"/>
      <c r="U12" s="40"/>
      <c r="V12" s="40"/>
      <c r="W12" s="40"/>
      <c r="X12" s="40"/>
      <c r="Y12" s="40"/>
      <c r="Z12" s="40"/>
      <c r="AA12" s="40"/>
      <c r="AB12" s="40"/>
      <c r="AC12" s="40"/>
      <c r="AD12" s="40"/>
      <c r="AE12" s="40"/>
      <c r="AF12" s="40"/>
      <c r="AG12" s="40"/>
      <c r="AH12" s="40"/>
      <c r="AI12" s="40"/>
      <c r="AJ12" s="40"/>
      <c r="AM12" s="40"/>
      <c r="AN12" s="40"/>
      <c r="AO12" s="40"/>
    </row>
    <row r="13" spans="1:62" ht="13" x14ac:dyDescent="0.3">
      <c r="A13" s="26" t="s">
        <v>54</v>
      </c>
      <c r="B13" s="26"/>
      <c r="C13" s="41"/>
      <c r="D13" s="41"/>
      <c r="E13" s="41"/>
      <c r="F13" s="41"/>
      <c r="G13" s="41"/>
      <c r="H13" s="41"/>
      <c r="I13" s="41"/>
      <c r="J13" s="41"/>
      <c r="K13" s="147"/>
      <c r="L13" s="147"/>
      <c r="M13" s="41"/>
      <c r="N13" s="41"/>
      <c r="O13" s="41"/>
      <c r="P13" s="41"/>
      <c r="Q13" s="41"/>
      <c r="R13" s="41"/>
      <c r="S13" s="41"/>
      <c r="T13" s="41"/>
      <c r="U13" s="41"/>
      <c r="V13" s="41"/>
      <c r="W13" s="41"/>
      <c r="X13" s="41"/>
      <c r="Y13" s="41"/>
      <c r="Z13" s="41"/>
      <c r="AA13" s="41"/>
      <c r="AB13" s="41"/>
      <c r="AC13" s="41"/>
      <c r="AD13" s="41"/>
      <c r="AE13" s="41"/>
      <c r="AF13" s="41"/>
      <c r="AG13" s="41"/>
      <c r="AH13" s="41"/>
      <c r="AI13" s="41"/>
      <c r="AJ13" s="41"/>
      <c r="AM13" s="41"/>
      <c r="AN13" s="41"/>
      <c r="AO13" s="41"/>
    </row>
    <row r="14" spans="1:62" ht="13" x14ac:dyDescent="0.3">
      <c r="A14" s="26"/>
      <c r="B14" s="2" t="str">
        <f t="shared" ref="B14:H14" si="0">B8</f>
        <v>4eme T 2009</v>
      </c>
      <c r="C14" s="38" t="str">
        <f t="shared" si="0"/>
        <v>1er T 2010</v>
      </c>
      <c r="D14" s="38" t="str">
        <f t="shared" si="0"/>
        <v>2eme T 2010</v>
      </c>
      <c r="E14" s="38" t="str">
        <f t="shared" si="0"/>
        <v>3eme T 2010</v>
      </c>
      <c r="F14" s="38" t="str">
        <f t="shared" si="0"/>
        <v>4eme T 2010</v>
      </c>
      <c r="G14" s="38" t="str">
        <f t="shared" si="0"/>
        <v>1er T 2011</v>
      </c>
      <c r="H14" s="38" t="str">
        <f t="shared" si="0"/>
        <v>2eme T 2011</v>
      </c>
      <c r="I14" s="38" t="str">
        <f t="shared" ref="I14:N14" si="1">I8</f>
        <v>3eme T 2011</v>
      </c>
      <c r="J14" s="38" t="str">
        <f t="shared" si="1"/>
        <v>4eme T 2011</v>
      </c>
      <c r="K14" s="38" t="str">
        <f t="shared" si="1"/>
        <v>1er T 2012</v>
      </c>
      <c r="L14" s="38" t="str">
        <f t="shared" si="1"/>
        <v>2eme T 2012</v>
      </c>
      <c r="M14" s="38" t="str">
        <f t="shared" si="1"/>
        <v>3eme T 2012</v>
      </c>
      <c r="N14" s="38" t="str">
        <f t="shared" si="1"/>
        <v>4eme T 2012</v>
      </c>
      <c r="O14" s="38" t="str">
        <f t="shared" ref="O14:T14" si="2">O8</f>
        <v>1er T 2013</v>
      </c>
      <c r="P14" s="38" t="str">
        <f t="shared" si="2"/>
        <v>2e T 2013</v>
      </c>
      <c r="Q14" s="38" t="str">
        <f t="shared" si="2"/>
        <v>3e T 2013</v>
      </c>
      <c r="R14" s="38" t="str">
        <f t="shared" si="2"/>
        <v>4e T 2013</v>
      </c>
      <c r="S14" s="38" t="str">
        <f t="shared" si="2"/>
        <v>1er T 2014</v>
      </c>
      <c r="T14" s="38" t="str">
        <f t="shared" si="2"/>
        <v>2e T 2014</v>
      </c>
      <c r="U14" s="38" t="str">
        <f t="shared" ref="U14:V14" si="3">U8</f>
        <v>3e T 2014</v>
      </c>
      <c r="V14" s="38" t="str">
        <f t="shared" si="3"/>
        <v>4e T 2014</v>
      </c>
      <c r="W14" s="38" t="str">
        <f t="shared" ref="W14:X14" si="4">W8</f>
        <v>1er T 2015</v>
      </c>
      <c r="X14" s="38" t="str">
        <f t="shared" si="4"/>
        <v>2e T 2015</v>
      </c>
      <c r="Y14" s="38" t="str">
        <f t="shared" ref="Y14:Z14" si="5">Y8</f>
        <v>3e T 2015</v>
      </c>
      <c r="Z14" s="38" t="str">
        <f t="shared" si="5"/>
        <v>4e T 2015</v>
      </c>
      <c r="AA14" s="38" t="str">
        <f t="shared" ref="AA14:AB14" si="6">AA8</f>
        <v>1er T 2016</v>
      </c>
      <c r="AB14" s="38" t="str">
        <f t="shared" si="6"/>
        <v>2e T 2016</v>
      </c>
      <c r="AC14" s="38" t="str">
        <f t="shared" ref="AC14" si="7">AC8</f>
        <v>3e T 2016</v>
      </c>
      <c r="AD14" s="38" t="str">
        <f t="shared" ref="AD14:AE14" si="8">AD8</f>
        <v>4e T 2016</v>
      </c>
      <c r="AE14" s="38" t="str">
        <f t="shared" si="8"/>
        <v>1e T 2017</v>
      </c>
      <c r="AF14" s="38" t="str">
        <f t="shared" ref="AF14:AG14" si="9">AF8</f>
        <v>2e T 2017</v>
      </c>
      <c r="AG14" s="38" t="str">
        <f t="shared" si="9"/>
        <v>3e T 2017</v>
      </c>
      <c r="AH14" s="38" t="str">
        <f t="shared" ref="AH14:AI14" si="10">AH8</f>
        <v>4e T 2017</v>
      </c>
      <c r="AI14" s="38" t="str">
        <f t="shared" si="10"/>
        <v>1e T 2018</v>
      </c>
      <c r="AJ14" s="178" t="s">
        <v>203</v>
      </c>
      <c r="AK14" s="178" t="s">
        <v>205</v>
      </c>
      <c r="AL14" s="178" t="s">
        <v>207</v>
      </c>
      <c r="AM14" s="38" t="str">
        <f t="shared" ref="AM14:AN14" si="11">AM8</f>
        <v>1e T 2019</v>
      </c>
      <c r="AN14" s="38" t="str">
        <f t="shared" si="11"/>
        <v>2e T 2019</v>
      </c>
      <c r="AO14" s="38" t="str">
        <f t="shared" ref="AO14" si="12">AO8</f>
        <v>3e T 2019</v>
      </c>
      <c r="AP14" s="178" t="s">
        <v>215</v>
      </c>
      <c r="AQ14" s="178" t="str">
        <f t="shared" ref="AQ14:AV14" si="13">AQ8</f>
        <v>1e T 2020</v>
      </c>
      <c r="AR14" s="178" t="str">
        <f t="shared" si="13"/>
        <v>2e T 2020</v>
      </c>
      <c r="AS14" s="178" t="str">
        <f t="shared" si="13"/>
        <v>3e T 2020</v>
      </c>
      <c r="AT14" s="178" t="str">
        <f t="shared" si="13"/>
        <v>4e T 2020</v>
      </c>
      <c r="AU14" s="178" t="str">
        <f t="shared" si="13"/>
        <v>1er T 2021</v>
      </c>
      <c r="AV14" s="178" t="str">
        <f t="shared" si="13"/>
        <v>2e T 2021</v>
      </c>
      <c r="AW14" s="178" t="str">
        <f t="shared" ref="AW14:AX14" si="14">AW8</f>
        <v>3e T 2021</v>
      </c>
      <c r="AX14" s="178" t="str">
        <f t="shared" si="14"/>
        <v>4e T 2021</v>
      </c>
      <c r="AY14" s="178" t="str">
        <f t="shared" ref="AY14:AZ14" si="15">AY8</f>
        <v>1er T 2022</v>
      </c>
      <c r="AZ14" s="178" t="str">
        <f t="shared" si="15"/>
        <v>2e T 2022</v>
      </c>
      <c r="BA14" s="178" t="str">
        <f t="shared" ref="BA14:BB14" si="16">BA8</f>
        <v>3e T 2022</v>
      </c>
      <c r="BB14" s="178" t="str">
        <f t="shared" si="16"/>
        <v>4e T 2022</v>
      </c>
      <c r="BC14" s="178" t="str">
        <f t="shared" ref="BC14:BD14" si="17">BC8</f>
        <v>1er T 2023</v>
      </c>
      <c r="BD14" s="178" t="str">
        <f t="shared" si="17"/>
        <v>2e T 2023</v>
      </c>
      <c r="BE14" s="178" t="str">
        <f t="shared" ref="BE14:BF14" si="18">BE8</f>
        <v>3e T 2023</v>
      </c>
      <c r="BF14" s="178" t="str">
        <f t="shared" si="18"/>
        <v>4e T 2023</v>
      </c>
      <c r="BG14" s="178" t="str">
        <f t="shared" ref="BG14:BH14" si="19">BG8</f>
        <v>1er T 2024</v>
      </c>
      <c r="BH14" s="178" t="str">
        <f t="shared" si="19"/>
        <v>2e T 2024</v>
      </c>
      <c r="BI14" s="178" t="str">
        <f t="shared" ref="BI14:BJ14" si="20">BI8</f>
        <v>3e T 2024</v>
      </c>
      <c r="BJ14" s="178" t="str">
        <f t="shared" si="20"/>
        <v>4e T 2024</v>
      </c>
    </row>
    <row r="15" spans="1:62" x14ac:dyDescent="0.25">
      <c r="A15" s="28" t="s">
        <v>34</v>
      </c>
      <c r="B15" s="3"/>
      <c r="C15" s="105">
        <f>'A)NSA Nb'!C15/'A)NSA Nb'!B15-1</f>
        <v>-3.8284714643150641E-2</v>
      </c>
      <c r="D15" s="105">
        <f>'A)NSA Nb'!D15/'A)NSA Nb'!C15-1</f>
        <v>4.3941645091374326E-3</v>
      </c>
      <c r="E15" s="105">
        <f>'A)NSA Nb'!E15/'A)NSA Nb'!D15-1</f>
        <v>4.2555437695119824E-3</v>
      </c>
      <c r="F15" s="105">
        <f>'A)NSA Nb'!F15/'A)NSA Nb'!E15-1</f>
        <v>5.0059194998084422E-3</v>
      </c>
      <c r="G15" s="105">
        <f>'A)NSA Nb'!G15/'A)NSA Nb'!F15-1</f>
        <v>-4.0987281054574165E-2</v>
      </c>
      <c r="H15" s="105">
        <f>'A)NSA Nb'!H15/'A)NSA Nb'!G15-1</f>
        <v>4.6108559623652123E-3</v>
      </c>
      <c r="I15" s="105">
        <f>'A)NSA Nb'!I15/'A)NSA Nb'!H15-1</f>
        <v>3.6216055526114843E-3</v>
      </c>
      <c r="J15" s="105">
        <f>'A)NSA Nb'!J15/'A)NSA Nb'!I15-1</f>
        <v>3.5917948929287125E-3</v>
      </c>
      <c r="K15" s="105">
        <f>'A)NSA Nb'!K15/'A)NSA Nb'!J15-1</f>
        <v>-4.172820843829117E-2</v>
      </c>
      <c r="L15" s="105">
        <f>'A)NSA Nb'!L15/'A)NSA Nb'!K15-1</f>
        <v>3.6959517276564657E-3</v>
      </c>
      <c r="M15" s="105">
        <f>'A)NSA Nb'!M15/'A)NSA Nb'!L15-1</f>
        <v>2.8151237520397387E-3</v>
      </c>
      <c r="N15" s="105">
        <f>'A)NSA Nb'!N15/'A)NSA Nb'!M15-1</f>
        <v>3.7704571246872653E-3</v>
      </c>
      <c r="O15" s="105">
        <f>'A)NSA Nb'!O15/'A)NSA Nb'!N15-1</f>
        <v>-4.5314109165808469E-2</v>
      </c>
      <c r="P15" s="105">
        <f>'A)NSA Nb'!P15/'A)NSA Nb'!O15-1</f>
        <v>-1.0534806651311457E-2</v>
      </c>
      <c r="Q15" s="105">
        <f>'A)NSA Nb'!Q15/'A)NSA Nb'!P15-1</f>
        <v>-7.814045638292022E-3</v>
      </c>
      <c r="R15" s="105">
        <f>'A)NSA Nb'!R15/'A)NSA Nb'!Q15-1</f>
        <v>-7.3523380689611839E-3</v>
      </c>
      <c r="S15" s="105">
        <f>'A)NSA Nb'!S15/'A)NSA Nb'!R15-1</f>
        <v>-8.7103571189431905E-3</v>
      </c>
      <c r="T15" s="105">
        <f>'A)NSA Nb'!T15/'A)NSA Nb'!S15-1</f>
        <v>-9.2539763067163161E-3</v>
      </c>
      <c r="U15" s="105">
        <f>'A)NSA Nb'!U15/'A)NSA Nb'!T15-1</f>
        <v>-8.4395897703700706E-3</v>
      </c>
      <c r="V15" s="105">
        <f>'A)NSA Nb'!V15/'A)NSA Nb'!U15-1</f>
        <v>-6.8187935958053947E-3</v>
      </c>
      <c r="W15" s="105">
        <f>'A)NSA Nb'!W15/'A)NSA Nb'!V15-1</f>
        <v>-8.2281249861907435E-3</v>
      </c>
      <c r="X15" s="105">
        <f>'A)NSA Nb'!X15/'A)NSA Nb'!W15-1</f>
        <v>-1.2101499320515963E-2</v>
      </c>
      <c r="Y15" s="105">
        <f>'A)NSA Nb'!Y15/'A)NSA Nb'!X15-1</f>
        <v>-9.4037948935363769E-3</v>
      </c>
      <c r="Z15" s="105">
        <f>'A)NSA Nb'!Z15/'A)NSA Nb'!Y15-1</f>
        <v>-7.1194198833817168E-3</v>
      </c>
      <c r="AA15" s="105">
        <f>'A)NSA Nb'!AA15/'A)NSA Nb'!Z15-1</f>
        <v>-7.9439202336860637E-3</v>
      </c>
      <c r="AB15" s="105">
        <f>'A)NSA Nb'!AB15/'A)NSA Nb'!AA15-1</f>
        <v>-1.0891906800161499E-2</v>
      </c>
      <c r="AC15" s="105">
        <f>'A)NSA Nb'!AC15/'A)NSA Nb'!AB15-1</f>
        <v>-9.1954918256237361E-3</v>
      </c>
      <c r="AD15" s="105">
        <f>'A)NSA Nb'!AD15/'A)NSA Nb'!AC15-1</f>
        <v>-7.8642605362538864E-3</v>
      </c>
      <c r="AE15" s="105">
        <f>'A)NSA Nb'!AE15/'A)NSA Nb'!AD15-1</f>
        <v>-9.7172920892495407E-3</v>
      </c>
      <c r="AF15" s="105">
        <f>'A)NSA Nb'!AF15/'A)NSA Nb'!AE15-1</f>
        <v>-1.2942705166200441E-2</v>
      </c>
      <c r="AG15" s="105">
        <f>'A)NSA Nb'!AG15/'A)NSA Nb'!AF15-1</f>
        <v>-9.315521545994021E-3</v>
      </c>
      <c r="AH15" s="105">
        <f>'A)NSA Nb'!AH15/'A)NSA Nb'!AG15-1</f>
        <v>-7.6733750740499707E-3</v>
      </c>
      <c r="AI15" s="105">
        <f>'A)NSA Nb'!AI15/'A)NSA Nb'!AH15-1</f>
        <v>-8.7930934967058727E-3</v>
      </c>
      <c r="AJ15" s="105">
        <f>'A)NSA Nb'!AJ15/'A)NSA Nb'!AI15-1</f>
        <v>-1.1815929710025541E-2</v>
      </c>
      <c r="AK15" s="105">
        <f>'A)NSA Nb'!AK15/'A)NSA Nb'!AJ15-1</f>
        <v>-9.790369912669572E-3</v>
      </c>
      <c r="AL15" s="105">
        <f>'A)NSA Nb'!AL15/'A)NSA Nb'!AK15-1</f>
        <v>-6.7416379884924771E-3</v>
      </c>
      <c r="AM15" s="105">
        <f>'A)NSA Nb'!AM15/'A)NSA Nb'!AL15-1</f>
        <v>-8.937451533883034E-3</v>
      </c>
      <c r="AN15" s="105">
        <f>'A)NSA Nb'!AN15/'A)NSA Nb'!AM15-1</f>
        <v>-1.2590033681665114E-2</v>
      </c>
      <c r="AO15" s="105">
        <f>'A)NSA Nb'!AO15/'A)NSA Nb'!AN15-1</f>
        <v>-9.4881406987707972E-3</v>
      </c>
      <c r="AP15" s="105">
        <f>'A)NSA Nb'!AP15/'A)NSA Nb'!AO15-1</f>
        <v>-7.237252245967718E-3</v>
      </c>
      <c r="AQ15" s="105">
        <f>'A)NSA Nb'!AQ15/'A)NSA Nb'!AP15-1</f>
        <v>-8.1510089141653141E-3</v>
      </c>
      <c r="AR15" s="105">
        <f>'A)NSA Nb'!AR15/'A)NSA Nb'!AQ15-1</f>
        <v>-1.3096418841481716E-2</v>
      </c>
      <c r="AS15" s="105">
        <f>'A)NSA Nb'!AS15/'A)NSA Nb'!AR15-1</f>
        <v>-1.1414707726417728E-2</v>
      </c>
      <c r="AT15" s="105">
        <f>'A)NSA Nb'!AT15/'A)NSA Nb'!AS15-1</f>
        <v>-8.0628853584914228E-3</v>
      </c>
      <c r="AU15" s="105">
        <f>'A)NSA Nb'!AU15/'A)NSA Nb'!AT15-1</f>
        <v>-1.3082203458935293E-2</v>
      </c>
      <c r="AV15" s="105">
        <f>'A)NSA Nb'!AV15/'A)NSA Nb'!AU15-1</f>
        <v>-1.3935391312022483E-2</v>
      </c>
      <c r="AW15" s="105">
        <f>'A)NSA Nb'!AW15/'A)NSA Nb'!AV15-1</f>
        <v>-1.0780639411321125E-2</v>
      </c>
      <c r="AX15" s="105">
        <f>'A)NSA Nb'!AX15/'A)NSA Nb'!AW15-1</f>
        <v>-8.3396381151493726E-3</v>
      </c>
      <c r="AY15" s="105">
        <f>'A)NSA Nb'!AY15/'A)NSA Nb'!AX15-1</f>
        <v>-9.8249905360938694E-3</v>
      </c>
      <c r="AZ15" s="105">
        <f>'A)NSA Nb'!AZ15/'A)NSA Nb'!AY15-1</f>
        <v>-1.4129876444454847E-2</v>
      </c>
      <c r="BA15" s="105">
        <f>'A)NSA Nb'!BA15/'A)NSA Nb'!AZ15-1</f>
        <v>-1.0722943559372977E-2</v>
      </c>
      <c r="BB15" s="105">
        <f>'A)NSA Nb'!BB15/'A)NSA Nb'!BA15-1</f>
        <v>-6.4990803188228474E-3</v>
      </c>
      <c r="BC15" s="105">
        <f>'A)NSA Nb'!BC15/'A)NSA Nb'!BB15-1</f>
        <v>-1.4359943507168849E-2</v>
      </c>
      <c r="BD15" s="105">
        <f>'A)NSA Nb'!BD15/'A)NSA Nb'!BC15-1</f>
        <v>-1.2202206825763451E-2</v>
      </c>
      <c r="BE15" s="105">
        <f>'A)NSA Nb'!BE15/'A)NSA Nb'!BD15-1</f>
        <v>-9.6325499136499237E-3</v>
      </c>
      <c r="BF15" s="105">
        <f>'A)NSA Nb'!BF15/'A)NSA Nb'!BE15-1</f>
        <v>-8.1167400418846736E-3</v>
      </c>
      <c r="BG15" s="105">
        <f>'A)NSA Nb'!BG15/'A)NSA Nb'!BF15-1</f>
        <v>-1.0226835181667004E-2</v>
      </c>
      <c r="BH15" s="105">
        <f>'A)NSA Nb'!BH15/'A)NSA Nb'!BG15-1</f>
        <v>-1.3055633929258459E-2</v>
      </c>
      <c r="BI15" s="105">
        <f>'A)NSA Nb'!BI15/'A)NSA Nb'!BH15-1</f>
        <v>-1.1162222568740554E-2</v>
      </c>
      <c r="BJ15" s="105">
        <f>'A)NSA Nb'!BJ15/'A)NSA Nb'!BI15-1</f>
        <v>-8.3971772868838279E-3</v>
      </c>
    </row>
    <row r="16" spans="1:62" x14ac:dyDescent="0.25">
      <c r="A16" s="28" t="s">
        <v>35</v>
      </c>
      <c r="B16" s="3"/>
      <c r="C16" s="105">
        <f>'A)NSA Nb'!C16/'A)NSA Nb'!B16-1</f>
        <v>-6.2186559679037079E-2</v>
      </c>
      <c r="D16" s="105">
        <f>'A)NSA Nb'!D16/'A)NSA Nb'!C16-1</f>
        <v>1.9251336898395754E-2</v>
      </c>
      <c r="E16" s="105">
        <f>'A)NSA Nb'!E16/'A)NSA Nb'!D16-1</f>
        <v>1.1542497376705096E-2</v>
      </c>
      <c r="F16" s="105">
        <f>'A)NSA Nb'!F16/'A)NSA Nb'!E16-1</f>
        <v>1.8672199170124415E-2</v>
      </c>
      <c r="G16" s="105">
        <f>'A)NSA Nb'!G16/'A)NSA Nb'!F16-1</f>
        <v>-8.1466395112016254E-2</v>
      </c>
      <c r="H16" s="105">
        <f>'A)NSA Nb'!H16/'A)NSA Nb'!G16-1</f>
        <v>1.7738359201773912E-2</v>
      </c>
      <c r="I16" s="105">
        <f>'A)NSA Nb'!I16/'A)NSA Nb'!H16-1</f>
        <v>5.4466230936818238E-3</v>
      </c>
      <c r="J16" s="105">
        <f>'A)NSA Nb'!J16/'A)NSA Nb'!I16-1</f>
        <v>3.250270855904569E-3</v>
      </c>
      <c r="K16" s="105">
        <f>'A)NSA Nb'!K16/'A)NSA Nb'!J16-1</f>
        <v>-7.1274298056155483E-2</v>
      </c>
      <c r="L16" s="105">
        <f>'A)NSA Nb'!L16/'A)NSA Nb'!K16-1</f>
        <v>1.2790697674418539E-2</v>
      </c>
      <c r="M16" s="105">
        <f>'A)NSA Nb'!M16/'A)NSA Nb'!L16-1</f>
        <v>8.036739380022917E-3</v>
      </c>
      <c r="N16" s="105">
        <f>'A)NSA Nb'!N16/'A)NSA Nb'!M16-1</f>
        <v>4.5558086560364419E-3</v>
      </c>
      <c r="O16" s="105" t="s">
        <v>145</v>
      </c>
      <c r="P16" s="105" t="s">
        <v>145</v>
      </c>
      <c r="Q16" s="105" t="s">
        <v>145</v>
      </c>
      <c r="R16" s="105" t="s">
        <v>145</v>
      </c>
      <c r="S16" s="105" t="s">
        <v>145</v>
      </c>
      <c r="T16" s="105" t="s">
        <v>145</v>
      </c>
      <c r="U16" s="105" t="s">
        <v>145</v>
      </c>
      <c r="V16" s="105" t="s">
        <v>145</v>
      </c>
      <c r="W16" s="105" t="s">
        <v>145</v>
      </c>
      <c r="X16" s="105" t="s">
        <v>145</v>
      </c>
      <c r="Y16" s="105" t="s">
        <v>145</v>
      </c>
      <c r="Z16" s="105" t="s">
        <v>145</v>
      </c>
      <c r="AA16" s="105" t="s">
        <v>145</v>
      </c>
      <c r="AB16" s="105" t="s">
        <v>145</v>
      </c>
      <c r="AC16" s="105" t="s">
        <v>145</v>
      </c>
      <c r="AD16" s="105" t="s">
        <v>145</v>
      </c>
      <c r="AE16" s="105" t="s">
        <v>145</v>
      </c>
      <c r="AF16" s="105" t="s">
        <v>145</v>
      </c>
      <c r="AG16" s="105" t="s">
        <v>145</v>
      </c>
      <c r="AH16" s="105" t="s">
        <v>145</v>
      </c>
      <c r="AI16" s="105" t="s">
        <v>145</v>
      </c>
      <c r="AJ16" s="105" t="s">
        <v>145</v>
      </c>
      <c r="AK16" s="105" t="s">
        <v>145</v>
      </c>
      <c r="AL16" s="105" t="s">
        <v>145</v>
      </c>
      <c r="AM16" s="105" t="s">
        <v>145</v>
      </c>
      <c r="AN16" s="105" t="s">
        <v>145</v>
      </c>
      <c r="AO16" s="105" t="s">
        <v>145</v>
      </c>
      <c r="AP16" s="105" t="s">
        <v>145</v>
      </c>
      <c r="AQ16" s="105" t="s">
        <v>145</v>
      </c>
      <c r="AR16" s="105" t="s">
        <v>145</v>
      </c>
      <c r="AS16" s="105" t="s">
        <v>145</v>
      </c>
      <c r="AT16" s="105" t="s">
        <v>145</v>
      </c>
      <c r="AU16" s="105" t="s">
        <v>145</v>
      </c>
      <c r="AV16" s="105" t="s">
        <v>145</v>
      </c>
      <c r="AW16" s="105" t="s">
        <v>145</v>
      </c>
      <c r="AX16" s="105" t="s">
        <v>145</v>
      </c>
      <c r="AY16" s="105" t="s">
        <v>145</v>
      </c>
      <c r="AZ16" s="105" t="s">
        <v>145</v>
      </c>
      <c r="BA16" s="105" t="s">
        <v>145</v>
      </c>
      <c r="BB16" s="105" t="s">
        <v>145</v>
      </c>
      <c r="BC16" s="105" t="s">
        <v>145</v>
      </c>
      <c r="BD16" s="105" t="s">
        <v>145</v>
      </c>
      <c r="BE16" s="105" t="s">
        <v>145</v>
      </c>
      <c r="BF16" s="105" t="s">
        <v>145</v>
      </c>
      <c r="BG16" s="105" t="s">
        <v>145</v>
      </c>
      <c r="BH16" s="105" t="s">
        <v>145</v>
      </c>
      <c r="BI16" s="105" t="s">
        <v>145</v>
      </c>
      <c r="BJ16" s="105" t="s">
        <v>145</v>
      </c>
    </row>
    <row r="17" spans="1:62" x14ac:dyDescent="0.25">
      <c r="A17" s="28" t="s">
        <v>36</v>
      </c>
      <c r="B17" s="3"/>
      <c r="C17" s="105">
        <f>'A)NSA Nb'!C17/'A)NSA Nb'!B17-1</f>
        <v>-0.11395348837209307</v>
      </c>
      <c r="D17" s="105">
        <f>'A)NSA Nb'!D17/'A)NSA Nb'!C17-1</f>
        <v>4.7244094488188004E-3</v>
      </c>
      <c r="E17" s="105">
        <f>'A)NSA Nb'!E17/'A)NSA Nb'!D17-1</f>
        <v>1.5673981191222097E-3</v>
      </c>
      <c r="F17" s="105">
        <f>'A)NSA Nb'!F17/'A)NSA Nb'!E17-1</f>
        <v>1.0432968179447943E-3</v>
      </c>
      <c r="G17" s="105">
        <f>'A)NSA Nb'!G17/'A)NSA Nb'!F17-1</f>
        <v>-0.17248566961959355</v>
      </c>
      <c r="H17" s="105">
        <f>'A)NSA Nb'!H17/'A)NSA Nb'!G17-1</f>
        <v>6.9269521410579848E-3</v>
      </c>
      <c r="I17" s="105">
        <f>'A)NSA Nb'!I17/'A)NSA Nb'!H17-1</f>
        <v>0</v>
      </c>
      <c r="J17" s="105">
        <f>'A)NSA Nb'!J17/'A)NSA Nb'!I17-1</f>
        <v>1.2507817385867259E-3</v>
      </c>
      <c r="K17" s="105">
        <f>'A)NSA Nb'!K17/'A)NSA Nb'!J17-1</f>
        <v>-8.8694565896314859E-2</v>
      </c>
      <c r="L17" s="105">
        <f>'A)NSA Nb'!L17/'A)NSA Nb'!K17-1</f>
        <v>3.4270047978066653E-3</v>
      </c>
      <c r="M17" s="105">
        <f>'A)NSA Nb'!M17/'A)NSA Nb'!L17-1</f>
        <v>0</v>
      </c>
      <c r="N17" s="105">
        <f>'A)NSA Nb'!N17/'A)NSA Nb'!M17-1</f>
        <v>1.366120218579292E-3</v>
      </c>
      <c r="O17" s="105">
        <f>'A)NSA Nb'!O17/'A)NSA Nb'!N17-1</f>
        <v>-0.10572987721691673</v>
      </c>
      <c r="P17" s="105">
        <f>'A)NSA Nb'!P17/'A)NSA Nb'!O17-1</f>
        <v>-1.9069412662090057E-2</v>
      </c>
      <c r="Q17" s="105">
        <f>'A)NSA Nb'!Q17/'A)NSA Nb'!P17-1</f>
        <v>-2.7993779160186638E-2</v>
      </c>
      <c r="R17" s="105">
        <f>'A)NSA Nb'!R17/'A)NSA Nb'!Q17-1</f>
        <v>-2.0000000000000018E-2</v>
      </c>
      <c r="S17" s="105">
        <f>'A)NSA Nb'!S17/'A)NSA Nb'!R17-1</f>
        <v>-2.6122448979591817E-2</v>
      </c>
      <c r="T17" s="105">
        <f>'A)NSA Nb'!T17/'A)NSA Nb'!S17-1</f>
        <v>-1.9279128248113953E-2</v>
      </c>
      <c r="U17" s="105">
        <f>'A)NSA Nb'!U17/'A)NSA Nb'!T17-1</f>
        <v>-2.6495726495726513E-2</v>
      </c>
      <c r="V17" s="105">
        <f>'A)NSA Nb'!V17/'A)NSA Nb'!U17-1</f>
        <v>-2.2827041264266934E-2</v>
      </c>
      <c r="W17" s="105">
        <f>'A)NSA Nb'!W17/'A)NSA Nb'!V17-1</f>
        <v>-2.605570530098833E-2</v>
      </c>
      <c r="X17" s="105">
        <f>'A)NSA Nb'!X17/'A)NSA Nb'!W17-1</f>
        <v>-3.3210332103321027E-2</v>
      </c>
      <c r="Y17" s="105">
        <f>'A)NSA Nb'!Y17/'A)NSA Nb'!X17-1</f>
        <v>-1.8129770992366456E-2</v>
      </c>
      <c r="Z17" s="105">
        <f>'A)NSA Nb'!Z17/'A)NSA Nb'!Y17-1</f>
        <v>-2.9154518950437303E-2</v>
      </c>
      <c r="AA17" s="105">
        <f>'A)NSA Nb'!AA17/'A)NSA Nb'!Z17-1</f>
        <v>-2.6026026026025995E-2</v>
      </c>
      <c r="AB17" s="105">
        <f>'A)NSA Nb'!AB17/'A)NSA Nb'!AA17-1</f>
        <v>-3.4943473792394708E-2</v>
      </c>
      <c r="AC17" s="105">
        <f>'A)NSA Nb'!AC17/'A)NSA Nb'!AB17-1</f>
        <v>-2.7689030883919052E-2</v>
      </c>
      <c r="AD17" s="105">
        <f>'A)NSA Nb'!AD17/'A)NSA Nb'!AC17-1</f>
        <v>-2.4096385542168641E-2</v>
      </c>
      <c r="AE17" s="105">
        <f>'A)NSA Nb'!AE17/'A)NSA Nb'!AD17-1</f>
        <v>-3.9281705948372658E-2</v>
      </c>
      <c r="AF17" s="105">
        <f>'A)NSA Nb'!AF17/'A)NSA Nb'!AE17-1</f>
        <v>-1.7523364485981352E-2</v>
      </c>
      <c r="AG17" s="105">
        <f>'A)NSA Nb'!AG17/'A)NSA Nb'!AF17-1</f>
        <v>-2.2592152199762183E-2</v>
      </c>
      <c r="AH17" s="105">
        <f>'A)NSA Nb'!AH17/'A)NSA Nb'!AG17-1</f>
        <v>-2.676399026763987E-2</v>
      </c>
      <c r="AI17" s="105">
        <f>'A)NSA Nb'!AI17/'A)NSA Nb'!AH17-1</f>
        <v>-3.125E-2</v>
      </c>
      <c r="AJ17" s="105">
        <f>'A)NSA Nb'!AJ17/'A)NSA Nb'!AI17-1</f>
        <v>-2.709677419354839E-2</v>
      </c>
      <c r="AK17" s="105">
        <f>'A)NSA Nb'!AK17/'A)NSA Nb'!AJ17-1</f>
        <v>-2.3872679045092826E-2</v>
      </c>
      <c r="AL17" s="105">
        <f>'A)NSA Nb'!AL17/'A)NSA Nb'!AK17-1</f>
        <v>-3.125E-2</v>
      </c>
      <c r="AM17" s="105">
        <f>'A)NSA Nb'!AM17/'A)NSA Nb'!AL17-1</f>
        <v>-3.0855539971949564E-2</v>
      </c>
      <c r="AN17" s="105">
        <f>'A)NSA Nb'!AN17/'A)NSA Nb'!AM17-1</f>
        <v>-2.3154848046309739E-2</v>
      </c>
      <c r="AO17" s="105">
        <f>'A)NSA Nb'!AO17/'A)NSA Nb'!AN17-1</f>
        <v>-2.5185185185185199E-2</v>
      </c>
      <c r="AP17" s="105">
        <f>'A)NSA Nb'!AP17/'A)NSA Nb'!AO17-1</f>
        <v>-2.8875379939209744E-2</v>
      </c>
      <c r="AQ17" s="105">
        <f>'A)NSA Nb'!AQ17/'A)NSA Nb'!AP17-1</f>
        <v>-2.3474178403755874E-2</v>
      </c>
      <c r="AR17" s="105">
        <f>'A)NSA Nb'!AR17/'A)NSA Nb'!AQ17-1</f>
        <v>-3.5256410256410242E-2</v>
      </c>
      <c r="AS17" s="105">
        <f>'A)NSA Nb'!AS17/'A)NSA Nb'!AR17-1</f>
        <v>-2.9900332225913595E-2</v>
      </c>
      <c r="AT17" s="105">
        <f>'A)NSA Nb'!AT17/'A)NSA Nb'!AS17-1</f>
        <v>-1.1986301369863006E-2</v>
      </c>
      <c r="AU17" s="105">
        <f>'A)NSA Nb'!AU17/'A)NSA Nb'!AT17-1</f>
        <v>-3.2928942807625705E-2</v>
      </c>
      <c r="AV17" s="105">
        <f>'A)NSA Nb'!AV17/'A)NSA Nb'!AU17-1</f>
        <v>-3.5842293906810041E-2</v>
      </c>
      <c r="AW17" s="105">
        <f>'A)NSA Nb'!AW17/'A)NSA Nb'!AV17-1</f>
        <v>-2.6022304832713727E-2</v>
      </c>
      <c r="AX17" s="105">
        <f>'A)NSA Nb'!AX17/'A)NSA Nb'!AW17-1</f>
        <v>-3.8167938931297662E-2</v>
      </c>
      <c r="AY17" s="105">
        <f>'A)NSA Nb'!AY17/'A)NSA Nb'!AX17-1</f>
        <v>-8.333333333333337E-2</v>
      </c>
      <c r="AZ17" s="105">
        <f>'A)NSA Nb'!AZ17/'A)NSA Nb'!AY17-1</f>
        <v>-3.8961038961038974E-2</v>
      </c>
      <c r="BA17" s="105">
        <f>'A)NSA Nb'!BA17/'A)NSA Nb'!AZ17-1</f>
        <v>-3.3783783783783772E-2</v>
      </c>
      <c r="BB17" s="105">
        <f>'A)NSA Nb'!BB17/'A)NSA Nb'!BA17-1</f>
        <v>-3.9627039627039617E-2</v>
      </c>
      <c r="BC17" s="105">
        <f>'A)NSA Nb'!BC17/'A)NSA Nb'!BB17-1</f>
        <v>-3.6407766990291246E-2</v>
      </c>
      <c r="BD17" s="105">
        <f>'A)NSA Nb'!BD17/'A)NSA Nb'!BC17-1</f>
        <v>-4.7858942065491239E-2</v>
      </c>
      <c r="BE17" s="105">
        <f>'A)NSA Nb'!BE17/'A)NSA Nb'!BD17-1</f>
        <v>-1.3227513227513255E-2</v>
      </c>
      <c r="BF17" s="105">
        <f>'A)NSA Nb'!BF17/'A)NSA Nb'!BE17-1</f>
        <v>-1.6085790884718509E-2</v>
      </c>
      <c r="BG17" s="105">
        <f>'A)NSA Nb'!BG17/'A)NSA Nb'!BF17-1</f>
        <v>-4.0871934604904681E-2</v>
      </c>
      <c r="BH17" s="105">
        <f>'A)NSA Nb'!BH17/'A)NSA Nb'!BG17-1</f>
        <v>-2.5568181818181768E-2</v>
      </c>
      <c r="BI17" s="105">
        <f>'A)NSA Nb'!BI17/'A)NSA Nb'!BH17-1</f>
        <v>-2.6239067055393583E-2</v>
      </c>
      <c r="BJ17" s="105">
        <f>'A)NSA Nb'!BJ17/'A)NSA Nb'!BI17-1</f>
        <v>-4.4910179640718528E-2</v>
      </c>
    </row>
    <row r="18" spans="1:62" x14ac:dyDescent="0.25">
      <c r="A18" s="22" t="s">
        <v>37</v>
      </c>
      <c r="B18" s="3"/>
      <c r="C18" s="105">
        <f>'A)NSA Nb'!C18/'A)NSA Nb'!B18-1</f>
        <v>-0.18491489453852483</v>
      </c>
      <c r="D18" s="105">
        <f>'A)NSA Nb'!D18/'A)NSA Nb'!C18-1</f>
        <v>3.8178485081962865E-2</v>
      </c>
      <c r="E18" s="105">
        <f>'A)NSA Nb'!E18/'A)NSA Nb'!D18-1</f>
        <v>5.2461869178010989E-3</v>
      </c>
      <c r="F18" s="105">
        <f>'A)NSA Nb'!F18/'A)NSA Nb'!E18-1</f>
        <v>5.8552480843154786E-3</v>
      </c>
      <c r="G18" s="105">
        <f>'A)NSA Nb'!G18/'A)NSA Nb'!F18-1</f>
        <v>-0.2049049631748121</v>
      </c>
      <c r="H18" s="105">
        <f>'A)NSA Nb'!H18/'A)NSA Nb'!G18-1</f>
        <v>0.13620881744389624</v>
      </c>
      <c r="I18" s="105">
        <f>'A)NSA Nb'!I18/'A)NSA Nb'!H18-1</f>
        <v>5.0148484339105348E-3</v>
      </c>
      <c r="J18" s="105">
        <f>'A)NSA Nb'!J18/'A)NSA Nb'!I18-1</f>
        <v>5.2685864020294293E-3</v>
      </c>
      <c r="K18" s="105">
        <f>'A)NSA Nb'!K18/'A)NSA Nb'!J18-1</f>
        <v>-0.16976318562475734</v>
      </c>
      <c r="L18" s="105">
        <f>'A)NSA Nb'!L18/'A)NSA Nb'!K18-1</f>
        <v>0.12692050768203078</v>
      </c>
      <c r="M18" s="105">
        <f>'A)NSA Nb'!M18/'A)NSA Nb'!L18-1</f>
        <v>1.8850029638411314E-2</v>
      </c>
      <c r="N18" s="105">
        <f>'A)NSA Nb'!N18/'A)NSA Nb'!M18-1</f>
        <v>4.5671398650222184E-3</v>
      </c>
      <c r="O18" s="105">
        <f>'A)NSA Nb'!O18/'A)NSA Nb'!N18-1</f>
        <v>-0.17481828975183156</v>
      </c>
      <c r="P18" s="105">
        <f>'A)NSA Nb'!P18/'A)NSA Nb'!O18-1</f>
        <v>-1.7791970802919721E-2</v>
      </c>
      <c r="Q18" s="105">
        <f>'A)NSA Nb'!Q18/'A)NSA Nb'!P18-1</f>
        <v>-7.0277609060702462E-2</v>
      </c>
      <c r="R18" s="105">
        <f>'A)NSA Nb'!R18/'A)NSA Nb'!Q18-1</f>
        <v>-1.9637230036123277E-2</v>
      </c>
      <c r="S18" s="105">
        <f>'A)NSA Nb'!S18/'A)NSA Nb'!R18-1</f>
        <v>-4.3353847359962394E-2</v>
      </c>
      <c r="T18" s="105">
        <f>'A)NSA Nb'!T18/'A)NSA Nb'!S18-1</f>
        <v>-1.5816431059209157E-2</v>
      </c>
      <c r="U18" s="105">
        <f>'A)NSA Nb'!U18/'A)NSA Nb'!T18-1</f>
        <v>-8.9928806361630365E-2</v>
      </c>
      <c r="V18" s="105">
        <f>'A)NSA Nb'!V18/'A)NSA Nb'!U18-1</f>
        <v>-3.3853332723363661E-3</v>
      </c>
      <c r="W18" s="105">
        <f>'A)NSA Nb'!W18/'A)NSA Nb'!V18-1</f>
        <v>-3.3692907964195551E-2</v>
      </c>
      <c r="X18" s="105">
        <f>'A)NSA Nb'!X18/'A)NSA Nb'!W18-1</f>
        <v>-4.1518217661868806E-2</v>
      </c>
      <c r="Y18" s="105">
        <f>'A)NSA Nb'!Y18/'A)NSA Nb'!X18-1</f>
        <v>-3.3899985131585431E-2</v>
      </c>
      <c r="Z18" s="105">
        <f>'A)NSA Nb'!Z18/'A)NSA Nb'!Y18-1</f>
        <v>-3.1139383368388618E-2</v>
      </c>
      <c r="AA18" s="105">
        <f>'A)NSA Nb'!AA18/'A)NSA Nb'!Z18-1</f>
        <v>-6.8198665678280257E-2</v>
      </c>
      <c r="AB18" s="105">
        <f>'A)NSA Nb'!AB18/'A)NSA Nb'!AA18-1</f>
        <v>-4.3527673599272676E-2</v>
      </c>
      <c r="AC18" s="105">
        <f>'A)NSA Nb'!AC18/'A)NSA Nb'!AB18-1</f>
        <v>-3.6359315589353569E-2</v>
      </c>
      <c r="AD18" s="105">
        <f>'A)NSA Nb'!AD18/'A)NSA Nb'!AC18-1</f>
        <v>-3.1627620221948205E-2</v>
      </c>
      <c r="AE18" s="105">
        <f>'A)NSA Nb'!AE18/'A)NSA Nb'!AD18-1</f>
        <v>-5.1824027503660774E-2</v>
      </c>
      <c r="AF18" s="105">
        <f>'A)NSA Nb'!AF18/'A)NSA Nb'!AE18-1</f>
        <v>-4.0018800778889418E-2</v>
      </c>
      <c r="AG18" s="105">
        <f>'A)NSA Nb'!AG18/'A)NSA Nb'!AF18-1</f>
        <v>-3.5112261313562265E-2</v>
      </c>
      <c r="AH18" s="105">
        <f>'A)NSA Nb'!AH18/'A)NSA Nb'!AG18-1</f>
        <v>-3.6100036245016343E-2</v>
      </c>
      <c r="AI18" s="105">
        <f>'A)NSA Nb'!AI18/'A)NSA Nb'!AH18-1</f>
        <v>-6.8286079566819535E-2</v>
      </c>
      <c r="AJ18" s="105">
        <f>'A)NSA Nb'!AJ18/'A)NSA Nb'!AI18-1</f>
        <v>1.0573896198240451E-2</v>
      </c>
      <c r="AK18" s="105">
        <f>'A)NSA Nb'!AK18/'A)NSA Nb'!AJ18-1</f>
        <v>-2.6597444089456856E-2</v>
      </c>
      <c r="AL18" s="105">
        <f>'A)NSA Nb'!AL18/'A)NSA Nb'!AK18-1</f>
        <v>-3.7088701074915909E-2</v>
      </c>
      <c r="AM18" s="105">
        <f>'A)NSA Nb'!AM18/'A)NSA Nb'!AL18-1</f>
        <v>3.4512143161482767E-2</v>
      </c>
      <c r="AN18" s="105">
        <f>'A)NSA Nb'!AN18/'A)NSA Nb'!AM18-1</f>
        <v>-5.0823723228995088E-2</v>
      </c>
      <c r="AO18" s="105">
        <f>'A)NSA Nb'!AO18/'A)NSA Nb'!AN18-1</f>
        <v>3.5928143712574911E-2</v>
      </c>
      <c r="AP18" s="105">
        <f>'A)NSA Nb'!AP18/'A)NSA Nb'!AO18-1</f>
        <v>-6.140571332830691E-2</v>
      </c>
      <c r="AQ18" s="105">
        <f>'A)NSA Nb'!AQ18/'A)NSA Nb'!AP18-1</f>
        <v>-4.6858264905390912E-2</v>
      </c>
      <c r="AR18" s="105">
        <f>'A)NSA Nb'!AR18/'A)NSA Nb'!AQ18-1</f>
        <v>-5.4405843243749419E-2</v>
      </c>
      <c r="AS18" s="105">
        <f>'A)NSA Nb'!AS18/'A)NSA Nb'!AR18-1</f>
        <v>-3.8819568231332924E-2</v>
      </c>
      <c r="AT18" s="105">
        <f>'A)NSA Nb'!AT18/'A)NSA Nb'!AS18-1</f>
        <v>-3.9357098701833904E-2</v>
      </c>
      <c r="AU18" s="105">
        <f>'A)NSA Nb'!AU18/'A)NSA Nb'!AT18-1</f>
        <v>-5.2552552552552534E-2</v>
      </c>
      <c r="AV18" s="105">
        <f>'A)NSA Nb'!AV18/'A)NSA Nb'!AU18-1</f>
        <v>-5.2297939778129909E-2</v>
      </c>
      <c r="AW18" s="105">
        <f>'A)NSA Nb'!AW18/'A)NSA Nb'!AV18-1</f>
        <v>-4.2881032011466758E-2</v>
      </c>
      <c r="AX18" s="105">
        <f>'A)NSA Nb'!AX18/'A)NSA Nb'!AW18-1</f>
        <v>-4.2680643953575403E-2</v>
      </c>
      <c r="AY18" s="105">
        <f>'A)NSA Nb'!AY18/'A)NSA Nb'!AX18-1</f>
        <v>-8.2127493156042286E-2</v>
      </c>
      <c r="AZ18" s="105">
        <f>'A)NSA Nb'!AZ18/'A)NSA Nb'!AY18-1</f>
        <v>-0.1173128816929413</v>
      </c>
      <c r="BA18" s="105">
        <f>'A)NSA Nb'!BA18/'A)NSA Nb'!AZ18-1</f>
        <v>-4.585679806918741E-2</v>
      </c>
      <c r="BB18" s="105">
        <f>'A)NSA Nb'!BB18/'A)NSA Nb'!BA18-1</f>
        <v>-4.6205733558178808E-2</v>
      </c>
      <c r="BC18" s="105">
        <f>'A)NSA Nb'!BC18/'A)NSA Nb'!BB18-1</f>
        <v>-5.6400282885431419E-2</v>
      </c>
      <c r="BD18" s="105">
        <f>'A)NSA Nb'!BD18/'A)NSA Nb'!BC18-1</f>
        <v>-5.6023983511335973E-2</v>
      </c>
      <c r="BE18" s="105">
        <f>'A)NSA Nb'!BE18/'A)NSA Nb'!BD18-1</f>
        <v>-4.8034934497816595E-2</v>
      </c>
      <c r="BF18" s="105">
        <f>'A)NSA Nb'!BF18/'A)NSA Nb'!BE18-1</f>
        <v>-3.9199332777314466E-2</v>
      </c>
      <c r="BG18" s="105">
        <f>'A)NSA Nb'!BG18/'A)NSA Nb'!BF18-1</f>
        <v>-5.425347222222221E-2</v>
      </c>
      <c r="BH18" s="105">
        <f>'A)NSA Nb'!BH18/'A)NSA Nb'!BG18-1</f>
        <v>-5.6906837999082138E-2</v>
      </c>
      <c r="BI18" s="105">
        <f>'A)NSA Nb'!BI18/'A)NSA Nb'!BH18-1</f>
        <v>-4.4525547445255498E-2</v>
      </c>
      <c r="BJ18" s="105">
        <f>'A)NSA Nb'!BJ18/'A)NSA Nb'!BI18-1</f>
        <v>-5.4749172396231227E-2</v>
      </c>
    </row>
    <row r="19" spans="1:62" x14ac:dyDescent="0.25">
      <c r="A19" s="31" t="s">
        <v>38</v>
      </c>
      <c r="B19" s="3"/>
      <c r="C19" s="105">
        <f>'A)NSA Nb'!C19/'A)NSA Nb'!B19-1</f>
        <v>0.13452914798206272</v>
      </c>
      <c r="D19" s="105">
        <f>'A)NSA Nb'!D19/'A)NSA Nb'!C19-1</f>
        <v>9.0909090909090828E-2</v>
      </c>
      <c r="E19" s="105">
        <f>'A)NSA Nb'!E19/'A)NSA Nb'!D19-1</f>
        <v>7.6811594202898625E-2</v>
      </c>
      <c r="F19" s="105">
        <f>'A)NSA Nb'!F19/'A)NSA Nb'!E19-1</f>
        <v>6.7294751009421283E-2</v>
      </c>
      <c r="G19" s="105">
        <f>'A)NSA Nb'!G19/'A)NSA Nb'!F19-1</f>
        <v>4.5397225725094525E-2</v>
      </c>
      <c r="H19" s="105">
        <f>'A)NSA Nb'!H19/'A)NSA Nb'!G19-1</f>
        <v>8.9867310012062829E-2</v>
      </c>
      <c r="I19" s="105">
        <f>'A)NSA Nb'!I19/'A)NSA Nb'!H19-1</f>
        <v>5.4786939679025926E-2</v>
      </c>
      <c r="J19" s="105">
        <f>'A)NSA Nb'!J19/'A)NSA Nb'!I19-1</f>
        <v>6.0860440713536246E-2</v>
      </c>
      <c r="K19" s="105">
        <f>'A)NSA Nb'!K19/'A)NSA Nb'!J19-1</f>
        <v>5.9347181008901906E-3</v>
      </c>
      <c r="L19" s="105">
        <f>'A)NSA Nb'!L19/'A)NSA Nb'!K19-1</f>
        <v>7.079646017699126E-2</v>
      </c>
      <c r="M19" s="105">
        <f>'A)NSA Nb'!M19/'A)NSA Nb'!L19-1</f>
        <v>4.9127640036730869E-2</v>
      </c>
      <c r="N19" s="105">
        <f>'A)NSA Nb'!N19/'A)NSA Nb'!M19-1</f>
        <v>4.2450765864332496E-2</v>
      </c>
      <c r="O19" s="105">
        <f>'A)NSA Nb'!O19/'A)NSA Nb'!N19-1</f>
        <v>-4.1561712846347576E-2</v>
      </c>
      <c r="P19" s="105">
        <f>'A)NSA Nb'!P19/'A)NSA Nb'!O19-1</f>
        <v>2.5843188786684124E-2</v>
      </c>
      <c r="Q19" s="105">
        <f>'A)NSA Nb'!Q19/'A)NSA Nb'!P19-1</f>
        <v>2.5192143467122063E-2</v>
      </c>
      <c r="R19" s="105">
        <f>'A)NSA Nb'!R19/'A)NSA Nb'!Q19-1</f>
        <v>2.2074135776759762E-2</v>
      </c>
      <c r="S19" s="105">
        <f>'A)NSA Nb'!S19/'A)NSA Nb'!R19-1</f>
        <v>1.7522412387938058E-2</v>
      </c>
      <c r="T19" s="105">
        <f>'A)NSA Nb'!T19/'A)NSA Nb'!S19-1</f>
        <v>1.6019223067681221E-2</v>
      </c>
      <c r="U19" s="105">
        <f>'A)NSA Nb'!U19/'A)NSA Nb'!T19-1</f>
        <v>3.9416633819477909E-4</v>
      </c>
      <c r="V19" s="105">
        <f>'A)NSA Nb'!V19/'A)NSA Nb'!U19-1</f>
        <v>2.8368794326241176E-2</v>
      </c>
      <c r="W19" s="105">
        <f>'A)NSA Nb'!W19/'A)NSA Nb'!V19-1</f>
        <v>1.9157088122605304E-2</v>
      </c>
      <c r="X19" s="105">
        <f>'A)NSA Nb'!X19/'A)NSA Nb'!W19-1</f>
        <v>1.1278195488721776E-2</v>
      </c>
      <c r="Y19" s="105">
        <f>'A)NSA Nb'!Y19/'A)NSA Nb'!X19-1</f>
        <v>1.747211895910783E-2</v>
      </c>
      <c r="Z19" s="105">
        <f>'A)NSA Nb'!Z19/'A)NSA Nb'!Y19-1</f>
        <v>3.3248081841432242E-2</v>
      </c>
      <c r="AA19" s="105">
        <f>'A)NSA Nb'!AA19/'A)NSA Nb'!Z19-1</f>
        <v>1.3790664780763739E-2</v>
      </c>
      <c r="AB19" s="105">
        <f>'A)NSA Nb'!AB19/'A)NSA Nb'!AA19-1</f>
        <v>9.4175095919080132E-3</v>
      </c>
      <c r="AC19" s="105">
        <f>'A)NSA Nb'!AC19/'A)NSA Nb'!AB19-1</f>
        <v>1.5549412577747113E-2</v>
      </c>
      <c r="AD19" s="105">
        <f>'A)NSA Nb'!AD19/'A)NSA Nb'!AC19-1</f>
        <v>1.3269819666553273E-2</v>
      </c>
      <c r="AE19" s="105">
        <f>'A)NSA Nb'!AE19/'A)NSA Nb'!AD19-1</f>
        <v>-9.7380792478173328E-3</v>
      </c>
      <c r="AF19" s="105">
        <f>'A)NSA Nb'!AF19/'A)NSA Nb'!AE19-1</f>
        <v>6.781959986436048E-3</v>
      </c>
      <c r="AG19" s="105">
        <f>'A)NSA Nb'!AG19/'A)NSA Nb'!AF19-1</f>
        <v>4.7153923880094428E-3</v>
      </c>
      <c r="AH19" s="105">
        <f>'A)NSA Nb'!AH19/'A)NSA Nb'!AG19-1</f>
        <v>1.2403620516258762E-2</v>
      </c>
      <c r="AI19" s="105">
        <f>'A)NSA Nb'!AI19/'A)NSA Nb'!AH19-1</f>
        <v>-7.6158940397350605E-3</v>
      </c>
      <c r="AJ19" s="105">
        <f>'A)NSA Nb'!AJ19/'A)NSA Nb'!AI19-1</f>
        <v>3.1031031031031109E-2</v>
      </c>
      <c r="AK19" s="105">
        <f>'A)NSA Nb'!AK19/'A)NSA Nb'!AJ19-1</f>
        <v>6.1488673139158401E-3</v>
      </c>
      <c r="AL19" s="105">
        <f>'A)NSA Nb'!AL19/'A)NSA Nb'!AK19-1</f>
        <v>1.0292698616918727E-2</v>
      </c>
      <c r="AM19" s="105">
        <f>'A)NSA Nb'!AM19/'A)NSA Nb'!AL19-1</f>
        <v>3.4702324100604809E-2</v>
      </c>
      <c r="AN19" s="105">
        <f>'A)NSA Nb'!AN19/'A)NSA Nb'!AM19-1</f>
        <v>4.6153846153846878E-3</v>
      </c>
      <c r="AO19" s="105">
        <f>'A)NSA Nb'!AO19/'A)NSA Nb'!AN19-1</f>
        <v>3.1546707503828486E-2</v>
      </c>
      <c r="AP19" s="105">
        <f>'A)NSA Nb'!AP19/'A)NSA Nb'!AO19-1</f>
        <v>1.098574821852738E-2</v>
      </c>
      <c r="AQ19" s="105">
        <f>'A)NSA Nb'!AQ19/'A)NSA Nb'!AP19-1</f>
        <v>1.2628487518355325E-2</v>
      </c>
      <c r="AR19" s="105">
        <f>'A)NSA Nb'!AR19/'A)NSA Nb'!AQ19-1</f>
        <v>-1.1310904872389838E-2</v>
      </c>
      <c r="AS19" s="105">
        <f>'A)NSA Nb'!AS19/'A)NSA Nb'!AR19-1</f>
        <v>9.386916984452931E-3</v>
      </c>
      <c r="AT19" s="105">
        <f>'A)NSA Nb'!AT19/'A)NSA Nb'!AS19-1</f>
        <v>1.0752688172043001E-2</v>
      </c>
      <c r="AU19" s="105">
        <f>'A)NSA Nb'!AU19/'A)NSA Nb'!AT19-1</f>
        <v>8.9131684876366801E-3</v>
      </c>
      <c r="AV19" s="105">
        <f>'A)NSA Nb'!AV19/'A)NSA Nb'!AU19-1</f>
        <v>-1.111427757195782E-2</v>
      </c>
      <c r="AW19" s="105">
        <f>'A)NSA Nb'!AW19/'A)NSA Nb'!AV19-1</f>
        <v>4.3227665706051521E-3</v>
      </c>
      <c r="AX19" s="105">
        <f>'A)NSA Nb'!AX19/'A)NSA Nb'!AW19-1</f>
        <v>8.6083213773324729E-4</v>
      </c>
      <c r="AY19" s="105">
        <f>'A)NSA Nb'!AY19/'A)NSA Nb'!AX19-1</f>
        <v>-4.5584862385321112E-2</v>
      </c>
      <c r="AZ19" s="105">
        <f>'A)NSA Nb'!AZ19/'A)NSA Nb'!AY19-1</f>
        <v>-8.9516371282667428E-2</v>
      </c>
      <c r="BA19" s="105">
        <f>'A)NSA Nb'!BA19/'A)NSA Nb'!AZ19-1</f>
        <v>-2.6393929396238969E-3</v>
      </c>
      <c r="BB19" s="105">
        <f>'A)NSA Nb'!BB19/'A)NSA Nb'!BA19-1</f>
        <v>5.292755540853511E-3</v>
      </c>
      <c r="BC19" s="105">
        <f>'A)NSA Nb'!BC19/'A)NSA Nb'!BB19-1</f>
        <v>4.6067785455741195E-3</v>
      </c>
      <c r="BD19" s="105">
        <f>'A)NSA Nb'!BD19/'A)NSA Nb'!BC19-1</f>
        <v>-8.1886668850311706E-3</v>
      </c>
      <c r="BE19" s="105">
        <f>'A)NSA Nb'!BE19/'A)NSA Nb'!BD19-1</f>
        <v>-1.3210039630118908E-2</v>
      </c>
      <c r="BF19" s="105">
        <f>'A)NSA Nb'!BF19/'A)NSA Nb'!BE19-1</f>
        <v>1.0374832663989197E-2</v>
      </c>
      <c r="BG19" s="105">
        <f>'A)NSA Nb'!BG19/'A)NSA Nb'!BF19-1</f>
        <v>1.2918184829413759E-2</v>
      </c>
      <c r="BH19" s="105">
        <f>'A)NSA Nb'!BH19/'A)NSA Nb'!BG19-1</f>
        <v>-2.1582733812949617E-2</v>
      </c>
      <c r="BI19" s="105">
        <f>'A)NSA Nb'!BI19/'A)NSA Nb'!BH19-1</f>
        <v>5.6818181818181213E-3</v>
      </c>
      <c r="BJ19" s="105">
        <f>'A)NSA Nb'!BJ19/'A)NSA Nb'!BI19-1</f>
        <v>-1.1631771352608844E-2</v>
      </c>
    </row>
    <row r="20" spans="1:62" x14ac:dyDescent="0.25">
      <c r="A20" s="30"/>
      <c r="B20" s="10"/>
      <c r="C20" s="40"/>
      <c r="D20" s="40"/>
      <c r="E20" s="40"/>
      <c r="F20" s="40"/>
      <c r="G20" s="40"/>
      <c r="H20" s="40"/>
      <c r="I20" s="40"/>
      <c r="J20" s="40"/>
      <c r="K20" s="146"/>
      <c r="L20" s="146"/>
      <c r="M20" s="40"/>
      <c r="N20" s="40"/>
      <c r="O20" s="40"/>
      <c r="P20" s="40"/>
      <c r="Q20" s="40"/>
      <c r="R20" s="40"/>
      <c r="S20" s="40"/>
      <c r="T20" s="40"/>
      <c r="U20" s="40"/>
      <c r="V20" s="40"/>
      <c r="W20" s="40"/>
      <c r="X20" s="40"/>
      <c r="Y20" s="40"/>
      <c r="Z20" s="40"/>
      <c r="AA20" s="40"/>
      <c r="AB20" s="40"/>
      <c r="AC20" s="40"/>
      <c r="AD20" s="40"/>
      <c r="AE20" s="40"/>
      <c r="AF20" s="40"/>
      <c r="AG20" s="40"/>
      <c r="AH20" s="40"/>
      <c r="AI20" s="40"/>
      <c r="AJ20" s="40"/>
      <c r="AM20" s="40"/>
      <c r="AN20" s="40"/>
      <c r="AO20" s="40"/>
    </row>
    <row r="21" spans="1:62" ht="13" x14ac:dyDescent="0.3">
      <c r="A21" s="25" t="s">
        <v>14</v>
      </c>
      <c r="L21" s="14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M21" s="35"/>
      <c r="AN21" s="35"/>
      <c r="AO21" s="35"/>
    </row>
    <row r="22" spans="1:62" x14ac:dyDescent="0.25">
      <c r="A22" s="17" t="s">
        <v>11</v>
      </c>
      <c r="L22" s="14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M22" s="35"/>
      <c r="AN22" s="35"/>
      <c r="AO22" s="35"/>
    </row>
    <row r="23" spans="1:62" x14ac:dyDescent="0.25">
      <c r="A23" s="5"/>
      <c r="B23" s="2" t="str">
        <f t="shared" ref="B23:H23" si="21">B8</f>
        <v>4eme T 2009</v>
      </c>
      <c r="C23" s="38" t="str">
        <f t="shared" si="21"/>
        <v>1er T 2010</v>
      </c>
      <c r="D23" s="38" t="str">
        <f t="shared" si="21"/>
        <v>2eme T 2010</v>
      </c>
      <c r="E23" s="38" t="str">
        <f t="shared" si="21"/>
        <v>3eme T 2010</v>
      </c>
      <c r="F23" s="38" t="str">
        <f t="shared" si="21"/>
        <v>4eme T 2010</v>
      </c>
      <c r="G23" s="38" t="str">
        <f t="shared" si="21"/>
        <v>1er T 2011</v>
      </c>
      <c r="H23" s="38" t="str">
        <f t="shared" si="21"/>
        <v>2eme T 2011</v>
      </c>
      <c r="I23" s="38" t="str">
        <f t="shared" ref="I23:N23" si="22">I8</f>
        <v>3eme T 2011</v>
      </c>
      <c r="J23" s="38" t="str">
        <f t="shared" si="22"/>
        <v>4eme T 2011</v>
      </c>
      <c r="K23" s="38" t="str">
        <f t="shared" si="22"/>
        <v>1er T 2012</v>
      </c>
      <c r="L23" s="38" t="str">
        <f t="shared" si="22"/>
        <v>2eme T 2012</v>
      </c>
      <c r="M23" s="38" t="str">
        <f t="shared" si="22"/>
        <v>3eme T 2012</v>
      </c>
      <c r="N23" s="38" t="str">
        <f t="shared" si="22"/>
        <v>4eme T 2012</v>
      </c>
      <c r="O23" s="38" t="str">
        <f t="shared" ref="O23:T23" si="23">O8</f>
        <v>1er T 2013</v>
      </c>
      <c r="P23" s="38" t="str">
        <f t="shared" si="23"/>
        <v>2e T 2013</v>
      </c>
      <c r="Q23" s="38" t="str">
        <f t="shared" si="23"/>
        <v>3e T 2013</v>
      </c>
      <c r="R23" s="38" t="str">
        <f t="shared" si="23"/>
        <v>4e T 2013</v>
      </c>
      <c r="S23" s="38" t="str">
        <f t="shared" si="23"/>
        <v>1er T 2014</v>
      </c>
      <c r="T23" s="38" t="str">
        <f t="shared" si="23"/>
        <v>2e T 2014</v>
      </c>
      <c r="U23" s="38" t="str">
        <f t="shared" ref="U23:V23" si="24">U8</f>
        <v>3e T 2014</v>
      </c>
      <c r="V23" s="38" t="str">
        <f t="shared" si="24"/>
        <v>4e T 2014</v>
      </c>
      <c r="W23" s="38" t="str">
        <f t="shared" ref="W23:X23" si="25">W8</f>
        <v>1er T 2015</v>
      </c>
      <c r="X23" s="38" t="str">
        <f t="shared" si="25"/>
        <v>2e T 2015</v>
      </c>
      <c r="Y23" s="38" t="str">
        <f t="shared" ref="Y23:Z23" si="26">Y8</f>
        <v>3e T 2015</v>
      </c>
      <c r="Z23" s="38" t="str">
        <f t="shared" si="26"/>
        <v>4e T 2015</v>
      </c>
      <c r="AA23" s="38" t="str">
        <f t="shared" ref="AA23:AB23" si="27">AA8</f>
        <v>1er T 2016</v>
      </c>
      <c r="AB23" s="38" t="str">
        <f t="shared" si="27"/>
        <v>2e T 2016</v>
      </c>
      <c r="AC23" s="38" t="str">
        <f t="shared" ref="AC23" si="28">AC8</f>
        <v>3e T 2016</v>
      </c>
      <c r="AD23" s="38" t="str">
        <f t="shared" ref="AD23:AE23" si="29">AD8</f>
        <v>4e T 2016</v>
      </c>
      <c r="AE23" s="38" t="str">
        <f t="shared" si="29"/>
        <v>1e T 2017</v>
      </c>
      <c r="AF23" s="38" t="str">
        <f t="shared" ref="AF23:AG23" si="30">AF8</f>
        <v>2e T 2017</v>
      </c>
      <c r="AG23" s="38" t="str">
        <f t="shared" si="30"/>
        <v>3e T 2017</v>
      </c>
      <c r="AH23" s="38" t="str">
        <f t="shared" ref="AH23:AI23" si="31">AH8</f>
        <v>4e T 2017</v>
      </c>
      <c r="AI23" s="38" t="str">
        <f t="shared" si="31"/>
        <v>1e T 2018</v>
      </c>
      <c r="AJ23" s="38" t="str">
        <f t="shared" ref="AJ23:AK23" si="32">AJ8</f>
        <v>2e T 2018</v>
      </c>
      <c r="AK23" s="38" t="str">
        <f t="shared" si="32"/>
        <v>3e T 2018</v>
      </c>
      <c r="AL23" s="38" t="str">
        <f t="shared" ref="AL23:AM23" si="33">AL8</f>
        <v>4e T 2018</v>
      </c>
      <c r="AM23" s="38" t="str">
        <f t="shared" si="33"/>
        <v>1e T 2019</v>
      </c>
      <c r="AN23" s="38" t="str">
        <f t="shared" ref="AN23:AP23" si="34">AN8</f>
        <v>2e T 2019</v>
      </c>
      <c r="AO23" s="38" t="str">
        <f t="shared" si="34"/>
        <v>3e T 2019</v>
      </c>
      <c r="AP23" s="38" t="str">
        <f t="shared" si="34"/>
        <v>4e T 2019</v>
      </c>
      <c r="AQ23" s="38" t="str">
        <f t="shared" ref="AQ23" si="35">AQ8</f>
        <v>1e T 2020</v>
      </c>
      <c r="AR23" s="38" t="str">
        <f t="shared" ref="AR23:AS23" si="36">AR8</f>
        <v>2e T 2020</v>
      </c>
      <c r="AS23" s="38" t="str">
        <f t="shared" si="36"/>
        <v>3e T 2020</v>
      </c>
      <c r="AT23" s="38" t="str">
        <f t="shared" ref="AT23:AU23" si="37">AT8</f>
        <v>4e T 2020</v>
      </c>
      <c r="AU23" s="38" t="str">
        <f t="shared" si="37"/>
        <v>1er T 2021</v>
      </c>
      <c r="AV23" s="38" t="str">
        <f t="shared" ref="AV23:AW23" si="38">AV8</f>
        <v>2e T 2021</v>
      </c>
      <c r="AW23" s="38" t="str">
        <f t="shared" si="38"/>
        <v>3e T 2021</v>
      </c>
      <c r="AX23" s="38" t="str">
        <f t="shared" ref="AX23:AY23" si="39">AX8</f>
        <v>4e T 2021</v>
      </c>
      <c r="AY23" s="38" t="str">
        <f t="shared" si="39"/>
        <v>1er T 2022</v>
      </c>
      <c r="AZ23" s="38" t="str">
        <f t="shared" ref="AZ23:BA23" si="40">AZ8</f>
        <v>2e T 2022</v>
      </c>
      <c r="BA23" s="38" t="str">
        <f t="shared" si="40"/>
        <v>3e T 2022</v>
      </c>
      <c r="BB23" s="38" t="str">
        <f t="shared" ref="BB23:BC23" si="41">BB8</f>
        <v>4e T 2022</v>
      </c>
      <c r="BC23" s="38" t="str">
        <f t="shared" si="41"/>
        <v>1er T 2023</v>
      </c>
      <c r="BD23" s="38" t="str">
        <f t="shared" ref="BD23:BE23" si="42">BD8</f>
        <v>2e T 2023</v>
      </c>
      <c r="BE23" s="38" t="str">
        <f t="shared" si="42"/>
        <v>3e T 2023</v>
      </c>
      <c r="BF23" s="38" t="str">
        <f t="shared" ref="BF23:BG23" si="43">BF8</f>
        <v>4e T 2023</v>
      </c>
      <c r="BG23" s="38" t="str">
        <f t="shared" si="43"/>
        <v>1er T 2024</v>
      </c>
      <c r="BH23" s="38" t="str">
        <f t="shared" ref="BH23:BI23" si="44">BH8</f>
        <v>2e T 2024</v>
      </c>
      <c r="BI23" s="38" t="str">
        <f t="shared" si="44"/>
        <v>3e T 2024</v>
      </c>
      <c r="BJ23" s="38" t="str">
        <f t="shared" ref="BJ23" si="45">BJ8</f>
        <v>4e T 2024</v>
      </c>
    </row>
    <row r="24" spans="1:62" x14ac:dyDescent="0.25">
      <c r="A24" s="20" t="s">
        <v>27</v>
      </c>
      <c r="B24" s="16"/>
      <c r="C24" s="105">
        <f>'A)NSA Nb'!C24/'A)NSA Nb'!B24-1</f>
        <v>3.0052298805713917E-3</v>
      </c>
      <c r="D24" s="105">
        <f>'A)NSA Nb'!D24/'A)NSA Nb'!C24-1</f>
        <v>9.214366317755518E-3</v>
      </c>
      <c r="E24" s="105">
        <f>'A)NSA Nb'!E24/'A)NSA Nb'!D24-1</f>
        <v>-4.7810362510503079E-4</v>
      </c>
      <c r="F24" s="105">
        <f>'A)NSA Nb'!F24/'A)NSA Nb'!E24-1</f>
        <v>6.4806313986576214E-4</v>
      </c>
      <c r="G24" s="105">
        <f>'A)NSA Nb'!G24/'A)NSA Nb'!F24-1</f>
        <v>1.4803278309343249E-3</v>
      </c>
      <c r="H24" s="105">
        <f>'A)NSA Nb'!H24/'A)NSA Nb'!G24-1</f>
        <v>2.2125903628370969E-2</v>
      </c>
      <c r="I24" s="105">
        <f>'A)NSA Nb'!I24/'A)NSA Nb'!H24-1</f>
        <v>-3.3893964614706285E-4</v>
      </c>
      <c r="J24" s="105">
        <f>'A)NSA Nb'!J24/'A)NSA Nb'!I24-1</f>
        <v>8.8907641536439819E-4</v>
      </c>
      <c r="K24" s="105">
        <f>'A)NSA Nb'!K24/'A)NSA Nb'!J24-1</f>
        <v>-1.1442336645588469E-3</v>
      </c>
      <c r="L24" s="105">
        <f>'A)NSA Nb'!L24/'A)NSA Nb'!K24-1</f>
        <v>2.2910888701314303E-2</v>
      </c>
      <c r="M24" s="105">
        <f>'A)NSA Nb'!M24/'A)NSA Nb'!L24-1</f>
        <v>-3.1681009076978128E-4</v>
      </c>
      <c r="N24" s="105">
        <f>'A)NSA Nb'!N24/'A)NSA Nb'!M24-1</f>
        <v>6.7067103954010499E-4</v>
      </c>
      <c r="O24" s="105">
        <f>'A)NSA Nb'!O24/'A)NSA Nb'!N24-1</f>
        <v>1.1047607824665739E-4</v>
      </c>
      <c r="P24" s="105">
        <f>'A)NSA Nb'!P24/'A)NSA Nb'!O24-1</f>
        <v>1.2821173715489076E-2</v>
      </c>
      <c r="Q24" s="105">
        <f>'A)NSA Nb'!Q24/'A)NSA Nb'!P24-1</f>
        <v>-4.217200360643325E-4</v>
      </c>
      <c r="R24" s="105">
        <f>'A)NSA Nb'!R24/'A)NSA Nb'!Q24-1</f>
        <v>-1.86217030129332E-3</v>
      </c>
      <c r="S24" s="105">
        <f>'A)NSA Nb'!S24/'A)NSA Nb'!R24-1</f>
        <v>3.7968779606174508E-3</v>
      </c>
      <c r="T24" s="105">
        <f>'A)NSA Nb'!T24/'A)NSA Nb'!S24-1</f>
        <v>-1.0164151039293579E-4</v>
      </c>
      <c r="U24" s="105">
        <f>'A)NSA Nb'!U24/'A)NSA Nb'!T24-1</f>
        <v>-5.8086767108278536E-5</v>
      </c>
      <c r="V24" s="105">
        <f>'A)NSA Nb'!V24/'A)NSA Nb'!U24-1</f>
        <v>8.7135212065314605E-4</v>
      </c>
      <c r="W24" s="105">
        <f>'A)NSA Nb'!W24/'A)NSA Nb'!V24-1</f>
        <v>3.9902203327124575E-4</v>
      </c>
      <c r="X24" s="105">
        <f>'A)NSA Nb'!X24/'A)NSA Nb'!W24-1</f>
        <v>2.3206567458577965E-4</v>
      </c>
      <c r="Y24" s="105">
        <f>'A)NSA Nb'!Y24/'A)NSA Nb'!X24-1</f>
        <v>2.6826368144772239E-4</v>
      </c>
      <c r="Z24" s="105">
        <f>'A)NSA Nb'!Z24/'A)NSA Nb'!Y24-1</f>
        <v>2.5949362500998774E-3</v>
      </c>
      <c r="AA24" s="105">
        <f>'A)NSA Nb'!AA24/'A)NSA Nb'!Z24-1</f>
        <v>1.3302583159218173E-3</v>
      </c>
      <c r="AB24" s="105">
        <f>'A)NSA Nb'!AB24/'A)NSA Nb'!AA24-1</f>
        <v>2.0216168602837925E-4</v>
      </c>
      <c r="AC24" s="105">
        <f>'A)NSA Nb'!AC24/'A)NSA Nb'!AB24-1</f>
        <v>7.2186008908126098E-6</v>
      </c>
      <c r="AD24" s="105">
        <f>'A)NSA Nb'!AD24/'A)NSA Nb'!AC24-1</f>
        <v>1.5086766956371456E-3</v>
      </c>
      <c r="AE24" s="105">
        <f>'A)NSA Nb'!AE24/'A)NSA Nb'!AD24-1</f>
        <v>1.4991963442674283E-3</v>
      </c>
      <c r="AF24" s="105">
        <f>'A)NSA Nb'!AF24/'A)NSA Nb'!AE24-1</f>
        <v>-5.6135704467108472E-4</v>
      </c>
      <c r="AG24" s="105">
        <f>'A)NSA Nb'!AG24/'A)NSA Nb'!AF24-1</f>
        <v>6.1927976323339351E-4</v>
      </c>
      <c r="AH24" s="105">
        <f>'A)NSA Nb'!AH24/'A)NSA Nb'!AG24-1</f>
        <v>8.6141756082818155E-3</v>
      </c>
      <c r="AI24" s="105">
        <f>'A)NSA Nb'!AI24/'A)NSA Nb'!AH24-1</f>
        <v>1.3413816230718467E-3</v>
      </c>
      <c r="AJ24" s="105">
        <f>'A)NSA Nb'!AJ24/'A)NSA Nb'!AI24-1</f>
        <v>1.3894628835271483E-3</v>
      </c>
      <c r="AK24" s="105">
        <f>'A)NSA Nb'!AK24/'A)NSA Nb'!AJ24-1</f>
        <v>-1.9923578844005529E-4</v>
      </c>
      <c r="AL24" s="105">
        <f>'A)NSA Nb'!AL24/'A)NSA Nb'!AK24-1</f>
        <v>8.8962272879311577E-4</v>
      </c>
      <c r="AM24" s="105">
        <f>'A)NSA Nb'!AM24/'A)NSA Nb'!AL24-1</f>
        <v>5.155225621115811E-3</v>
      </c>
      <c r="AN24" s="105">
        <f>'A)NSA Nb'!AN24/'A)NSA Nb'!AM24-1</f>
        <v>7.4986382190034284E-4</v>
      </c>
      <c r="AO24" s="105">
        <f>'A)NSA Nb'!AO24/'A)NSA Nb'!AN24-1</f>
        <v>0</v>
      </c>
      <c r="AP24" s="105">
        <f>'A)NSA Nb'!AP24/'A)NSA Nb'!AO24-1</f>
        <v>1.6611882797865629E-3</v>
      </c>
      <c r="AQ24" s="105">
        <f>'A)NSA Nb'!AQ24/'A)NSA Nb'!AP24-1</f>
        <v>1.2371206774876464E-2</v>
      </c>
      <c r="AR24" s="105">
        <f>'A)NSA Nb'!AR24/'A)NSA Nb'!AQ24-1</f>
        <v>-5.4373209343827611E-4</v>
      </c>
      <c r="AS24" s="105">
        <f>'A)NSA Nb'!AS24/'A)NSA Nb'!AR24-1</f>
        <v>3.9058413251957802E-4</v>
      </c>
      <c r="AT24" s="105">
        <f>'A)NSA Nb'!AT24/'A)NSA Nb'!AS24-1</f>
        <v>1.7081384080150919E-3</v>
      </c>
      <c r="AU24" s="105">
        <f>'A)NSA Nb'!AU24/'A)NSA Nb'!AT24-1</f>
        <v>4.7467913917424998E-3</v>
      </c>
      <c r="AV24" s="105">
        <f>'A)NSA Nb'!AV24/'A)NSA Nb'!AU24-1</f>
        <v>2.8401612657424913E-4</v>
      </c>
      <c r="AW24" s="105">
        <f>'A)NSA Nb'!AW24/'A)NSA Nb'!AV24-1</f>
        <v>8.7258222009856112E-4</v>
      </c>
      <c r="AX24" s="105">
        <f>'A)NSA Nb'!AX24/'A)NSA Nb'!AW24-1</f>
        <v>2.871115449998296E-3</v>
      </c>
      <c r="AY24" s="105">
        <f>'A)NSA Nb'!AY24/'A)NSA Nb'!AX24-1</f>
        <v>1.9613072721927916E-2</v>
      </c>
      <c r="AZ24" s="105">
        <f>'A)NSA Nb'!AZ24/'A)NSA Nb'!AY24-1</f>
        <v>1.2582880367562055E-4</v>
      </c>
      <c r="BA24" s="105">
        <f>'A)NSA Nb'!BA24/'A)NSA Nb'!AZ24-1</f>
        <v>3.9544921205390215E-2</v>
      </c>
      <c r="BB24" s="105">
        <f>'A)NSA Nb'!BB24/'A)NSA Nb'!BA24-1</f>
        <v>5.6453737726536168E-4</v>
      </c>
      <c r="BC24" s="105">
        <f>'A)NSA Nb'!BC24/'A)NSA Nb'!BB24-1</f>
        <v>1.2564227078628809E-2</v>
      </c>
      <c r="BD24" s="105">
        <f>'A)NSA Nb'!BD24/'A)NSA Nb'!BC24-1</f>
        <v>1.9213982366483862E-3</v>
      </c>
      <c r="BE24" s="105">
        <f>'A)NSA Nb'!BE24/'A)NSA Nb'!BD24-1</f>
        <v>1.2234430029278709E-3</v>
      </c>
      <c r="BF24" s="105">
        <f>'A)NSA Nb'!BF24/'A)NSA Nb'!BE24-1</f>
        <v>2.8489387653616305E-3</v>
      </c>
      <c r="BG24" s="105">
        <f>'A)NSA Nb'!BG24/'A)NSA Nb'!BF24-1</f>
        <v>5.374120900514634E-2</v>
      </c>
      <c r="BH24" s="105">
        <f>'A)NSA Nb'!BH24/'A)NSA Nb'!BG24-1</f>
        <v>1.3227367970944925E-3</v>
      </c>
      <c r="BI24" s="105">
        <f>'A)NSA Nb'!BI24/'A)NSA Nb'!BH24-1</f>
        <v>5.4046957523534722E-4</v>
      </c>
      <c r="BJ24" s="105">
        <f>'A)NSA Nb'!BJ24/'A)NSA Nb'!BI24-1</f>
        <v>2.1669131283825749E-3</v>
      </c>
    </row>
    <row r="25" spans="1:62" x14ac:dyDescent="0.25">
      <c r="A25" s="20" t="s">
        <v>28</v>
      </c>
      <c r="B25" s="16"/>
      <c r="C25" s="105">
        <f>'A)NSA Nb'!C25/'A)NSA Nb'!B25-1</f>
        <v>-7.7909261680053632E-5</v>
      </c>
      <c r="D25" s="105">
        <f>'A)NSA Nb'!D25/'A)NSA Nb'!C25-1</f>
        <v>8.7524889619947643E-3</v>
      </c>
      <c r="E25" s="105">
        <f>'A)NSA Nb'!E25/'A)NSA Nb'!D25-1</f>
        <v>-1.9738931179791308E-4</v>
      </c>
      <c r="F25" s="105">
        <f>'A)NSA Nb'!F25/'A)NSA Nb'!E25-1</f>
        <v>-8.3263231986818731E-4</v>
      </c>
      <c r="G25" s="105">
        <f>'A)NSA Nb'!G25/'A)NSA Nb'!F25-1</f>
        <v>3.9346741007380004E-3</v>
      </c>
      <c r="H25" s="105">
        <f>'A)NSA Nb'!H25/'A)NSA Nb'!G25-1</f>
        <v>2.373800905364587E-2</v>
      </c>
      <c r="I25" s="105">
        <f>'A)NSA Nb'!I25/'A)NSA Nb'!H25-1</f>
        <v>-6.8542960554351939E-4</v>
      </c>
      <c r="J25" s="105">
        <f>'A)NSA Nb'!J25/'A)NSA Nb'!I25-1</f>
        <v>-5.4370101462986042E-4</v>
      </c>
      <c r="K25" s="105">
        <f>'A)NSA Nb'!K25/'A)NSA Nb'!J25-1</f>
        <v>-2.1676179636107573E-3</v>
      </c>
      <c r="L25" s="105">
        <f>'A)NSA Nb'!L25/'A)NSA Nb'!K25-1</f>
        <v>2.2033599771863699E-2</v>
      </c>
      <c r="M25" s="105">
        <f>'A)NSA Nb'!M25/'A)NSA Nb'!L25-1</f>
        <v>-1.3622860144105742E-3</v>
      </c>
      <c r="N25" s="105">
        <f>'A)NSA Nb'!N25/'A)NSA Nb'!M25-1</f>
        <v>-4.6019328117818947E-4</v>
      </c>
      <c r="O25" s="105">
        <f>'A)NSA Nb'!O25/'A)NSA Nb'!N25-1</f>
        <v>-1.4963167587476178E-3</v>
      </c>
      <c r="P25" s="105">
        <f>'A)NSA Nb'!P25/'A)NSA Nb'!O25-1</f>
        <v>1.16508851379169E-2</v>
      </c>
      <c r="Q25" s="105">
        <f>'A)NSA Nb'!Q25/'A)NSA Nb'!P25-1</f>
        <v>-1.635941887437431E-3</v>
      </c>
      <c r="R25" s="105">
        <f>'A)NSA Nb'!R25/'A)NSA Nb'!Q25-1</f>
        <v>-2.0625448379314459E-3</v>
      </c>
      <c r="S25" s="105">
        <f>'A)NSA Nb'!S25/'A)NSA Nb'!R25-1</f>
        <v>9.5579645620080811E-4</v>
      </c>
      <c r="T25" s="105">
        <f>'A)NSA Nb'!T25/'A)NSA Nb'!S25-1</f>
        <v>-1.7710237659963601E-3</v>
      </c>
      <c r="U25" s="105">
        <f>'A)NSA Nb'!U25/'A)NSA Nb'!T25-1</f>
        <v>-8.9117086770607035E-4</v>
      </c>
      <c r="V25" s="105">
        <f>'A)NSA Nb'!V25/'A)NSA Nb'!U25-1</f>
        <v>-3.4369322924343582E-4</v>
      </c>
      <c r="W25" s="105">
        <f>'A)NSA Nb'!W25/'A)NSA Nb'!V25-1</f>
        <v>-1.4571054354943769E-3</v>
      </c>
      <c r="X25" s="105">
        <f>'A)NSA Nb'!X25/'A)NSA Nb'!W25-1</f>
        <v>-9.5095997770155982E-4</v>
      </c>
      <c r="Y25" s="105">
        <f>'A)NSA Nb'!Y25/'A)NSA Nb'!X25-1</f>
        <v>-4.5131537918707831E-4</v>
      </c>
      <c r="Z25" s="105">
        <f>'A)NSA Nb'!Z25/'A)NSA Nb'!Y25-1</f>
        <v>3.3658700774163997E-4</v>
      </c>
      <c r="AA25" s="105">
        <f>'A)NSA Nb'!AA25/'A)NSA Nb'!Z25-1</f>
        <v>-1.0176279420937018E-3</v>
      </c>
      <c r="AB25" s="105">
        <f>'A)NSA Nb'!AB25/'A)NSA Nb'!AA25-1</f>
        <v>-1.2897607781282572E-3</v>
      </c>
      <c r="AC25" s="105">
        <f>'A)NSA Nb'!AC25/'A)NSA Nb'!AB25-1</f>
        <v>-1.1186878449631621E-3</v>
      </c>
      <c r="AD25" s="105">
        <f>'A)NSA Nb'!AD25/'A)NSA Nb'!AC25-1</f>
        <v>-5.1056120558312656E-4</v>
      </c>
      <c r="AE25" s="105">
        <f>'A)NSA Nb'!AE25/'A)NSA Nb'!AD25-1</f>
        <v>-1.33472848162286E-3</v>
      </c>
      <c r="AF25" s="105">
        <f>'A)NSA Nb'!AF25/'A)NSA Nb'!AE25-1</f>
        <v>-1.9305178572901482E-3</v>
      </c>
      <c r="AG25" s="105">
        <f>'A)NSA Nb'!AG25/'A)NSA Nb'!AF25-1</f>
        <v>-6.034204848855973E-4</v>
      </c>
      <c r="AH25" s="105">
        <f>'A)NSA Nb'!AH25/'A)NSA Nb'!AG25-1</f>
        <v>6.4017733077483818E-3</v>
      </c>
      <c r="AI25" s="105">
        <f>'A)NSA Nb'!AI25/'A)NSA Nb'!AH25-1</f>
        <v>-1.5532799684412346E-3</v>
      </c>
      <c r="AJ25" s="105">
        <f>'A)NSA Nb'!AJ25/'A)NSA Nb'!AI25-1</f>
        <v>-4.9387187317384562E-4</v>
      </c>
      <c r="AK25" s="105">
        <f>'A)NSA Nb'!AK25/'A)NSA Nb'!AJ25-1</f>
        <v>-1.2599955529568607E-3</v>
      </c>
      <c r="AL25" s="105">
        <f>'A)NSA Nb'!AL25/'A)NSA Nb'!AK25-1</f>
        <v>-1.1214090174477276E-3</v>
      </c>
      <c r="AM25" s="105">
        <f>'A)NSA Nb'!AM25/'A)NSA Nb'!AL25-1</f>
        <v>2.7241208519068749E-3</v>
      </c>
      <c r="AN25" s="105">
        <f>'A)NSA Nb'!AN25/'A)NSA Nb'!AM25-1</f>
        <v>-1.5971021651437489E-3</v>
      </c>
      <c r="AO25" s="105">
        <f>'A)NSA Nb'!AO25/'A)NSA Nb'!AN25-1</f>
        <v>-4.7824796332329722E-4</v>
      </c>
      <c r="AP25" s="105">
        <f>'A)NSA Nb'!AP25/'A)NSA Nb'!AO25-1</f>
        <v>-2.6646207658929111E-3</v>
      </c>
      <c r="AQ25" s="105">
        <f>'A)NSA Nb'!AQ25/'A)NSA Nb'!AP25-1</f>
        <v>1.0265106083791498E-2</v>
      </c>
      <c r="AR25" s="105">
        <f>'A)NSA Nb'!AR25/'A)NSA Nb'!AQ25-1</f>
        <v>-2.742844042706416E-3</v>
      </c>
      <c r="AS25" s="105">
        <f>'A)NSA Nb'!AS25/'A)NSA Nb'!AR25-1</f>
        <v>-1.6830732095794998E-3</v>
      </c>
      <c r="AT25" s="105">
        <f>'A)NSA Nb'!AT25/'A)NSA Nb'!AS25-1</f>
        <v>-1.3322806671273169E-3</v>
      </c>
      <c r="AU25" s="105">
        <f>'A)NSA Nb'!AU25/'A)NSA Nb'!AT25-1</f>
        <v>2.0010870102278311E-3</v>
      </c>
      <c r="AV25" s="105">
        <f>'A)NSA Nb'!AV25/'A)NSA Nb'!AU25-1</f>
        <v>-2.1861156997625697E-3</v>
      </c>
      <c r="AW25" s="105">
        <f>'A)NSA Nb'!AW25/'A)NSA Nb'!AV25-1</f>
        <v>-1.5237499073395E-3</v>
      </c>
      <c r="AX25" s="105">
        <f>'A)NSA Nb'!AX25/'A)NSA Nb'!AW25-1</f>
        <v>-5.3167286055799678E-4</v>
      </c>
      <c r="AY25" s="105">
        <f>'A)NSA Nb'!AY25/'A)NSA Nb'!AX25-1</f>
        <v>4.0238568964955368E-2</v>
      </c>
      <c r="AZ25" s="105">
        <f>'A)NSA Nb'!AZ25/'A)NSA Nb'!AY25-1</f>
        <v>-3.0815327374159596E-3</v>
      </c>
      <c r="BA25" s="105">
        <f>'A)NSA Nb'!BA25/'A)NSA Nb'!AZ25-1</f>
        <v>3.7139733017665932E-2</v>
      </c>
      <c r="BB25" s="105">
        <f>'A)NSA Nb'!BB25/'A)NSA Nb'!BA25-1</f>
        <v>-4.2487300168143616E-3</v>
      </c>
      <c r="BC25" s="105">
        <f>'A)NSA Nb'!BC25/'A)NSA Nb'!BB25-1</f>
        <v>7.7351656965620741E-3</v>
      </c>
      <c r="BD25" s="105">
        <f>'A)NSA Nb'!BD25/'A)NSA Nb'!BC25-1</f>
        <v>-1.8253087986596084E-3</v>
      </c>
      <c r="BE25" s="105">
        <f>'A)NSA Nb'!BE25/'A)NSA Nb'!BD25-1</f>
        <v>-2.3691594944013072E-3</v>
      </c>
      <c r="BF25" s="105">
        <f>'A)NSA Nb'!BF25/'A)NSA Nb'!BE25-1</f>
        <v>-1.149708375502545E-3</v>
      </c>
      <c r="BG25" s="105">
        <f>'A)NSA Nb'!BG25/'A)NSA Nb'!BF25-1</f>
        <v>4.8210103842056151E-2</v>
      </c>
      <c r="BH25" s="105">
        <f>'A)NSA Nb'!BH25/'A)NSA Nb'!BG25-1</f>
        <v>-2.3682812342195048E-3</v>
      </c>
      <c r="BI25" s="105">
        <f>'A)NSA Nb'!BI25/'A)NSA Nb'!BH25-1</f>
        <v>-2.5244513709525851E-3</v>
      </c>
      <c r="BJ25" s="105">
        <f>'A)NSA Nb'!BJ25/'A)NSA Nb'!BI25-1</f>
        <v>-1.8081153068568723E-3</v>
      </c>
    </row>
    <row r="26" spans="1:62" x14ac:dyDescent="0.25">
      <c r="A26" s="20" t="s">
        <v>13</v>
      </c>
      <c r="B26" s="16"/>
      <c r="C26" s="50">
        <f>'A)NSA Nb'!C26/'A)NSA Nb'!B26-1</f>
        <v>1.3228606862338843E-3</v>
      </c>
      <c r="D26" s="50">
        <f>'A)NSA Nb'!D26/'A)NSA Nb'!C26-1</f>
        <v>8.9175130047065565E-3</v>
      </c>
      <c r="E26" s="50">
        <f>'A)NSA Nb'!E26/'A)NSA Nb'!D26-1</f>
        <v>-3.764628856698371E-4</v>
      </c>
      <c r="F26" s="50">
        <f>'A)NSA Nb'!F26/'A)NSA Nb'!E26-1</f>
        <v>-1.8011527377526093E-4</v>
      </c>
      <c r="G26" s="50">
        <f>'A)NSA Nb'!G26/'A)NSA Nb'!F26-1</f>
        <v>2.8004782103143722E-3</v>
      </c>
      <c r="H26" s="50">
        <f>'A)NSA Nb'!H26/'A)NSA Nb'!G26-1</f>
        <v>2.2953684348053116E-2</v>
      </c>
      <c r="I26" s="105">
        <f>'A)NSA Nb'!I26/'A)NSA Nb'!H26-1</f>
        <v>-5.8271802035525511E-4</v>
      </c>
      <c r="J26" s="105">
        <f>'A)NSA Nb'!J26/'A)NSA Nb'!I26-1</f>
        <v>7.1883835721431311E-5</v>
      </c>
      <c r="K26" s="105">
        <f>'A)NSA Nb'!K26/'A)NSA Nb'!J26-1</f>
        <v>-1.7330745701255035E-3</v>
      </c>
      <c r="L26" s="105">
        <f>'A)NSA Nb'!L26/'A)NSA Nb'!K26-1</f>
        <v>2.2385074483575185E-2</v>
      </c>
      <c r="M26" s="105">
        <f>'A)NSA Nb'!M26/'A)NSA Nb'!L26-1</f>
        <v>-9.3902591711536587E-4</v>
      </c>
      <c r="N26" s="105">
        <f>'A)NSA Nb'!N26/'A)NSA Nb'!M26-1</f>
        <v>1.566514192608004E-5</v>
      </c>
      <c r="O26" s="105">
        <f>'A)NSA Nb'!O26/'A)NSA Nb'!N26-1</f>
        <v>-7.6757993013454318E-4</v>
      </c>
      <c r="P26" s="105">
        <f>'A)NSA Nb'!P26/'A)NSA Nb'!O26-1</f>
        <v>1.2157459083213196E-2</v>
      </c>
      <c r="Q26" s="105">
        <f>'A)NSA Nb'!Q26/'A)NSA Nb'!P26-1</f>
        <v>-1.0996925507447131E-3</v>
      </c>
      <c r="R26" s="105">
        <f>'A)NSA Nb'!R26/'A)NSA Nb'!Q26-1</f>
        <v>-1.9847269062294171E-3</v>
      </c>
      <c r="S26" s="105">
        <f>'A)NSA Nb'!S26/'A)NSA Nb'!R26-1</f>
        <v>2.2294898585402123E-3</v>
      </c>
      <c r="T26" s="105">
        <f>'A)NSA Nb'!T26/'A)NSA Nb'!S26-1</f>
        <v>-1.0076269609972099E-3</v>
      </c>
      <c r="U26" s="105">
        <f>'A)NSA Nb'!U26/'A)NSA Nb'!T26-1</f>
        <v>-5.1208044318218349E-4</v>
      </c>
      <c r="V26" s="105">
        <f>'A)NSA Nb'!V26/'A)NSA Nb'!U26-1</f>
        <v>2.095947834186429E-4</v>
      </c>
      <c r="W26" s="105">
        <f>'A)NSA Nb'!W26/'A)NSA Nb'!V26-1</f>
        <v>-5.7432458652506568E-4</v>
      </c>
      <c r="X26" s="105">
        <f>'A)NSA Nb'!X26/'A)NSA Nb'!W26-1</f>
        <v>-4.1934256404674297E-4</v>
      </c>
      <c r="Y26" s="105">
        <f>'A)NSA Nb'!Y26/'A)NSA Nb'!X26-1</f>
        <v>-1.3983949533480367E-4</v>
      </c>
      <c r="Z26" s="105">
        <f>'A)NSA Nb'!Z26/'A)NSA Nb'!Y26-1</f>
        <v>1.4063604789396056E-3</v>
      </c>
      <c r="AA26" s="105">
        <f>'A)NSA Nb'!AA26/'A)NSA Nb'!Z26-1</f>
        <v>1.163855309509465E-4</v>
      </c>
      <c r="AB26" s="105">
        <f>'A)NSA Nb'!AB26/'A)NSA Nb'!AA26-1</f>
        <v>-5.741018022141775E-4</v>
      </c>
      <c r="AC26" s="105">
        <f>'A)NSA Nb'!AC26/'A)NSA Nb'!AB26-1</f>
        <v>-5.8219417340066304E-4</v>
      </c>
      <c r="AD26" s="105">
        <f>'A)NSA Nb'!AD26/'A)NSA Nb'!AC26-1</f>
        <v>4.7379376767020531E-4</v>
      </c>
      <c r="AE26" s="105">
        <f>'A)NSA Nb'!AE26/'A)NSA Nb'!AD26-1</f>
        <v>6.9870894114698601E-5</v>
      </c>
      <c r="AF26" s="105">
        <f>'A)NSA Nb'!AF26/'A)NSA Nb'!AE26-1</f>
        <v>-1.2420624446894957E-3</v>
      </c>
      <c r="AG26" s="105">
        <f>'A)NSA Nb'!AG26/'A)NSA Nb'!AF26-1</f>
        <v>4.6635265587902097E-5</v>
      </c>
      <c r="AH26" s="105">
        <f>'A)NSA Nb'!AH26/'A)NSA Nb'!AG26-1</f>
        <v>7.5467885344773222E-3</v>
      </c>
      <c r="AI26" s="105">
        <f>'A)NSA Nb'!AI26/'A)NSA Nb'!AH26-1</f>
        <v>-6.9425695221170258E-5</v>
      </c>
      <c r="AJ26" s="105">
        <f>'A)NSA Nb'!AJ26/'A)NSA Nb'!AI26-1</f>
        <v>4.628701032198812E-4</v>
      </c>
      <c r="AK26" s="105">
        <f>'A)NSA Nb'!AK26/'A)NSA Nb'!AJ26-1</f>
        <v>-7.0940579553679939E-4</v>
      </c>
      <c r="AL26" s="105">
        <f>'A)NSA Nb'!AL26/'A)NSA Nb'!AK26-1</f>
        <v>-5.4014846366468028E-5</v>
      </c>
      <c r="AM26" s="105">
        <f>'A)NSA Nb'!AM26/'A)NSA Nb'!AL26-1</f>
        <v>4.0050313688873018E-3</v>
      </c>
      <c r="AN26" s="105">
        <f>'A)NSA Nb'!AN26/'A)NSA Nb'!AM26-1</f>
        <v>-4.3810431494317736E-4</v>
      </c>
      <c r="AO26" s="105">
        <f>'A)NSA Nb'!AO26/'A)NSA Nb'!AN26-1</f>
        <v>-1.9223523441169732E-4</v>
      </c>
      <c r="AP26" s="105">
        <f>'A)NSA Nb'!AP26/'A)NSA Nb'!AO26-1</f>
        <v>-4.6914415800147768E-4</v>
      </c>
      <c r="AQ26" s="105">
        <f>'A)NSA Nb'!AQ26/'A)NSA Nb'!AP26-1</f>
        <v>1.144171802743843E-2</v>
      </c>
      <c r="AR26" s="105">
        <f>'A)NSA Nb'!AR26/'A)NSA Nb'!AQ26-1</f>
        <v>-1.627995435526941E-3</v>
      </c>
      <c r="AS26" s="105">
        <f>'A)NSA Nb'!AS26/'A)NSA Nb'!AR26-1</f>
        <v>-6.3244841354503922E-4</v>
      </c>
      <c r="AT26" s="105">
        <f>'A)NSA Nb'!AT26/'A)NSA Nb'!AS26-1</f>
        <v>2.7448857441325636E-4</v>
      </c>
      <c r="AU26" s="105">
        <f>'A)NSA Nb'!AU26/'A)NSA Nb'!AT26-1</f>
        <v>3.4759011807392604E-3</v>
      </c>
      <c r="AV26" s="105">
        <f>'A)NSA Nb'!AV26/'A)NSA Nb'!AU26-1</f>
        <v>-9.4192715256946613E-4</v>
      </c>
      <c r="AW26" s="105">
        <f>'A)NSA Nb'!AW26/'A)NSA Nb'!AV26-1</f>
        <v>-3.193406376168495E-4</v>
      </c>
      <c r="AX26" s="105">
        <f>'A)NSA Nb'!AX26/'A)NSA Nb'!AW26-1</f>
        <v>1.3227956112991102E-3</v>
      </c>
      <c r="AY26" s="105">
        <f>'A)NSA Nb'!AY26/'A)NSA Nb'!AX26-1</f>
        <v>3.0457588472826647E-2</v>
      </c>
      <c r="AZ26" s="105">
        <f>'A)NSA Nb'!AZ26/'A)NSA Nb'!AY26-1</f>
        <v>-1.4162445723303607E-3</v>
      </c>
      <c r="BA26" s="105">
        <f>'A)NSA Nb'!BA26/'A)NSA Nb'!AZ26-1</f>
        <v>3.8400759517690286E-2</v>
      </c>
      <c r="BB26" s="105">
        <f>'A)NSA Nb'!BB26/'A)NSA Nb'!BA26-1</f>
        <v>-1.6880009945928753E-3</v>
      </c>
      <c r="BC26" s="105">
        <f>'A)NSA Nb'!BC26/'A)NSA Nb'!BB26-1</f>
        <v>1.0352122994156332E-2</v>
      </c>
      <c r="BD26" s="105">
        <f>'A)NSA Nb'!BD26/'A)NSA Nb'!BC26-1</f>
        <v>1.7740861257120599E-4</v>
      </c>
      <c r="BE26" s="105">
        <f>'A)NSA Nb'!BE26/'A)NSA Nb'!BD26-1</f>
        <v>-4.5071799835472159E-4</v>
      </c>
      <c r="BF26" s="105">
        <f>'A)NSA Nb'!BF26/'A)NSA Nb'!BE26-1</f>
        <v>9.8957113266306962E-4</v>
      </c>
      <c r="BG26" s="105">
        <f>'A)NSA Nb'!BG26/'A)NSA Nb'!BF26-1</f>
        <v>5.1226185386348932E-2</v>
      </c>
      <c r="BH26" s="105">
        <f>'A)NSA Nb'!BH26/'A)NSA Nb'!BG26-1</f>
        <v>-4.006307065733683E-4</v>
      </c>
      <c r="BI26" s="105">
        <f>'A)NSA Nb'!BI26/'A)NSA Nb'!BH26-1</f>
        <v>-8.5111025785977734E-4</v>
      </c>
      <c r="BJ26" s="105">
        <f>'A)NSA Nb'!BJ26/'A)NSA Nb'!BI26-1</f>
        <v>4.2448030686581539E-4</v>
      </c>
    </row>
    <row r="27" spans="1:62" ht="13" thickBot="1" x14ac:dyDescent="0.3">
      <c r="A27" s="6"/>
      <c r="B27" s="15"/>
      <c r="C27" s="43"/>
      <c r="D27" s="43"/>
      <c r="E27" s="43"/>
      <c r="F27" s="43"/>
      <c r="G27" s="43"/>
      <c r="H27" s="43"/>
      <c r="I27" s="43"/>
      <c r="J27" s="43"/>
      <c r="K27" s="149"/>
      <c r="L27" s="149"/>
      <c r="M27" s="43"/>
      <c r="N27" s="43"/>
      <c r="O27" s="43"/>
      <c r="P27" s="43"/>
      <c r="Q27" s="43"/>
      <c r="R27" s="43"/>
      <c r="S27" s="43"/>
      <c r="T27" s="43"/>
      <c r="U27" s="43"/>
      <c r="V27" s="43"/>
      <c r="W27" s="43"/>
      <c r="X27" s="43"/>
      <c r="Y27" s="43"/>
      <c r="Z27" s="43"/>
      <c r="AA27" s="43"/>
      <c r="AB27" s="43"/>
      <c r="AC27" s="43"/>
      <c r="AD27" s="43"/>
      <c r="AE27" s="43"/>
      <c r="AF27" s="43"/>
      <c r="AG27" s="43"/>
      <c r="AH27" s="43"/>
      <c r="AI27" s="43"/>
      <c r="AJ27" s="43"/>
      <c r="AM27" s="43"/>
      <c r="AN27" s="43"/>
      <c r="AO27" s="43"/>
    </row>
    <row r="28" spans="1:62" x14ac:dyDescent="0.25">
      <c r="A28" s="19"/>
      <c r="B28" s="10"/>
      <c r="C28" s="44"/>
      <c r="D28" s="44"/>
      <c r="E28" s="44"/>
      <c r="F28" s="44"/>
      <c r="G28" s="44"/>
      <c r="H28" s="44"/>
      <c r="I28" s="44"/>
      <c r="J28" s="44"/>
      <c r="K28" s="148"/>
      <c r="L28" s="148"/>
      <c r="M28" s="44"/>
      <c r="N28" s="44"/>
      <c r="O28" s="44"/>
      <c r="P28" s="44"/>
      <c r="Q28" s="44"/>
      <c r="R28" s="44"/>
      <c r="S28" s="44"/>
      <c r="T28" s="44"/>
      <c r="U28" s="44"/>
      <c r="V28" s="44"/>
      <c r="W28" s="44"/>
      <c r="X28" s="44"/>
      <c r="Y28" s="44"/>
      <c r="Z28" s="44"/>
      <c r="AA28" s="44"/>
      <c r="AB28" s="44"/>
      <c r="AC28" s="44"/>
      <c r="AD28" s="44"/>
      <c r="AE28" s="44"/>
      <c r="AF28" s="44"/>
      <c r="AG28" s="44"/>
      <c r="AH28" s="44"/>
      <c r="AI28" s="44"/>
      <c r="AJ28" s="44"/>
      <c r="AM28" s="44"/>
      <c r="AN28" s="44"/>
      <c r="AO28" s="44"/>
    </row>
    <row r="29" spans="1:62" ht="13" x14ac:dyDescent="0.3">
      <c r="A29" s="1" t="s">
        <v>39</v>
      </c>
      <c r="L29" s="14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M29" s="35"/>
      <c r="AN29" s="35"/>
      <c r="AO29" s="35"/>
      <c r="BB29" s="389" t="s">
        <v>241</v>
      </c>
      <c r="BC29" s="389"/>
      <c r="BD29" s="389"/>
    </row>
    <row r="30" spans="1:62" x14ac:dyDescent="0.25">
      <c r="A30" s="5"/>
      <c r="B30" s="2" t="str">
        <f t="shared" ref="B30:H30" si="46">B8</f>
        <v>4eme T 2009</v>
      </c>
      <c r="C30" s="38" t="str">
        <f t="shared" si="46"/>
        <v>1er T 2010</v>
      </c>
      <c r="D30" s="38" t="str">
        <f t="shared" si="46"/>
        <v>2eme T 2010</v>
      </c>
      <c r="E30" s="38" t="str">
        <f t="shared" si="46"/>
        <v>3eme T 2010</v>
      </c>
      <c r="F30" s="38" t="str">
        <f t="shared" si="46"/>
        <v>4eme T 2010</v>
      </c>
      <c r="G30" s="38" t="str">
        <f t="shared" si="46"/>
        <v>1er T 2011</v>
      </c>
      <c r="H30" s="38" t="str">
        <f t="shared" si="46"/>
        <v>2eme T 2011</v>
      </c>
      <c r="I30" s="38" t="str">
        <f t="shared" ref="I30:N30" si="47">I8</f>
        <v>3eme T 2011</v>
      </c>
      <c r="J30" s="38" t="str">
        <f t="shared" si="47"/>
        <v>4eme T 2011</v>
      </c>
      <c r="K30" s="38" t="str">
        <f t="shared" si="47"/>
        <v>1er T 2012</v>
      </c>
      <c r="L30" s="38" t="str">
        <f t="shared" si="47"/>
        <v>2eme T 2012</v>
      </c>
      <c r="M30" s="38" t="str">
        <f t="shared" si="47"/>
        <v>3eme T 2012</v>
      </c>
      <c r="N30" s="38" t="str">
        <f t="shared" si="47"/>
        <v>4eme T 2012</v>
      </c>
      <c r="O30" s="38" t="str">
        <f t="shared" ref="O30:T30" si="48">O8</f>
        <v>1er T 2013</v>
      </c>
      <c r="P30" s="38" t="str">
        <f t="shared" si="48"/>
        <v>2e T 2013</v>
      </c>
      <c r="Q30" s="38" t="str">
        <f t="shared" si="48"/>
        <v>3e T 2013</v>
      </c>
      <c r="R30" s="38" t="str">
        <f t="shared" si="48"/>
        <v>4e T 2013</v>
      </c>
      <c r="S30" s="38" t="str">
        <f t="shared" si="48"/>
        <v>1er T 2014</v>
      </c>
      <c r="T30" s="38" t="str">
        <f t="shared" si="48"/>
        <v>2e T 2014</v>
      </c>
      <c r="U30" s="38" t="str">
        <f t="shared" ref="U30:V30" si="49">U8</f>
        <v>3e T 2014</v>
      </c>
      <c r="V30" s="38" t="str">
        <f t="shared" si="49"/>
        <v>4e T 2014</v>
      </c>
      <c r="W30" s="38" t="str">
        <f t="shared" ref="W30:X30" si="50">W8</f>
        <v>1er T 2015</v>
      </c>
      <c r="X30" s="38" t="str">
        <f t="shared" si="50"/>
        <v>2e T 2015</v>
      </c>
      <c r="Y30" s="38" t="str">
        <f t="shared" ref="Y30:Z30" si="51">Y8</f>
        <v>3e T 2015</v>
      </c>
      <c r="Z30" s="38" t="str">
        <f t="shared" si="51"/>
        <v>4e T 2015</v>
      </c>
      <c r="AA30" s="38" t="str">
        <f t="shared" ref="AA30:AB30" si="52">AA8</f>
        <v>1er T 2016</v>
      </c>
      <c r="AB30" s="38" t="str">
        <f t="shared" si="52"/>
        <v>2e T 2016</v>
      </c>
      <c r="AC30" s="38" t="str">
        <f t="shared" ref="AC30" si="53">AC8</f>
        <v>3e T 2016</v>
      </c>
      <c r="AD30" s="38" t="str">
        <f t="shared" ref="AD30:AE30" si="54">AD8</f>
        <v>4e T 2016</v>
      </c>
      <c r="AE30" s="38" t="str">
        <f t="shared" si="54"/>
        <v>1e T 2017</v>
      </c>
      <c r="AF30" s="38" t="str">
        <f t="shared" ref="AF30:AG30" si="55">AF8</f>
        <v>2e T 2017</v>
      </c>
      <c r="AG30" s="38" t="str">
        <f t="shared" si="55"/>
        <v>3e T 2017</v>
      </c>
      <c r="AH30" s="38" t="str">
        <f t="shared" ref="AH30:AI30" si="56">AH8</f>
        <v>4e T 2017</v>
      </c>
      <c r="AI30" s="38" t="str">
        <f t="shared" si="56"/>
        <v>1e T 2018</v>
      </c>
      <c r="AJ30" s="38" t="str">
        <f t="shared" ref="AJ30:AK30" si="57">AJ8</f>
        <v>2e T 2018</v>
      </c>
      <c r="AK30" s="38" t="str">
        <f t="shared" si="57"/>
        <v>3e T 2018</v>
      </c>
      <c r="AL30" s="38" t="str">
        <f t="shared" ref="AL30:AM30" si="58">AL8</f>
        <v>4e T 2018</v>
      </c>
      <c r="AM30" s="38" t="str">
        <f t="shared" si="58"/>
        <v>1e T 2019</v>
      </c>
      <c r="AN30" s="38" t="str">
        <f t="shared" ref="AN30:AP30" si="59">AN8</f>
        <v>2e T 2019</v>
      </c>
      <c r="AO30" s="38" t="str">
        <f t="shared" si="59"/>
        <v>3e T 2019</v>
      </c>
      <c r="AP30" s="38" t="str">
        <f t="shared" si="59"/>
        <v>4e T 2019</v>
      </c>
      <c r="AQ30" s="38" t="str">
        <f t="shared" ref="AQ30" si="60">AQ8</f>
        <v>1e T 2020</v>
      </c>
      <c r="AR30" s="38" t="str">
        <f t="shared" ref="AR30:AS30" si="61">AR8</f>
        <v>2e T 2020</v>
      </c>
      <c r="AS30" s="38" t="str">
        <f t="shared" si="61"/>
        <v>3e T 2020</v>
      </c>
      <c r="AT30" s="38" t="str">
        <f t="shared" ref="AT30:AU30" si="62">AT8</f>
        <v>4e T 2020</v>
      </c>
      <c r="AU30" s="38" t="str">
        <f t="shared" si="62"/>
        <v>1er T 2021</v>
      </c>
      <c r="AV30" s="38" t="str">
        <f t="shared" ref="AV30:AW30" si="63">AV8</f>
        <v>2e T 2021</v>
      </c>
      <c r="AW30" s="38" t="str">
        <f t="shared" si="63"/>
        <v>3e T 2021</v>
      </c>
      <c r="AX30" s="38" t="str">
        <f t="shared" ref="AX30:AY30" si="64">AX8</f>
        <v>4e T 2021</v>
      </c>
      <c r="AY30" s="38" t="str">
        <f t="shared" si="64"/>
        <v>1er T 2022</v>
      </c>
      <c r="AZ30" s="38" t="str">
        <f t="shared" ref="AZ30:BA30" si="65">AZ8</f>
        <v>2e T 2022</v>
      </c>
      <c r="BA30" s="38" t="str">
        <f t="shared" si="65"/>
        <v>3e T 2022</v>
      </c>
      <c r="BB30" s="38" t="str">
        <f t="shared" ref="BB30:BC30" si="66">BB8</f>
        <v>4e T 2022</v>
      </c>
      <c r="BC30" s="38" t="str">
        <f t="shared" si="66"/>
        <v>1er T 2023</v>
      </c>
      <c r="BD30" s="38" t="str">
        <f t="shared" ref="BD30:BE30" si="67">BD8</f>
        <v>2e T 2023</v>
      </c>
      <c r="BE30" s="38" t="str">
        <f t="shared" si="67"/>
        <v>3e T 2023</v>
      </c>
      <c r="BF30" s="38" t="str">
        <f t="shared" ref="BF30:BG30" si="68">BF8</f>
        <v>4e T 2023</v>
      </c>
      <c r="BG30" s="38" t="str">
        <f t="shared" si="68"/>
        <v>1er T 2024</v>
      </c>
      <c r="BH30" s="38" t="str">
        <f t="shared" ref="BH30:BI30" si="69">BH8</f>
        <v>2e T 2024</v>
      </c>
      <c r="BI30" s="38" t="str">
        <f t="shared" si="69"/>
        <v>3e T 2024</v>
      </c>
      <c r="BJ30" s="38" t="str">
        <f t="shared" ref="BJ30" si="70">BJ8</f>
        <v>4e T 2024</v>
      </c>
    </row>
    <row r="31" spans="1:62" x14ac:dyDescent="0.25">
      <c r="A31" s="22" t="s">
        <v>16</v>
      </c>
      <c r="B31" s="3"/>
      <c r="C31" s="105">
        <f>'A)NSA Nb'!C31/'A)NSA Nb'!B31-1</f>
        <v>-5.0150309014520555E-3</v>
      </c>
      <c r="D31" s="105">
        <f>'A)NSA Nb'!D31/'A)NSA Nb'!C31-1</f>
        <v>-8.6305670406155999E-3</v>
      </c>
      <c r="E31" s="105">
        <f>'A)NSA Nb'!E31/'A)NSA Nb'!D31-1</f>
        <v>-8.3188531364346563E-3</v>
      </c>
      <c r="F31" s="105">
        <f>'A)NSA Nb'!F31/'A)NSA Nb'!E31-1</f>
        <v>-6.0754751653467887E-3</v>
      </c>
      <c r="G31" s="105">
        <f>'A)NSA Nb'!G31/'A)NSA Nb'!F31-1</f>
        <v>-6.5740179112998565E-3</v>
      </c>
      <c r="H31" s="105">
        <f>'A)NSA Nb'!H31/'A)NSA Nb'!G31-1</f>
        <v>-9.1577618133005245E-3</v>
      </c>
      <c r="I31" s="105">
        <f>'A)NSA Nb'!I31/'A)NSA Nb'!H31-1</f>
        <v>-9.4252888713873828E-3</v>
      </c>
      <c r="J31" s="105">
        <f>'A)NSA Nb'!J31/'A)NSA Nb'!I31-1</f>
        <v>-8.5203102740221137E-3</v>
      </c>
      <c r="K31" s="105">
        <f>'A)NSA Nb'!K31/'A)NSA Nb'!J31-1</f>
        <v>-7.1583390371890987E-3</v>
      </c>
      <c r="L31" s="105">
        <f>'A)NSA Nb'!L31/'A)NSA Nb'!K31-1</f>
        <v>-1.1017689470295911E-2</v>
      </c>
      <c r="M31" s="105">
        <f>'A)NSA Nb'!M31/'A)NSA Nb'!L31-1</f>
        <v>-1.1420629232334556E-2</v>
      </c>
      <c r="N31" s="105">
        <f>'A)NSA Nb'!N31/'A)NSA Nb'!M31-1</f>
        <v>-8.7285868347919404E-3</v>
      </c>
      <c r="O31" s="105">
        <f>'A)NSA Nb'!O31/'A)NSA Nb'!N31-1</f>
        <v>-7.0000723544215715E-3</v>
      </c>
      <c r="P31" s="105">
        <f>'A)NSA Nb'!P31/'A)NSA Nb'!O31-1</f>
        <v>-1.0339732824393932E-2</v>
      </c>
      <c r="Q31" s="105">
        <f>'A)NSA Nb'!Q31/'A)NSA Nb'!P31-1</f>
        <v>-7.9870631575865714E-3</v>
      </c>
      <c r="R31" s="105">
        <f>'A)NSA Nb'!R31/'A)NSA Nb'!Q31-1</f>
        <v>-8.2570357831709407E-3</v>
      </c>
      <c r="S31" s="105">
        <f>'A)NSA Nb'!S31/'A)NSA Nb'!R31-1</f>
        <v>-8.9208672013416646E-3</v>
      </c>
      <c r="T31" s="105">
        <f>'A)NSA Nb'!T31/'A)NSA Nb'!S31-1</f>
        <v>-8.3042892454541217E-3</v>
      </c>
      <c r="U31" s="105">
        <f>'A)NSA Nb'!U31/'A)NSA Nb'!T31-1</f>
        <v>-8.5407907616348311E-3</v>
      </c>
      <c r="V31" s="105">
        <f>'A)NSA Nb'!V31/'A)NSA Nb'!U31-1</f>
        <v>-6.7675037682060069E-3</v>
      </c>
      <c r="W31" s="105">
        <f>'A)NSA Nb'!W31/'A)NSA Nb'!V31-1</f>
        <v>-6.8778943190996866E-3</v>
      </c>
      <c r="X31" s="105">
        <f>'A)NSA Nb'!X31/'A)NSA Nb'!W31-1</f>
        <v>-1.1974980676437208E-2</v>
      </c>
      <c r="Y31" s="105">
        <f>'A)NSA Nb'!Y31/'A)NSA Nb'!X31-1</f>
        <v>-1.0385553836075534E-2</v>
      </c>
      <c r="Z31" s="105">
        <f>'A)NSA Nb'!Z31/'A)NSA Nb'!Y31-1</f>
        <v>-7.1309952213793881E-3</v>
      </c>
      <c r="AA31" s="105">
        <f>'A)NSA Nb'!AA31/'A)NSA Nb'!Z31-1</f>
        <v>-6.3154762019792532E-3</v>
      </c>
      <c r="AB31" s="105">
        <f>'A)NSA Nb'!AB31/'A)NSA Nb'!AA31-1</f>
        <v>-9.4770231295374652E-3</v>
      </c>
      <c r="AC31" s="105">
        <f>'A)NSA Nb'!AC31/'A)NSA Nb'!AB31-1</f>
        <v>-8.6596193340898742E-3</v>
      </c>
      <c r="AD31" s="105">
        <f>'A)NSA Nb'!AD31/'A)NSA Nb'!AC31-1</f>
        <v>-7.873719443660443E-3</v>
      </c>
      <c r="AE31" s="105">
        <f>'A)NSA Nb'!AE31/'A)NSA Nb'!AD31-1</f>
        <v>-7.7385752956489195E-3</v>
      </c>
      <c r="AF31" s="105">
        <f>'A)NSA Nb'!AF31/'A)NSA Nb'!AE31-1</f>
        <v>-1.0713089383378671E-2</v>
      </c>
      <c r="AG31" s="105">
        <f>'A)NSA Nb'!AG31/'A)NSA Nb'!AF31-1</f>
        <v>-7.7898360992454396E-3</v>
      </c>
      <c r="AH31" s="105">
        <f>'A)NSA Nb'!AH31/'A)NSA Nb'!AG31-1</f>
        <v>-5.8608321377331407E-3</v>
      </c>
      <c r="AI31" s="105">
        <f>'A)NSA Nb'!AI31/'A)NSA Nb'!AH31-1</f>
        <v>-5.2346144291043339E-3</v>
      </c>
      <c r="AJ31" s="105">
        <f>'A)NSA Nb'!AJ31/'A)NSA Nb'!AI31-1</f>
        <v>-9.232095651516059E-3</v>
      </c>
      <c r="AK31" s="105">
        <f>'A)NSA Nb'!AK31/'A)NSA Nb'!AJ31-1</f>
        <v>-8.2554644208623351E-3</v>
      </c>
      <c r="AL31" s="105">
        <f>'A)NSA Nb'!AL31/'A)NSA Nb'!AK31-1</f>
        <v>-5.5842590336858677E-3</v>
      </c>
      <c r="AM31" s="105">
        <f>'A)NSA Nb'!AM31/'A)NSA Nb'!AL31-1</f>
        <v>-6.5520847253066616E-3</v>
      </c>
      <c r="AN31" s="105">
        <f>'A)NSA Nb'!AN31/'A)NSA Nb'!AM31-1</f>
        <v>-1.0417111477397878E-2</v>
      </c>
      <c r="AO31" s="105">
        <f>'A)NSA Nb'!AO31/'A)NSA Nb'!AN31-1</f>
        <v>-7.6820177567774595E-3</v>
      </c>
      <c r="AP31" s="105">
        <f>'A)NSA Nb'!AP31/'A)NSA Nb'!AO31-1</f>
        <v>-4.8518832982370474E-3</v>
      </c>
      <c r="AQ31" s="105">
        <f>'A)NSA Nb'!AQ31/'A)NSA Nb'!AP31-1</f>
        <v>-5.0634377191698388E-3</v>
      </c>
      <c r="AR31" s="105">
        <f>'A)NSA Nb'!AR31/'A)NSA Nb'!AQ31-1</f>
        <v>-1.0395816200037156E-2</v>
      </c>
      <c r="AS31" s="105">
        <f>'A)NSA Nb'!AS31/'A)NSA Nb'!AR31-1</f>
        <v>-9.332251911996603E-3</v>
      </c>
      <c r="AT31" s="105">
        <f>'A)NSA Nb'!AT31/'A)NSA Nb'!AS31-1</f>
        <v>-6.299895169744385E-3</v>
      </c>
      <c r="AU31" s="105">
        <f>'A)NSA Nb'!AU31/'A)NSA Nb'!AT31-1</f>
        <v>-9.0211632161055766E-3</v>
      </c>
      <c r="AV31" s="105">
        <f>'A)NSA Nb'!AV31/'A)NSA Nb'!AU31-1</f>
        <v>-1.1674815722161003E-2</v>
      </c>
      <c r="AW31" s="105">
        <f>'A)NSA Nb'!AW31/'A)NSA Nb'!AV31-1</f>
        <v>-9.2982791278950483E-3</v>
      </c>
      <c r="AX31" s="105">
        <f>'A)NSA Nb'!AX31/'A)NSA Nb'!AW31-1</f>
        <v>-5.1980606297145071E-3</v>
      </c>
      <c r="AY31" s="105">
        <f>'A)NSA Nb'!AY31/'A)NSA Nb'!AX31-1</f>
        <v>-5.3781834443960008E-3</v>
      </c>
      <c r="AZ31" s="105">
        <f>'A)NSA Nb'!AZ31/'A)NSA Nb'!AY31-1</f>
        <v>-1.0414208685668447E-2</v>
      </c>
      <c r="BA31" s="105">
        <f>'A)NSA Nb'!BA31/'A)NSA Nb'!AZ31-1</f>
        <v>-7.7691809439750514E-3</v>
      </c>
      <c r="BB31" s="396">
        <f>'A)NSA Nb'!BB31/'A)NSA Nb'!BA31-1</f>
        <v>-3.2006331921324849E-3</v>
      </c>
      <c r="BC31" s="455">
        <f>'A)NSA Nb'!BC31/'A)NSA Nb'!BB31-1</f>
        <v>-7.7927841481552074E-3</v>
      </c>
      <c r="BD31" s="455">
        <f>'A)NSA Nb'!BD31/'A)NSA Nb'!BC31-1</f>
        <v>-8.691731250219159E-3</v>
      </c>
      <c r="BE31" s="455">
        <f>'A)NSA Nb'!BE31/'A)NSA Nb'!BD31-1</f>
        <v>-6.6375377576268768E-3</v>
      </c>
      <c r="BF31" s="455">
        <f>'A)NSA Nb'!BF31/'A)NSA Nb'!BE31-1</f>
        <v>-6.3025571146221315E-3</v>
      </c>
      <c r="BG31" s="455">
        <f>'A)NSA Nb'!BG31/'A)NSA Nb'!BF31-1</f>
        <v>-5.4085706943922673E-3</v>
      </c>
      <c r="BH31" s="455">
        <f>'A)NSA Nb'!BH31/'A)NSA Nb'!BG31-1</f>
        <v>-9.0599917026673582E-3</v>
      </c>
      <c r="BI31" s="455">
        <f>'A)NSA Nb'!BI31/'A)NSA Nb'!BH31-1</f>
        <v>-7.25258967339526E-3</v>
      </c>
      <c r="BJ31" s="455">
        <f>'A)NSA Nb'!BJ31/'A)NSA Nb'!BI31-1</f>
        <v>-4.8952143818544736E-3</v>
      </c>
    </row>
    <row r="32" spans="1:62" x14ac:dyDescent="0.25">
      <c r="A32" s="22" t="s">
        <v>17</v>
      </c>
      <c r="B32" s="3"/>
      <c r="C32" s="105">
        <f>'A)NSA Nb'!C32/'A)NSA Nb'!B32-1</f>
        <v>-9.6962175055514965E-4</v>
      </c>
      <c r="D32" s="105">
        <f>'A)NSA Nb'!D32/'A)NSA Nb'!C32-1</f>
        <v>-3.833723176069781E-3</v>
      </c>
      <c r="E32" s="105">
        <f>'A)NSA Nb'!E32/'A)NSA Nb'!D32-1</f>
        <v>-7.0149457316004415E-4</v>
      </c>
      <c r="F32" s="105">
        <f>'A)NSA Nb'!F32/'A)NSA Nb'!E32-1</f>
        <v>1.6574693368176519E-4</v>
      </c>
      <c r="G32" s="105">
        <f>'A)NSA Nb'!G32/'A)NSA Nb'!F32-1</f>
        <v>-1.4524823801214115E-3</v>
      </c>
      <c r="H32" s="105">
        <f>'A)NSA Nb'!H32/'A)NSA Nb'!G32-1</f>
        <v>-2.3624968272253355E-3</v>
      </c>
      <c r="I32" s="105">
        <f>'A)NSA Nb'!I32/'A)NSA Nb'!H32-1</f>
        <v>1.95710036010599E-4</v>
      </c>
      <c r="J32" s="105">
        <f>'A)NSA Nb'!J32/'A)NSA Nb'!I32-1</f>
        <v>2.2697921966110535E-3</v>
      </c>
      <c r="K32" s="105">
        <f>'A)NSA Nb'!K32/'A)NSA Nb'!J32-1</f>
        <v>-9.6638163289208823E-4</v>
      </c>
      <c r="L32" s="105">
        <f>'A)NSA Nb'!L32/'A)NSA Nb'!K32-1</f>
        <v>-3.1853046069666435E-3</v>
      </c>
      <c r="M32" s="105">
        <f>'A)NSA Nb'!M32/'A)NSA Nb'!L32-1</f>
        <v>9.0179280330127121E-4</v>
      </c>
      <c r="N32" s="105">
        <f>'A)NSA Nb'!N32/'A)NSA Nb'!M32-1</f>
        <v>-3.7214403932972484E-4</v>
      </c>
      <c r="O32" s="105">
        <f>'A)NSA Nb'!O32/'A)NSA Nb'!N32-1</f>
        <v>-2.8313070057703893E-3</v>
      </c>
      <c r="P32" s="105">
        <f>'A)NSA Nb'!P32/'A)NSA Nb'!O32-1</f>
        <v>-5.3151772380727325E-3</v>
      </c>
      <c r="Q32" s="105">
        <f>'A)NSA Nb'!Q32/'A)NSA Nb'!P32-1</f>
        <v>-2.4693065199565822E-4</v>
      </c>
      <c r="R32" s="105">
        <f>'A)NSA Nb'!R32/'A)NSA Nb'!Q32-1</f>
        <v>1.6696634985871039E-3</v>
      </c>
      <c r="S32" s="105">
        <f>'A)NSA Nb'!S32/'A)NSA Nb'!R32-1</f>
        <v>-1.4005740380916842E-3</v>
      </c>
      <c r="T32" s="105">
        <f>'A)NSA Nb'!T32/'A)NSA Nb'!S32-1</f>
        <v>-3.5458541162526336E-3</v>
      </c>
      <c r="U32" s="105">
        <f>'A)NSA Nb'!U32/'A)NSA Nb'!T32-1</f>
        <v>-3.4494379795015906E-3</v>
      </c>
      <c r="V32" s="105">
        <f>'A)NSA Nb'!V32/'A)NSA Nb'!U32-1</f>
        <v>8.6534444687580425E-4</v>
      </c>
      <c r="W32" s="105">
        <f>'A)NSA Nb'!W32/'A)NSA Nb'!V32-1</f>
        <v>-2.3552795031055451E-3</v>
      </c>
      <c r="X32" s="105">
        <f>'A)NSA Nb'!X32/'A)NSA Nb'!W32-1</f>
        <v>-5.0902498306570898E-3</v>
      </c>
      <c r="Y32" s="105">
        <f>'A)NSA Nb'!Y32/'A)NSA Nb'!X32-1</f>
        <v>1.3516625449303543E-3</v>
      </c>
      <c r="Z32" s="105">
        <f>'A)NSA Nb'!Z32/'A)NSA Nb'!Y32-1</f>
        <v>1.9197696276447296E-3</v>
      </c>
      <c r="AA32" s="105">
        <f>'A)NSA Nb'!AA32/'A)NSA Nb'!Z32-1</f>
        <v>-2.135643287693112E-3</v>
      </c>
      <c r="AB32" s="105">
        <f>'A)NSA Nb'!AB32/'A)NSA Nb'!AA32-1</f>
        <v>-3.4603460346034343E-3</v>
      </c>
      <c r="AC32" s="105">
        <f>'A)NSA Nb'!AC32/'A)NSA Nb'!AB32-1</f>
        <v>-1.9067881658705321E-3</v>
      </c>
      <c r="AD32" s="105">
        <f>'A)NSA Nb'!AD32/'A)NSA Nb'!AC32-1</f>
        <v>2.7852072314840104E-3</v>
      </c>
      <c r="AE32" s="105">
        <f>'A)NSA Nb'!AE32/'A)NSA Nb'!AD32-1</f>
        <v>-3.5495482848862947E-3</v>
      </c>
      <c r="AF32" s="105">
        <f>'A)NSA Nb'!AF32/'A)NSA Nb'!AE32-1</f>
        <v>-6.7621280578000764E-3</v>
      </c>
      <c r="AG32" s="105">
        <f>'A)NSA Nb'!AG32/'A)NSA Nb'!AF32-1</f>
        <v>-3.0089661111392108E-3</v>
      </c>
      <c r="AH32" s="105">
        <f>'A)NSA Nb'!AH32/'A)NSA Nb'!AG32-1</f>
        <v>-1.7579871555157833E-3</v>
      </c>
      <c r="AI32" s="105">
        <f>'A)NSA Nb'!AI32/'A)NSA Nb'!AH32-1</f>
        <v>-5.9347483076296337E-3</v>
      </c>
      <c r="AJ32" s="105">
        <f>'A)NSA Nb'!AJ32/'A)NSA Nb'!AI32-1</f>
        <v>-8.1309138573710804E-3</v>
      </c>
      <c r="AK32" s="105">
        <f>'A)NSA Nb'!AK32/'A)NSA Nb'!AJ32-1</f>
        <v>-2.0855272667203995E-3</v>
      </c>
      <c r="AL32" s="105">
        <f>'A)NSA Nb'!AL32/'A)NSA Nb'!AK32-1</f>
        <v>1.9553881807647944E-3</v>
      </c>
      <c r="AM32" s="105">
        <f>'A)NSA Nb'!AM32/'A)NSA Nb'!AL32-1</f>
        <v>-2.6330734679126389E-3</v>
      </c>
      <c r="AN32" s="105">
        <f>'A)NSA Nb'!AN32/'A)NSA Nb'!AM32-1</f>
        <v>-7.4955999585878397E-3</v>
      </c>
      <c r="AO32" s="105">
        <f>'A)NSA Nb'!AO32/'A)NSA Nb'!AN32-1</f>
        <v>-2.2531450149166909E-3</v>
      </c>
      <c r="AP32" s="105">
        <f>'A)NSA Nb'!AP32/'A)NSA Nb'!AO32-1</f>
        <v>8.3638264506014082E-4</v>
      </c>
      <c r="AQ32" s="105">
        <f>'A)NSA Nb'!AQ32/'A)NSA Nb'!AP32-1</f>
        <v>-3.7187924370625236E-3</v>
      </c>
      <c r="AR32" s="105">
        <f>'A)NSA Nb'!AR32/'A)NSA Nb'!AQ32-1</f>
        <v>-5.2425189254933224E-3</v>
      </c>
      <c r="AS32" s="105">
        <f>'A)NSA Nb'!AS32/'A)NSA Nb'!AR32-1</f>
        <v>-6.1344520100343747E-3</v>
      </c>
      <c r="AT32" s="105">
        <f>'A)NSA Nb'!AT32/'A)NSA Nb'!AS32-1</f>
        <v>-1.8029101090233368E-4</v>
      </c>
      <c r="AU32" s="105">
        <f>'A)NSA Nb'!AU32/'A)NSA Nb'!AT32-1</f>
        <v>-8.2100238663485037E-3</v>
      </c>
      <c r="AV32" s="105">
        <f>'A)NSA Nb'!AV32/'A)NSA Nb'!AU32-1</f>
        <v>-5.9785456840033557E-3</v>
      </c>
      <c r="AW32" s="105">
        <f>'A)NSA Nb'!AW32/'A)NSA Nb'!AV32-1</f>
        <v>-2.808202965290163E-3</v>
      </c>
      <c r="AX32" s="105">
        <f>'A)NSA Nb'!AX32/'A)NSA Nb'!AW32-1</f>
        <v>-2.211888089252434E-3</v>
      </c>
      <c r="AY32" s="105">
        <f>'A)NSA Nb'!AY32/'A)NSA Nb'!AX32-1</f>
        <v>-5.7312167481292642E-3</v>
      </c>
      <c r="AZ32" s="105">
        <f>'A)NSA Nb'!AZ32/'A)NSA Nb'!AY32-1</f>
        <v>-9.0379135579579106E-3</v>
      </c>
      <c r="BA32" s="105">
        <f>'A)NSA Nb'!BA32/'A)NSA Nb'!AZ32-1</f>
        <v>-4.4998079350271336E-3</v>
      </c>
      <c r="BB32" s="396">
        <f>'A)NSA Nb'!BB32/'A)NSA Nb'!BA32-1</f>
        <v>-1.8631828454881427E-3</v>
      </c>
      <c r="BC32" s="455">
        <f>'A)NSA Nb'!BC32/'A)NSA Nb'!BB32-1</f>
        <v>-8.769992047362396E-3</v>
      </c>
      <c r="BD32" s="455">
        <f>'A)NSA Nb'!BD32/'A)NSA Nb'!BC32-1</f>
        <v>-5.4600967217133256E-3</v>
      </c>
      <c r="BE32" s="455">
        <f>'A)NSA Nb'!BE32/'A)NSA Nb'!BD32-1</f>
        <v>-2.7226280643570799E-3</v>
      </c>
      <c r="BF32" s="455">
        <f>'A)NSA Nb'!BF32/'A)NSA Nb'!BE32-1</f>
        <v>2.4267208933927975E-3</v>
      </c>
      <c r="BG32" s="455">
        <f>'A)NSA Nb'!BG32/'A)NSA Nb'!BF32-1</f>
        <v>-7.6996357523115844E-3</v>
      </c>
      <c r="BH32" s="455">
        <f>'A)NSA Nb'!BH32/'A)NSA Nb'!BG32-1</f>
        <v>-9.8601730330479809E-3</v>
      </c>
      <c r="BI32" s="455">
        <f>'A)NSA Nb'!BI32/'A)NSA Nb'!BH32-1</f>
        <v>-7.0723778018593197E-3</v>
      </c>
      <c r="BJ32" s="455">
        <f>'A)NSA Nb'!BJ32/'A)NSA Nb'!BI32-1</f>
        <v>-3.2397036015854308E-3</v>
      </c>
    </row>
    <row r="33" spans="1:62" x14ac:dyDescent="0.25">
      <c r="A33" s="22" t="s">
        <v>18</v>
      </c>
      <c r="B33" s="3"/>
      <c r="C33" s="105">
        <f>'A)NSA Nb'!C33/'A)NSA Nb'!B33-1</f>
        <v>-1.8424590971417576E-3</v>
      </c>
      <c r="D33" s="105">
        <f>'A)NSA Nb'!D33/'A)NSA Nb'!C33-1</f>
        <v>-5.0067619294038579E-3</v>
      </c>
      <c r="E33" s="105">
        <f>'A)NSA Nb'!E33/'A)NSA Nb'!D33-1</f>
        <v>-1.940935509468722E-3</v>
      </c>
      <c r="F33" s="105">
        <f>'A)NSA Nb'!F33/'A)NSA Nb'!E33-1</f>
        <v>-1.9823149570766807E-3</v>
      </c>
      <c r="G33" s="105">
        <f>'A)NSA Nb'!G33/'A)NSA Nb'!F33-1</f>
        <v>-2.0804512937554476E-3</v>
      </c>
      <c r="H33" s="105">
        <f>'A)NSA Nb'!H33/'A)NSA Nb'!G33-1</f>
        <v>-4.7035851351606706E-3</v>
      </c>
      <c r="I33" s="105">
        <f>'A)NSA Nb'!I33/'A)NSA Nb'!H33-1</f>
        <v>-2.3412286572891405E-3</v>
      </c>
      <c r="J33" s="105">
        <f>'A)NSA Nb'!J33/'A)NSA Nb'!I33-1</f>
        <v>-2.62919877340273E-3</v>
      </c>
      <c r="K33" s="105">
        <f>'A)NSA Nb'!K33/'A)NSA Nb'!J33-1</f>
        <v>-2.6279598589343811E-3</v>
      </c>
      <c r="L33" s="162">
        <f>'A)NSA Nb'!L33/'A)NSA Nb'!K33-1</f>
        <v>-7.5223896898208853E-3</v>
      </c>
      <c r="M33" s="105">
        <f>'A)NSA Nb'!M33/'A)NSA Nb'!L33-1</f>
        <v>-5.0043330536335695E-3</v>
      </c>
      <c r="N33" s="105">
        <f>'A)NSA Nb'!N33/'A)NSA Nb'!M33-1</f>
        <v>-3.6248914744543281E-3</v>
      </c>
      <c r="O33" s="105">
        <f>'A)NSA Nb'!O33/'A)NSA Nb'!N33-1</f>
        <v>-6.4075703126084127E-3</v>
      </c>
      <c r="P33" s="105">
        <f>'A)NSA Nb'!P33/'A)NSA Nb'!O33-1</f>
        <v>-9.9400635672511894E-3</v>
      </c>
      <c r="Q33" s="105">
        <f>'A)NSA Nb'!Q33/'A)NSA Nb'!P33-1</f>
        <v>-4.7900205085095182E-3</v>
      </c>
      <c r="R33" s="105">
        <f>'A)NSA Nb'!R33/'A)NSA Nb'!Q33-1</f>
        <v>-3.1236801600956765E-3</v>
      </c>
      <c r="S33" s="105">
        <f>'A)NSA Nb'!S33/'A)NSA Nb'!R33-1</f>
        <v>-5.0556318544614509E-3</v>
      </c>
      <c r="T33" s="105">
        <f>'A)NSA Nb'!T33/'A)NSA Nb'!S33-1</f>
        <v>-9.7854013472074008E-3</v>
      </c>
      <c r="U33" s="105">
        <f>'A)NSA Nb'!U33/'A)NSA Nb'!T33-1</f>
        <v>-5.9944874958511862E-3</v>
      </c>
      <c r="V33" s="105">
        <f>'A)NSA Nb'!V33/'A)NSA Nb'!U33-1</f>
        <v>-3.9023483775058043E-3</v>
      </c>
      <c r="W33" s="105">
        <f>'A)NSA Nb'!W33/'A)NSA Nb'!V33-1</f>
        <v>-6.622670988503554E-3</v>
      </c>
      <c r="X33" s="105">
        <f>'A)NSA Nb'!X33/'A)NSA Nb'!W33-1</f>
        <v>-9.9767600178407578E-3</v>
      </c>
      <c r="Y33" s="105">
        <f>'A)NSA Nb'!Y33/'A)NSA Nb'!X33-1</f>
        <v>-5.2816901408451189E-3</v>
      </c>
      <c r="Z33" s="105">
        <f>'A)NSA Nb'!Z33/'A)NSA Nb'!Y33-1</f>
        <v>-3.3997795059741431E-3</v>
      </c>
      <c r="AA33" s="105">
        <f>'A)NSA Nb'!AA33/'A)NSA Nb'!Z33-1</f>
        <v>-7.0051335101309897E-3</v>
      </c>
      <c r="AB33" s="105">
        <f>'A)NSA Nb'!AB33/'A)NSA Nb'!AA33-1</f>
        <v>-1.0029326219567314E-2</v>
      </c>
      <c r="AC33" s="105">
        <f>'A)NSA Nb'!AC33/'A)NSA Nb'!AB33-1</f>
        <v>-7.0560683708693617E-3</v>
      </c>
      <c r="AD33" s="105">
        <f>'A)NSA Nb'!AD33/'A)NSA Nb'!AC33-1</f>
        <v>-4.6404778313806627E-3</v>
      </c>
      <c r="AE33" s="105">
        <f>'A)NSA Nb'!AE33/'A)NSA Nb'!AD33-1</f>
        <v>-9.1057360905957285E-3</v>
      </c>
      <c r="AF33" s="105">
        <f>'A)NSA Nb'!AF33/'A)NSA Nb'!AE33-1</f>
        <v>-1.3810516116409599E-2</v>
      </c>
      <c r="AG33" s="105">
        <f>'A)NSA Nb'!AG33/'A)NSA Nb'!AF33-1</f>
        <v>-9.0283857233730558E-3</v>
      </c>
      <c r="AH33" s="105">
        <f>'A)NSA Nb'!AH33/'A)NSA Nb'!AG33-1</f>
        <v>-7.4709155446522901E-3</v>
      </c>
      <c r="AI33" s="105">
        <f>'A)NSA Nb'!AI33/'A)NSA Nb'!AH33-1</f>
        <v>-1.0847292659187491E-2</v>
      </c>
      <c r="AJ33" s="105">
        <f>'A)NSA Nb'!AJ33/'A)NSA Nb'!AI33-1</f>
        <v>-1.511581236971915E-2</v>
      </c>
      <c r="AK33" s="105">
        <f>'A)NSA Nb'!AK33/'A)NSA Nb'!AJ33-1</f>
        <v>-7.6739034698531938E-3</v>
      </c>
      <c r="AL33" s="105">
        <f>'A)NSA Nb'!AL33/'A)NSA Nb'!AK33-1</f>
        <v>-4.5174089149276897E-3</v>
      </c>
      <c r="AM33" s="105">
        <f>'A)NSA Nb'!AM33/'A)NSA Nb'!AL33-1</f>
        <v>-9.2987201368026629E-3</v>
      </c>
      <c r="AN33" s="105">
        <f>'A)NSA Nb'!AN33/'A)NSA Nb'!AM33-1</f>
        <v>-1.3728071353732885E-2</v>
      </c>
      <c r="AO33" s="105">
        <f>'A)NSA Nb'!AO33/'A)NSA Nb'!AN33-1</f>
        <v>-9.6255992590978945E-3</v>
      </c>
      <c r="AP33" s="105">
        <f>'A)NSA Nb'!AP33/'A)NSA Nb'!AO33-1</f>
        <v>-6.8518817749571026E-3</v>
      </c>
      <c r="AQ33" s="105">
        <f>'A)NSA Nb'!AQ33/'A)NSA Nb'!AP33-1</f>
        <v>-9.4815768703526704E-3</v>
      </c>
      <c r="AR33" s="105">
        <f>'A)NSA Nb'!AR33/'A)NSA Nb'!AQ33-1</f>
        <v>-1.5171054424978236E-2</v>
      </c>
      <c r="AS33" s="105">
        <f>'A)NSA Nb'!AS33/'A)NSA Nb'!AR33-1</f>
        <v>-1.2232253119277781E-2</v>
      </c>
      <c r="AT33" s="105">
        <f>'A)NSA Nb'!AT33/'A)NSA Nb'!AS33-1</f>
        <v>-7.2462987113299793E-3</v>
      </c>
      <c r="AU33" s="105">
        <f>'A)NSA Nb'!AU33/'A)NSA Nb'!AT33-1</f>
        <v>-1.6371610960728367E-2</v>
      </c>
      <c r="AV33" s="105">
        <f>'A)NSA Nb'!AV33/'A)NSA Nb'!AU33-1</f>
        <v>-1.5886213797975057E-2</v>
      </c>
      <c r="AW33" s="105">
        <f>'A)NSA Nb'!AW33/'A)NSA Nb'!AV33-1</f>
        <v>-1.009757374107445E-2</v>
      </c>
      <c r="AX33" s="105">
        <f>'A)NSA Nb'!AX33/'A)NSA Nb'!AW33-1</f>
        <v>-8.6106295956402956E-3</v>
      </c>
      <c r="AY33" s="105">
        <f>'A)NSA Nb'!AY33/'A)NSA Nb'!AX33-1</f>
        <v>-1.3915713366017934E-2</v>
      </c>
      <c r="AZ33" s="105">
        <f>'A)NSA Nb'!AZ33/'A)NSA Nb'!AY33-1</f>
        <v>-1.8013876440955534E-2</v>
      </c>
      <c r="BA33" s="105">
        <f>'A)NSA Nb'!BA33/'A)NSA Nb'!AZ33-1</f>
        <v>-1.260066170193519E-2</v>
      </c>
      <c r="BB33" s="396">
        <f>'A)NSA Nb'!BB33/'A)NSA Nb'!BA33-1</f>
        <v>-7.5381489302362992E-3</v>
      </c>
      <c r="BC33" s="455">
        <f>'A)NSA Nb'!BC33/'A)NSA Nb'!BB33-1</f>
        <v>-2.0469855237697621E-2</v>
      </c>
      <c r="BD33" s="455">
        <f>'A)NSA Nb'!BD33/'A)NSA Nb'!BC33-1</f>
        <v>-1.4676289656924801E-2</v>
      </c>
      <c r="BE33" s="455">
        <f>'A)NSA Nb'!BE33/'A)NSA Nb'!BD33-1</f>
        <v>-1.1313628763237382E-2</v>
      </c>
      <c r="BF33" s="455">
        <f>'A)NSA Nb'!BF33/'A)NSA Nb'!BE33-1</f>
        <v>-6.2095600299539866E-3</v>
      </c>
      <c r="BG33" s="455">
        <f>'A)NSA Nb'!BG33/'A)NSA Nb'!BF33-1</f>
        <v>-1.406727569828381E-2</v>
      </c>
      <c r="BH33" s="455">
        <f>'A)NSA Nb'!BH33/'A)NSA Nb'!BG33-1</f>
        <v>-1.697302264071554E-2</v>
      </c>
      <c r="BI33" s="455">
        <f>'A)NSA Nb'!BI33/'A)NSA Nb'!BH33-1</f>
        <v>-1.3876634664942822E-2</v>
      </c>
      <c r="BJ33" s="455">
        <f>'A)NSA Nb'!BJ33/'A)NSA Nb'!BI33-1</f>
        <v>-9.3369771757858544E-3</v>
      </c>
    </row>
    <row r="34" spans="1:62" x14ac:dyDescent="0.25">
      <c r="A34" s="8" t="s">
        <v>4</v>
      </c>
      <c r="B34" s="3"/>
      <c r="C34" s="105">
        <f>'A)NSA Nb'!C34/'A)NSA Nb'!B34-1</f>
        <v>-1.1494252873563204E-2</v>
      </c>
      <c r="D34" s="105">
        <f>'A)NSA Nb'!D34/'A)NSA Nb'!C34-1</f>
        <v>-4.0697674418604612E-2</v>
      </c>
      <c r="E34" s="105">
        <f>'A)NSA Nb'!E34/'A)NSA Nb'!D34-1</f>
        <v>-1.5151515151515138E-2</v>
      </c>
      <c r="F34" s="105">
        <f>'A)NSA Nb'!F34/'A)NSA Nb'!E34-1</f>
        <v>5.5384615384615365E-2</v>
      </c>
      <c r="G34" s="105">
        <f>'A)NSA Nb'!G34/'A)NSA Nb'!F34-1</f>
        <v>-5.2478134110787167E-2</v>
      </c>
      <c r="H34" s="105">
        <f>'A)NSA Nb'!H34/'A)NSA Nb'!G34-1</f>
        <v>-3.6923076923076947E-2</v>
      </c>
      <c r="I34" s="105">
        <f>'A)NSA Nb'!I34/'A)NSA Nb'!H34-1</f>
        <v>6.389776357827559E-3</v>
      </c>
      <c r="J34" s="105">
        <f>'A)NSA Nb'!J34/'A)NSA Nb'!I34-1</f>
        <v>-2.8571428571428581E-2</v>
      </c>
      <c r="K34" s="105">
        <f>'A)NSA Nb'!K34/'A)NSA Nb'!J34-1</f>
        <v>-3.9215686274509776E-2</v>
      </c>
      <c r="L34" s="105">
        <f>'A)NSA Nb'!L34/'A)NSA Nb'!K34-1</f>
        <v>-4.081632653061229E-2</v>
      </c>
      <c r="M34" s="105">
        <f>'A)NSA Nb'!M34/'A)NSA Nb'!L34-1</f>
        <v>1.0638297872340496E-2</v>
      </c>
      <c r="N34" s="105">
        <f>'A)NSA Nb'!N34/'A)NSA Nb'!M34-1</f>
        <v>-7.0175438596491446E-3</v>
      </c>
      <c r="O34" s="105">
        <f>'A)NSA Nb'!O34/'A)NSA Nb'!N34-1</f>
        <v>-2.8268551236749095E-2</v>
      </c>
      <c r="P34" s="105">
        <f>'A)NSA Nb'!P34/'A)NSA Nb'!O34-1</f>
        <v>-1.0909090909090868E-2</v>
      </c>
      <c r="Q34" s="105">
        <f>'A)NSA Nb'!Q34/'A)NSA Nb'!P34-1</f>
        <v>1.1029411764705843E-2</v>
      </c>
      <c r="R34" s="105">
        <f>'A)NSA Nb'!R34/'A)NSA Nb'!Q34-1</f>
        <v>-1.4545454545454528E-2</v>
      </c>
      <c r="S34" s="105">
        <f>'A)NSA Nb'!S34/'A)NSA Nb'!R34-1</f>
        <v>1.8450184501844991E-2</v>
      </c>
      <c r="T34" s="105">
        <f>'A)NSA Nb'!T34/'A)NSA Nb'!S34-1</f>
        <v>-1.8115942028985477E-2</v>
      </c>
      <c r="U34" s="105">
        <f>'A)NSA Nb'!U34/'A)NSA Nb'!T34-1</f>
        <v>2.2140221402213944E-2</v>
      </c>
      <c r="V34" s="105">
        <f>'A)NSA Nb'!V34/'A)NSA Nb'!U34-1</f>
        <v>-5.7761732851985603E-2</v>
      </c>
      <c r="W34" s="105">
        <f>'A)NSA Nb'!W34/'A)NSA Nb'!V34-1</f>
        <v>0</v>
      </c>
      <c r="X34" s="105">
        <f>'A)NSA Nb'!X34/'A)NSA Nb'!W34-1</f>
        <v>-1.5325670498084309E-2</v>
      </c>
      <c r="Y34" s="105">
        <f>'A)NSA Nb'!Y34/'A)NSA Nb'!X34-1</f>
        <v>-1.945525291828798E-2</v>
      </c>
      <c r="Z34" s="105">
        <f>'A)NSA Nb'!Z34/'A)NSA Nb'!Y34-1</f>
        <v>3.9682539682539542E-3</v>
      </c>
      <c r="AA34" s="105">
        <f>'A)NSA Nb'!AA34/'A)NSA Nb'!Z34-1</f>
        <v>3.9525691699604515E-3</v>
      </c>
      <c r="AB34" s="105">
        <f>'A)NSA Nb'!AB34/'A)NSA Nb'!AA34-1</f>
        <v>-1.5748031496062964E-2</v>
      </c>
      <c r="AC34" s="105">
        <f>'A)NSA Nb'!AC34/'A)NSA Nb'!AB34-1</f>
        <v>3.2000000000000028E-2</v>
      </c>
      <c r="AD34" s="105">
        <f>'A)NSA Nb'!AD34/'A)NSA Nb'!AC34-1</f>
        <v>-7.7519379844961378E-3</v>
      </c>
      <c r="AE34" s="105">
        <f>'A)NSA Nb'!AE34/'A)NSA Nb'!AD34-1</f>
        <v>-3.90625E-3</v>
      </c>
      <c r="AF34" s="105">
        <f>'A)NSA Nb'!AF34/'A)NSA Nb'!AE34-1</f>
        <v>-7.8431372549019329E-3</v>
      </c>
      <c r="AG34" s="105">
        <f>'A)NSA Nb'!AG34/'A)NSA Nb'!AF34-1</f>
        <v>0</v>
      </c>
      <c r="AH34" s="105">
        <f>'A)NSA Nb'!AH34/'A)NSA Nb'!AG34-1</f>
        <v>-3.9525691699604515E-3</v>
      </c>
      <c r="AI34" s="105">
        <f>'A)NSA Nb'!AI34/'A)NSA Nb'!AH34-1</f>
        <v>0</v>
      </c>
      <c r="AJ34" s="105">
        <f>'A)NSA Nb'!AJ34/'A)NSA Nb'!AI34-1</f>
        <v>-3.9682539682539542E-3</v>
      </c>
      <c r="AK34" s="105">
        <f>'A)NSA Nb'!AK34/'A)NSA Nb'!AJ34-1</f>
        <v>-1.195219123505975E-2</v>
      </c>
      <c r="AL34" s="105">
        <f>'A)NSA Nb'!AL34/'A)NSA Nb'!AK34-1</f>
        <v>1.2096774193548487E-2</v>
      </c>
      <c r="AM34" s="105">
        <f>'A)NSA Nb'!AM34/'A)NSA Nb'!AL34-1</f>
        <v>-1.195219123505975E-2</v>
      </c>
      <c r="AN34" s="105">
        <f>'A)NSA Nb'!AN34/'A)NSA Nb'!AM34-1</f>
        <v>4.0322580645162365E-3</v>
      </c>
      <c r="AO34" s="105">
        <f>'A)NSA Nb'!AO34/'A)NSA Nb'!AN34-1</f>
        <v>-4.0160642570281624E-3</v>
      </c>
      <c r="AP34" s="105">
        <f>'A)NSA Nb'!AP34/'A)NSA Nb'!AO34-1</f>
        <v>-4.0322580645161255E-3</v>
      </c>
      <c r="AQ34" s="105">
        <f>'A)NSA Nb'!AQ34/'A)NSA Nb'!AP34-1</f>
        <v>-8.0971659919027994E-3</v>
      </c>
      <c r="AR34" s="105">
        <f>'A)NSA Nb'!AR34/'A)NSA Nb'!AQ34-1</f>
        <v>-4.0816326530612734E-3</v>
      </c>
      <c r="AS34" s="105">
        <f>'A)NSA Nb'!AS34/'A)NSA Nb'!AR34-1</f>
        <v>0</v>
      </c>
      <c r="AT34" s="105">
        <f>'A)NSA Nb'!AT34/'A)NSA Nb'!AS34-1</f>
        <v>0</v>
      </c>
      <c r="AU34" s="105">
        <f>'A)NSA Nb'!AU34/'A)NSA Nb'!AT34-1</f>
        <v>-1.2295081967213073E-2</v>
      </c>
      <c r="AV34" s="105">
        <f>'A)NSA Nb'!AV34/'A)NSA Nb'!AU34-1</f>
        <v>-2.4896265560165998E-2</v>
      </c>
      <c r="AW34" s="105">
        <f>'A)NSA Nb'!AW34/'A)NSA Nb'!AV34-1</f>
        <v>2.9787234042553123E-2</v>
      </c>
      <c r="AX34" s="105">
        <f>'A)NSA Nb'!AX34/'A)NSA Nb'!AW34-1</f>
        <v>-2.0661157024793431E-2</v>
      </c>
      <c r="AY34" s="105">
        <f>'A)NSA Nb'!AY34/'A)NSA Nb'!AX34-1</f>
        <v>2.9535864978903037E-2</v>
      </c>
      <c r="AZ34" s="105">
        <f>'A)NSA Nb'!AZ34/'A)NSA Nb'!AY34-1</f>
        <v>-4.098360655737654E-3</v>
      </c>
      <c r="BA34" s="105">
        <f>'A)NSA Nb'!BA34/'A)NSA Nb'!AZ34-1</f>
        <v>2.0576131687242816E-2</v>
      </c>
      <c r="BB34" s="396">
        <f>'A)NSA Nb'!BB34/'A)NSA Nb'!BA34-1</f>
        <v>2.4193548387096753E-2</v>
      </c>
      <c r="BC34" s="455">
        <f>'A)NSA Nb'!BC34/'A)NSA Nb'!BB34-1</f>
        <v>-3.9370078740157521E-2</v>
      </c>
      <c r="BD34" s="455">
        <f>'A)NSA Nb'!BD34/'A)NSA Nb'!BC34-1</f>
        <v>-2.0491803278688492E-2</v>
      </c>
      <c r="BE34" s="455">
        <f>'A)NSA Nb'!BE34/'A)NSA Nb'!BD34-1</f>
        <v>1.2552301255230214E-2</v>
      </c>
      <c r="BF34" s="455">
        <f>'A)NSA Nb'!BF34/'A)NSA Nb'!BE34-1</f>
        <v>-1.2396694214875992E-2</v>
      </c>
      <c r="BG34" s="455">
        <f>'A)NSA Nb'!BG34/'A)NSA Nb'!BF34-1</f>
        <v>2.5104602510460206E-2</v>
      </c>
      <c r="BH34" s="455">
        <f>'A)NSA Nb'!BH34/'A)NSA Nb'!BG34-1</f>
        <v>-2.4489795918367308E-2</v>
      </c>
      <c r="BI34" s="455">
        <f>'A)NSA Nb'!BI34/'A)NSA Nb'!BH34-1</f>
        <v>4.1841004184099972E-3</v>
      </c>
      <c r="BJ34" s="455">
        <f>'A)NSA Nb'!BJ34/'A)NSA Nb'!BI34-1</f>
        <v>8.3333333333333037E-3</v>
      </c>
    </row>
    <row r="35" spans="1:62" x14ac:dyDescent="0.25">
      <c r="A35" s="223" t="s">
        <v>29</v>
      </c>
      <c r="B35" s="10"/>
      <c r="C35" s="40"/>
      <c r="D35" s="40"/>
      <c r="E35" s="40"/>
      <c r="F35" s="40"/>
      <c r="G35" s="40"/>
      <c r="H35" s="40"/>
      <c r="I35" s="40"/>
      <c r="J35" s="40"/>
      <c r="K35" s="146"/>
      <c r="L35" s="146"/>
      <c r="M35" s="40"/>
      <c r="N35" s="40"/>
      <c r="O35" s="40"/>
      <c r="P35" s="40"/>
      <c r="Q35" s="40"/>
      <c r="R35" s="40"/>
      <c r="S35" s="105">
        <f>'A)NSA Nb'!S35/'A)NSA Nb'!R35-1</f>
        <v>-7.5580986028174202E-3</v>
      </c>
      <c r="T35" s="105">
        <f>'A)NSA Nb'!T35/'A)NSA Nb'!S35-1</f>
        <v>-8.3295660254827375E-3</v>
      </c>
      <c r="U35" s="105">
        <f>'A)NSA Nb'!U35/'A)NSA Nb'!T35-1</f>
        <v>-7.6276008727291789E-3</v>
      </c>
      <c r="V35" s="105">
        <f>'A)NSA Nb'!V35/'A)NSA Nb'!U35-1</f>
        <v>-5.6272182524496062E-3</v>
      </c>
      <c r="W35" s="105">
        <f>'A)NSA Nb'!W35/'A)NSA Nb'!V35-1</f>
        <v>-6.5190929946111753E-3</v>
      </c>
      <c r="X35" s="105">
        <f>'A)NSA Nb'!X35/'A)NSA Nb'!W35-1</f>
        <v>-1.1065361987453337E-2</v>
      </c>
      <c r="Y35" s="105">
        <f>'A)NSA Nb'!Y35/'A)NSA Nb'!X35-1</f>
        <v>-8.4457102687387486E-3</v>
      </c>
      <c r="Z35" s="105">
        <f>'A)NSA Nb'!Z35/'A)NSA Nb'!Y35-1</f>
        <v>-5.6696375720881598E-3</v>
      </c>
      <c r="AA35" s="105">
        <f>'A)NSA Nb'!AA35/'A)NSA Nb'!Z35-1</f>
        <v>-6.1856904542251234E-3</v>
      </c>
      <c r="AB35" s="105">
        <f>'A)NSA Nb'!AB35/'A)NSA Nb'!AA35-1</f>
        <v>-9.191840914816507E-3</v>
      </c>
      <c r="AC35" s="105">
        <f>'A)NSA Nb'!AC35/'A)NSA Nb'!AB35-1</f>
        <v>-7.8233983383138028E-3</v>
      </c>
      <c r="AD35" s="105">
        <f>'A)NSA Nb'!AD35/'A)NSA Nb'!AC35-1</f>
        <v>-6.4004089130794695E-3</v>
      </c>
      <c r="AE35" s="105">
        <f>'A)NSA Nb'!AE35/'A)NSA Nb'!AD35-1</f>
        <v>-7.7564582835427665E-3</v>
      </c>
      <c r="AF35" s="105">
        <f>'A)NSA Nb'!AF35/'A)NSA Nb'!AE35-1</f>
        <v>-1.1139725826138092E-2</v>
      </c>
      <c r="AG35" s="105">
        <f>'A)NSA Nb'!AG35/'A)NSA Nb'!AF35-1</f>
        <v>-7.7322919799167611E-3</v>
      </c>
      <c r="AH35" s="105">
        <f>'A)NSA Nb'!AH35/'A)NSA Nb'!AG35-1</f>
        <v>-5.9345728460897806E-3</v>
      </c>
      <c r="AI35" s="105">
        <f>'A)NSA Nb'!AI35/'A)NSA Nb'!AH35-1</f>
        <v>-6.5529537172750452E-3</v>
      </c>
      <c r="AJ35" s="105">
        <f>'A)NSA Nb'!AJ35/'A)NSA Nb'!AI35-1</f>
        <v>-1.0477783730787893E-2</v>
      </c>
      <c r="AK35" s="105">
        <f>'A)NSA Nb'!AK35/'A)NSA Nb'!AJ35-1</f>
        <v>-7.6855587665684011E-3</v>
      </c>
      <c r="AL35" s="105">
        <f>'A)NSA Nb'!AL35/'A)NSA Nb'!AK35-1</f>
        <v>-4.8008682689851812E-3</v>
      </c>
      <c r="AM35" s="105">
        <f>'A)NSA Nb'!AM35/'A)NSA Nb'!AL35-1</f>
        <v>-6.8858204017512303E-3</v>
      </c>
      <c r="AN35" s="105">
        <f>'A)NSA Nb'!AN35/'A)NSA Nb'!AM35-1</f>
        <v>-1.0943027753783752E-2</v>
      </c>
      <c r="AO35" s="105">
        <f>'A)NSA Nb'!AO35/'A)NSA Nb'!AN35-1</f>
        <v>-7.7195828311616976E-3</v>
      </c>
      <c r="AP35" s="105">
        <f>'A)NSA Nb'!AP35/'A)NSA Nb'!AO35-1</f>
        <v>-4.8805463885334133E-3</v>
      </c>
      <c r="AQ35" s="105">
        <f>'A)NSA Nb'!AQ35/'A)NSA Nb'!AP35-1</f>
        <v>-5.9465990483288378E-3</v>
      </c>
      <c r="AR35" s="105">
        <f>'A)NSA Nb'!AR35/'A)NSA Nb'!AQ35-1</f>
        <v>-1.1071506769402384E-2</v>
      </c>
      <c r="AS35" s="105">
        <f>'A)NSA Nb'!AS35/'A)NSA Nb'!AR35-1</f>
        <v>-9.7324590810337064E-3</v>
      </c>
      <c r="AT35" s="105">
        <f>'A)NSA Nb'!AT35/'A)NSA Nb'!AS35-1</f>
        <v>-6.0509244665445383E-3</v>
      </c>
      <c r="AU35" s="105">
        <f>'A)NSA Nb'!AU35/'A)NSA Nb'!AT35-1</f>
        <v>-1.0575487760094981E-2</v>
      </c>
      <c r="AV35" s="105">
        <f>'A)NSA Nb'!AV35/'A)NSA Nb'!AU35-1</f>
        <v>-1.2169091567834966E-2</v>
      </c>
      <c r="AW35" s="105">
        <f>'A)NSA Nb'!AW35/'A)NSA Nb'!AV35-1</f>
        <v>-8.9741348112666319E-3</v>
      </c>
      <c r="AX35" s="105">
        <f>'A)NSA Nb'!AX35/'A)NSA Nb'!AW35-1</f>
        <v>-5.7155283478717012E-3</v>
      </c>
      <c r="AY35" s="105">
        <f>'A)NSA Nb'!AY35/'A)NSA Nb'!AX35-1</f>
        <v>-7.2479975570401978E-3</v>
      </c>
      <c r="AZ35" s="105">
        <f>'A)NSA Nb'!AZ35/'A)NSA Nb'!AY35-1</f>
        <v>-1.1943172248211176E-2</v>
      </c>
      <c r="BA35" s="105">
        <f>'A)NSA Nb'!BA35/'A)NSA Nb'!AZ35-1</f>
        <v>-8.546088042292066E-3</v>
      </c>
      <c r="BB35" s="396">
        <f>'A)NSA Nb'!BB35/'A)NSA Nb'!BA35-1</f>
        <v>-4.0158188638254044E-3</v>
      </c>
      <c r="BC35" s="455">
        <f>'A)NSA Nb'!BC35/'A)NSA Nb'!BB35-1</f>
        <v>-1.05657084818781E-2</v>
      </c>
      <c r="BD35" s="455">
        <f>'A)NSA Nb'!BD35/'A)NSA Nb'!BC35-1</f>
        <v>-9.7019655393348891E-3</v>
      </c>
      <c r="BE35" s="455">
        <f>'A)NSA Nb'!BE35/'A)NSA Nb'!BD35-1</f>
        <v>-7.3073250650902422E-3</v>
      </c>
      <c r="BF35" s="455">
        <f>'A)NSA Nb'!BF35/'A)NSA Nb'!BE35-1</f>
        <v>-5.6038383270304859E-3</v>
      </c>
      <c r="BG35" s="455">
        <f>'A)NSA Nb'!BG35/'A)NSA Nb'!BF35-1</f>
        <v>-7.3840982009298894E-3</v>
      </c>
      <c r="BH35" s="455">
        <f>'A)NSA Nb'!BH35/'A)NSA Nb'!BG35-1</f>
        <v>-1.0761830380915161E-2</v>
      </c>
      <c r="BI35" s="455">
        <f>'A)NSA Nb'!BI35/'A)NSA Nb'!BH35-1</f>
        <v>-8.5965437982332693E-3</v>
      </c>
      <c r="BJ35" s="455">
        <f>'A)NSA Nb'!BJ35/'A)NSA Nb'!BI35-1</f>
        <v>-5.6694164618497078E-3</v>
      </c>
    </row>
    <row r="36" spans="1:62" ht="13" x14ac:dyDescent="0.3">
      <c r="A36" s="25" t="s">
        <v>40</v>
      </c>
      <c r="L36" s="14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M36" s="35"/>
      <c r="AN36" s="35"/>
      <c r="AO36" s="35"/>
    </row>
    <row r="37" spans="1:62" ht="13" x14ac:dyDescent="0.3">
      <c r="A37" s="17" t="s">
        <v>11</v>
      </c>
      <c r="L37" s="14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M37" s="35"/>
      <c r="AN37" s="35"/>
      <c r="AO37" s="35"/>
      <c r="BB37" s="389" t="s">
        <v>241</v>
      </c>
      <c r="BC37" s="389"/>
      <c r="BD37" s="389"/>
    </row>
    <row r="38" spans="1:62" x14ac:dyDescent="0.25">
      <c r="B38" s="2" t="str">
        <f t="shared" ref="B38:H38" si="71">B8</f>
        <v>4eme T 2009</v>
      </c>
      <c r="C38" s="38" t="str">
        <f t="shared" si="71"/>
        <v>1er T 2010</v>
      </c>
      <c r="D38" s="38" t="str">
        <f t="shared" si="71"/>
        <v>2eme T 2010</v>
      </c>
      <c r="E38" s="38" t="str">
        <f t="shared" si="71"/>
        <v>3eme T 2010</v>
      </c>
      <c r="F38" s="38" t="str">
        <f t="shared" si="71"/>
        <v>4eme T 2010</v>
      </c>
      <c r="G38" s="38" t="str">
        <f t="shared" si="71"/>
        <v>1er T 2011</v>
      </c>
      <c r="H38" s="38" t="str">
        <f t="shared" si="71"/>
        <v>2eme T 2011</v>
      </c>
      <c r="I38" s="38" t="str">
        <f t="shared" ref="I38:N38" si="72">I8</f>
        <v>3eme T 2011</v>
      </c>
      <c r="J38" s="38" t="str">
        <f t="shared" si="72"/>
        <v>4eme T 2011</v>
      </c>
      <c r="K38" s="38" t="str">
        <f t="shared" si="72"/>
        <v>1er T 2012</v>
      </c>
      <c r="L38" s="38" t="str">
        <f t="shared" si="72"/>
        <v>2eme T 2012</v>
      </c>
      <c r="M38" s="38" t="str">
        <f t="shared" si="72"/>
        <v>3eme T 2012</v>
      </c>
      <c r="N38" s="38" t="str">
        <f t="shared" si="72"/>
        <v>4eme T 2012</v>
      </c>
      <c r="O38" s="38" t="str">
        <f t="shared" ref="O38:T38" si="73">O8</f>
        <v>1er T 2013</v>
      </c>
      <c r="P38" s="38" t="str">
        <f t="shared" si="73"/>
        <v>2e T 2013</v>
      </c>
      <c r="Q38" s="38" t="str">
        <f t="shared" si="73"/>
        <v>3e T 2013</v>
      </c>
      <c r="R38" s="38" t="str">
        <f t="shared" si="73"/>
        <v>4e T 2013</v>
      </c>
      <c r="S38" s="38" t="str">
        <f t="shared" si="73"/>
        <v>1er T 2014</v>
      </c>
      <c r="T38" s="38" t="str">
        <f t="shared" si="73"/>
        <v>2e T 2014</v>
      </c>
      <c r="U38" s="38" t="str">
        <f t="shared" ref="U38:V38" si="74">U8</f>
        <v>3e T 2014</v>
      </c>
      <c r="V38" s="38" t="str">
        <f t="shared" si="74"/>
        <v>4e T 2014</v>
      </c>
      <c r="W38" s="38" t="str">
        <f t="shared" ref="W38:X38" si="75">W8</f>
        <v>1er T 2015</v>
      </c>
      <c r="X38" s="38" t="str">
        <f t="shared" si="75"/>
        <v>2e T 2015</v>
      </c>
      <c r="Y38" s="38" t="str">
        <f t="shared" ref="Y38:Z38" si="76">Y8</f>
        <v>3e T 2015</v>
      </c>
      <c r="Z38" s="38" t="str">
        <f t="shared" si="76"/>
        <v>4e T 2015</v>
      </c>
      <c r="AA38" s="38" t="str">
        <f t="shared" ref="AA38:AB38" si="77">AA8</f>
        <v>1er T 2016</v>
      </c>
      <c r="AB38" s="38" t="str">
        <f t="shared" si="77"/>
        <v>2e T 2016</v>
      </c>
      <c r="AC38" s="38" t="str">
        <f t="shared" ref="AC38" si="78">AC8</f>
        <v>3e T 2016</v>
      </c>
      <c r="AD38" s="38" t="str">
        <f t="shared" ref="AD38:AE38" si="79">AD8</f>
        <v>4e T 2016</v>
      </c>
      <c r="AE38" s="38" t="str">
        <f t="shared" si="79"/>
        <v>1e T 2017</v>
      </c>
      <c r="AF38" s="38" t="str">
        <f t="shared" ref="AF38:AG38" si="80">AF8</f>
        <v>2e T 2017</v>
      </c>
      <c r="AG38" s="38" t="str">
        <f t="shared" si="80"/>
        <v>3e T 2017</v>
      </c>
      <c r="AH38" s="38" t="str">
        <f t="shared" ref="AH38:AI38" si="81">AH8</f>
        <v>4e T 2017</v>
      </c>
      <c r="AI38" s="38" t="str">
        <f t="shared" si="81"/>
        <v>1e T 2018</v>
      </c>
      <c r="AJ38" s="38" t="str">
        <f t="shared" ref="AJ38:AK38" si="82">AJ8</f>
        <v>2e T 2018</v>
      </c>
      <c r="AK38" s="38" t="str">
        <f t="shared" si="82"/>
        <v>3e T 2018</v>
      </c>
      <c r="AL38" s="38" t="str">
        <f t="shared" ref="AL38:AM38" si="83">AL8</f>
        <v>4e T 2018</v>
      </c>
      <c r="AM38" s="38" t="str">
        <f t="shared" si="83"/>
        <v>1e T 2019</v>
      </c>
      <c r="AN38" s="38" t="str">
        <f t="shared" ref="AN38:AP38" si="84">AN8</f>
        <v>2e T 2019</v>
      </c>
      <c r="AO38" s="38" t="str">
        <f t="shared" si="84"/>
        <v>3e T 2019</v>
      </c>
      <c r="AP38" s="38" t="str">
        <f t="shared" si="84"/>
        <v>4e T 2019</v>
      </c>
      <c r="AQ38" s="38" t="str">
        <f t="shared" ref="AQ38" si="85">AQ8</f>
        <v>1e T 2020</v>
      </c>
      <c r="AR38" s="38" t="str">
        <f t="shared" ref="AR38:AS38" si="86">AR8</f>
        <v>2e T 2020</v>
      </c>
      <c r="AS38" s="38" t="str">
        <f t="shared" si="86"/>
        <v>3e T 2020</v>
      </c>
      <c r="AT38" s="38" t="str">
        <f t="shared" ref="AT38:AU38" si="87">AT8</f>
        <v>4e T 2020</v>
      </c>
      <c r="AU38" s="38" t="str">
        <f t="shared" si="87"/>
        <v>1er T 2021</v>
      </c>
      <c r="AV38" s="38" t="str">
        <f t="shared" ref="AV38:AW38" si="88">AV8</f>
        <v>2e T 2021</v>
      </c>
      <c r="AW38" s="38" t="str">
        <f t="shared" si="88"/>
        <v>3e T 2021</v>
      </c>
      <c r="AX38" s="38" t="str">
        <f t="shared" ref="AX38" si="89">AX8</f>
        <v>4e T 2021</v>
      </c>
      <c r="AY38" s="38" t="str">
        <f t="shared" ref="AY38:AZ38" si="90">AY8</f>
        <v>1er T 2022</v>
      </c>
      <c r="AZ38" s="38" t="str">
        <f t="shared" si="90"/>
        <v>2e T 2022</v>
      </c>
      <c r="BA38" s="38" t="str">
        <f t="shared" ref="BA38:BB38" si="91">BA8</f>
        <v>3e T 2022</v>
      </c>
      <c r="BB38" s="38" t="str">
        <f t="shared" si="91"/>
        <v>4e T 2022</v>
      </c>
      <c r="BC38" s="38" t="str">
        <f t="shared" ref="BC38:BD38" si="92">BC8</f>
        <v>1er T 2023</v>
      </c>
      <c r="BD38" s="38" t="str">
        <f t="shared" si="92"/>
        <v>2e T 2023</v>
      </c>
      <c r="BE38" s="38" t="str">
        <f t="shared" ref="BE38:BF38" si="93">BE8</f>
        <v>3e T 2023</v>
      </c>
      <c r="BF38" s="38" t="str">
        <f t="shared" si="93"/>
        <v>4e T 2023</v>
      </c>
      <c r="BG38" s="38" t="str">
        <f t="shared" ref="BG38:BH38" si="94">BG8</f>
        <v>1er T 2024</v>
      </c>
      <c r="BH38" s="38" t="str">
        <f t="shared" si="94"/>
        <v>2e T 2024</v>
      </c>
      <c r="BI38" s="38" t="str">
        <f t="shared" ref="BI38:BJ38" si="95">BI8</f>
        <v>3e T 2024</v>
      </c>
      <c r="BJ38" s="38" t="str">
        <f t="shared" si="95"/>
        <v>4e T 2024</v>
      </c>
    </row>
    <row r="39" spans="1:62" x14ac:dyDescent="0.25">
      <c r="A39" s="22" t="s">
        <v>16</v>
      </c>
      <c r="B39" s="21"/>
      <c r="C39" s="105">
        <f>'A)NSA Nb'!C40/'A)NSA Nb'!B40-1</f>
        <v>1.5828795745220781E-3</v>
      </c>
      <c r="D39" s="105">
        <f>'A)NSA Nb'!D40/'A)NSA Nb'!C40-1</f>
        <v>9.364868648009228E-3</v>
      </c>
      <c r="E39" s="105">
        <f>'A)NSA Nb'!E40/'A)NSA Nb'!D40-1</f>
        <v>-1.7893889236825222E-3</v>
      </c>
      <c r="F39" s="105">
        <f>'A)NSA Nb'!F40/'A)NSA Nb'!E40-1</f>
        <v>-7.9770547638258194E-4</v>
      </c>
      <c r="G39" s="105">
        <f>'A)NSA Nb'!G40/'A)NSA Nb'!F40-1</f>
        <v>3.5701150868758802E-3</v>
      </c>
      <c r="H39" s="105">
        <f>'A)NSA Nb'!H40/'A)NSA Nb'!G40-1</f>
        <v>2.244389027431426E-2</v>
      </c>
      <c r="I39" s="105">
        <f>'A)NSA Nb'!I40/'A)NSA Nb'!H40-1</f>
        <v>-1.5823061456422538E-3</v>
      </c>
      <c r="J39" s="105">
        <f>'A)NSA Nb'!J40/'A)NSA Nb'!I40-1</f>
        <v>-5.3410852034418976E-4</v>
      </c>
      <c r="K39" s="105">
        <f>'A)NSA Nb'!K40/'A)NSA Nb'!J40-1</f>
        <v>-2.7683358446929374E-3</v>
      </c>
      <c r="L39" s="105">
        <f>'A)NSA Nb'!L40/'A)NSA Nb'!K40-1</f>
        <v>2.1927050390048608E-2</v>
      </c>
      <c r="M39" s="105">
        <f>'A)NSA Nb'!M40/'A)NSA Nb'!L40-1</f>
        <v>-1.3410356921806921E-3</v>
      </c>
      <c r="N39" s="105">
        <f>'A)NSA Nb'!N40/'A)NSA Nb'!M40-1</f>
        <v>-6.3698653720345444E-4</v>
      </c>
      <c r="O39" s="105">
        <f>'A)NSA Nb'!O40/'A)NSA Nb'!N40-1</f>
        <v>-1.0939034264155767E-3</v>
      </c>
      <c r="P39" s="105">
        <f>'A)NSA Nb'!P40/'A)NSA Nb'!O40-1</f>
        <v>1.1821920997490798E-2</v>
      </c>
      <c r="Q39" s="105">
        <f>'A)NSA Nb'!Q40/'A)NSA Nb'!P40-1</f>
        <v>-1.6618090709209499E-3</v>
      </c>
      <c r="R39" s="105">
        <f>'A)NSA Nb'!R40/'A)NSA Nb'!Q40-1</f>
        <v>-3.0986709006634028E-3</v>
      </c>
      <c r="S39" s="105">
        <f>'A)NSA Nb'!S40/'A)NSA Nb'!R40-1</f>
        <v>2.5517194136184251E-3</v>
      </c>
      <c r="T39" s="105">
        <f>'A)NSA Nb'!T40/'A)NSA Nb'!S40-1</f>
        <v>-7.6015100527826451E-4</v>
      </c>
      <c r="U39" s="105">
        <f>'A)NSA Nb'!U40/'A)NSA Nb'!T40-1</f>
        <v>-1.2992230304377239E-3</v>
      </c>
      <c r="V39" s="105">
        <f>'A)NSA Nb'!V40/'A)NSA Nb'!U40-1</f>
        <v>-5.1351837112134646E-5</v>
      </c>
      <c r="W39" s="105">
        <f>'A)NSA Nb'!W40/'A)NSA Nb'!V40-1</f>
        <v>-6.3337184918899059E-4</v>
      </c>
      <c r="X39" s="105">
        <f>'A)NSA Nb'!X40/'A)NSA Nb'!W40-1</f>
        <v>-7.8793432738655245E-4</v>
      </c>
      <c r="Y39" s="105">
        <f>'A)NSA Nb'!Y40/'A)NSA Nb'!X40-1</f>
        <v>-7.2855685743444809E-4</v>
      </c>
      <c r="Z39" s="105">
        <f>'A)NSA Nb'!Z40/'A)NSA Nb'!Y40-1</f>
        <v>1.3466684965348641E-3</v>
      </c>
      <c r="AA39" s="105">
        <f>'A)NSA Nb'!AA40/'A)NSA Nb'!Z40-1</f>
        <v>2.2271524143180343E-4</v>
      </c>
      <c r="AB39" s="105">
        <f>'A)NSA Nb'!AB40/'A)NSA Nb'!AA40-1</f>
        <v>-4.453313007956039E-4</v>
      </c>
      <c r="AC39" s="105">
        <f>'A)NSA Nb'!AC40/'A)NSA Nb'!AB40-1</f>
        <v>-9.6817032943508075E-4</v>
      </c>
      <c r="AD39" s="105">
        <f>'A)NSA Nb'!AD40/'A)NSA Nb'!AC40-1</f>
        <v>6.6036603145747108E-4</v>
      </c>
      <c r="AE39" s="105">
        <f>'A)NSA Nb'!AE40/'A)NSA Nb'!AD40-1</f>
        <v>4.9709030759603756E-4</v>
      </c>
      <c r="AF39" s="105">
        <f>'A)NSA Nb'!AF40/'A)NSA Nb'!AE40-1</f>
        <v>-9.0802401980516478E-4</v>
      </c>
      <c r="AG39" s="105">
        <f>'A)NSA Nb'!AG40/'A)NSA Nb'!AF40-1</f>
        <v>-3.4296199123651228E-5</v>
      </c>
      <c r="AH39" s="105">
        <f>'A)NSA Nb'!AH40/'A)NSA Nb'!AG40-1</f>
        <v>7.9741397789534485E-3</v>
      </c>
      <c r="AI39" s="105">
        <f>'A)NSA Nb'!AI40/'A)NSA Nb'!AH40-1</f>
        <v>6.7201442704378778E-4</v>
      </c>
      <c r="AJ39" s="105">
        <f>'A)NSA Nb'!AJ40/'A)NSA Nb'!AI40-1</f>
        <v>1.0881022816147112E-3</v>
      </c>
      <c r="AK39" s="105">
        <f>'A)NSA Nb'!AK40/'A)NSA Nb'!AJ40-1</f>
        <v>-1.205801433375342E-3</v>
      </c>
      <c r="AL39" s="105">
        <f>'A)NSA Nb'!AL40/'A)NSA Nb'!AK40-1</f>
        <v>-4.2509054428596649E-5</v>
      </c>
      <c r="AM39" s="105">
        <f>'A)NSA Nb'!AM40/'A)NSA Nb'!AL40-1</f>
        <v>4.6761947677631532E-3</v>
      </c>
      <c r="AN39" s="105">
        <f>'A)NSA Nb'!AN40/'A)NSA Nb'!AM40-1</f>
        <v>-1.523267917439286E-4</v>
      </c>
      <c r="AO39" s="105">
        <f>'A)NSA Nb'!AO40/'A)NSA Nb'!AN40-1</f>
        <v>-9.9873888056611904E-4</v>
      </c>
      <c r="AP39" s="105">
        <f>'A)NSA Nb'!AP40/'A)NSA Nb'!AO40-1</f>
        <v>9.4890325423002686E-4</v>
      </c>
      <c r="AQ39" s="105">
        <f>'A)NSA Nb'!AQ40/'A)NSA Nb'!AP40-1</f>
        <v>1.261183481035677E-2</v>
      </c>
      <c r="AR39" s="105">
        <f>'A)NSA Nb'!AR40/'A)NSA Nb'!AQ40-1</f>
        <v>-1.1368100774868939E-3</v>
      </c>
      <c r="AS39" s="105">
        <f>'A)NSA Nb'!AS40/'A)NSA Nb'!AR40-1</f>
        <v>-4.2678895704495456E-4</v>
      </c>
      <c r="AT39" s="105">
        <f>'A)NSA Nb'!AT40/'A)NSA Nb'!AS40-1</f>
        <v>7.5347855934881913E-4</v>
      </c>
      <c r="AU39" s="105">
        <f>'A)NSA Nb'!AU40/'A)NSA Nb'!AT40-1</f>
        <v>4.5341989024227924E-3</v>
      </c>
      <c r="AV39" s="105">
        <f>'A)NSA Nb'!AV40/'A)NSA Nb'!AU40-1</f>
        <v>1.9987008444521948E-4</v>
      </c>
      <c r="AW39" s="105">
        <f>'A)NSA Nb'!AW40/'A)NSA Nb'!AV40-1</f>
        <v>3.33050240628463E-5</v>
      </c>
      <c r="AX39" s="105">
        <f>'A)NSA Nb'!AX40/'A)NSA Nb'!AW40-1</f>
        <v>2.3776986185952698E-3</v>
      </c>
      <c r="AY39" s="105">
        <f>'A)NSA Nb'!AY40/'A)NSA Nb'!AX40-1</f>
        <v>4.1705869426809983E-2</v>
      </c>
      <c r="AZ39" s="105">
        <f>'A)NSA Nb'!AZ40/'A)NSA Nb'!AY40-1</f>
        <v>-1.1746593357031543E-3</v>
      </c>
      <c r="BA39" s="105">
        <f>'A)NSA Nb'!BA40/'A)NSA Nb'!AZ40-1</f>
        <v>3.8760487279787537E-2</v>
      </c>
      <c r="BB39" s="396">
        <f>'A)NSA Nb'!BB40/'A)NSA Nb'!BA40-1</f>
        <v>4.793406736061101E-4</v>
      </c>
      <c r="BC39" s="455">
        <f>'A)NSA Nb'!BC40/'A)NSA Nb'!BB40-1</f>
        <v>1.1276483870632958E-2</v>
      </c>
      <c r="BD39" s="455">
        <f>'A)NSA Nb'!BD40/'A)NSA Nb'!BC40-1</f>
        <v>1.1375331768783692E-3</v>
      </c>
      <c r="BE39" s="455">
        <f>'A)NSA Nb'!BE40/'A)NSA Nb'!BD40-1</f>
        <v>1.7413532870591553E-4</v>
      </c>
      <c r="BF39" s="455">
        <f>'A)NSA Nb'!BF40/'A)NSA Nb'!BE40-1</f>
        <v>1.9081408595305049E-3</v>
      </c>
      <c r="BG39" s="455">
        <f>'A)NSA Nb'!BG40/'A)NSA Nb'!BF40-1</f>
        <v>5.2355697838215365E-2</v>
      </c>
      <c r="BH39" s="455">
        <f>'A)NSA Nb'!BH40/'A)NSA Nb'!BG40-1</f>
        <v>6.0313888628016343E-4</v>
      </c>
      <c r="BI39" s="455">
        <f>'A)NSA Nb'!BI40/'A)NSA Nb'!BH40-1</f>
        <v>-2.108753438226918E-4</v>
      </c>
      <c r="BJ39" s="455">
        <f>'A)NSA Nb'!BJ40/'A)NSA Nb'!BI40-1</f>
        <v>8.959633915084364E-4</v>
      </c>
    </row>
    <row r="40" spans="1:62" x14ac:dyDescent="0.25">
      <c r="A40" s="22" t="s">
        <v>17</v>
      </c>
      <c r="B40" s="21"/>
      <c r="C40" s="105">
        <f>'A)NSA Nb'!C41/'A)NSA Nb'!B41-1</f>
        <v>-1.6292453594877299E-2</v>
      </c>
      <c r="D40" s="105">
        <f>'A)NSA Nb'!D41/'A)NSA Nb'!C41-1</f>
        <v>-1.285431773236656E-2</v>
      </c>
      <c r="E40" s="105">
        <f>'A)NSA Nb'!E41/'A)NSA Nb'!D41-1</f>
        <v>-1.6555370061213104E-2</v>
      </c>
      <c r="F40" s="105">
        <f>'A)NSA Nb'!F41/'A)NSA Nb'!E41-1</f>
        <v>-1.5787240062243524E-2</v>
      </c>
      <c r="G40" s="105">
        <f>'A)NSA Nb'!G41/'A)NSA Nb'!F41-1</f>
        <v>-1.8915111967114151E-2</v>
      </c>
      <c r="H40" s="105">
        <f>'A)NSA Nb'!H41/'A)NSA Nb'!G41-1</f>
        <v>8.3506695185910917E-3</v>
      </c>
      <c r="I40" s="105">
        <f>'A)NSA Nb'!I41/'A)NSA Nb'!H41-1</f>
        <v>-1.9207299354913721E-2</v>
      </c>
      <c r="J40" s="105">
        <f>'A)NSA Nb'!J41/'A)NSA Nb'!I41-1</f>
        <v>-1.3539537226320619E-2</v>
      </c>
      <c r="K40" s="105">
        <f>'A)NSA Nb'!K41/'A)NSA Nb'!J41-1</f>
        <v>-1.6007928880345967E-2</v>
      </c>
      <c r="L40" s="105">
        <f>'A)NSA Nb'!L41/'A)NSA Nb'!K41-1</f>
        <v>9.1871928700058003E-3</v>
      </c>
      <c r="M40" s="105">
        <f>'A)NSA Nb'!M41/'A)NSA Nb'!L41-1</f>
        <v>-1.6785627873215581E-2</v>
      </c>
      <c r="N40" s="105">
        <f>'A)NSA Nb'!N41/'A)NSA Nb'!M41-1</f>
        <v>-1.3380909901873239E-2</v>
      </c>
      <c r="O40" s="105">
        <f>'A)NSA Nb'!O41/'A)NSA Nb'!N41-1</f>
        <v>-1.4217122903286139E-2</v>
      </c>
      <c r="P40" s="105">
        <f>'A)NSA Nb'!P41/'A)NSA Nb'!O41-1</f>
        <v>-3.7636789170725216E-3</v>
      </c>
      <c r="Q40" s="105">
        <f>'A)NSA Nb'!Q41/'A)NSA Nb'!P41-1</f>
        <v>-1.5365567160862348E-2</v>
      </c>
      <c r="R40" s="105">
        <f>'A)NSA Nb'!R41/'A)NSA Nb'!Q41-1</f>
        <v>-1.4218926325971215E-2</v>
      </c>
      <c r="S40" s="105">
        <f>'A)NSA Nb'!S41/'A)NSA Nb'!R41-1</f>
        <v>-1.3900699941126415E-2</v>
      </c>
      <c r="T40" s="105">
        <f>'A)NSA Nb'!T41/'A)NSA Nb'!S41-1</f>
        <v>-1.1277322630933173E-2</v>
      </c>
      <c r="U40" s="105">
        <f>'A)NSA Nb'!U41/'A)NSA Nb'!T41-1</f>
        <v>-9.9298869468951168E-3</v>
      </c>
      <c r="V40" s="105">
        <f>'A)NSA Nb'!V41/'A)NSA Nb'!U41-1</f>
        <v>-1.1554230339172467E-2</v>
      </c>
      <c r="W40" s="105">
        <f>'A)NSA Nb'!W41/'A)NSA Nb'!V41-1</f>
        <v>-1.460304401480883E-2</v>
      </c>
      <c r="X40" s="105">
        <f>'A)NSA Nb'!X41/'A)NSA Nb'!W41-1</f>
        <v>-1.5515202115076843E-2</v>
      </c>
      <c r="Y40" s="105">
        <f>'A)NSA Nb'!Y41/'A)NSA Nb'!X41-1</f>
        <v>-9.3286219081271105E-3</v>
      </c>
      <c r="Z40" s="105">
        <f>'A)NSA Nb'!Z41/'A)NSA Nb'!Y41-1</f>
        <v>-1.1485233271508188E-2</v>
      </c>
      <c r="AA40" s="105">
        <f>'A)NSA Nb'!AA41/'A)NSA Nb'!Z41-1</f>
        <v>-1.1835173558490175E-2</v>
      </c>
      <c r="AB40" s="105">
        <f>'A)NSA Nb'!AB41/'A)NSA Nb'!AA41-1</f>
        <v>-1.3547067844884353E-2</v>
      </c>
      <c r="AC40" s="105">
        <f>'A)NSA Nb'!AC41/'A)NSA Nb'!AB41-1</f>
        <v>-1.0438645197112684E-2</v>
      </c>
      <c r="AD40" s="105">
        <f>'A)NSA Nb'!AD41/'A)NSA Nb'!AC41-1</f>
        <v>-8.5287846481875151E-3</v>
      </c>
      <c r="AE40" s="105">
        <f>'A)NSA Nb'!AE41/'A)NSA Nb'!AD41-1</f>
        <v>-1.3054140728164687E-2</v>
      </c>
      <c r="AF40" s="105">
        <f>'A)NSA Nb'!AF41/'A)NSA Nb'!AE41-1</f>
        <v>-1.1927061432011721E-2</v>
      </c>
      <c r="AG40" s="105">
        <f>'A)NSA Nb'!AG41/'A)NSA Nb'!AF41-1</f>
        <v>-8.9372074128525325E-3</v>
      </c>
      <c r="AH40" s="105">
        <f>'A)NSA Nb'!AH41/'A)NSA Nb'!AG41-1</f>
        <v>-3.7866958151157037E-3</v>
      </c>
      <c r="AI40" s="105">
        <f>'A)NSA Nb'!AI41/'A)NSA Nb'!AH41-1</f>
        <v>-8.8561464007209656E-3</v>
      </c>
      <c r="AJ40" s="105">
        <f>'A)NSA Nb'!AJ41/'A)NSA Nb'!AI41-1</f>
        <v>-5.732811449808306E-3</v>
      </c>
      <c r="AK40" s="105">
        <f>'A)NSA Nb'!AK41/'A)NSA Nb'!AJ41-1</f>
        <v>-1.0537617305551028E-2</v>
      </c>
      <c r="AL40" s="105">
        <f>'A)NSA Nb'!AL41/'A)NSA Nb'!AK41-1</f>
        <v>-7.3544186794197719E-3</v>
      </c>
      <c r="AM40" s="105">
        <f>'A)NSA Nb'!AM41/'A)NSA Nb'!AL41-1</f>
        <v>-6.6801619433198844E-3</v>
      </c>
      <c r="AN40" s="105">
        <f>'A)NSA Nb'!AN41/'A)NSA Nb'!AM41-1</f>
        <v>-8.5999592418992687E-3</v>
      </c>
      <c r="AO40" s="105">
        <f>'A)NSA Nb'!AO41/'A)NSA Nb'!AN41-1</f>
        <v>-6.8656470975169137E-3</v>
      </c>
      <c r="AP40" s="105">
        <f>'A)NSA Nb'!AP41/'A)NSA Nb'!AO41-1</f>
        <v>-9.2312787183839173E-3</v>
      </c>
      <c r="AQ40" s="105">
        <f>'A)NSA Nb'!AQ41/'A)NSA Nb'!AP41-1</f>
        <v>2.4651123924124274E-3</v>
      </c>
      <c r="AR40" s="105">
        <f>'A)NSA Nb'!AR41/'A)NSA Nb'!AQ41-1</f>
        <v>-1.1253282207310589E-2</v>
      </c>
      <c r="AS40" s="105">
        <f>'A)NSA Nb'!AS41/'A)NSA Nb'!AR41-1</f>
        <v>-5.606373561522493E-3</v>
      </c>
      <c r="AT40" s="105">
        <f>'A)NSA Nb'!AT41/'A)NSA Nb'!AS41-1</f>
        <v>-5.8499364137346577E-3</v>
      </c>
      <c r="AU40" s="105">
        <f>'A)NSA Nb'!AU41/'A)NSA Nb'!AT41-1</f>
        <v>-6.2254818352379671E-3</v>
      </c>
      <c r="AV40" s="105">
        <f>'A)NSA Nb'!AV41/'A)NSA Nb'!AU41-1</f>
        <v>-8.152407105466386E-3</v>
      </c>
      <c r="AW40" s="105">
        <f>'A)NSA Nb'!AW41/'A)NSA Nb'!AV41-1</f>
        <v>-5.7103305070080879E-3</v>
      </c>
      <c r="AX40" s="105">
        <f>'A)NSA Nb'!AX41/'A)NSA Nb'!AW41-1</f>
        <v>-6.5927674251174961E-3</v>
      </c>
      <c r="AY40" s="105">
        <f>'A)NSA Nb'!AY41/'A)NSA Nb'!AX41-1</f>
        <v>2.65275553095079E-3</v>
      </c>
      <c r="AZ40" s="105">
        <f>'A)NSA Nb'!AZ41/'A)NSA Nb'!AY41-1</f>
        <v>-7.4512297136800631E-3</v>
      </c>
      <c r="BA40" s="105">
        <f>'A)NSA Nb'!BA41/'A)NSA Nb'!AZ41-1</f>
        <v>3.3484690775994475E-2</v>
      </c>
      <c r="BB40" s="396">
        <f>'A)NSA Nb'!BB41/'A)NSA Nb'!BA41-1</f>
        <v>-8.8895007696296879E-3</v>
      </c>
      <c r="BC40" s="455">
        <f>'A)NSA Nb'!BC41/'A)NSA Nb'!BB41-1</f>
        <v>5.9686935221670012E-3</v>
      </c>
      <c r="BD40" s="455">
        <f>'A)NSA Nb'!BD41/'A)NSA Nb'!BC41-1</f>
        <v>-5.779241623388276E-3</v>
      </c>
      <c r="BE40" s="455">
        <f>'A)NSA Nb'!BE41/'A)NSA Nb'!BD41-1</f>
        <v>-3.7691171038206628E-3</v>
      </c>
      <c r="BF40" s="455">
        <f>'A)NSA Nb'!BF41/'A)NSA Nb'!BE41-1</f>
        <v>-1.7599964918554312E-3</v>
      </c>
      <c r="BG40" s="455">
        <f>'A)NSA Nb'!BG41/'A)NSA Nb'!BF41-1</f>
        <v>4.7210813128266693E-2</v>
      </c>
      <c r="BH40" s="455">
        <f>'A)NSA Nb'!BH41/'A)NSA Nb'!BG41-1</f>
        <v>-5.0252919830496845E-3</v>
      </c>
      <c r="BI40" s="455">
        <f>'A)NSA Nb'!BI41/'A)NSA Nb'!BH41-1</f>
        <v>-2.9105878943253005E-3</v>
      </c>
      <c r="BJ40" s="455">
        <f>'A)NSA Nb'!BJ41/'A)NSA Nb'!BI41-1</f>
        <v>2.4248281185212939E-4</v>
      </c>
    </row>
    <row r="41" spans="1:62" x14ac:dyDescent="0.25">
      <c r="A41" s="22" t="s">
        <v>18</v>
      </c>
      <c r="B41" s="21"/>
      <c r="C41" s="105">
        <f>'A)NSA Nb'!C42/'A)NSA Nb'!B42-1</f>
        <v>1.40145952797055E-3</v>
      </c>
      <c r="D41" s="105">
        <f>'A)NSA Nb'!D42/'A)NSA Nb'!C42-1</f>
        <v>8.6534708670198413E-3</v>
      </c>
      <c r="E41" s="105">
        <f>'A)NSA Nb'!E42/'A)NSA Nb'!D42-1</f>
        <v>2.2940597671667895E-3</v>
      </c>
      <c r="F41" s="105">
        <f>'A)NSA Nb'!F42/'A)NSA Nb'!E42-1</f>
        <v>1.4063766773109165E-3</v>
      </c>
      <c r="G41" s="105">
        <f>'A)NSA Nb'!G42/'A)NSA Nb'!F42-1</f>
        <v>1.800938470689406E-3</v>
      </c>
      <c r="H41" s="105">
        <f>'A)NSA Nb'!H42/'A)NSA Nb'!G42-1</f>
        <v>2.3974843182205552E-2</v>
      </c>
      <c r="I41" s="105">
        <f>'A)NSA Nb'!I42/'A)NSA Nb'!H42-1</f>
        <v>1.3475786534951073E-3</v>
      </c>
      <c r="J41" s="105">
        <f>'A)NSA Nb'!J42/'A)NSA Nb'!I42-1</f>
        <v>1.4208277259786239E-3</v>
      </c>
      <c r="K41" s="105">
        <f>'A)NSA Nb'!K42/'A)NSA Nb'!J42-1</f>
        <v>4.4973658285862861E-4</v>
      </c>
      <c r="L41" s="105">
        <f>'A)NSA Nb'!L42/'A)NSA Nb'!K42-1</f>
        <v>2.3985871775660916E-2</v>
      </c>
      <c r="M41" s="105">
        <f>'A)NSA Nb'!M42/'A)NSA Nb'!L42-1</f>
        <v>7.3167417503627874E-5</v>
      </c>
      <c r="N41" s="105">
        <f>'A)NSA Nb'!N42/'A)NSA Nb'!M42-1</f>
        <v>1.3169171596396634E-3</v>
      </c>
      <c r="O41" s="105">
        <f>'A)NSA Nb'!O42/'A)NSA Nb'!N42-1</f>
        <v>1.0385787649784817E-3</v>
      </c>
      <c r="P41" s="105">
        <f>'A)NSA Nb'!P42/'A)NSA Nb'!O42-1</f>
        <v>1.4019300651175515E-2</v>
      </c>
      <c r="Q41" s="105">
        <f>'A)NSA Nb'!Q42/'A)NSA Nb'!P42-1</f>
        <v>6.6325271470879521E-4</v>
      </c>
      <c r="R41" s="105">
        <f>'A)NSA Nb'!R42/'A)NSA Nb'!Q42-1</f>
        <v>3.853564547207089E-4</v>
      </c>
      <c r="S41" s="105">
        <f>'A)NSA Nb'!S42/'A)NSA Nb'!R42-1</f>
        <v>2.1982537236775457E-3</v>
      </c>
      <c r="T41" s="105">
        <f>'A)NSA Nb'!T42/'A)NSA Nb'!S42-1</f>
        <v>1.3837071050804006E-4</v>
      </c>
      <c r="U41" s="105">
        <f>'A)NSA Nb'!U42/'A)NSA Nb'!T42-1</f>
        <v>1.245164100330598E-3</v>
      </c>
      <c r="V41" s="105">
        <f>'A)NSA Nb'!V42/'A)NSA Nb'!U42-1</f>
        <v>1.4022661439727635E-3</v>
      </c>
      <c r="W41" s="105">
        <f>'A)NSA Nb'!W42/'A)NSA Nb'!V42-1</f>
        <v>7.8703135860003215E-4</v>
      </c>
      <c r="X41" s="105">
        <f>'A)NSA Nb'!X42/'A)NSA Nb'!W42-1</f>
        <v>1.2613238282965789E-3</v>
      </c>
      <c r="Y41" s="105">
        <f>'A)NSA Nb'!Y42/'A)NSA Nb'!X42-1</f>
        <v>1.3413371550390352E-3</v>
      </c>
      <c r="Z41" s="105">
        <f>'A)NSA Nb'!Z42/'A)NSA Nb'!Y42-1</f>
        <v>2.1646565072122037E-3</v>
      </c>
      <c r="AA41" s="105">
        <f>'A)NSA Nb'!AA42/'A)NSA Nb'!Z42-1</f>
        <v>1.3874700779117344E-3</v>
      </c>
      <c r="AB41" s="105">
        <f>'A)NSA Nb'!AB42/'A)NSA Nb'!AA42-1</f>
        <v>8.1711785783178392E-4</v>
      </c>
      <c r="AC41" s="105">
        <f>'A)NSA Nb'!AC42/'A)NSA Nb'!AB42-1</f>
        <v>1.0497223560435032E-3</v>
      </c>
      <c r="AD41" s="105">
        <f>'A)NSA Nb'!AD42/'A)NSA Nb'!AC42-1</f>
        <v>1.0790164233391852E-3</v>
      </c>
      <c r="AE41" s="105">
        <f>'A)NSA Nb'!AE42/'A)NSA Nb'!AD42-1</f>
        <v>1.0070085772841963E-3</v>
      </c>
      <c r="AF41" s="105">
        <f>'A)NSA Nb'!AF42/'A)NSA Nb'!AE42-1</f>
        <v>3.4881252085283698E-4</v>
      </c>
      <c r="AG41" s="105">
        <f>'A)NSA Nb'!AG42/'A)NSA Nb'!AF42-1</f>
        <v>1.7333474831087159E-3</v>
      </c>
      <c r="AH41" s="105">
        <f>'A)NSA Nb'!AH42/'A)NSA Nb'!AG42-1</f>
        <v>8.4600405597650141E-3</v>
      </c>
      <c r="AI41" s="105">
        <f>'A)NSA Nb'!AI42/'A)NSA Nb'!AH42-1</f>
        <v>8.7042215474508744E-4</v>
      </c>
      <c r="AJ41" s="105">
        <f>'A)NSA Nb'!AJ42/'A)NSA Nb'!AI42-1</f>
        <v>1.8392918726291008E-3</v>
      </c>
      <c r="AK41" s="105">
        <f>'A)NSA Nb'!AK42/'A)NSA Nb'!AJ42-1</f>
        <v>1.4866921100551433E-3</v>
      </c>
      <c r="AL41" s="105">
        <f>'A)NSA Nb'!AL42/'A)NSA Nb'!AK42-1</f>
        <v>1.0012802438938984E-3</v>
      </c>
      <c r="AM41" s="105">
        <f>'A)NSA Nb'!AM42/'A)NSA Nb'!AL42-1</f>
        <v>4.8371685643762152E-3</v>
      </c>
      <c r="AN41" s="105">
        <f>'A)NSA Nb'!AN42/'A)NSA Nb'!AM42-1</f>
        <v>1.0499415598566042E-3</v>
      </c>
      <c r="AO41" s="105">
        <f>'A)NSA Nb'!AO42/'A)NSA Nb'!AN42-1</f>
        <v>3.1860998970949517E-3</v>
      </c>
      <c r="AP41" s="105">
        <f>'A)NSA Nb'!AP42/'A)NSA Nb'!AO42-1</f>
        <v>-9.9126112086478368E-4</v>
      </c>
      <c r="AQ41" s="105">
        <f>'A)NSA Nb'!AQ42/'A)NSA Nb'!AP42-1</f>
        <v>1.1625553509633679E-2</v>
      </c>
      <c r="AR41" s="105">
        <f>'A)NSA Nb'!AR42/'A)NSA Nb'!AQ42-1</f>
        <v>4.050242526569825E-4</v>
      </c>
      <c r="AS41" s="105">
        <f>'A)NSA Nb'!AS42/'A)NSA Nb'!AR42-1</f>
        <v>8.1947621811706561E-4</v>
      </c>
      <c r="AT41" s="105">
        <f>'A)NSA Nb'!AT42/'A)NSA Nb'!AS42-1</f>
        <v>1.0381280552889116E-3</v>
      </c>
      <c r="AU41" s="105">
        <f>'A)NSA Nb'!AU42/'A)NSA Nb'!AT42-1</f>
        <v>4.7519353425189426E-3</v>
      </c>
      <c r="AV41" s="105">
        <f>'A)NSA Nb'!AV42/'A)NSA Nb'!AU42-1</f>
        <v>-2.4713373326989974E-4</v>
      </c>
      <c r="AW41" s="105">
        <f>'A)NSA Nb'!AW42/'A)NSA Nb'!AV42-1</f>
        <v>6.591861958655798E-4</v>
      </c>
      <c r="AX41" s="105">
        <f>'A)NSA Nb'!AX42/'A)NSA Nb'!AW42-1</f>
        <v>1.4421575768874817E-3</v>
      </c>
      <c r="AY41" s="105">
        <f>'A)NSA Nb'!AY42/'A)NSA Nb'!AX42-1</f>
        <v>1.322771253979349E-2</v>
      </c>
      <c r="AZ41" s="105">
        <f>'A)NSA Nb'!AZ42/'A)NSA Nb'!AY42-1</f>
        <v>1.2208980439503136E-3</v>
      </c>
      <c r="BA41" s="105">
        <f>'A)NSA Nb'!BA42/'A)NSA Nb'!AZ42-1</f>
        <v>4.0327998097661411E-2</v>
      </c>
      <c r="BB41" s="396">
        <f>'A)NSA Nb'!BB42/'A)NSA Nb'!BA42-1</f>
        <v>-3.6694259047929112E-3</v>
      </c>
      <c r="BC41" s="455">
        <f>'A)NSA Nb'!BC42/'A)NSA Nb'!BB42-1</f>
        <v>1.3051297181746913E-2</v>
      </c>
      <c r="BD41" s="455">
        <f>'A)NSA Nb'!BD42/'A)NSA Nb'!BC42-1</f>
        <v>1.0851916658578542E-3</v>
      </c>
      <c r="BE41" s="455">
        <f>'A)NSA Nb'!BE42/'A)NSA Nb'!BD42-1</f>
        <v>8.6381773521337912E-4</v>
      </c>
      <c r="BF41" s="455">
        <f>'A)NSA Nb'!BF42/'A)NSA Nb'!BE42-1</f>
        <v>1.0106218925525212E-3</v>
      </c>
      <c r="BG41" s="455">
        <f>'A)NSA Nb'!BG42/'A)NSA Nb'!BF42-1</f>
        <v>5.1894258687795514E-2</v>
      </c>
      <c r="BH41" s="455">
        <f>'A)NSA Nb'!BH42/'A)NSA Nb'!BG42-1</f>
        <v>3.0144496936523879E-4</v>
      </c>
      <c r="BI41" s="455">
        <f>'A)NSA Nb'!BI42/'A)NSA Nb'!BH42-1</f>
        <v>4.142745146153981E-4</v>
      </c>
      <c r="BJ41" s="455">
        <f>'A)NSA Nb'!BJ42/'A)NSA Nb'!BI42-1</f>
        <v>1.3432709970881973E-3</v>
      </c>
    </row>
    <row r="42" spans="1:62" ht="13" thickBot="1" x14ac:dyDescent="0.3">
      <c r="A42" s="6"/>
      <c r="B42" s="15"/>
      <c r="C42" s="43"/>
      <c r="D42" s="43"/>
      <c r="E42" s="43"/>
      <c r="F42" s="43"/>
      <c r="G42" s="43"/>
      <c r="H42" s="43"/>
      <c r="I42" s="43"/>
      <c r="J42" s="43"/>
      <c r="K42" s="149"/>
      <c r="L42" s="149"/>
      <c r="M42" s="43"/>
      <c r="N42" s="43"/>
      <c r="O42" s="43"/>
      <c r="P42" s="43"/>
      <c r="Q42" s="43"/>
      <c r="R42" s="43"/>
      <c r="S42" s="43"/>
      <c r="T42" s="43"/>
      <c r="U42" s="43"/>
      <c r="V42" s="43"/>
      <c r="W42" s="43"/>
      <c r="X42" s="43"/>
      <c r="Y42" s="43"/>
      <c r="Z42" s="43"/>
      <c r="AA42" s="43"/>
      <c r="AB42" s="43"/>
      <c r="AC42" s="43"/>
      <c r="AD42" s="43"/>
      <c r="AE42" s="43"/>
      <c r="AF42" s="43"/>
      <c r="AG42" s="43"/>
      <c r="AH42" s="43"/>
      <c r="AI42" s="43"/>
      <c r="AJ42" s="43"/>
      <c r="AM42" s="43"/>
      <c r="AN42" s="43"/>
      <c r="AO42" s="43"/>
    </row>
    <row r="43" spans="1:62" x14ac:dyDescent="0.25">
      <c r="A43" s="19"/>
      <c r="B43" s="10"/>
      <c r="C43" s="44"/>
      <c r="D43" s="44"/>
      <c r="E43" s="44"/>
      <c r="F43" s="44"/>
      <c r="G43" s="44"/>
      <c r="H43" s="44"/>
      <c r="I43" s="44"/>
      <c r="J43" s="44"/>
      <c r="K43" s="148"/>
      <c r="L43" s="148"/>
      <c r="M43" s="44"/>
      <c r="N43" s="44"/>
      <c r="O43" s="44"/>
      <c r="P43" s="44"/>
      <c r="Q43" s="44"/>
      <c r="R43" s="44"/>
      <c r="S43" s="44"/>
      <c r="T43" s="44"/>
      <c r="U43" s="44"/>
      <c r="V43" s="44"/>
      <c r="W43" s="44"/>
      <c r="X43" s="44"/>
      <c r="Y43" s="44"/>
      <c r="Z43" s="44"/>
      <c r="AA43" s="44"/>
      <c r="AB43" s="44"/>
      <c r="AC43" s="44"/>
      <c r="AD43" s="44"/>
      <c r="AE43" s="44"/>
      <c r="AF43" s="44"/>
      <c r="AG43" s="44"/>
      <c r="AH43" s="44"/>
      <c r="AI43" s="44"/>
      <c r="AJ43" s="44"/>
      <c r="AM43" s="44"/>
      <c r="AN43" s="44"/>
      <c r="AO43" s="44"/>
    </row>
    <row r="44" spans="1:62" ht="13" x14ac:dyDescent="0.3">
      <c r="A44" s="25" t="s">
        <v>10</v>
      </c>
      <c r="L44" s="14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M44" s="35"/>
      <c r="AN44" s="35"/>
      <c r="AO44" s="35"/>
    </row>
    <row r="45" spans="1:62" ht="13" x14ac:dyDescent="0.3">
      <c r="A45" s="14"/>
      <c r="B45" s="2" t="str">
        <f t="shared" ref="B45:H45" si="96">B8</f>
        <v>4eme T 2009</v>
      </c>
      <c r="C45" s="38" t="str">
        <f t="shared" si="96"/>
        <v>1er T 2010</v>
      </c>
      <c r="D45" s="38" t="str">
        <f t="shared" si="96"/>
        <v>2eme T 2010</v>
      </c>
      <c r="E45" s="38" t="str">
        <f t="shared" si="96"/>
        <v>3eme T 2010</v>
      </c>
      <c r="F45" s="38" t="str">
        <f t="shared" si="96"/>
        <v>4eme T 2010</v>
      </c>
      <c r="G45" s="38" t="str">
        <f t="shared" si="96"/>
        <v>1er T 2011</v>
      </c>
      <c r="H45" s="38" t="str">
        <f t="shared" si="96"/>
        <v>2eme T 2011</v>
      </c>
      <c r="I45" s="38" t="str">
        <f t="shared" ref="I45:N45" si="97">I8</f>
        <v>3eme T 2011</v>
      </c>
      <c r="J45" s="38" t="str">
        <f t="shared" si="97"/>
        <v>4eme T 2011</v>
      </c>
      <c r="K45" s="38" t="str">
        <f t="shared" si="97"/>
        <v>1er T 2012</v>
      </c>
      <c r="L45" s="38" t="str">
        <f t="shared" si="97"/>
        <v>2eme T 2012</v>
      </c>
      <c r="M45" s="38" t="str">
        <f t="shared" si="97"/>
        <v>3eme T 2012</v>
      </c>
      <c r="N45" s="38" t="str">
        <f t="shared" si="97"/>
        <v>4eme T 2012</v>
      </c>
      <c r="O45" s="38" t="str">
        <f t="shared" ref="O45:T45" si="98">O8</f>
        <v>1er T 2013</v>
      </c>
      <c r="P45" s="38" t="str">
        <f t="shared" si="98"/>
        <v>2e T 2013</v>
      </c>
      <c r="Q45" s="38" t="str">
        <f t="shared" si="98"/>
        <v>3e T 2013</v>
      </c>
      <c r="R45" s="38" t="str">
        <f t="shared" si="98"/>
        <v>4e T 2013</v>
      </c>
      <c r="S45" s="38" t="str">
        <f t="shared" si="98"/>
        <v>1er T 2014</v>
      </c>
      <c r="T45" s="38" t="str">
        <f t="shared" si="98"/>
        <v>2e T 2014</v>
      </c>
      <c r="U45" s="38" t="str">
        <f t="shared" ref="U45:V45" si="99">U8</f>
        <v>3e T 2014</v>
      </c>
      <c r="V45" s="38" t="str">
        <f t="shared" si="99"/>
        <v>4e T 2014</v>
      </c>
      <c r="W45" s="38" t="str">
        <f t="shared" ref="W45:X45" si="100">W8</f>
        <v>1er T 2015</v>
      </c>
      <c r="X45" s="38" t="str">
        <f t="shared" si="100"/>
        <v>2e T 2015</v>
      </c>
      <c r="Y45" s="38" t="str">
        <f t="shared" ref="Y45:Z45" si="101">Y8</f>
        <v>3e T 2015</v>
      </c>
      <c r="Z45" s="38" t="str">
        <f t="shared" si="101"/>
        <v>4e T 2015</v>
      </c>
      <c r="AA45" s="38" t="str">
        <f t="shared" ref="AA45:AB45" si="102">AA8</f>
        <v>1er T 2016</v>
      </c>
      <c r="AB45" s="38" t="str">
        <f t="shared" si="102"/>
        <v>2e T 2016</v>
      </c>
      <c r="AC45" s="38" t="str">
        <f t="shared" ref="AC45" si="103">AC8</f>
        <v>3e T 2016</v>
      </c>
      <c r="AD45" s="38" t="str">
        <f t="shared" ref="AD45:AE45" si="104">AD8</f>
        <v>4e T 2016</v>
      </c>
      <c r="AE45" s="38" t="str">
        <f t="shared" si="104"/>
        <v>1e T 2017</v>
      </c>
      <c r="AF45" s="38" t="str">
        <f t="shared" ref="AF45:AG45" si="105">AF8</f>
        <v>2e T 2017</v>
      </c>
      <c r="AG45" s="38" t="str">
        <f t="shared" si="105"/>
        <v>3e T 2017</v>
      </c>
      <c r="AH45" s="38" t="str">
        <f t="shared" ref="AH45:AI45" si="106">AH8</f>
        <v>4e T 2017</v>
      </c>
      <c r="AI45" s="38" t="str">
        <f t="shared" si="106"/>
        <v>1e T 2018</v>
      </c>
      <c r="AJ45" s="38" t="str">
        <f t="shared" ref="AJ45:AK45" si="107">AJ8</f>
        <v>2e T 2018</v>
      </c>
      <c r="AK45" s="38" t="str">
        <f t="shared" si="107"/>
        <v>3e T 2018</v>
      </c>
      <c r="AL45" s="38" t="str">
        <f t="shared" ref="AL45:AM45" si="108">AL8</f>
        <v>4e T 2018</v>
      </c>
      <c r="AM45" s="38" t="str">
        <f t="shared" si="108"/>
        <v>1e T 2019</v>
      </c>
      <c r="AN45" s="38" t="str">
        <f t="shared" ref="AN45:AP45" si="109">AN8</f>
        <v>2e T 2019</v>
      </c>
      <c r="AO45" s="38" t="str">
        <f t="shared" si="109"/>
        <v>3e T 2019</v>
      </c>
      <c r="AP45" s="38" t="str">
        <f t="shared" si="109"/>
        <v>4e T 2019</v>
      </c>
      <c r="AQ45" s="38" t="str">
        <f t="shared" ref="AQ45" si="110">AQ8</f>
        <v>1e T 2020</v>
      </c>
      <c r="AR45" s="38" t="str">
        <f t="shared" ref="AR45:AS45" si="111">AR8</f>
        <v>2e T 2020</v>
      </c>
      <c r="AS45" s="38" t="str">
        <f t="shared" si="111"/>
        <v>3e T 2020</v>
      </c>
      <c r="AT45" s="38" t="str">
        <f t="shared" ref="AT45:AU45" si="112">AT8</f>
        <v>4e T 2020</v>
      </c>
      <c r="AU45" s="38" t="str">
        <f t="shared" si="112"/>
        <v>1er T 2021</v>
      </c>
      <c r="AV45" s="38" t="str">
        <f t="shared" ref="AV45:AW45" si="113">AV8</f>
        <v>2e T 2021</v>
      </c>
      <c r="AW45" s="38" t="str">
        <f t="shared" si="113"/>
        <v>3e T 2021</v>
      </c>
      <c r="AX45" s="38" t="str">
        <f t="shared" ref="AX45:AY45" si="114">AX8</f>
        <v>4e T 2021</v>
      </c>
      <c r="AY45" s="38" t="str">
        <f t="shared" si="114"/>
        <v>1er T 2022</v>
      </c>
      <c r="AZ45" s="38" t="str">
        <f t="shared" ref="AZ45:BA45" si="115">AZ8</f>
        <v>2e T 2022</v>
      </c>
      <c r="BA45" s="38" t="str">
        <f t="shared" si="115"/>
        <v>3e T 2022</v>
      </c>
      <c r="BB45" s="38" t="str">
        <f t="shared" ref="BB45:BC45" si="116">BB8</f>
        <v>4e T 2022</v>
      </c>
      <c r="BC45" s="38" t="str">
        <f t="shared" si="116"/>
        <v>1er T 2023</v>
      </c>
      <c r="BD45" s="38" t="str">
        <f t="shared" ref="BD45:BE45" si="117">BD8</f>
        <v>2e T 2023</v>
      </c>
      <c r="BE45" s="38" t="str">
        <f t="shared" si="117"/>
        <v>3e T 2023</v>
      </c>
      <c r="BF45" s="38" t="str">
        <f t="shared" ref="BF45:BG45" si="118">BF8</f>
        <v>4e T 2023</v>
      </c>
      <c r="BG45" s="38" t="str">
        <f t="shared" si="118"/>
        <v>1er T 2024</v>
      </c>
      <c r="BH45" s="38" t="str">
        <f t="shared" ref="BH45:BI45" si="119">BH8</f>
        <v>2e T 2024</v>
      </c>
      <c r="BI45" s="38" t="str">
        <f t="shared" si="119"/>
        <v>3e T 2024</v>
      </c>
      <c r="BJ45" s="38" t="str">
        <f t="shared" ref="BJ45" si="120">BJ8</f>
        <v>4e T 2024</v>
      </c>
    </row>
    <row r="46" spans="1:62" x14ac:dyDescent="0.25">
      <c r="A46" s="8" t="s">
        <v>0</v>
      </c>
      <c r="B46" s="9"/>
      <c r="C46" s="105">
        <f>'A)NSA Nb'!C47/'A)NSA Nb'!B47-1</f>
        <v>-2.6081292408471901E-3</v>
      </c>
      <c r="D46" s="105">
        <f>'A)NSA Nb'!D47/'A)NSA Nb'!C47-1</f>
        <v>-7.9202030617910868E-3</v>
      </c>
      <c r="E46" s="105">
        <f>'A)NSA Nb'!E47/'A)NSA Nb'!D47-1</f>
        <v>-7.5823295741502816E-3</v>
      </c>
      <c r="F46" s="105">
        <f>'A)NSA Nb'!F47/'A)NSA Nb'!E47-1</f>
        <v>-4.4552521084567642E-3</v>
      </c>
      <c r="G46" s="105">
        <f>'A)NSA Nb'!G47/'A)NSA Nb'!F47-1</f>
        <v>-4.3807769135214558E-3</v>
      </c>
      <c r="H46" s="105">
        <f>'A)NSA Nb'!H47/'A)NSA Nb'!G47-1</f>
        <v>-8.2487438581471118E-3</v>
      </c>
      <c r="I46" s="105">
        <f>'A)NSA Nb'!I47/'A)NSA Nb'!H47-1</f>
        <v>-8.4416542363990876E-3</v>
      </c>
      <c r="J46" s="105">
        <f>'A)NSA Nb'!J47/'A)NSA Nb'!I47-1</f>
        <v>-7.1689920430250131E-3</v>
      </c>
      <c r="K46" s="105">
        <f>'A)NSA Nb'!K47/'A)NSA Nb'!J47-1</f>
        <v>-5.1408352990148787E-3</v>
      </c>
      <c r="L46" s="105">
        <f>'A)NSA Nb'!L47/'A)NSA Nb'!K47-1</f>
        <v>-1.0097699426076856E-2</v>
      </c>
      <c r="M46" s="105">
        <f>'A)NSA Nb'!M47/'A)NSA Nb'!L47-1</f>
        <v>-1.0561390902494527E-2</v>
      </c>
      <c r="N46" s="105">
        <f>'A)NSA Nb'!N47/'A)NSA Nb'!M47-1</f>
        <v>-7.2950293267868282E-3</v>
      </c>
      <c r="O46" s="105">
        <f>'A)NSA Nb'!O47/'A)NSA Nb'!N47-1</f>
        <v>-4.8742282710977358E-3</v>
      </c>
      <c r="P46" s="105">
        <f>'A)NSA Nb'!P47/'A)NSA Nb'!O47-1</f>
        <v>-9.1792578754514853E-3</v>
      </c>
      <c r="Q46" s="105">
        <f>'A)NSA Nb'!Q47/'A)NSA Nb'!P47-1</f>
        <v>-6.7227257517785688E-3</v>
      </c>
      <c r="R46" s="105">
        <f>'A)NSA Nb'!R47/'A)NSA Nb'!Q47-1</f>
        <v>-6.4987279366208739E-3</v>
      </c>
      <c r="S46" s="105">
        <f>'A)NSA Nb'!S47/'A)NSA Nb'!R47-1</f>
        <v>-6.6016818219344353E-3</v>
      </c>
      <c r="T46" s="105">
        <f>'A)NSA Nb'!T47/'A)NSA Nb'!S47-1</f>
        <v>-6.7182718592413426E-3</v>
      </c>
      <c r="U46" s="105">
        <f>'A)NSA Nb'!U47/'A)NSA Nb'!T47-1</f>
        <v>-7.0490821103021961E-3</v>
      </c>
      <c r="V46" s="105">
        <f>'A)NSA Nb'!V47/'A)NSA Nb'!U47-1</f>
        <v>-4.5426571911362235E-3</v>
      </c>
      <c r="W46" s="105">
        <f>'A)NSA Nb'!W47/'A)NSA Nb'!V47-1</f>
        <v>-4.372931057937901E-3</v>
      </c>
      <c r="X46" s="105">
        <f>'A)NSA Nb'!X47/'A)NSA Nb'!W47-1</f>
        <v>-1.0170387003037962E-2</v>
      </c>
      <c r="Y46" s="105">
        <f>'A)NSA Nb'!Y47/'A)NSA Nb'!X47-1</f>
        <v>-8.8315863418704232E-3</v>
      </c>
      <c r="Z46" s="105">
        <f>'A)NSA Nb'!Z47/'A)NSA Nb'!Y47-1</f>
        <v>-4.5263223050973078E-3</v>
      </c>
      <c r="AA46" s="105">
        <f>'A)NSA Nb'!AA47/'A)NSA Nb'!Z47-1</f>
        <v>-3.1260930055417857E-3</v>
      </c>
      <c r="AB46" s="105">
        <f>'A)NSA Nb'!AB47/'A)NSA Nb'!AA47-1</f>
        <v>-7.3539960454338527E-3</v>
      </c>
      <c r="AC46" s="105">
        <f>'A)NSA Nb'!AC47/'A)NSA Nb'!AB47-1</f>
        <v>-6.8932148647120606E-3</v>
      </c>
      <c r="AD46" s="105">
        <f>'A)NSA Nb'!AD47/'A)NSA Nb'!AC47-1</f>
        <v>-5.2057958176469077E-3</v>
      </c>
      <c r="AE46" s="105">
        <f>'A)NSA Nb'!AE47/'A)NSA Nb'!AD47-1</f>
        <v>-4.363250112499939E-3</v>
      </c>
      <c r="AF46" s="105">
        <f>'A)NSA Nb'!AF47/'A)NSA Nb'!AE47-1</f>
        <v>-8.6050355748269469E-3</v>
      </c>
      <c r="AG46" s="105">
        <f>'A)NSA Nb'!AG47/'A)NSA Nb'!AF47-1</f>
        <v>-5.9234128652596585E-3</v>
      </c>
      <c r="AH46" s="105">
        <f>'A)NSA Nb'!AH47/'A)NSA Nb'!AG47-1</f>
        <v>-2.7775977182861178E-3</v>
      </c>
      <c r="AI46" s="105">
        <f>'A)NSA Nb'!AI47/'A)NSA Nb'!AH47-1</f>
        <v>-1.9435587926535103E-3</v>
      </c>
      <c r="AJ46" s="105">
        <f>'A)NSA Nb'!AJ47/'A)NSA Nb'!AI47-1</f>
        <v>-7.1201784522200162E-3</v>
      </c>
      <c r="AK46" s="105">
        <f>'A)NSA Nb'!AK47/'A)NSA Nb'!AJ47-1</f>
        <v>-6.2660196754001918E-3</v>
      </c>
      <c r="AL46" s="105">
        <f>'A)NSA Nb'!AL47/'A)NSA Nb'!AK47-1</f>
        <v>-2.6238662917342781E-3</v>
      </c>
      <c r="AM46" s="105">
        <f>'A)NSA Nb'!AM47/'A)NSA Nb'!AL47-1</f>
        <v>-3.2247603352824061E-3</v>
      </c>
      <c r="AN46" s="105">
        <f>'A)NSA Nb'!AN47/'A)NSA Nb'!AM47-1</f>
        <v>-8.3361413724588607E-3</v>
      </c>
      <c r="AO46" s="105">
        <f>'A)NSA Nb'!AO47/'A)NSA Nb'!AN47-1</f>
        <v>-5.7614890821288123E-3</v>
      </c>
      <c r="AP46" s="105">
        <f>'A)NSA Nb'!AP47/'A)NSA Nb'!AO47-1</f>
        <v>-1.5674113133088419E-3</v>
      </c>
      <c r="AQ46" s="105">
        <f>'A)NSA Nb'!AQ47/'A)NSA Nb'!AP47-1</f>
        <v>-1.6811625483523773E-3</v>
      </c>
      <c r="AR46" s="105">
        <f>'A)NSA Nb'!AR47/'A)NSA Nb'!AQ47-1</f>
        <v>-8.2561291793697977E-3</v>
      </c>
      <c r="AS46" s="105">
        <f>'A)NSA Nb'!AS47/'A)NSA Nb'!AR47-1</f>
        <v>-7.4528618410407699E-3</v>
      </c>
      <c r="AT46" s="105">
        <f>'A)NSA Nb'!AT47/'A)NSA Nb'!AS47-1</f>
        <v>-3.2018888742083584E-3</v>
      </c>
      <c r="AU46" s="105">
        <f>'A)NSA Nb'!AU47/'A)NSA Nb'!AT47-1</f>
        <v>-5.0093387156469049E-3</v>
      </c>
      <c r="AV46" s="105">
        <f>'A)NSA Nb'!AV47/'A)NSA Nb'!AU47-1</f>
        <v>-9.8009532789509191E-3</v>
      </c>
      <c r="AW46" s="105">
        <f>'A)NSA Nb'!AW47/'A)NSA Nb'!AV47-1</f>
        <v>-7.3138344340776262E-3</v>
      </c>
      <c r="AX46" s="105">
        <f>'A)NSA Nb'!AX47/'A)NSA Nb'!AW47-1</f>
        <v>-1.6685616927805125E-3</v>
      </c>
      <c r="AY46" s="105">
        <f>'A)NSA Nb'!AY47/'A)NSA Nb'!AX47-1</f>
        <v>-1.6149335514786811E-3</v>
      </c>
      <c r="AZ46" s="105">
        <f>'A)NSA Nb'!AZ47/'A)NSA Nb'!AY47-1</f>
        <v>-8.2572533507566659E-3</v>
      </c>
      <c r="BA46" s="105">
        <f>'A)NSA Nb'!BA47/'A)NSA Nb'!AZ47-1</f>
        <v>-5.7459393818529714E-3</v>
      </c>
      <c r="BB46" s="105">
        <f>'A)NSA Nb'!BB47/'A)NSA Nb'!BA47-1</f>
        <v>7.8619308830618628E-4</v>
      </c>
      <c r="BC46" s="105">
        <f>'A)NSA Nb'!BC47/'A)NSA Nb'!BB47-1</f>
        <v>-3.700615218332759E-3</v>
      </c>
      <c r="BD46" s="105">
        <f>'A)NSA Nb'!BD47/'A)NSA Nb'!BC47-1</f>
        <v>-5.8122200309649319E-3</v>
      </c>
      <c r="BE46" s="105">
        <f>'A)NSA Nb'!BE47/'A)NSA Nb'!BD47-1</f>
        <v>-4.1967618269914686E-3</v>
      </c>
      <c r="BF46" s="105">
        <f>'A)NSA Nb'!BF47/'A)NSA Nb'!BE47-1</f>
        <v>-2.7558105148957068E-3</v>
      </c>
      <c r="BG46" s="105">
        <f>'A)NSA Nb'!BG47/'A)NSA Nb'!BF47-1</f>
        <v>-1.728278270994088E-3</v>
      </c>
      <c r="BH46" s="105">
        <f>'A)NSA Nb'!BH47/'A)NSA Nb'!BG47-1</f>
        <v>-7.0763399121608339E-3</v>
      </c>
      <c r="BI46" s="105">
        <f>'A)NSA Nb'!BI47/'A)NSA Nb'!BH47-1</f>
        <v>-5.3648088362421298E-3</v>
      </c>
      <c r="BJ46" s="105">
        <f>'A)NSA Nb'!BJ47/'A)NSA Nb'!BI47-1</f>
        <v>-1.6386061514160888E-3</v>
      </c>
    </row>
    <row r="47" spans="1:62" x14ac:dyDescent="0.25">
      <c r="A47" s="8" t="s">
        <v>1</v>
      </c>
      <c r="B47" s="9"/>
      <c r="C47" s="105">
        <f>'A)NSA Nb'!C48/'A)NSA Nb'!B48-1</f>
        <v>-1.0751552735406178E-2</v>
      </c>
      <c r="D47" s="105">
        <f>'A)NSA Nb'!D48/'A)NSA Nb'!C48-1</f>
        <v>-1.1664127470863983E-2</v>
      </c>
      <c r="E47" s="105">
        <f>'A)NSA Nb'!E48/'A)NSA Nb'!D48-1</f>
        <v>-1.2130703296055922E-2</v>
      </c>
      <c r="F47" s="105">
        <f>'A)NSA Nb'!F48/'A)NSA Nb'!E48-1</f>
        <v>-1.0575121628807249E-2</v>
      </c>
      <c r="G47" s="105">
        <f>'A)NSA Nb'!G48/'A)NSA Nb'!F48-1</f>
        <v>-1.3028694267675833E-2</v>
      </c>
      <c r="H47" s="105">
        <f>'A)NSA Nb'!H48/'A)NSA Nb'!G48-1</f>
        <v>-1.2691789013002164E-2</v>
      </c>
      <c r="I47" s="105">
        <f>'A)NSA Nb'!I48/'A)NSA Nb'!H48-1</f>
        <v>-1.364355629319991E-2</v>
      </c>
      <c r="J47" s="105">
        <f>'A)NSA Nb'!J48/'A)NSA Nb'!I48-1</f>
        <v>-1.4286908718463276E-2</v>
      </c>
      <c r="K47" s="105">
        <f>'A)NSA Nb'!K48/'A)NSA Nb'!J48-1</f>
        <v>-1.2850553994592562E-2</v>
      </c>
      <c r="L47" s="105">
        <f>'A)NSA Nb'!L48/'A)NSA Nb'!K48-1</f>
        <v>-1.474173764540343E-2</v>
      </c>
      <c r="M47" s="105">
        <f>'A)NSA Nb'!M48/'A)NSA Nb'!L48-1</f>
        <v>-1.6085162514103857E-2</v>
      </c>
      <c r="N47" s="105">
        <f>'A)NSA Nb'!N48/'A)NSA Nb'!M48-1</f>
        <v>-1.3472937787380235E-2</v>
      </c>
      <c r="O47" s="105">
        <f>'A)NSA Nb'!O48/'A)NSA Nb'!N48-1</f>
        <v>-1.129280427677759E-2</v>
      </c>
      <c r="P47" s="105">
        <f>'A)NSA Nb'!P48/'A)NSA Nb'!O48-1</f>
        <v>-1.2972334395428997E-2</v>
      </c>
      <c r="Q47" s="105">
        <f>'A)NSA Nb'!Q48/'A)NSA Nb'!P48-1</f>
        <v>-1.1911406754400611E-2</v>
      </c>
      <c r="R47" s="105">
        <f>'A)NSA Nb'!R48/'A)NSA Nb'!Q48-1</f>
        <v>-1.3196438242881969E-2</v>
      </c>
      <c r="S47" s="105">
        <f>'A)NSA Nb'!S48/'A)NSA Nb'!R48-1</f>
        <v>-1.5090264212408555E-2</v>
      </c>
      <c r="T47" s="105">
        <f>'A)NSA Nb'!T48/'A)NSA Nb'!S48-1</f>
        <v>-1.0995266343100218E-2</v>
      </c>
      <c r="U47" s="105">
        <f>'A)NSA Nb'!U48/'A)NSA Nb'!T48-1</f>
        <v>-1.1626427554451535E-2</v>
      </c>
      <c r="V47" s="105">
        <f>'A)NSA Nb'!V48/'A)NSA Nb'!U48-1</f>
        <v>-1.1419919576304394E-2</v>
      </c>
      <c r="W47" s="105">
        <f>'A)NSA Nb'!W48/'A)NSA Nb'!V48-1</f>
        <v>-1.1564241999590719E-2</v>
      </c>
      <c r="X47" s="105">
        <f>'A)NSA Nb'!X48/'A)NSA Nb'!W48-1</f>
        <v>-1.6335441132189099E-2</v>
      </c>
      <c r="Y47" s="105">
        <f>'A)NSA Nb'!Y48/'A)NSA Nb'!X48-1</f>
        <v>-1.4884824366725335E-2</v>
      </c>
      <c r="Z47" s="105">
        <f>'A)NSA Nb'!Z48/'A)NSA Nb'!Y48-1</f>
        <v>-1.3264711594484391E-2</v>
      </c>
      <c r="AA47" s="105">
        <f>'A)NSA Nb'!AA48/'A)NSA Nb'!Z48-1</f>
        <v>-1.1448553676986717E-2</v>
      </c>
      <c r="AB47" s="105">
        <f>'A)NSA Nb'!AB48/'A)NSA Nb'!AA48-1</f>
        <v>-1.3578804852796722E-2</v>
      </c>
      <c r="AC47" s="105">
        <f>'A)NSA Nb'!AC48/'A)NSA Nb'!AB48-1</f>
        <v>-1.2278813160196411E-2</v>
      </c>
      <c r="AD47" s="105">
        <f>'A)NSA Nb'!AD48/'A)NSA Nb'!AC48-1</f>
        <v>-1.4222948809645475E-2</v>
      </c>
      <c r="AE47" s="105">
        <f>'A)NSA Nb'!AE48/'A)NSA Nb'!AD48-1</f>
        <v>-1.3460754437972011E-2</v>
      </c>
      <c r="AF47" s="105">
        <f>'A)NSA Nb'!AF48/'A)NSA Nb'!AE48-1</f>
        <v>-1.4323837807927453E-2</v>
      </c>
      <c r="AG47" s="105">
        <f>'A)NSA Nb'!AG48/'A)NSA Nb'!AF48-1</f>
        <v>-1.1803246070322015E-2</v>
      </c>
      <c r="AH47" s="105">
        <f>'A)NSA Nb'!AH48/'A)NSA Nb'!AG48-1</f>
        <v>-1.1325801974644611E-2</v>
      </c>
      <c r="AI47" s="105">
        <f>'A)NSA Nb'!AI48/'A)NSA Nb'!AH48-1</f>
        <v>-1.0451821249854554E-2</v>
      </c>
      <c r="AJ47" s="105">
        <f>'A)NSA Nb'!AJ48/'A)NSA Nb'!AI48-1</f>
        <v>-1.1084078764580951E-2</v>
      </c>
      <c r="AK47" s="105">
        <f>'A)NSA Nb'!AK48/'A)NSA Nb'!AJ48-1</f>
        <v>-1.2152248723456438E-2</v>
      </c>
      <c r="AL47" s="105">
        <f>'A)NSA Nb'!AL48/'A)NSA Nb'!AK48-1</f>
        <v>-1.2587654618232191E-2</v>
      </c>
      <c r="AM47" s="105">
        <f>'A)NSA Nb'!AM48/'A)NSA Nb'!AL48-1</f>
        <v>-1.2123290280793952E-2</v>
      </c>
      <c r="AN47" s="105">
        <f>'A)NSA Nb'!AN48/'A)NSA Nb'!AM48-1</f>
        <v>-1.3058838048810584E-2</v>
      </c>
      <c r="AO47" s="105">
        <f>'A)NSA Nb'!AO48/'A)NSA Nb'!AN48-1</f>
        <v>-1.0246109838922712E-2</v>
      </c>
      <c r="AP47" s="105">
        <f>'A)NSA Nb'!AP48/'A)NSA Nb'!AO48-1</f>
        <v>-1.2042008843967111E-2</v>
      </c>
      <c r="AQ47" s="105">
        <f>'A)NSA Nb'!AQ48/'A)NSA Nb'!AP48-1</f>
        <v>-9.8309555209207256E-3</v>
      </c>
      <c r="AR47" s="105">
        <f>'A)NSA Nb'!AR48/'A)NSA Nb'!AQ48-1</f>
        <v>-1.2802195584614817E-2</v>
      </c>
      <c r="AS47" s="105">
        <f>'A)NSA Nb'!AS48/'A)NSA Nb'!AR48-1</f>
        <v>-1.1594534705925641E-2</v>
      </c>
      <c r="AT47" s="105">
        <f>'A)NSA Nb'!AT48/'A)NSA Nb'!AS48-1</f>
        <v>-1.3368519453015759E-2</v>
      </c>
      <c r="AU47" s="105">
        <f>'A)NSA Nb'!AU48/'A)NSA Nb'!AT48-1</f>
        <v>-1.4203664109336378E-2</v>
      </c>
      <c r="AV47" s="105">
        <f>'A)NSA Nb'!AV48/'A)NSA Nb'!AU48-1</f>
        <v>-1.3506732102304131E-2</v>
      </c>
      <c r="AW47" s="105">
        <f>'A)NSA Nb'!AW48/'A)NSA Nb'!AV48-1</f>
        <v>-1.2665649276187074E-2</v>
      </c>
      <c r="AX47" s="105">
        <f>'A)NSA Nb'!AX48/'A)NSA Nb'!AW48-1</f>
        <v>-1.1020486578060318E-2</v>
      </c>
      <c r="AY47" s="105">
        <f>'A)NSA Nb'!AY48/'A)NSA Nb'!AX48-1</f>
        <v>-1.1143291067707395E-2</v>
      </c>
      <c r="AZ47" s="105">
        <f>'A)NSA Nb'!AZ48/'A)NSA Nb'!AY48-1</f>
        <v>-1.2161800160728653E-2</v>
      </c>
      <c r="BA47" s="105">
        <f>'A)NSA Nb'!BA48/'A)NSA Nb'!AZ48-1</f>
        <v>-9.6630147882995621E-3</v>
      </c>
      <c r="BB47" s="105">
        <f>'A)NSA Nb'!BB48/'A)NSA Nb'!BA48-1</f>
        <v>-9.9763597696218564E-3</v>
      </c>
      <c r="BC47" s="105">
        <f>'A)NSA Nb'!BC48/'A)NSA Nb'!BB48-1</f>
        <v>-1.2750539339516531E-2</v>
      </c>
      <c r="BD47" s="105">
        <f>'A)NSA Nb'!BD48/'A)NSA Nb'!BC48-1</f>
        <v>-1.2541673281473265E-2</v>
      </c>
      <c r="BE47" s="105">
        <f>'A)NSA Nb'!BE48/'A)NSA Nb'!BD48-1</f>
        <v>-9.844902591261584E-3</v>
      </c>
      <c r="BF47" s="105">
        <f>'A)NSA Nb'!BF48/'A)NSA Nb'!BE48-1</f>
        <v>-1.4116658229782475E-2</v>
      </c>
      <c r="BG47" s="105">
        <f>'A)NSA Nb'!BG48/'A)NSA Nb'!BF48-1</f>
        <v>-1.0860193177744892E-2</v>
      </c>
      <c r="BH47" s="105">
        <f>'A)NSA Nb'!BH48/'A)NSA Nb'!BG48-1</f>
        <v>-1.091087169441729E-2</v>
      </c>
      <c r="BI47" s="105">
        <f>'A)NSA Nb'!BI48/'A)NSA Nb'!BH48-1</f>
        <v>-9.1992949517755163E-3</v>
      </c>
      <c r="BJ47" s="105">
        <f>'A)NSA Nb'!BJ48/'A)NSA Nb'!BI48-1</f>
        <v>-1.0903784842639652E-2</v>
      </c>
    </row>
    <row r="48" spans="1:62" x14ac:dyDescent="0.25">
      <c r="A48" s="8" t="s">
        <v>2</v>
      </c>
      <c r="B48" s="9"/>
      <c r="C48" s="105">
        <f>'A)NSA Nb'!C49/'A)NSA Nb'!B49-1</f>
        <v>-7.1042363526061525E-3</v>
      </c>
      <c r="D48" s="105">
        <f>'A)NSA Nb'!D49/'A)NSA Nb'!C49-1</f>
        <v>-8.3370060232114129E-3</v>
      </c>
      <c r="E48" s="105">
        <f>'A)NSA Nb'!E49/'A)NSA Nb'!D49-1</f>
        <v>-7.5687432451996273E-3</v>
      </c>
      <c r="F48" s="105">
        <f>'A)NSA Nb'!F49/'A)NSA Nb'!E49-1</f>
        <v>-7.0972272639374667E-3</v>
      </c>
      <c r="G48" s="105">
        <f>'A)NSA Nb'!G49/'A)NSA Nb'!F49-1</f>
        <v>-7.7390653669137111E-3</v>
      </c>
      <c r="H48" s="105">
        <f>'A)NSA Nb'!H49/'A)NSA Nb'!G49-1</f>
        <v>-9.0803909010144235E-3</v>
      </c>
      <c r="I48" s="105">
        <f>'A)NSA Nb'!I49/'A)NSA Nb'!H49-1</f>
        <v>-9.0836747530137485E-3</v>
      </c>
      <c r="J48" s="105">
        <f>'A)NSA Nb'!J49/'A)NSA Nb'!I49-1</f>
        <v>-8.0903368343532289E-3</v>
      </c>
      <c r="K48" s="105">
        <f>'A)NSA Nb'!K49/'A)NSA Nb'!J49-1</f>
        <v>-8.5063355583210321E-3</v>
      </c>
      <c r="L48" s="105">
        <f>'A)NSA Nb'!L49/'A)NSA Nb'!K49-1</f>
        <v>-1.0897083889003789E-2</v>
      </c>
      <c r="M48" s="105">
        <f>'A)NSA Nb'!M49/'A)NSA Nb'!L49-1</f>
        <v>-1.0534057234323324E-2</v>
      </c>
      <c r="N48" s="105">
        <f>'A)NSA Nb'!N49/'A)NSA Nb'!M49-1</f>
        <v>-9.2762620963040554E-3</v>
      </c>
      <c r="O48" s="105">
        <f>'A)NSA Nb'!O49/'A)NSA Nb'!N49-1</f>
        <v>-9.638935267249682E-3</v>
      </c>
      <c r="P48" s="105">
        <f>'A)NSA Nb'!P49/'A)NSA Nb'!O49-1</f>
        <v>-1.1608001574469839E-2</v>
      </c>
      <c r="Q48" s="105">
        <f>'A)NSA Nb'!Q49/'A)NSA Nb'!P49-1</f>
        <v>-8.6899023560041977E-3</v>
      </c>
      <c r="R48" s="105">
        <f>'A)NSA Nb'!R49/'A)NSA Nb'!Q49-1</f>
        <v>-9.5922806964352514E-3</v>
      </c>
      <c r="S48" s="105">
        <f>'A)NSA Nb'!S49/'A)NSA Nb'!R49-1</f>
        <v>-1.0940316155621077E-2</v>
      </c>
      <c r="T48" s="105">
        <f>'A)NSA Nb'!T49/'A)NSA Nb'!S49-1</f>
        <v>-1.0701518176331359E-2</v>
      </c>
      <c r="U48" s="105">
        <f>'A)NSA Nb'!U49/'A)NSA Nb'!T49-1</f>
        <v>-1.0453574864490722E-2</v>
      </c>
      <c r="V48" s="105">
        <f>'A)NSA Nb'!V49/'A)NSA Nb'!U49-1</f>
        <v>-9.6115465025747859E-3</v>
      </c>
      <c r="W48" s="105">
        <f>'A)NSA Nb'!W49/'A)NSA Nb'!V49-1</f>
        <v>-1.0474985734067022E-2</v>
      </c>
      <c r="X48" s="105">
        <f>'A)NSA Nb'!X49/'A)NSA Nb'!W49-1</f>
        <v>-1.3961253689932729E-2</v>
      </c>
      <c r="Y48" s="105">
        <f>'A)NSA Nb'!Y49/'A)NSA Nb'!X49-1</f>
        <v>-1.1639605742096437E-2</v>
      </c>
      <c r="Z48" s="105">
        <f>'A)NSA Nb'!Z49/'A)NSA Nb'!Y49-1</f>
        <v>-1.0183560646186418E-2</v>
      </c>
      <c r="AA48" s="105">
        <f>'A)NSA Nb'!AA49/'A)NSA Nb'!Z49-1</f>
        <v>-1.1621927818631028E-2</v>
      </c>
      <c r="AB48" s="105">
        <f>'A)NSA Nb'!AB49/'A)NSA Nb'!AA49-1</f>
        <v>-1.2621445460044067E-2</v>
      </c>
      <c r="AC48" s="105">
        <f>'A)NSA Nb'!AC49/'A)NSA Nb'!AB49-1</f>
        <v>-1.1172083499329633E-2</v>
      </c>
      <c r="AD48" s="105">
        <f>'A)NSA Nb'!AD49/'A)NSA Nb'!AC49-1</f>
        <v>-1.1142350897409781E-2</v>
      </c>
      <c r="AE48" s="105">
        <f>'A)NSA Nb'!AE49/'A)NSA Nb'!AD49-1</f>
        <v>-1.3405824085797269E-2</v>
      </c>
      <c r="AF48" s="105">
        <f>'A)NSA Nb'!AF49/'A)NSA Nb'!AE49-1</f>
        <v>-1.4289583879146917E-2</v>
      </c>
      <c r="AG48" s="105">
        <f>'A)NSA Nb'!AG49/'A)NSA Nb'!AF49-1</f>
        <v>-1.0464859605101351E-2</v>
      </c>
      <c r="AH48" s="105">
        <f>'A)NSA Nb'!AH49/'A)NSA Nb'!AG49-1</f>
        <v>-1.1058099409081423E-2</v>
      </c>
      <c r="AI48" s="105">
        <f>'A)NSA Nb'!AI49/'A)NSA Nb'!AH49-1</f>
        <v>-1.1264610157943888E-2</v>
      </c>
      <c r="AJ48" s="105">
        <f>'A)NSA Nb'!AJ49/'A)NSA Nb'!AI49-1</f>
        <v>-1.4098015662392549E-2</v>
      </c>
      <c r="AK48" s="105">
        <f>'A)NSA Nb'!AK49/'A)NSA Nb'!AJ49-1</f>
        <v>-1.1503914920143132E-2</v>
      </c>
      <c r="AL48" s="105">
        <f>'A)NSA Nb'!AL49/'A)NSA Nb'!AK49-1</f>
        <v>-9.7124948642735021E-3</v>
      </c>
      <c r="AM48" s="105">
        <f>'A)NSA Nb'!AM49/'A)NSA Nb'!AL49-1</f>
        <v>-1.2726439443278559E-2</v>
      </c>
      <c r="AN48" s="105">
        <f>'A)NSA Nb'!AN49/'A)NSA Nb'!AM49-1</f>
        <v>-1.4869507004744764E-2</v>
      </c>
      <c r="AO48" s="105">
        <f>'A)NSA Nb'!AO49/'A)NSA Nb'!AN49-1</f>
        <v>-1.1745798694470344E-2</v>
      </c>
      <c r="AP48" s="105">
        <f>'A)NSA Nb'!AP49/'A)NSA Nb'!AO49-1</f>
        <v>-1.0083519042743294E-2</v>
      </c>
      <c r="AQ48" s="105">
        <f>'A)NSA Nb'!AQ49/'A)NSA Nb'!AP49-1</f>
        <v>-1.2189000491819035E-2</v>
      </c>
      <c r="AR48" s="105">
        <f>'A)NSA Nb'!AR49/'A)NSA Nb'!AQ49-1</f>
        <v>-1.536779538350197E-2</v>
      </c>
      <c r="AS48" s="105">
        <f>'A)NSA Nb'!AS49/'A)NSA Nb'!AR49-1</f>
        <v>-1.3637145582784616E-2</v>
      </c>
      <c r="AT48" s="105">
        <f>'A)NSA Nb'!AT49/'A)NSA Nb'!AS49-1</f>
        <v>-1.132586027387128E-2</v>
      </c>
      <c r="AU48" s="105">
        <f>'A)NSA Nb'!AU49/'A)NSA Nb'!AT49-1</f>
        <v>-1.8185705885497394E-2</v>
      </c>
      <c r="AV48" s="105">
        <f>'A)NSA Nb'!AV49/'A)NSA Nb'!AU49-1</f>
        <v>-1.6399154997059906E-2</v>
      </c>
      <c r="AW48" s="105">
        <f>'A)NSA Nb'!AW49/'A)NSA Nb'!AV49-1</f>
        <v>-1.3423301744752481E-2</v>
      </c>
      <c r="AX48" s="105">
        <f>'A)NSA Nb'!AX49/'A)NSA Nb'!AW49-1</f>
        <v>-1.2713837660115246E-2</v>
      </c>
      <c r="AY48" s="105">
        <f>'A)NSA Nb'!AY49/'A)NSA Nb'!AX49-1</f>
        <v>-1.3792515557071061E-2</v>
      </c>
      <c r="AZ48" s="105">
        <f>'A)NSA Nb'!AZ49/'A)NSA Nb'!AY49-1</f>
        <v>-1.6330717191623711E-2</v>
      </c>
      <c r="BA48" s="105">
        <f>'A)NSA Nb'!BA49/'A)NSA Nb'!AZ49-1</f>
        <v>-1.3198284750210898E-2</v>
      </c>
      <c r="BB48" s="105">
        <f>'A)NSA Nb'!BB49/'A)NSA Nb'!BA49-1</f>
        <v>-1.2009427073748413E-2</v>
      </c>
      <c r="BC48" s="105">
        <f>'A)NSA Nb'!BC49/'A)NSA Nb'!BB49-1</f>
        <v>-1.8302208762948524E-2</v>
      </c>
      <c r="BD48" s="105">
        <f>'A)NSA Nb'!BD49/'A)NSA Nb'!BC49-1</f>
        <v>-1.5980952614119026E-2</v>
      </c>
      <c r="BE48" s="105">
        <f>'A)NSA Nb'!BE49/'A)NSA Nb'!BD49-1</f>
        <v>-1.2931436639692429E-2</v>
      </c>
      <c r="BF48" s="105">
        <f>'A)NSA Nb'!BF49/'A)NSA Nb'!BE49-1</f>
        <v>-1.3466337307488696E-2</v>
      </c>
      <c r="BG48" s="105">
        <f>'A)NSA Nb'!BG49/'A)NSA Nb'!BF49-1</f>
        <v>-1.4736035259174107E-2</v>
      </c>
      <c r="BH48" s="105">
        <f>'A)NSA Nb'!BH49/'A)NSA Nb'!BG49-1</f>
        <v>-1.4891603132617615E-2</v>
      </c>
      <c r="BI48" s="105">
        <f>'A)NSA Nb'!BI49/'A)NSA Nb'!BH49-1</f>
        <v>-1.2727787247204692E-2</v>
      </c>
      <c r="BJ48" s="105">
        <f>'A)NSA Nb'!BJ49/'A)NSA Nb'!BI49-1</f>
        <v>-1.2651899451395554E-2</v>
      </c>
    </row>
    <row r="49" spans="1:62" x14ac:dyDescent="0.25">
      <c r="A49" s="8" t="s">
        <v>3</v>
      </c>
      <c r="B49" s="9"/>
      <c r="C49" s="105">
        <f>'A)NSA Nb'!C50/'A)NSA Nb'!B50-1</f>
        <v>-1.6544186765485858E-3</v>
      </c>
      <c r="D49" s="105">
        <f>'A)NSA Nb'!D50/'A)NSA Nb'!C50-1</f>
        <v>-4.7538740307077054E-3</v>
      </c>
      <c r="E49" s="105">
        <f>'A)NSA Nb'!E50/'A)NSA Nb'!D50-1</f>
        <v>-1.673485348593684E-3</v>
      </c>
      <c r="F49" s="105">
        <f>'A)NSA Nb'!F50/'A)NSA Nb'!E50-1</f>
        <v>-1.5183486431733506E-3</v>
      </c>
      <c r="G49" s="105">
        <f>'A)NSA Nb'!G50/'A)NSA Nb'!F50-1</f>
        <v>-1.9445856366409053E-3</v>
      </c>
      <c r="H49" s="105">
        <f>'A)NSA Nb'!H50/'A)NSA Nb'!G50-1</f>
        <v>-4.196823853850784E-3</v>
      </c>
      <c r="I49" s="105">
        <f>'A)NSA Nb'!I50/'A)NSA Nb'!H50-1</f>
        <v>-1.7910612462306297E-3</v>
      </c>
      <c r="J49" s="105">
        <f>'A)NSA Nb'!J50/'A)NSA Nb'!I50-1</f>
        <v>-1.5646757443370518E-3</v>
      </c>
      <c r="K49" s="105">
        <f>'A)NSA Nb'!K50/'A)NSA Nb'!J50-1</f>
        <v>-2.2655216981192217E-3</v>
      </c>
      <c r="L49" s="162">
        <f>'A)NSA Nb'!L50/'A)NSA Nb'!K50-1</f>
        <v>-6.5751144402830253E-3</v>
      </c>
      <c r="M49" s="105">
        <f>'A)NSA Nb'!M50/'A)NSA Nb'!L50-1</f>
        <v>-3.7099573795283947E-3</v>
      </c>
      <c r="N49" s="105">
        <f>'A)NSA Nb'!N50/'A)NSA Nb'!M50-1</f>
        <v>-2.9087255297265413E-3</v>
      </c>
      <c r="O49" s="105">
        <f>'A)NSA Nb'!O50/'A)NSA Nb'!N50-1</f>
        <v>-5.618171910005465E-3</v>
      </c>
      <c r="P49" s="105">
        <f>'A)NSA Nb'!P50/'A)NSA Nb'!O50-1</f>
        <v>-8.9163386468912309E-3</v>
      </c>
      <c r="Q49" s="105">
        <f>'A)NSA Nb'!Q50/'A)NSA Nb'!P50-1</f>
        <v>-3.7807473723476814E-3</v>
      </c>
      <c r="R49" s="105">
        <f>'A)NSA Nb'!R50/'A)NSA Nb'!Q50-1</f>
        <v>-2.0550343937428828E-3</v>
      </c>
      <c r="S49" s="105">
        <f>'A)NSA Nb'!S50/'A)NSA Nb'!R50-1</f>
        <v>-4.2377183418160769E-3</v>
      </c>
      <c r="T49" s="105">
        <f>'A)NSA Nb'!T50/'A)NSA Nb'!S50-1</f>
        <v>-8.3851633810184678E-3</v>
      </c>
      <c r="U49" s="105">
        <f>'A)NSA Nb'!U50/'A)NSA Nb'!T50-1</f>
        <v>-5.4205569873773118E-3</v>
      </c>
      <c r="V49" s="105">
        <f>'A)NSA Nb'!V50/'A)NSA Nb'!U50-1</f>
        <v>-2.8250619176259928E-3</v>
      </c>
      <c r="W49" s="105">
        <f>'A)NSA Nb'!W50/'A)NSA Nb'!V50-1</f>
        <v>-5.654861851431936E-3</v>
      </c>
      <c r="X49" s="105">
        <f>'A)NSA Nb'!X50/'A)NSA Nb'!W50-1</f>
        <v>-8.8648624144340715E-3</v>
      </c>
      <c r="Y49" s="105">
        <f>'A)NSA Nb'!Y50/'A)NSA Nb'!X50-1</f>
        <v>-3.766560172342448E-3</v>
      </c>
      <c r="Z49" s="105">
        <f>'A)NSA Nb'!Z50/'A)NSA Nb'!Y50-1</f>
        <v>-2.1784941990992124E-3</v>
      </c>
      <c r="AA49" s="105">
        <f>'A)NSA Nb'!AA50/'A)NSA Nb'!Z50-1</f>
        <v>-5.8825829991741019E-3</v>
      </c>
      <c r="AB49" s="105">
        <f>'A)NSA Nb'!AB50/'A)NSA Nb'!AA50-1</f>
        <v>-8.5092891723518305E-3</v>
      </c>
      <c r="AC49" s="105">
        <f>'A)NSA Nb'!AC50/'A)NSA Nb'!AB50-1</f>
        <v>-5.8584769360399136E-3</v>
      </c>
      <c r="AD49" s="105">
        <f>'A)NSA Nb'!AD50/'A)NSA Nb'!AC50-1</f>
        <v>-2.9065877176712718E-3</v>
      </c>
      <c r="AE49" s="105">
        <f>'A)NSA Nb'!AE50/'A)NSA Nb'!AD50-1</f>
        <v>-7.8009658787212555E-3</v>
      </c>
      <c r="AF49" s="105">
        <f>'A)NSA Nb'!AF50/'A)NSA Nb'!AE50-1</f>
        <v>-1.2148237449510879E-2</v>
      </c>
      <c r="AG49" s="105">
        <f>'A)NSA Nb'!AG50/'A)NSA Nb'!AF50-1</f>
        <v>-7.6010368544584539E-3</v>
      </c>
      <c r="AH49" s="105">
        <f>'A)NSA Nb'!AH50/'A)NSA Nb'!AG50-1</f>
        <v>-6.1099747031554408E-3</v>
      </c>
      <c r="AI49" s="105">
        <f>'A)NSA Nb'!AI50/'A)NSA Nb'!AH50-1</f>
        <v>-9.6718959692720929E-3</v>
      </c>
      <c r="AJ49" s="105">
        <f>'A)NSA Nb'!AJ50/'A)NSA Nb'!AI50-1</f>
        <v>-1.343826856861785E-2</v>
      </c>
      <c r="AK49" s="105">
        <f>'A)NSA Nb'!AK50/'A)NSA Nb'!AJ50-1</f>
        <v>-6.3295241514099709E-3</v>
      </c>
      <c r="AL49" s="105">
        <f>'A)NSA Nb'!AL50/'A)NSA Nb'!AK50-1</f>
        <v>-2.9428219479825657E-3</v>
      </c>
      <c r="AM49" s="105">
        <f>'A)NSA Nb'!AM50/'A)NSA Nb'!AL50-1</f>
        <v>-7.6744232859615735E-3</v>
      </c>
      <c r="AN49" s="105">
        <f>'A)NSA Nb'!AN50/'A)NSA Nb'!AM50-1</f>
        <v>-1.2201615725174531E-2</v>
      </c>
      <c r="AO49" s="105">
        <f>'A)NSA Nb'!AO50/'A)NSA Nb'!AN50-1</f>
        <v>-7.8113368347015877E-3</v>
      </c>
      <c r="AP49" s="105">
        <f>'A)NSA Nb'!AP50/'A)NSA Nb'!AO50-1</f>
        <v>-4.944129525327301E-3</v>
      </c>
      <c r="AQ49" s="105">
        <f>'A)NSA Nb'!AQ50/'A)NSA Nb'!AP50-1</f>
        <v>-8.0523546052083672E-3</v>
      </c>
      <c r="AR49" s="105">
        <f>'A)NSA Nb'!AR50/'A)NSA Nb'!AQ50-1</f>
        <v>-1.2689018141023412E-2</v>
      </c>
      <c r="AS49" s="105">
        <f>'A)NSA Nb'!AS50/'A)NSA Nb'!AR50-1</f>
        <v>-1.0696365518889195E-2</v>
      </c>
      <c r="AT49" s="105">
        <f>'A)NSA Nb'!AT50/'A)NSA Nb'!AS50-1</f>
        <v>-5.4583365759538482E-3</v>
      </c>
      <c r="AU49" s="105">
        <f>'A)NSA Nb'!AU50/'A)NSA Nb'!AT50-1</f>
        <v>-1.4295466626372377E-2</v>
      </c>
      <c r="AV49" s="105">
        <f>'A)NSA Nb'!AV50/'A)NSA Nb'!AU50-1</f>
        <v>-1.3350341765464346E-2</v>
      </c>
      <c r="AW49" s="105">
        <f>'A)NSA Nb'!AW50/'A)NSA Nb'!AV50-1</f>
        <v>-8.2179162782438642E-3</v>
      </c>
      <c r="AX49" s="105">
        <f>'A)NSA Nb'!AX50/'A)NSA Nb'!AW50-1</f>
        <v>-6.9516323048087747E-3</v>
      </c>
      <c r="AY49" s="105">
        <f>'A)NSA Nb'!AY50/'A)NSA Nb'!AX50-1</f>
        <v>-1.1783596489992498E-2</v>
      </c>
      <c r="AZ49" s="105">
        <f>'A)NSA Nb'!AZ50/'A)NSA Nb'!AY50-1</f>
        <v>-1.5661256207205154E-2</v>
      </c>
      <c r="BA49" s="105">
        <f>'A)NSA Nb'!BA50/'A)NSA Nb'!AZ50-1</f>
        <v>-1.0463122777346623E-2</v>
      </c>
      <c r="BB49" s="105">
        <f>'A)NSA Nb'!BB50/'A)NSA Nb'!BA50-1</f>
        <v>-6.0316949326153502E-3</v>
      </c>
      <c r="BC49" s="105">
        <f>'A)NSA Nb'!BC50/'A)NSA Nb'!BB50-1</f>
        <v>-1.7348086469552548E-2</v>
      </c>
      <c r="BD49" s="105">
        <f>'A)NSA Nb'!BD50/'A)NSA Nb'!BC50-1</f>
        <v>-1.2198045196588958E-2</v>
      </c>
      <c r="BE49" s="105">
        <f>'A)NSA Nb'!BE50/'A)NSA Nb'!BD50-1</f>
        <v>-8.9877483915782319E-3</v>
      </c>
      <c r="BF49" s="105">
        <f>'A)NSA Nb'!BF50/'A)NSA Nb'!BE50-1</f>
        <v>-3.856654872240628E-3</v>
      </c>
      <c r="BG49" s="105">
        <f>'A)NSA Nb'!BG50/'A)NSA Nb'!BF50-1</f>
        <v>-1.2321476856517743E-2</v>
      </c>
      <c r="BH49" s="105">
        <f>'A)NSA Nb'!BH50/'A)NSA Nb'!BG50-1</f>
        <v>-1.501378181795554E-2</v>
      </c>
      <c r="BI49" s="105">
        <f>'A)NSA Nb'!BI50/'A)NSA Nb'!BH50-1</f>
        <v>-1.1992596616679063E-2</v>
      </c>
      <c r="BJ49" s="105">
        <f>'A)NSA Nb'!BJ50/'A)NSA Nb'!BI50-1</f>
        <v>-7.6402985790323674E-3</v>
      </c>
    </row>
    <row r="50" spans="1:62" x14ac:dyDescent="0.25">
      <c r="A50" s="8" t="s">
        <v>4</v>
      </c>
      <c r="B50" s="9"/>
      <c r="C50" s="105">
        <f>'A)NSA Nb'!C51/'A)NSA Nb'!B51-1</f>
        <v>-1.1627906976744207E-2</v>
      </c>
      <c r="D50" s="105">
        <f>'A)NSA Nb'!D51/'A)NSA Nb'!C51-1</f>
        <v>-4.1176470588235259E-2</v>
      </c>
      <c r="E50" s="105">
        <f>'A)NSA Nb'!E51/'A)NSA Nb'!D51-1</f>
        <v>-1.2269938650306789E-2</v>
      </c>
      <c r="F50" s="105">
        <f>'A)NSA Nb'!F51/'A)NSA Nb'!E51-1</f>
        <v>5.5900621118012417E-2</v>
      </c>
      <c r="G50" s="105">
        <f>'A)NSA Nb'!G51/'A)NSA Nb'!F51-1</f>
        <v>-5.2941176470588269E-2</v>
      </c>
      <c r="H50" s="105">
        <f>'A)NSA Nb'!H51/'A)NSA Nb'!G51-1</f>
        <v>-3.4161490683229823E-2</v>
      </c>
      <c r="I50" s="105">
        <f>'A)NSA Nb'!I51/'A)NSA Nb'!H51-1</f>
        <v>6.4308681672025081E-3</v>
      </c>
      <c r="J50" s="105">
        <f>'A)NSA Nb'!J51/'A)NSA Nb'!I51-1</f>
        <v>-2.8753993610223683E-2</v>
      </c>
      <c r="K50" s="105">
        <f>'A)NSA Nb'!K51/'A)NSA Nb'!J51-1</f>
        <v>-3.6184210526315819E-2</v>
      </c>
      <c r="L50" s="105">
        <f>'A)NSA Nb'!L51/'A)NSA Nb'!K51-1</f>
        <v>-4.095563139931746E-2</v>
      </c>
      <c r="M50" s="105">
        <f>'A)NSA Nb'!M51/'A)NSA Nb'!L51-1</f>
        <v>1.067615658362997E-2</v>
      </c>
      <c r="N50" s="105">
        <f>'A)NSA Nb'!N51/'A)NSA Nb'!M51-1</f>
        <v>-7.0422535211267512E-3</v>
      </c>
      <c r="O50" s="105">
        <f>'A)NSA Nb'!O51/'A)NSA Nb'!N51-1</f>
        <v>-2.8368794326241176E-2</v>
      </c>
      <c r="P50" s="105">
        <f>'A)NSA Nb'!P51/'A)NSA Nb'!O51-1</f>
        <v>-1.0948905109489093E-2</v>
      </c>
      <c r="Q50" s="105">
        <f>'A)NSA Nb'!Q51/'A)NSA Nb'!P51-1</f>
        <v>1.1070110701107083E-2</v>
      </c>
      <c r="R50" s="105">
        <f>'A)NSA Nb'!R51/'A)NSA Nb'!Q51-1</f>
        <v>-1.4598540145985384E-2</v>
      </c>
      <c r="S50" s="105">
        <f>'A)NSA Nb'!S51/'A)NSA Nb'!R51-1</f>
        <v>1.8518518518518601E-2</v>
      </c>
      <c r="T50" s="105">
        <f>'A)NSA Nb'!T51/'A)NSA Nb'!S51-1</f>
        <v>-1.8181818181818188E-2</v>
      </c>
      <c r="U50" s="105">
        <f>'A)NSA Nb'!U51/'A)NSA Nb'!T51-1</f>
        <v>2.2222222222222143E-2</v>
      </c>
      <c r="V50" s="105">
        <f>'A)NSA Nb'!V51/'A)NSA Nb'!U51-1</f>
        <v>-5.7971014492753659E-2</v>
      </c>
      <c r="W50" s="105">
        <f>'A)NSA Nb'!W51/'A)NSA Nb'!V51-1</f>
        <v>0</v>
      </c>
      <c r="X50" s="105">
        <f>'A)NSA Nb'!X51/'A)NSA Nb'!W51-1</f>
        <v>-1.9230769230769273E-2</v>
      </c>
      <c r="Y50" s="105">
        <f>'A)NSA Nb'!Y51/'A)NSA Nb'!X51-1</f>
        <v>-2.352941176470591E-2</v>
      </c>
      <c r="Z50" s="105">
        <f>'A)NSA Nb'!Z51/'A)NSA Nb'!Y51-1</f>
        <v>1.2048192771084265E-2</v>
      </c>
      <c r="AA50" s="105">
        <f>'A)NSA Nb'!AA51/'A)NSA Nb'!Z51-1</f>
        <v>3.9682539682539542E-3</v>
      </c>
      <c r="AB50" s="105">
        <f>'A)NSA Nb'!AB51/'A)NSA Nb'!AA51-1</f>
        <v>-1.5810276679841917E-2</v>
      </c>
      <c r="AC50" s="105">
        <f>'A)NSA Nb'!AC51/'A)NSA Nb'!AB51-1</f>
        <v>3.2128514056224855E-2</v>
      </c>
      <c r="AD50" s="105">
        <f>'A)NSA Nb'!AD51/'A)NSA Nb'!AC51-1</f>
        <v>-7.7821011673151474E-3</v>
      </c>
      <c r="AE50" s="105">
        <f>'A)NSA Nb'!AE51/'A)NSA Nb'!AD51-1</f>
        <v>-7.8431372549019329E-3</v>
      </c>
      <c r="AF50" s="105">
        <f>'A)NSA Nb'!AF51/'A)NSA Nb'!AE51-1</f>
        <v>-3.9525691699604515E-3</v>
      </c>
      <c r="AG50" s="105">
        <f>'A)NSA Nb'!AG51/'A)NSA Nb'!AF51-1</f>
        <v>0</v>
      </c>
      <c r="AH50" s="105">
        <f>'A)NSA Nb'!AH51/'A)NSA Nb'!AG51-1</f>
        <v>-7.9365079365079083E-3</v>
      </c>
      <c r="AI50" s="105">
        <f>'A)NSA Nb'!AI51/'A)NSA Nb'!AH51-1</f>
        <v>8.0000000000000071E-3</v>
      </c>
      <c r="AJ50" s="105">
        <f>'A)NSA Nb'!AJ51/'A)NSA Nb'!AI51-1</f>
        <v>-3.9682539682539542E-3</v>
      </c>
      <c r="AK50" s="105">
        <f>'A)NSA Nb'!AK51/'A)NSA Nb'!AJ51-1</f>
        <v>-1.195219123505975E-2</v>
      </c>
      <c r="AL50" s="105">
        <f>'A)NSA Nb'!AL51/'A)NSA Nb'!AK51-1</f>
        <v>1.2096774193548487E-2</v>
      </c>
      <c r="AM50" s="105">
        <f>'A)NSA Nb'!AM51/'A)NSA Nb'!AL51-1</f>
        <v>-1.195219123505975E-2</v>
      </c>
      <c r="AN50" s="105">
        <f>'A)NSA Nb'!AN51/'A)NSA Nb'!AM51-1</f>
        <v>4.0322580645162365E-3</v>
      </c>
      <c r="AO50" s="105">
        <f>'A)NSA Nb'!AO51/'A)NSA Nb'!AN51-1</f>
        <v>-4.0160642570281624E-3</v>
      </c>
      <c r="AP50" s="105">
        <f>'A)NSA Nb'!AP51/'A)NSA Nb'!AO51-1</f>
        <v>-4.0322580645161255E-3</v>
      </c>
      <c r="AQ50" s="105">
        <f>'A)NSA Nb'!AQ51/'A)NSA Nb'!AP51-1</f>
        <v>-1.619433198380571E-2</v>
      </c>
      <c r="AR50" s="105">
        <f>'A)NSA Nb'!AR51/'A)NSA Nb'!AQ51-1</f>
        <v>-4.1152263374485409E-3</v>
      </c>
      <c r="AS50" s="105">
        <f>'A)NSA Nb'!AS51/'A)NSA Nb'!AR51-1</f>
        <v>-4.1322314049586639E-3</v>
      </c>
      <c r="AT50" s="105">
        <f>'A)NSA Nb'!AT51/'A)NSA Nb'!AS51-1</f>
        <v>0</v>
      </c>
      <c r="AU50" s="105">
        <f>'A)NSA Nb'!AU51/'A)NSA Nb'!AT51-1</f>
        <v>-4.1493775933609811E-3</v>
      </c>
      <c r="AV50" s="105">
        <f>'A)NSA Nb'!AV51/'A)NSA Nb'!AU51-1</f>
        <v>-2.5000000000000022E-2</v>
      </c>
      <c r="AW50" s="105">
        <f>'A)NSA Nb'!AW51/'A)NSA Nb'!AV51-1</f>
        <v>2.9914529914529808E-2</v>
      </c>
      <c r="AX50" s="105">
        <f>'A)NSA Nb'!AX51/'A)NSA Nb'!AW51-1</f>
        <v>-1.6597510373444035E-2</v>
      </c>
      <c r="AY50" s="105">
        <f>'A)NSA Nb'!AY51/'A)NSA Nb'!AX51-1</f>
        <v>2.5316455696202445E-2</v>
      </c>
      <c r="AZ50" s="105">
        <f>'A)NSA Nb'!AZ51/'A)NSA Nb'!AY51-1</f>
        <v>0</v>
      </c>
      <c r="BA50" s="105">
        <f>'A)NSA Nb'!BA51/'A)NSA Nb'!AZ51-1</f>
        <v>2.0576131687242816E-2</v>
      </c>
      <c r="BB50" s="105">
        <f>'A)NSA Nb'!BB51/'A)NSA Nb'!BA51-1</f>
        <v>2.4193548387096753E-2</v>
      </c>
      <c r="BC50" s="105">
        <f>'A)NSA Nb'!BC51/'A)NSA Nb'!BB51-1</f>
        <v>-4.3307086614173262E-2</v>
      </c>
      <c r="BD50" s="105">
        <f>'A)NSA Nb'!BD51/'A)NSA Nb'!BC51-1</f>
        <v>-2.0576131687242816E-2</v>
      </c>
      <c r="BE50" s="105">
        <f>'A)NSA Nb'!BE51/'A)NSA Nb'!BD51-1</f>
        <v>1.2605042016806678E-2</v>
      </c>
      <c r="BF50" s="105">
        <f>'A)NSA Nb'!BF51/'A)NSA Nb'!BE51-1</f>
        <v>-1.2448132780082943E-2</v>
      </c>
      <c r="BG50" s="105">
        <f>'A)NSA Nb'!BG51/'A)NSA Nb'!BF51-1</f>
        <v>2.5210084033613356E-2</v>
      </c>
      <c r="BH50" s="105">
        <f>'A)NSA Nb'!BH51/'A)NSA Nb'!BG51-1</f>
        <v>-2.4590163934426257E-2</v>
      </c>
      <c r="BI50" s="105">
        <f>'A)NSA Nb'!BI51/'A)NSA Nb'!BH51-1</f>
        <v>4.2016806722688926E-3</v>
      </c>
      <c r="BJ50" s="105">
        <f>'A)NSA Nb'!BJ51/'A)NSA Nb'!BI51-1</f>
        <v>8.3682008368199945E-3</v>
      </c>
    </row>
    <row r="51" spans="1:62" x14ac:dyDescent="0.25">
      <c r="A51" s="12"/>
      <c r="B51" s="13"/>
      <c r="C51" s="47"/>
      <c r="D51" s="47"/>
      <c r="E51" s="47"/>
      <c r="F51" s="47"/>
      <c r="G51" s="47"/>
      <c r="H51" s="47"/>
      <c r="I51" s="47"/>
      <c r="J51" s="47"/>
      <c r="K51" s="150"/>
      <c r="L51" s="150"/>
      <c r="M51" s="47"/>
      <c r="N51" s="47"/>
      <c r="O51" s="47"/>
      <c r="P51" s="47"/>
      <c r="Q51" s="47"/>
      <c r="R51" s="47"/>
      <c r="S51" s="47"/>
      <c r="T51" s="47"/>
      <c r="U51" s="47"/>
      <c r="V51" s="47"/>
      <c r="W51" s="47"/>
      <c r="X51" s="47"/>
      <c r="Y51" s="47"/>
      <c r="Z51" s="47"/>
      <c r="AA51" s="47"/>
      <c r="AB51" s="47"/>
      <c r="AC51" s="47"/>
      <c r="AD51" s="47"/>
      <c r="AE51" s="47"/>
      <c r="AF51" s="47"/>
      <c r="AG51" s="47"/>
      <c r="AH51" s="47"/>
      <c r="AI51" s="47"/>
      <c r="AJ51" s="47"/>
      <c r="AM51" s="47"/>
      <c r="AN51" s="47"/>
      <c r="AO51" s="47"/>
    </row>
    <row r="52" spans="1:62" ht="13" x14ac:dyDescent="0.3">
      <c r="A52" s="25" t="s">
        <v>15</v>
      </c>
      <c r="L52" s="14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M52" s="35"/>
      <c r="AN52" s="35"/>
      <c r="AO52" s="35"/>
    </row>
    <row r="53" spans="1:62" x14ac:dyDescent="0.25">
      <c r="A53" s="17" t="s">
        <v>6</v>
      </c>
      <c r="L53" s="14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M53" s="35"/>
      <c r="AN53" s="35"/>
      <c r="AO53" s="35"/>
    </row>
    <row r="54" spans="1:62" x14ac:dyDescent="0.25">
      <c r="B54" s="2" t="str">
        <f t="shared" ref="B54:H54" si="121">B8</f>
        <v>4eme T 2009</v>
      </c>
      <c r="C54" s="38" t="str">
        <f t="shared" si="121"/>
        <v>1er T 2010</v>
      </c>
      <c r="D54" s="38" t="str">
        <f t="shared" si="121"/>
        <v>2eme T 2010</v>
      </c>
      <c r="E54" s="38" t="str">
        <f t="shared" si="121"/>
        <v>3eme T 2010</v>
      </c>
      <c r="F54" s="38" t="str">
        <f t="shared" si="121"/>
        <v>4eme T 2010</v>
      </c>
      <c r="G54" s="38" t="str">
        <f t="shared" si="121"/>
        <v>1er T 2011</v>
      </c>
      <c r="H54" s="38" t="str">
        <f t="shared" si="121"/>
        <v>2eme T 2011</v>
      </c>
      <c r="I54" s="38" t="str">
        <f t="shared" ref="I54:N54" si="122">I8</f>
        <v>3eme T 2011</v>
      </c>
      <c r="J54" s="38" t="str">
        <f t="shared" si="122"/>
        <v>4eme T 2011</v>
      </c>
      <c r="K54" s="38" t="str">
        <f t="shared" si="122"/>
        <v>1er T 2012</v>
      </c>
      <c r="L54" s="38" t="str">
        <f t="shared" si="122"/>
        <v>2eme T 2012</v>
      </c>
      <c r="M54" s="38" t="str">
        <f t="shared" si="122"/>
        <v>3eme T 2012</v>
      </c>
      <c r="N54" s="38" t="str">
        <f t="shared" si="122"/>
        <v>4eme T 2012</v>
      </c>
      <c r="O54" s="38" t="str">
        <f t="shared" ref="O54:T54" si="123">O8</f>
        <v>1er T 2013</v>
      </c>
      <c r="P54" s="38" t="str">
        <f t="shared" si="123"/>
        <v>2e T 2013</v>
      </c>
      <c r="Q54" s="38" t="str">
        <f t="shared" si="123"/>
        <v>3e T 2013</v>
      </c>
      <c r="R54" s="38" t="str">
        <f t="shared" si="123"/>
        <v>4e T 2013</v>
      </c>
      <c r="S54" s="38" t="str">
        <f t="shared" si="123"/>
        <v>1er T 2014</v>
      </c>
      <c r="T54" s="38" t="str">
        <f t="shared" si="123"/>
        <v>2e T 2014</v>
      </c>
      <c r="U54" s="38" t="str">
        <f t="shared" ref="U54:V54" si="124">U8</f>
        <v>3e T 2014</v>
      </c>
      <c r="V54" s="38" t="str">
        <f t="shared" si="124"/>
        <v>4e T 2014</v>
      </c>
      <c r="W54" s="38" t="str">
        <f t="shared" ref="W54:X54" si="125">W8</f>
        <v>1er T 2015</v>
      </c>
      <c r="X54" s="38" t="str">
        <f t="shared" si="125"/>
        <v>2e T 2015</v>
      </c>
      <c r="Y54" s="38" t="str">
        <f t="shared" ref="Y54:Z54" si="126">Y8</f>
        <v>3e T 2015</v>
      </c>
      <c r="Z54" s="38" t="str">
        <f t="shared" si="126"/>
        <v>4e T 2015</v>
      </c>
      <c r="AA54" s="38" t="str">
        <f t="shared" ref="AA54:AB54" si="127">AA8</f>
        <v>1er T 2016</v>
      </c>
      <c r="AB54" s="38" t="str">
        <f t="shared" si="127"/>
        <v>2e T 2016</v>
      </c>
      <c r="AC54" s="38" t="str">
        <f t="shared" ref="AC54" si="128">AC8</f>
        <v>3e T 2016</v>
      </c>
      <c r="AD54" s="38" t="str">
        <f t="shared" ref="AD54:AE54" si="129">AD8</f>
        <v>4e T 2016</v>
      </c>
      <c r="AE54" s="38" t="str">
        <f t="shared" si="129"/>
        <v>1e T 2017</v>
      </c>
      <c r="AF54" s="38" t="str">
        <f t="shared" ref="AF54:AG54" si="130">AF8</f>
        <v>2e T 2017</v>
      </c>
      <c r="AG54" s="38" t="str">
        <f t="shared" si="130"/>
        <v>3e T 2017</v>
      </c>
      <c r="AH54" s="38" t="str">
        <f t="shared" ref="AH54:AI54" si="131">AH8</f>
        <v>4e T 2017</v>
      </c>
      <c r="AI54" s="38" t="str">
        <f t="shared" si="131"/>
        <v>1e T 2018</v>
      </c>
      <c r="AJ54" s="38" t="str">
        <f t="shared" ref="AJ54:AK54" si="132">AJ8</f>
        <v>2e T 2018</v>
      </c>
      <c r="AK54" s="38" t="str">
        <f t="shared" si="132"/>
        <v>3e T 2018</v>
      </c>
      <c r="AL54" s="38" t="str">
        <f t="shared" ref="AL54:AM54" si="133">AL8</f>
        <v>4e T 2018</v>
      </c>
      <c r="AM54" s="38" t="str">
        <f t="shared" si="133"/>
        <v>1e T 2019</v>
      </c>
      <c r="AN54" s="38" t="str">
        <f t="shared" ref="AN54:AP54" si="134">AN8</f>
        <v>2e T 2019</v>
      </c>
      <c r="AO54" s="38" t="str">
        <f t="shared" si="134"/>
        <v>3e T 2019</v>
      </c>
      <c r="AP54" s="38" t="str">
        <f t="shared" si="134"/>
        <v>4e T 2019</v>
      </c>
      <c r="AQ54" s="38" t="str">
        <f t="shared" ref="AQ54" si="135">AQ8</f>
        <v>1e T 2020</v>
      </c>
      <c r="AR54" s="38" t="str">
        <f t="shared" ref="AR54:AS54" si="136">AR8</f>
        <v>2e T 2020</v>
      </c>
      <c r="AS54" s="38" t="str">
        <f t="shared" si="136"/>
        <v>3e T 2020</v>
      </c>
      <c r="AT54" s="38" t="str">
        <f t="shared" ref="AT54:AU54" si="137">AT8</f>
        <v>4e T 2020</v>
      </c>
      <c r="AU54" s="38" t="str">
        <f t="shared" si="137"/>
        <v>1er T 2021</v>
      </c>
      <c r="AV54" s="38" t="str">
        <f t="shared" ref="AV54:AW54" si="138">AV8</f>
        <v>2e T 2021</v>
      </c>
      <c r="AW54" s="38" t="str">
        <f t="shared" si="138"/>
        <v>3e T 2021</v>
      </c>
      <c r="AX54" s="38" t="str">
        <f t="shared" ref="AX54:AY54" si="139">AX8</f>
        <v>4e T 2021</v>
      </c>
      <c r="AY54" s="38" t="str">
        <f t="shared" si="139"/>
        <v>1er T 2022</v>
      </c>
      <c r="AZ54" s="38" t="str">
        <f t="shared" ref="AZ54:BA54" si="140">AZ8</f>
        <v>2e T 2022</v>
      </c>
      <c r="BA54" s="38" t="str">
        <f t="shared" si="140"/>
        <v>3e T 2022</v>
      </c>
      <c r="BB54" s="38" t="str">
        <f t="shared" ref="BB54:BC54" si="141">BB8</f>
        <v>4e T 2022</v>
      </c>
      <c r="BC54" s="38" t="str">
        <f t="shared" si="141"/>
        <v>1er T 2023</v>
      </c>
      <c r="BD54" s="38" t="str">
        <f t="shared" ref="BD54:BE54" si="142">BD8</f>
        <v>2e T 2023</v>
      </c>
      <c r="BE54" s="38" t="str">
        <f t="shared" si="142"/>
        <v>3e T 2023</v>
      </c>
      <c r="BF54" s="38" t="str">
        <f t="shared" ref="BF54:BG54" si="143">BF8</f>
        <v>4e T 2023</v>
      </c>
      <c r="BG54" s="38" t="str">
        <f t="shared" si="143"/>
        <v>1er T 2024</v>
      </c>
      <c r="BH54" s="38" t="str">
        <f t="shared" ref="BH54:BI54" si="144">BH8</f>
        <v>2e T 2024</v>
      </c>
      <c r="BI54" s="38" t="str">
        <f t="shared" si="144"/>
        <v>3e T 2024</v>
      </c>
      <c r="BJ54" s="38" t="str">
        <f t="shared" ref="BJ54" si="145">BJ8</f>
        <v>4e T 2024</v>
      </c>
    </row>
    <row r="55" spans="1:62" x14ac:dyDescent="0.25">
      <c r="A55" s="8" t="s">
        <v>0</v>
      </c>
      <c r="B55" s="16"/>
      <c r="C55" s="105">
        <f>'A)NSA Nb'!C56/'A)NSA Nb'!B56-1</f>
        <v>1.0456140818242421E-3</v>
      </c>
      <c r="D55" s="105">
        <f>'A)NSA Nb'!D56/'A)NSA Nb'!C56-1</f>
        <v>9.0946589669214095E-3</v>
      </c>
      <c r="E55" s="105">
        <f>'A)NSA Nb'!E56/'A)NSA Nb'!D56-1</f>
        <v>-1.2065271138947953E-3</v>
      </c>
      <c r="F55" s="105">
        <f>'A)NSA Nb'!F56/'A)NSA Nb'!E56-1</f>
        <v>-7.1290893248499021E-4</v>
      </c>
      <c r="G55" s="105">
        <f>'A)NSA Nb'!G56/'A)NSA Nb'!F56-1</f>
        <v>2.2591555250224271E-3</v>
      </c>
      <c r="H55" s="105">
        <f>'A)NSA Nb'!H56/'A)NSA Nb'!G56-1</f>
        <v>2.2520859971264073E-2</v>
      </c>
      <c r="I55" s="105">
        <f>'A)NSA Nb'!I56/'A)NSA Nb'!H56-1</f>
        <v>-1.2311222549519218E-3</v>
      </c>
      <c r="J55" s="105">
        <f>'A)NSA Nb'!J56/'A)NSA Nb'!I56-1</f>
        <v>-2.7105168052043993E-4</v>
      </c>
      <c r="K55" s="105">
        <f>'A)NSA Nb'!K56/'A)NSA Nb'!J56-1</f>
        <v>-3.1502162545993251E-3</v>
      </c>
      <c r="L55" s="105">
        <f>'A)NSA Nb'!L56/'A)NSA Nb'!K56-1</f>
        <v>2.241908536348447E-2</v>
      </c>
      <c r="M55" s="105">
        <f>'A)NSA Nb'!M56/'A)NSA Nb'!L56-1</f>
        <v>-7.283828633679601E-4</v>
      </c>
      <c r="N55" s="105">
        <f>'A)NSA Nb'!N56/'A)NSA Nb'!M56-1</f>
        <v>-5.5143912936006512E-4</v>
      </c>
      <c r="O55" s="105">
        <f>'A)NSA Nb'!O56/'A)NSA Nb'!N56-1</f>
        <v>-1.4459481741733171E-3</v>
      </c>
      <c r="P55" s="105">
        <f>'A)NSA Nb'!P56/'A)NSA Nb'!O56-1</f>
        <v>1.2054314275915523E-2</v>
      </c>
      <c r="Q55" s="105">
        <f>'A)NSA Nb'!Q56/'A)NSA Nb'!P56-1</f>
        <v>-1.5249259500978996E-3</v>
      </c>
      <c r="R55" s="105">
        <f>'A)NSA Nb'!R56/'A)NSA Nb'!Q56-1</f>
        <v>-3.6892947601957493E-3</v>
      </c>
      <c r="S55" s="105">
        <f>'A)NSA Nb'!S56/'A)NSA Nb'!R56-1</f>
        <v>2.6557827935553835E-3</v>
      </c>
      <c r="T55" s="105">
        <f>'A)NSA Nb'!T56/'A)NSA Nb'!S56-1</f>
        <v>-9.5002610998906611E-4</v>
      </c>
      <c r="U55" s="105">
        <f>'A)NSA Nb'!U56/'A)NSA Nb'!T56-1</f>
        <v>-1.32248475993757E-3</v>
      </c>
      <c r="V55" s="105">
        <f>'A)NSA Nb'!V56/'A)NSA Nb'!U56-1</f>
        <v>-6.495062491329584E-4</v>
      </c>
      <c r="W55" s="105">
        <f>'A)NSA Nb'!W56/'A)NSA Nb'!V56-1</f>
        <v>-1.0853172975598957E-3</v>
      </c>
      <c r="X55" s="105">
        <f>'A)NSA Nb'!X56/'A)NSA Nb'!W56-1</f>
        <v>-9.5384284965283062E-4</v>
      </c>
      <c r="Y55" s="105">
        <f>'A)NSA Nb'!Y56/'A)NSA Nb'!X56-1</f>
        <v>-8.0932749943096738E-4</v>
      </c>
      <c r="Z55" s="105">
        <f>'A)NSA Nb'!Z56/'A)NSA Nb'!Y56-1</f>
        <v>7.0240716834990558E-4</v>
      </c>
      <c r="AA55" s="105">
        <f>'A)NSA Nb'!AA56/'A)NSA Nb'!Z56-1</f>
        <v>-8.0309095163133559E-4</v>
      </c>
      <c r="AB55" s="105">
        <f>'A)NSA Nb'!AB56/'A)NSA Nb'!AA56-1</f>
        <v>-8.4170822469176176E-4</v>
      </c>
      <c r="AC55" s="105">
        <f>'A)NSA Nb'!AC56/'A)NSA Nb'!AB56-1</f>
        <v>-1.3428004991163922E-3</v>
      </c>
      <c r="AD55" s="105">
        <f>'A)NSA Nb'!AD56/'A)NSA Nb'!AC56-1</f>
        <v>-1.5221955133293275E-4</v>
      </c>
      <c r="AE55" s="105">
        <f>'A)NSA Nb'!AE56/'A)NSA Nb'!AD56-1</f>
        <v>-6.0262745570693887E-4</v>
      </c>
      <c r="AF55" s="105">
        <f>'A)NSA Nb'!AF56/'A)NSA Nb'!AE56-1</f>
        <v>-1.4789143626069423E-3</v>
      </c>
      <c r="AG55" s="105">
        <f>'A)NSA Nb'!AG56/'A)NSA Nb'!AF56-1</f>
        <v>-3.8775704796112365E-4</v>
      </c>
      <c r="AH55" s="105">
        <f>'A)NSA Nb'!AH56/'A)NSA Nb'!AG56-1</f>
        <v>6.8933063705851616E-3</v>
      </c>
      <c r="AI55" s="105">
        <f>'A)NSA Nb'!AI56/'A)NSA Nb'!AH56-1</f>
        <v>-5.8103550632193635E-4</v>
      </c>
      <c r="AJ55" s="105">
        <f>'A)NSA Nb'!AJ56/'A)NSA Nb'!AI56-1</f>
        <v>1.0110840084420758E-4</v>
      </c>
      <c r="AK55" s="105">
        <f>'A)NSA Nb'!AK56/'A)NSA Nb'!AJ56-1</f>
        <v>-1.5859776825769556E-3</v>
      </c>
      <c r="AL55" s="105">
        <f>'A)NSA Nb'!AL56/'A)NSA Nb'!AK56-1</f>
        <v>-7.7209814506573604E-4</v>
      </c>
      <c r="AM55" s="105">
        <f>'A)NSA Nb'!AM56/'A)NSA Nb'!AL56-1</f>
        <v>3.1477810360440728E-3</v>
      </c>
      <c r="AN55" s="105">
        <f>'A)NSA Nb'!AN56/'A)NSA Nb'!AM56-1</f>
        <v>-7.5132903160624043E-4</v>
      </c>
      <c r="AO55" s="105">
        <f>'A)NSA Nb'!AO56/'A)NSA Nb'!AN56-1</f>
        <v>-1.6427935071746669E-3</v>
      </c>
      <c r="AP55" s="105">
        <f>'A)NSA Nb'!AP56/'A)NSA Nb'!AO56-1</f>
        <v>-2.1518034011147602E-4</v>
      </c>
      <c r="AQ55" s="105">
        <f>'A)NSA Nb'!AQ56/'A)NSA Nb'!AP56-1</f>
        <v>1.0546105980135945E-2</v>
      </c>
      <c r="AR55" s="105">
        <f>'A)NSA Nb'!AR56/'A)NSA Nb'!AQ56-1</f>
        <v>-1.78527803356332E-3</v>
      </c>
      <c r="AS55" s="105">
        <f>'A)NSA Nb'!AS56/'A)NSA Nb'!AR56-1</f>
        <v>-9.7267718413085458E-4</v>
      </c>
      <c r="AT55" s="105">
        <f>'A)NSA Nb'!AT56/'A)NSA Nb'!AS56-1</f>
        <v>-2.3241352018554817E-4</v>
      </c>
      <c r="AU55" s="105">
        <f>'A)NSA Nb'!AU56/'A)NSA Nb'!AT56-1</f>
        <v>2.6388208240659683E-3</v>
      </c>
      <c r="AV55" s="105">
        <f>'A)NSA Nb'!AV56/'A)NSA Nb'!AU56-1</f>
        <v>-5.639733804563285E-4</v>
      </c>
      <c r="AW55" s="105">
        <f>'A)NSA Nb'!AW56/'A)NSA Nb'!AV56-1</f>
        <v>-6.4580041632178453E-4</v>
      </c>
      <c r="AX55" s="105">
        <f>'A)NSA Nb'!AX56/'A)NSA Nb'!AW56-1</f>
        <v>8.8356198258354723E-4</v>
      </c>
      <c r="AY55" s="105">
        <f>'A)NSA Nb'!AY56/'A)NSA Nb'!AX56-1</f>
        <v>2.7759215644554303E-2</v>
      </c>
      <c r="AZ55" s="105">
        <f>'A)NSA Nb'!AZ56/'A)NSA Nb'!AY56-1</f>
        <v>-1.1518635894921525E-3</v>
      </c>
      <c r="BA55" s="105">
        <f>'A)NSA Nb'!BA56/'A)NSA Nb'!AZ56-1</f>
        <v>3.8138489581929669E-2</v>
      </c>
      <c r="BB55" s="105">
        <f>'A)NSA Nb'!BB56/'A)NSA Nb'!BA56-1</f>
        <v>-1.3103061243433523E-3</v>
      </c>
      <c r="BC55" s="105">
        <f>'A)NSA Nb'!BC56/'A)NSA Nb'!BB56-1</f>
        <v>9.4819875517773156E-3</v>
      </c>
      <c r="BD55" s="105">
        <f>'A)NSA Nb'!BD56/'A)NSA Nb'!BC56-1</f>
        <v>1.1259278455133526E-5</v>
      </c>
      <c r="BE55" s="105">
        <f>'A)NSA Nb'!BE56/'A)NSA Nb'!BD56-1</f>
        <v>-5.6947649736904804E-4</v>
      </c>
      <c r="BF55" s="105">
        <f>'A)NSA Nb'!BF56/'A)NSA Nb'!BE56-1</f>
        <v>5.257943702710044E-4</v>
      </c>
      <c r="BG55" s="105">
        <f>'A)NSA Nb'!BG56/'A)NSA Nb'!BF56-1</f>
        <v>5.0822193766279833E-2</v>
      </c>
      <c r="BH55" s="105">
        <f>'A)NSA Nb'!BH56/'A)NSA Nb'!BG56-1</f>
        <v>-2.796788458436783E-5</v>
      </c>
      <c r="BI55" s="105">
        <f>'A)NSA Nb'!BI56/'A)NSA Nb'!BH56-1</f>
        <v>-1.0047249832050298E-3</v>
      </c>
      <c r="BJ55" s="105">
        <f>'A)NSA Nb'!BJ56/'A)NSA Nb'!BI56-1</f>
        <v>-1.7732506192025266E-4</v>
      </c>
    </row>
    <row r="56" spans="1:62" x14ac:dyDescent="0.25">
      <c r="A56" s="8" t="s">
        <v>1</v>
      </c>
      <c r="B56" s="16"/>
      <c r="C56" s="105">
        <f>'A)NSA Nb'!C57/'A)NSA Nb'!B57-1</f>
        <v>-1.1584245426220496E-3</v>
      </c>
      <c r="D56" s="105">
        <f>'A)NSA Nb'!D57/'A)NSA Nb'!C57-1</f>
        <v>9.7980403919215586E-3</v>
      </c>
      <c r="E56" s="105">
        <f>'A)NSA Nb'!E57/'A)NSA Nb'!D57-1</f>
        <v>-4.3366336633663405E-3</v>
      </c>
      <c r="F56" s="105">
        <f>'A)NSA Nb'!F57/'A)NSA Nb'!E57-1</f>
        <v>-4.4052425369422998E-3</v>
      </c>
      <c r="G56" s="105">
        <f>'A)NSA Nb'!G57/'A)NSA Nb'!F57-1</f>
        <v>4.3448296527131003E-3</v>
      </c>
      <c r="H56" s="105">
        <f>'A)NSA Nb'!H57/'A)NSA Nb'!G57-1</f>
        <v>1.9740636871730777E-2</v>
      </c>
      <c r="I56" s="105">
        <f>'A)NSA Nb'!I57/'A)NSA Nb'!H57-1</f>
        <v>-3.5888783779830513E-3</v>
      </c>
      <c r="J56" s="105">
        <f>'A)NSA Nb'!J57/'A)NSA Nb'!I57-1</f>
        <v>-3.0439165712384808E-3</v>
      </c>
      <c r="K56" s="105">
        <f>'A)NSA Nb'!K57/'A)NSA Nb'!J57-1</f>
        <v>-5.7529943059100308E-3</v>
      </c>
      <c r="L56" s="105">
        <f>'A)NSA Nb'!L57/'A)NSA Nb'!K57-1</f>
        <v>1.6746647708197671E-2</v>
      </c>
      <c r="M56" s="105">
        <f>'A)NSA Nb'!M57/'A)NSA Nb'!L57-1</f>
        <v>-3.1756822375449412E-3</v>
      </c>
      <c r="N56" s="105">
        <f>'A)NSA Nb'!N57/'A)NSA Nb'!M57-1</f>
        <v>-3.6924096139046014E-3</v>
      </c>
      <c r="O56" s="105">
        <f>'A)NSA Nb'!O57/'A)NSA Nb'!N57-1</f>
        <v>-5.4760228428382129E-3</v>
      </c>
      <c r="P56" s="105">
        <f>'A)NSA Nb'!P57/'A)NSA Nb'!O57-1</f>
        <v>7.7578069692441076E-3</v>
      </c>
      <c r="Q56" s="105">
        <f>'A)NSA Nb'!Q57/'A)NSA Nb'!P57-1</f>
        <v>-5.1223010351927334E-3</v>
      </c>
      <c r="R56" s="105">
        <f>'A)NSA Nb'!R57/'A)NSA Nb'!Q57-1</f>
        <v>-4.6387101835869693E-3</v>
      </c>
      <c r="S56" s="105">
        <f>'A)NSA Nb'!S57/'A)NSA Nb'!R57-1</f>
        <v>-3.7932903098675252E-3</v>
      </c>
      <c r="T56" s="105">
        <f>'A)NSA Nb'!T57/'A)NSA Nb'!S57-1</f>
        <v>-4.1934526753041323E-3</v>
      </c>
      <c r="U56" s="105">
        <f>'A)NSA Nb'!U57/'A)NSA Nb'!T57-1</f>
        <v>-5.4625270643385848E-3</v>
      </c>
      <c r="V56" s="105">
        <f>'A)NSA Nb'!V57/'A)NSA Nb'!U57-1</f>
        <v>-4.7036030997843481E-3</v>
      </c>
      <c r="W56" s="105">
        <f>'A)NSA Nb'!W57/'A)NSA Nb'!V57-1</f>
        <v>-6.7726885064968156E-3</v>
      </c>
      <c r="X56" s="105">
        <f>'A)NSA Nb'!X57/'A)NSA Nb'!W57-1</f>
        <v>-5.1722396201636656E-3</v>
      </c>
      <c r="Y56" s="105">
        <f>'A)NSA Nb'!Y57/'A)NSA Nb'!X57-1</f>
        <v>-4.5797030808911732E-3</v>
      </c>
      <c r="Z56" s="105">
        <f>'A)NSA Nb'!Z57/'A)NSA Nb'!Y57-1</f>
        <v>-3.5704448774317443E-3</v>
      </c>
      <c r="AA56" s="105">
        <f>'A)NSA Nb'!AA57/'A)NSA Nb'!Z57-1</f>
        <v>-6.0607922028727002E-3</v>
      </c>
      <c r="AB56" s="105">
        <f>'A)NSA Nb'!AB57/'A)NSA Nb'!AA57-1</f>
        <v>-5.6136375341195865E-3</v>
      </c>
      <c r="AC56" s="105">
        <f>'A)NSA Nb'!AC57/'A)NSA Nb'!AB57-1</f>
        <v>-5.1377667288169393E-3</v>
      </c>
      <c r="AD56" s="105">
        <f>'A)NSA Nb'!AD57/'A)NSA Nb'!AC57-1</f>
        <v>-3.9565199283662089E-3</v>
      </c>
      <c r="AE56" s="105">
        <f>'A)NSA Nb'!AE57/'A)NSA Nb'!AD57-1</f>
        <v>-6.439203880247546E-3</v>
      </c>
      <c r="AF56" s="105">
        <f>'A)NSA Nb'!AF57/'A)NSA Nb'!AE57-1</f>
        <v>-6.4809359481524664E-3</v>
      </c>
      <c r="AG56" s="105">
        <f>'A)NSA Nb'!AG57/'A)NSA Nb'!AF57-1</f>
        <v>-4.881819722128089E-3</v>
      </c>
      <c r="AH56" s="105">
        <f>'A)NSA Nb'!AH57/'A)NSA Nb'!AG57-1</f>
        <v>2.2347319917845887E-3</v>
      </c>
      <c r="AI56" s="105">
        <f>'A)NSA Nb'!AI57/'A)NSA Nb'!AH57-1</f>
        <v>-6.0203225703697738E-3</v>
      </c>
      <c r="AJ56" s="105">
        <f>'A)NSA Nb'!AJ57/'A)NSA Nb'!AI57-1</f>
        <v>-4.7856089901083809E-3</v>
      </c>
      <c r="AK56" s="105">
        <f>'A)NSA Nb'!AK57/'A)NSA Nb'!AJ57-1</f>
        <v>-7.824742931970885E-3</v>
      </c>
      <c r="AL56" s="105">
        <f>'A)NSA Nb'!AL57/'A)NSA Nb'!AK57-1</f>
        <v>-7.2698161991410215E-3</v>
      </c>
      <c r="AM56" s="105">
        <f>'A)NSA Nb'!AM57/'A)NSA Nb'!AL57-1</f>
        <v>-3.2583228899907279E-3</v>
      </c>
      <c r="AN56" s="105">
        <f>'A)NSA Nb'!AN57/'A)NSA Nb'!AM57-1</f>
        <v>-6.3739531629238844E-3</v>
      </c>
      <c r="AO56" s="105">
        <f>'A)NSA Nb'!AO57/'A)NSA Nb'!AN57-1</f>
        <v>-6.8659705335430976E-3</v>
      </c>
      <c r="AP56" s="105">
        <f>'A)NSA Nb'!AP57/'A)NSA Nb'!AO57-1</f>
        <v>-6.2265258866152084E-3</v>
      </c>
      <c r="AQ56" s="105">
        <f>'A)NSA Nb'!AQ57/'A)NSA Nb'!AP57-1</f>
        <v>4.4371606631214977E-3</v>
      </c>
      <c r="AR56" s="105">
        <f>'A)NSA Nb'!AR57/'A)NSA Nb'!AQ57-1</f>
        <v>-6.6485376546978614E-3</v>
      </c>
      <c r="AS56" s="105">
        <f>'A)NSA Nb'!AS57/'A)NSA Nb'!AR57-1</f>
        <v>-6.570126039152635E-3</v>
      </c>
      <c r="AT56" s="105">
        <f>'A)NSA Nb'!AT57/'A)NSA Nb'!AS57-1</f>
        <v>-7.3896612228371295E-3</v>
      </c>
      <c r="AU56" s="105">
        <f>'A)NSA Nb'!AU57/'A)NSA Nb'!AT57-1</f>
        <v>-4.249243634633082E-3</v>
      </c>
      <c r="AV56" s="105">
        <f>'A)NSA Nb'!AV57/'A)NSA Nb'!AU57-1</f>
        <v>-4.0966816878328371E-3</v>
      </c>
      <c r="AW56" s="105">
        <f>'A)NSA Nb'!AW57/'A)NSA Nb'!AV57-1</f>
        <v>-5.7703734174321397E-3</v>
      </c>
      <c r="AX56" s="105">
        <f>'A)NSA Nb'!AX57/'A)NSA Nb'!AW57-1</f>
        <v>-6.735321035524322E-3</v>
      </c>
      <c r="AY56" s="105">
        <f>'A)NSA Nb'!AY57/'A)NSA Nb'!AX57-1</f>
        <v>0.13592957723926546</v>
      </c>
      <c r="AZ56" s="105">
        <f>'A)NSA Nb'!AZ57/'A)NSA Nb'!AY57-1</f>
        <v>-8.5427121004446605E-3</v>
      </c>
      <c r="BA56" s="105">
        <f>'A)NSA Nb'!BA57/'A)NSA Nb'!AZ57-1</f>
        <v>3.0920840736616606E-2</v>
      </c>
      <c r="BB56" s="105">
        <f>'A)NSA Nb'!BB57/'A)NSA Nb'!BA57-1</f>
        <v>-8.4390987315614563E-3</v>
      </c>
      <c r="BC56" s="105">
        <f>'A)NSA Nb'!BC57/'A)NSA Nb'!BB57-1</f>
        <v>-4.105106443885731E-5</v>
      </c>
      <c r="BD56" s="105">
        <f>'A)NSA Nb'!BD57/'A)NSA Nb'!BC57-1</f>
        <v>-7.2015101907964008E-3</v>
      </c>
      <c r="BE56" s="105">
        <f>'A)NSA Nb'!BE57/'A)NSA Nb'!BD57-1</f>
        <v>-8.5555467068508806E-3</v>
      </c>
      <c r="BF56" s="105">
        <f>'A)NSA Nb'!BF57/'A)NSA Nb'!BE57-1</f>
        <v>-7.2720225887339396E-3</v>
      </c>
      <c r="BG56" s="105">
        <f>'A)NSA Nb'!BG57/'A)NSA Nb'!BF57-1</f>
        <v>3.9229052710906931E-2</v>
      </c>
      <c r="BH56" s="105">
        <f>'A)NSA Nb'!BH57/'A)NSA Nb'!BG57-1</f>
        <v>-6.0010582989250549E-3</v>
      </c>
      <c r="BI56" s="105">
        <f>'A)NSA Nb'!BI57/'A)NSA Nb'!BH57-1</f>
        <v>-6.9536869974631266E-3</v>
      </c>
      <c r="BJ56" s="105">
        <f>'A)NSA Nb'!BJ57/'A)NSA Nb'!BI57-1</f>
        <v>-1.0867671269060741E-2</v>
      </c>
    </row>
    <row r="57" spans="1:62" x14ac:dyDescent="0.25">
      <c r="A57" s="8" t="s">
        <v>2</v>
      </c>
      <c r="B57" s="16"/>
      <c r="C57" s="105">
        <f>'A)NSA Nb'!C58/'A)NSA Nb'!B58-1</f>
        <v>-4.0692878746217964E-3</v>
      </c>
      <c r="D57" s="105">
        <f>'A)NSA Nb'!D58/'A)NSA Nb'!C58-1</f>
        <v>9.0000552150626412E-3</v>
      </c>
      <c r="E57" s="105">
        <f>'A)NSA Nb'!E58/'A)NSA Nb'!D58-1</f>
        <v>-5.2533654372333149E-3</v>
      </c>
      <c r="F57" s="105">
        <f>'A)NSA Nb'!F58/'A)NSA Nb'!E58-1</f>
        <v>-5.3911321377488886E-3</v>
      </c>
      <c r="G57" s="105">
        <f>'A)NSA Nb'!G58/'A)NSA Nb'!F58-1</f>
        <v>5.6415929203539328E-3</v>
      </c>
      <c r="H57" s="105">
        <f>'A)NSA Nb'!H58/'A)NSA Nb'!G58-1</f>
        <v>2.6894731052689469E-2</v>
      </c>
      <c r="I57" s="105">
        <f>'A)NSA Nb'!I58/'A)NSA Nb'!H58-1</f>
        <v>-7.2840233517219577E-3</v>
      </c>
      <c r="J57" s="105">
        <f>'A)NSA Nb'!J58/'A)NSA Nb'!I58-1</f>
        <v>-4.1003506878877216E-3</v>
      </c>
      <c r="K57" s="105">
        <f>'A)NSA Nb'!K58/'A)NSA Nb'!J58-1</f>
        <v>-4.984018635895815E-3</v>
      </c>
      <c r="L57" s="105">
        <f>'A)NSA Nb'!L58/'A)NSA Nb'!K58-1</f>
        <v>2.2649316709315803E-2</v>
      </c>
      <c r="M57" s="105">
        <f>'A)NSA Nb'!M58/'A)NSA Nb'!L58-1</f>
        <v>-8.9974977373158405E-3</v>
      </c>
      <c r="N57" s="105">
        <f>'A)NSA Nb'!N58/'A)NSA Nb'!M58-1</f>
        <v>-4.4590093478026338E-3</v>
      </c>
      <c r="O57" s="105">
        <f>'A)NSA Nb'!O58/'A)NSA Nb'!N58-1</f>
        <v>-7.2311262209271421E-3</v>
      </c>
      <c r="P57" s="105">
        <f>'A)NSA Nb'!P58/'A)NSA Nb'!O58-1</f>
        <v>7.5012230254931644E-3</v>
      </c>
      <c r="Q57" s="105">
        <f>'A)NSA Nb'!Q58/'A)NSA Nb'!P58-1</f>
        <v>-5.3951982735365167E-3</v>
      </c>
      <c r="R57" s="105">
        <f>'A)NSA Nb'!R58/'A)NSA Nb'!Q58-1</f>
        <v>-4.6107946840249214E-3</v>
      </c>
      <c r="S57" s="105">
        <f>'A)NSA Nb'!S58/'A)NSA Nb'!R58-1</f>
        <v>-5.7220708446866775E-3</v>
      </c>
      <c r="T57" s="105">
        <f>'A)NSA Nb'!T58/'A)NSA Nb'!S58-1</f>
        <v>-7.8377637708960668E-3</v>
      </c>
      <c r="U57" s="105">
        <f>'A)NSA Nb'!U58/'A)NSA Nb'!T58-1</f>
        <v>-7.6787095348580525E-3</v>
      </c>
      <c r="V57" s="105">
        <f>'A)NSA Nb'!V58/'A)NSA Nb'!U58-1</f>
        <v>-1.3917497077325924E-3</v>
      </c>
      <c r="W57" s="105">
        <f>'A)NSA Nb'!W58/'A)NSA Nb'!V58-1</f>
        <v>-6.7454565726391413E-3</v>
      </c>
      <c r="X57" s="105">
        <f>'A)NSA Nb'!X58/'A)NSA Nb'!W58-1</f>
        <v>-6.1738788797215394E-3</v>
      </c>
      <c r="Y57" s="105">
        <f>'A)NSA Nb'!Y58/'A)NSA Nb'!X58-1</f>
        <v>-4.8568362794374487E-3</v>
      </c>
      <c r="Z57" s="105">
        <f>'A)NSA Nb'!Z58/'A)NSA Nb'!Y58-1</f>
        <v>-3.7455309006299009E-3</v>
      </c>
      <c r="AA57" s="105">
        <f>'A)NSA Nb'!AA58/'A)NSA Nb'!Z58-1</f>
        <v>-7.3483338080320149E-3</v>
      </c>
      <c r="AB57" s="105">
        <f>'A)NSA Nb'!AB58/'A)NSA Nb'!AA58-1</f>
        <v>-6.6567198439113628E-3</v>
      </c>
      <c r="AC57" s="105">
        <f>'A)NSA Nb'!AC58/'A)NSA Nb'!AB58-1</f>
        <v>-5.7770075101097884E-3</v>
      </c>
      <c r="AD57" s="105">
        <f>'A)NSA Nb'!AD58/'A)NSA Nb'!AC58-1</f>
        <v>-4.2417199302730024E-3</v>
      </c>
      <c r="AE57" s="105">
        <f>'A)NSA Nb'!AE58/'A)NSA Nb'!AD58-1</f>
        <v>-7.294158837602871E-3</v>
      </c>
      <c r="AF57" s="105">
        <f>'A)NSA Nb'!AF58/'A)NSA Nb'!AE58-1</f>
        <v>-5.1140371502469417E-3</v>
      </c>
      <c r="AG57" s="105">
        <f>'A)NSA Nb'!AG58/'A)NSA Nb'!AF58-1</f>
        <v>-5.0812407680945748E-3</v>
      </c>
      <c r="AH57" s="105">
        <f>'A)NSA Nb'!AH58/'A)NSA Nb'!AG58-1</f>
        <v>0</v>
      </c>
      <c r="AI57" s="105">
        <f>'A)NSA Nb'!AI58/'A)NSA Nb'!AH58-1</f>
        <v>-6.8293841677057321E-3</v>
      </c>
      <c r="AJ57" s="105">
        <f>'A)NSA Nb'!AJ58/'A)NSA Nb'!AI58-1</f>
        <v>2.9897153790958697E-3</v>
      </c>
      <c r="AK57" s="105">
        <f>'A)NSA Nb'!AK58/'A)NSA Nb'!AJ58-1</f>
        <v>-5.1865983069036004E-3</v>
      </c>
      <c r="AL57" s="105">
        <f>'A)NSA Nb'!AL58/'A)NSA Nb'!AK58-1</f>
        <v>-6.7118115898604502E-3</v>
      </c>
      <c r="AM57" s="105">
        <f>'A)NSA Nb'!AM58/'A)NSA Nb'!AL58-1</f>
        <v>7.3604826546003199E-3</v>
      </c>
      <c r="AN57" s="105">
        <f>'A)NSA Nb'!AN58/'A)NSA Nb'!AM58-1</f>
        <v>-6.76768281727258E-3</v>
      </c>
      <c r="AO57" s="105">
        <f>'A)NSA Nb'!AO58/'A)NSA Nb'!AN58-1</f>
        <v>-3.4973468403280972E-3</v>
      </c>
      <c r="AP57" s="105">
        <f>'A)NSA Nb'!AP58/'A)NSA Nb'!AO58-1</f>
        <v>-5.2644318044293703E-3</v>
      </c>
      <c r="AQ57" s="105">
        <f>'A)NSA Nb'!AQ58/'A)NSA Nb'!AP58-1</f>
        <v>2.3784901758014731E-2</v>
      </c>
      <c r="AR57" s="105">
        <f>'A)NSA Nb'!AR58/'A)NSA Nb'!AQ58-1</f>
        <v>-1.164587046939991E-2</v>
      </c>
      <c r="AS57" s="105">
        <f>'A)NSA Nb'!AS58/'A)NSA Nb'!AR58-1</f>
        <v>-6.9135505590958157E-3</v>
      </c>
      <c r="AT57" s="105">
        <f>'A)NSA Nb'!AT58/'A)NSA Nb'!AS58-1</f>
        <v>-5.2061262788303253E-3</v>
      </c>
      <c r="AU57" s="105">
        <f>'A)NSA Nb'!AU58/'A)NSA Nb'!AT58-1</f>
        <v>-3.7728960019473012E-3</v>
      </c>
      <c r="AV57" s="105">
        <f>'A)NSA Nb'!AV58/'A)NSA Nb'!AU58-1</f>
        <v>-7.5743693115876143E-3</v>
      </c>
      <c r="AW57" s="105">
        <f>'A)NSA Nb'!AW58/'A)NSA Nb'!AV58-1</f>
        <v>-5.3548347387210038E-3</v>
      </c>
      <c r="AX57" s="105">
        <f>'A)NSA Nb'!AX58/'A)NSA Nb'!AW58-1</f>
        <v>-2.3926759737623593E-3</v>
      </c>
      <c r="AY57" s="105">
        <f>'A)NSA Nb'!AY58/'A)NSA Nb'!AX58-1</f>
        <v>6.8268508395948224E-2</v>
      </c>
      <c r="AZ57" s="105">
        <f>'A)NSA Nb'!AZ58/'A)NSA Nb'!AY58-1</f>
        <v>-2.8279703521142396E-2</v>
      </c>
      <c r="BA57" s="105">
        <f>'A)NSA Nb'!BA58/'A)NSA Nb'!AZ58-1</f>
        <v>3.308192036779567E-2</v>
      </c>
      <c r="BB57" s="105">
        <f>'A)NSA Nb'!BB58/'A)NSA Nb'!BA58-1</f>
        <v>-5.6250660302340494E-3</v>
      </c>
      <c r="BC57" s="105">
        <f>'A)NSA Nb'!BC58/'A)NSA Nb'!BB58-1</f>
        <v>4.3964049949660744E-3</v>
      </c>
      <c r="BD57" s="105">
        <f>'A)NSA Nb'!BD58/'A)NSA Nb'!BC58-1</f>
        <v>-3.3080582566300532E-3</v>
      </c>
      <c r="BE57" s="105">
        <f>'A)NSA Nb'!BE58/'A)NSA Nb'!BD58-1</f>
        <v>-7.388492308338046E-3</v>
      </c>
      <c r="BF57" s="105">
        <f>'A)NSA Nb'!BF58/'A)NSA Nb'!BE58-1</f>
        <v>-3.4245060937976302E-3</v>
      </c>
      <c r="BG57" s="105">
        <f>'A)NSA Nb'!BG58/'A)NSA Nb'!BF58-1</f>
        <v>4.9643984587536938E-2</v>
      </c>
      <c r="BH57" s="105">
        <f>'A)NSA Nb'!BH58/'A)NSA Nb'!BG58-1</f>
        <v>-9.1330791808774681E-3</v>
      </c>
      <c r="BI57" s="105">
        <f>'A)NSA Nb'!BI58/'A)NSA Nb'!BH58-1</f>
        <v>-3.9318262634203682E-3</v>
      </c>
      <c r="BJ57" s="105">
        <f>'A)NSA Nb'!BJ58/'A)NSA Nb'!BI58-1</f>
        <v>-4.6450536848411383E-3</v>
      </c>
    </row>
    <row r="58" spans="1:62" x14ac:dyDescent="0.25">
      <c r="A58" s="8" t="s">
        <v>3</v>
      </c>
      <c r="B58" s="16"/>
      <c r="C58" s="105">
        <f>'A)NSA Nb'!C59/'A)NSA Nb'!B59-1</f>
        <v>2.5592844779409596E-4</v>
      </c>
      <c r="D58" s="105">
        <f>'A)NSA Nb'!D59/'A)NSA Nb'!C59-1</f>
        <v>7.3728933388095275E-3</v>
      </c>
      <c r="E58" s="105">
        <f>'A)NSA Nb'!E59/'A)NSA Nb'!D59-1</f>
        <v>1.1028527123493337E-3</v>
      </c>
      <c r="F58" s="105">
        <f>'A)NSA Nb'!F59/'A)NSA Nb'!E59-1</f>
        <v>1.5356162828750186E-4</v>
      </c>
      <c r="G58" s="105">
        <f>'A)NSA Nb'!G59/'A)NSA Nb'!F59-1</f>
        <v>6.0747663551397046E-4</v>
      </c>
      <c r="H58" s="105">
        <f>'A)NSA Nb'!H59/'A)NSA Nb'!G59-1</f>
        <v>2.2856609135972095E-2</v>
      </c>
      <c r="I58" s="105">
        <f>'A)NSA Nb'!I59/'A)NSA Nb'!H59-1</f>
        <v>-7.8269206937320313E-5</v>
      </c>
      <c r="J58" s="105">
        <f>'A)NSA Nb'!J59/'A)NSA Nb'!I59-1</f>
        <v>-1.3698183359966976E-4</v>
      </c>
      <c r="K58" s="105">
        <f>'A)NSA Nb'!K59/'A)NSA Nb'!J59-1</f>
        <v>-5.8714542939897196E-4</v>
      </c>
      <c r="L58" s="105">
        <f>'A)NSA Nb'!L59/'A)NSA Nb'!K59-1</f>
        <v>2.2474770552371348E-2</v>
      </c>
      <c r="M58" s="105">
        <f>'A)NSA Nb'!M59/'A)NSA Nb'!L59-1</f>
        <v>-1.710962288603457E-3</v>
      </c>
      <c r="N58" s="105">
        <f>'A)NSA Nb'!N59/'A)NSA Nb'!M59-1</f>
        <v>5.7556165224514899E-5</v>
      </c>
      <c r="O58" s="105">
        <f>'A)NSA Nb'!O59/'A)NSA Nb'!N59-1</f>
        <v>-2.557904564579605E-4</v>
      </c>
      <c r="P58" s="105">
        <f>'A)NSA Nb'!P59/'A)NSA Nb'!O59-1</f>
        <v>1.2409011244866708E-2</v>
      </c>
      <c r="Q58" s="105">
        <f>'A)NSA Nb'!Q59/'A)NSA Nb'!P59-1</f>
        <v>-8.4029366052129628E-4</v>
      </c>
      <c r="R58" s="105">
        <f>'A)NSA Nb'!R59/'A)NSA Nb'!Q59-1</f>
        <v>-1.112902715862063E-3</v>
      </c>
      <c r="S58" s="105">
        <f>'A)NSA Nb'!S59/'A)NSA Nb'!R59-1</f>
        <v>8.102855623570715E-4</v>
      </c>
      <c r="T58" s="105">
        <f>'A)NSA Nb'!T59/'A)NSA Nb'!S59-1</f>
        <v>-1.4737787560801241E-3</v>
      </c>
      <c r="U58" s="105">
        <f>'A)NSA Nb'!U59/'A)NSA Nb'!T59-1</f>
        <v>2.977246237265696E-4</v>
      </c>
      <c r="V58" s="105">
        <f>'A)NSA Nb'!V59/'A)NSA Nb'!U59-1</f>
        <v>-1.2665362134400837E-5</v>
      </c>
      <c r="W58" s="105">
        <f>'A)NSA Nb'!W59/'A)NSA Nb'!V59-1</f>
        <v>-6.6493993375926763E-4</v>
      </c>
      <c r="X58" s="105">
        <f>'A)NSA Nb'!X59/'A)NSA Nb'!W59-1</f>
        <v>-3.6120757395241565E-4</v>
      </c>
      <c r="Y58" s="105">
        <f>'A)NSA Nb'!Y59/'A)NSA Nb'!X59-1</f>
        <v>-3.2964176814775925E-4</v>
      </c>
      <c r="Z58" s="105">
        <f>'A)NSA Nb'!Z59/'A)NSA Nb'!Y59-1</f>
        <v>6.0242873902160987E-4</v>
      </c>
      <c r="AA58" s="105">
        <f>'A)NSA Nb'!AA59/'A)NSA Nb'!Z59-1</f>
        <v>-9.5063058495492569E-5</v>
      </c>
      <c r="AB58" s="105">
        <f>'A)NSA Nb'!AB59/'A)NSA Nb'!AA59-1</f>
        <v>-1.0204405007129269E-3</v>
      </c>
      <c r="AC58" s="105">
        <f>'A)NSA Nb'!AC59/'A)NSA Nb'!AB59-1</f>
        <v>-4.1874452777046489E-4</v>
      </c>
      <c r="AD58" s="105">
        <f>'A)NSA Nb'!AD59/'A)NSA Nb'!AC59-1</f>
        <v>-7.4263081727476976E-4</v>
      </c>
      <c r="AE58" s="105">
        <f>'A)NSA Nb'!AE59/'A)NSA Nb'!AD59-1</f>
        <v>-6.5425487991566111E-4</v>
      </c>
      <c r="AF58" s="105">
        <f>'A)NSA Nb'!AF59/'A)NSA Nb'!AE59-1</f>
        <v>-1.5445438828435298E-3</v>
      </c>
      <c r="AG58" s="105">
        <f>'A)NSA Nb'!AG59/'A)NSA Nb'!AF59-1</f>
        <v>1.2731960403611353E-4</v>
      </c>
      <c r="AH58" s="105">
        <f>'A)NSA Nb'!AH59/'A)NSA Nb'!AG59-1</f>
        <v>6.8361923554309811E-3</v>
      </c>
      <c r="AI58" s="105">
        <f>'A)NSA Nb'!AI59/'A)NSA Nb'!AH59-1</f>
        <v>-5.2472199217334925E-4</v>
      </c>
      <c r="AJ58" s="105">
        <f>'A)NSA Nb'!AJ59/'A)NSA Nb'!AI59-1</f>
        <v>8.8553790102086083E-5</v>
      </c>
      <c r="AK58" s="105">
        <f>'A)NSA Nb'!AK59/'A)NSA Nb'!AJ59-1</f>
        <v>-1.5811776611218686E-4</v>
      </c>
      <c r="AL58" s="105">
        <f>'A)NSA Nb'!AL59/'A)NSA Nb'!AK59-1</f>
        <v>-5.9461682006500816E-4</v>
      </c>
      <c r="AM58" s="105">
        <f>'A)NSA Nb'!AM59/'A)NSA Nb'!AL59-1</f>
        <v>3.0065003702741677E-3</v>
      </c>
      <c r="AN58" s="105">
        <f>'A)NSA Nb'!AN59/'A)NSA Nb'!AM59-1</f>
        <v>-6.1211868792043767E-4</v>
      </c>
      <c r="AO58" s="105">
        <f>'A)NSA Nb'!AO59/'A)NSA Nb'!AN59-1</f>
        <v>1.2376159475655513E-3</v>
      </c>
      <c r="AP58" s="105">
        <f>'A)NSA Nb'!AP59/'A)NSA Nb'!AO59-1</f>
        <v>-2.9262447576704487E-3</v>
      </c>
      <c r="AQ58" s="105">
        <f>'A)NSA Nb'!AQ59/'A)NSA Nb'!AP59-1</f>
        <v>9.9872866079278033E-3</v>
      </c>
      <c r="AR58" s="105">
        <f>'A)NSA Nb'!AR59/'A)NSA Nb'!AQ59-1</f>
        <v>-2.1543086172345349E-3</v>
      </c>
      <c r="AS58" s="105">
        <f>'A)NSA Nb'!AS59/'A)NSA Nb'!AR59-1</f>
        <v>-7.5312547070327529E-4</v>
      </c>
      <c r="AT58" s="105">
        <f>'A)NSA Nb'!AT59/'A)NSA Nb'!AS59-1</f>
        <v>-7.222892171641071E-4</v>
      </c>
      <c r="AU58" s="105">
        <f>'A)NSA Nb'!AU59/'A)NSA Nb'!AT59-1</f>
        <v>2.520411562466629E-3</v>
      </c>
      <c r="AV58" s="105">
        <f>'A)NSA Nb'!AV59/'A)NSA Nb'!AU59-1</f>
        <v>-2.7523165853718945E-3</v>
      </c>
      <c r="AW58" s="105">
        <f>'A)NSA Nb'!AW59/'A)NSA Nb'!AV59-1</f>
        <v>-1.1630611770180321E-3</v>
      </c>
      <c r="AX58" s="105">
        <f>'A)NSA Nb'!AX59/'A)NSA Nb'!AW59-1</f>
        <v>-2.9622238514459553E-4</v>
      </c>
      <c r="AY58" s="105">
        <f>'A)NSA Nb'!AY59/'A)NSA Nb'!AX59-1</f>
        <v>1.0933157134296101E-2</v>
      </c>
      <c r="AZ58" s="105">
        <f>'A)NSA Nb'!AZ59/'A)NSA Nb'!AY59-1</f>
        <v>-1.1256803667261117E-3</v>
      </c>
      <c r="BA58" s="105">
        <f>'A)NSA Nb'!BA59/'A)NSA Nb'!AZ59-1</f>
        <v>3.8163095248604062E-2</v>
      </c>
      <c r="BB58" s="105">
        <f>'A)NSA Nb'!BB59/'A)NSA Nb'!BA59-1</f>
        <v>-5.2719189529355504E-3</v>
      </c>
      <c r="BC58" s="105">
        <f>'A)NSA Nb'!BC59/'A)NSA Nb'!BB59-1</f>
        <v>1.0057022210060218E-2</v>
      </c>
      <c r="BD58" s="105">
        <f>'A)NSA Nb'!BD59/'A)NSA Nb'!BC59-1</f>
        <v>-1.2680034914596128E-3</v>
      </c>
      <c r="BE58" s="105">
        <f>'A)NSA Nb'!BE59/'A)NSA Nb'!BD59-1</f>
        <v>-1.3130794275324487E-3</v>
      </c>
      <c r="BF58" s="105">
        <f>'A)NSA Nb'!BF59/'A)NSA Nb'!BE59-1</f>
        <v>-1.1466592346124349E-3</v>
      </c>
      <c r="BG58" s="105">
        <f>'A)NSA Nb'!BG59/'A)NSA Nb'!BF59-1</f>
        <v>5.0095366952502829E-2</v>
      </c>
      <c r="BH58" s="105">
        <f>'A)NSA Nb'!BH59/'A)NSA Nb'!BG59-1</f>
        <v>-1.5964873753125941E-3</v>
      </c>
      <c r="BI58" s="105">
        <f>'A)NSA Nb'!BI59/'A)NSA Nb'!BH59-1</f>
        <v>-1.3975652481578171E-3</v>
      </c>
      <c r="BJ58" s="105">
        <f>'A)NSA Nb'!BJ59/'A)NSA Nb'!BI59-1</f>
        <v>-1.2646281343642318E-4</v>
      </c>
    </row>
    <row r="59" spans="1:62" ht="13" thickBot="1" x14ac:dyDescent="0.3">
      <c r="A59" s="6"/>
      <c r="B59" s="15"/>
      <c r="C59" s="43"/>
      <c r="D59" s="43"/>
      <c r="E59" s="43"/>
      <c r="F59" s="43"/>
      <c r="G59" s="43"/>
      <c r="H59" s="43"/>
      <c r="I59" s="43"/>
      <c r="J59" s="43"/>
      <c r="K59" s="149"/>
      <c r="L59" s="149"/>
      <c r="M59" s="43"/>
      <c r="N59" s="43"/>
      <c r="O59" s="43"/>
      <c r="P59" s="43"/>
      <c r="Q59" s="43"/>
      <c r="R59" s="43"/>
      <c r="S59" s="43"/>
      <c r="T59" s="43"/>
      <c r="U59" s="43"/>
      <c r="V59" s="43"/>
      <c r="W59" s="43"/>
      <c r="X59" s="43"/>
      <c r="Y59" s="43"/>
      <c r="Z59" s="43"/>
      <c r="AA59" s="43"/>
      <c r="AB59" s="43"/>
      <c r="AC59" s="43"/>
      <c r="AD59" s="43"/>
      <c r="AE59" s="43"/>
      <c r="AF59" s="43"/>
      <c r="AG59" s="43"/>
      <c r="AH59" s="43"/>
      <c r="AI59" s="43"/>
      <c r="AJ59" s="43"/>
      <c r="AM59" s="43"/>
      <c r="AN59" s="43"/>
      <c r="AO59" s="43"/>
    </row>
    <row r="60" spans="1:62" x14ac:dyDescent="0.25">
      <c r="A60" s="19"/>
      <c r="B60" s="10"/>
      <c r="C60" s="44"/>
      <c r="D60" s="44"/>
      <c r="E60" s="44"/>
      <c r="F60" s="44"/>
      <c r="G60" s="44"/>
      <c r="H60" s="44"/>
      <c r="I60" s="44"/>
      <c r="J60" s="44"/>
      <c r="K60" s="148"/>
      <c r="L60" s="148"/>
      <c r="M60" s="44"/>
      <c r="N60" s="44"/>
      <c r="O60" s="44"/>
      <c r="P60" s="44"/>
      <c r="Q60" s="44"/>
      <c r="R60" s="44"/>
      <c r="S60" s="44"/>
      <c r="T60" s="44"/>
      <c r="U60" s="44"/>
      <c r="V60" s="44"/>
      <c r="W60" s="44"/>
      <c r="X60" s="44"/>
      <c r="Y60" s="44"/>
      <c r="Z60" s="44"/>
      <c r="AA60" s="44"/>
      <c r="AB60" s="44"/>
      <c r="AC60" s="44"/>
      <c r="AD60" s="44"/>
      <c r="AE60" s="44"/>
      <c r="AF60" s="44"/>
      <c r="AG60" s="44"/>
      <c r="AH60" s="44"/>
      <c r="AI60" s="44"/>
      <c r="AJ60" s="44"/>
      <c r="AM60" s="44"/>
      <c r="AN60" s="44"/>
      <c r="AO60" s="44"/>
    </row>
    <row r="61" spans="1:62" ht="13" x14ac:dyDescent="0.3">
      <c r="A61" s="26" t="s">
        <v>31</v>
      </c>
      <c r="B61" s="26"/>
      <c r="C61" s="41"/>
      <c r="D61" s="41"/>
      <c r="E61" s="41"/>
      <c r="F61" s="41"/>
      <c r="G61" s="41"/>
      <c r="H61" s="41"/>
      <c r="I61" s="41"/>
      <c r="J61" s="41"/>
      <c r="K61" s="147"/>
      <c r="L61" s="147"/>
      <c r="M61" s="41"/>
      <c r="N61" s="41"/>
      <c r="O61" s="41"/>
      <c r="P61" s="41"/>
      <c r="Q61" s="41"/>
      <c r="R61" s="41"/>
      <c r="S61" s="41"/>
      <c r="T61" s="41"/>
      <c r="U61" s="41"/>
      <c r="V61" s="41"/>
      <c r="W61" s="41"/>
      <c r="X61" s="41"/>
      <c r="Y61" s="41"/>
      <c r="Z61" s="41"/>
      <c r="AA61" s="41"/>
      <c r="AB61" s="41"/>
      <c r="AC61" s="41"/>
      <c r="AD61" s="41"/>
      <c r="AE61" s="41"/>
      <c r="AF61" s="41"/>
      <c r="AG61" s="41"/>
      <c r="AH61" s="41"/>
      <c r="AI61" s="41"/>
      <c r="AJ61" s="41"/>
      <c r="AM61" s="41"/>
      <c r="AN61" s="41"/>
      <c r="AO61" s="41"/>
    </row>
    <row r="62" spans="1:62" ht="13" x14ac:dyDescent="0.3">
      <c r="A62" s="107" t="s">
        <v>82</v>
      </c>
      <c r="B62" s="2" t="str">
        <f t="shared" ref="B62:H62" si="146">B8</f>
        <v>4eme T 2009</v>
      </c>
      <c r="C62" s="38" t="str">
        <f t="shared" si="146"/>
        <v>1er T 2010</v>
      </c>
      <c r="D62" s="38" t="str">
        <f t="shared" si="146"/>
        <v>2eme T 2010</v>
      </c>
      <c r="E62" s="38" t="str">
        <f t="shared" si="146"/>
        <v>3eme T 2010</v>
      </c>
      <c r="F62" s="38" t="str">
        <f t="shared" si="146"/>
        <v>4eme T 2010</v>
      </c>
      <c r="G62" s="38" t="str">
        <f t="shared" si="146"/>
        <v>1er T 2011</v>
      </c>
      <c r="H62" s="38" t="str">
        <f t="shared" si="146"/>
        <v>2eme T 2011</v>
      </c>
      <c r="I62" s="38" t="str">
        <f t="shared" ref="I62:N62" si="147">I8</f>
        <v>3eme T 2011</v>
      </c>
      <c r="J62" s="38" t="str">
        <f t="shared" si="147"/>
        <v>4eme T 2011</v>
      </c>
      <c r="K62" s="38" t="str">
        <f t="shared" si="147"/>
        <v>1er T 2012</v>
      </c>
      <c r="L62" s="38" t="str">
        <f t="shared" si="147"/>
        <v>2eme T 2012</v>
      </c>
      <c r="M62" s="38" t="str">
        <f t="shared" si="147"/>
        <v>3eme T 2012</v>
      </c>
      <c r="N62" s="38" t="str">
        <f t="shared" si="147"/>
        <v>4eme T 2012</v>
      </c>
      <c r="O62" s="38" t="str">
        <f t="shared" ref="O62:T62" si="148">O8</f>
        <v>1er T 2013</v>
      </c>
      <c r="P62" s="38" t="str">
        <f t="shared" si="148"/>
        <v>2e T 2013</v>
      </c>
      <c r="Q62" s="38" t="str">
        <f t="shared" si="148"/>
        <v>3e T 2013</v>
      </c>
      <c r="R62" s="38" t="str">
        <f t="shared" si="148"/>
        <v>4e T 2013</v>
      </c>
      <c r="S62" s="38" t="str">
        <f t="shared" si="148"/>
        <v>1er T 2014</v>
      </c>
      <c r="T62" s="38" t="str">
        <f t="shared" si="148"/>
        <v>2e T 2014</v>
      </c>
      <c r="U62" s="38" t="str">
        <f t="shared" ref="U62:V62" si="149">U8</f>
        <v>3e T 2014</v>
      </c>
      <c r="V62" s="38" t="str">
        <f t="shared" si="149"/>
        <v>4e T 2014</v>
      </c>
      <c r="W62" s="38" t="str">
        <f t="shared" ref="W62:X62" si="150">W8</f>
        <v>1er T 2015</v>
      </c>
      <c r="X62" s="38" t="str">
        <f t="shared" si="150"/>
        <v>2e T 2015</v>
      </c>
      <c r="Y62" s="38" t="str">
        <f t="shared" ref="Y62:Z62" si="151">Y8</f>
        <v>3e T 2015</v>
      </c>
      <c r="Z62" s="38" t="str">
        <f t="shared" si="151"/>
        <v>4e T 2015</v>
      </c>
      <c r="AA62" s="38" t="str">
        <f t="shared" ref="AA62:AB62" si="152">AA8</f>
        <v>1er T 2016</v>
      </c>
      <c r="AB62" s="38" t="str">
        <f t="shared" si="152"/>
        <v>2e T 2016</v>
      </c>
      <c r="AC62" s="38" t="str">
        <f t="shared" ref="AC62" si="153">AC8</f>
        <v>3e T 2016</v>
      </c>
      <c r="AD62" s="38" t="str">
        <f t="shared" ref="AD62:AE62" si="154">AD8</f>
        <v>4e T 2016</v>
      </c>
      <c r="AE62" s="38" t="str">
        <f t="shared" si="154"/>
        <v>1e T 2017</v>
      </c>
      <c r="AF62" s="38" t="str">
        <f t="shared" ref="AF62:AG62" si="155">AF8</f>
        <v>2e T 2017</v>
      </c>
      <c r="AG62" s="38" t="str">
        <f t="shared" si="155"/>
        <v>3e T 2017</v>
      </c>
      <c r="AH62" s="38" t="str">
        <f t="shared" ref="AH62:AI62" si="156">AH8</f>
        <v>4e T 2017</v>
      </c>
      <c r="AI62" s="38" t="str">
        <f t="shared" si="156"/>
        <v>1e T 2018</v>
      </c>
      <c r="AJ62" s="38" t="str">
        <f t="shared" ref="AJ62:AK62" si="157">AJ8</f>
        <v>2e T 2018</v>
      </c>
      <c r="AK62" s="38" t="str">
        <f t="shared" si="157"/>
        <v>3e T 2018</v>
      </c>
      <c r="AL62" s="38" t="str">
        <f t="shared" ref="AL62:AM62" si="158">AL8</f>
        <v>4e T 2018</v>
      </c>
      <c r="AM62" s="38" t="str">
        <f t="shared" si="158"/>
        <v>1e T 2019</v>
      </c>
      <c r="AN62" s="38" t="str">
        <f t="shared" ref="AN62:AP62" si="159">AN8</f>
        <v>2e T 2019</v>
      </c>
      <c r="AO62" s="38" t="str">
        <f t="shared" si="159"/>
        <v>3e T 2019</v>
      </c>
      <c r="AP62" s="38" t="str">
        <f t="shared" si="159"/>
        <v>4e T 2019</v>
      </c>
      <c r="AQ62" s="38" t="str">
        <f t="shared" ref="AQ62" si="160">AQ8</f>
        <v>1e T 2020</v>
      </c>
      <c r="AR62" s="38" t="str">
        <f t="shared" ref="AR62:AS62" si="161">AR8</f>
        <v>2e T 2020</v>
      </c>
      <c r="AS62" s="38" t="str">
        <f t="shared" si="161"/>
        <v>3e T 2020</v>
      </c>
      <c r="AT62" s="38" t="str">
        <f t="shared" ref="AT62:AU62" si="162">AT8</f>
        <v>4e T 2020</v>
      </c>
      <c r="AU62" s="38" t="str">
        <f t="shared" si="162"/>
        <v>1er T 2021</v>
      </c>
      <c r="AV62" s="38" t="str">
        <f t="shared" ref="AV62:AW62" si="163">AV8</f>
        <v>2e T 2021</v>
      </c>
      <c r="AW62" s="38" t="str">
        <f t="shared" si="163"/>
        <v>3e T 2021</v>
      </c>
      <c r="AX62" s="38" t="str">
        <f t="shared" ref="AX62:AY62" si="164">AX8</f>
        <v>4e T 2021</v>
      </c>
      <c r="AY62" s="38" t="str">
        <f t="shared" si="164"/>
        <v>1er T 2022</v>
      </c>
      <c r="AZ62" s="38" t="str">
        <f t="shared" ref="AZ62:BA62" si="165">AZ8</f>
        <v>2e T 2022</v>
      </c>
      <c r="BA62" s="38" t="str">
        <f t="shared" si="165"/>
        <v>3e T 2022</v>
      </c>
      <c r="BB62" s="38" t="str">
        <f t="shared" ref="BB62:BC62" si="166">BB8</f>
        <v>4e T 2022</v>
      </c>
      <c r="BC62" s="38" t="str">
        <f t="shared" si="166"/>
        <v>1er T 2023</v>
      </c>
      <c r="BD62" s="38" t="str">
        <f t="shared" ref="BD62:BE62" si="167">BD8</f>
        <v>2e T 2023</v>
      </c>
      <c r="BE62" s="38" t="str">
        <f t="shared" si="167"/>
        <v>3e T 2023</v>
      </c>
      <c r="BF62" s="38" t="str">
        <f t="shared" ref="BF62:BG62" si="168">BF8</f>
        <v>4e T 2023</v>
      </c>
      <c r="BG62" s="38" t="str">
        <f t="shared" si="168"/>
        <v>1er T 2024</v>
      </c>
      <c r="BH62" s="38" t="str">
        <f t="shared" ref="BH62:BI62" si="169">BH8</f>
        <v>2e T 2024</v>
      </c>
      <c r="BI62" s="38" t="str">
        <f t="shared" si="169"/>
        <v>3e T 2024</v>
      </c>
      <c r="BJ62" s="38" t="str">
        <f t="shared" ref="BJ62" si="170">BJ8</f>
        <v>4e T 2024</v>
      </c>
    </row>
    <row r="63" spans="1:62" x14ac:dyDescent="0.25">
      <c r="A63" s="28" t="s">
        <v>16</v>
      </c>
      <c r="B63" s="29"/>
      <c r="C63" s="48">
        <f>'A)NSA Nb'!C65-'A)NSA Nb'!B65</f>
        <v>4.2000000000001592E-2</v>
      </c>
      <c r="D63" s="48">
        <f>'A)NSA Nb'!D65-'A)NSA Nb'!C65</f>
        <v>6.9799999999986539E-2</v>
      </c>
      <c r="E63" s="48">
        <f>'A)NSA Nb'!E65-'A)NSA Nb'!D65</f>
        <v>7.7600000000003888E-2</v>
      </c>
      <c r="F63" s="48">
        <f>'A)NSA Nb'!F65-'A)NSA Nb'!E65</f>
        <v>6.0000000000002274E-2</v>
      </c>
      <c r="G63" s="48">
        <f>'A)NSA Nb'!G65-'A)NSA Nb'!F65</f>
        <v>5.3100000000000591E-2</v>
      </c>
      <c r="H63" s="48">
        <f>'A)NSA Nb'!H65-'A)NSA Nb'!G65</f>
        <v>6.4499999999995339E-2</v>
      </c>
      <c r="I63" s="48">
        <f>'A)NSA Nb'!I65-'A)NSA Nb'!H65</f>
        <v>9.5300000000008822E-2</v>
      </c>
      <c r="J63" s="48">
        <f>'A)NSA Nb'!J65-'A)NSA Nb'!I65</f>
        <v>9.0699999999998226E-2</v>
      </c>
      <c r="K63" s="48">
        <f>'A)NSA Nb'!K65-'A)NSA Nb'!J65</f>
        <v>5.6499999999999773E-2</v>
      </c>
      <c r="L63" s="48">
        <f>'A)NSA Nb'!L65-'A)NSA Nb'!K65</f>
        <v>7.0799999999991314E-2</v>
      </c>
      <c r="M63" s="48">
        <f>'A)NSA Nb'!M65-'A)NSA Nb'!L65</f>
        <v>0.10999999999999943</v>
      </c>
      <c r="N63" s="48">
        <f>'A)NSA Nb'!N65-'A)NSA Nb'!M65</f>
        <v>8.0000000000012506E-2</v>
      </c>
      <c r="O63" s="48">
        <f>'A)NSA Nb'!O65-'A)NSA Nb'!N65</f>
        <v>4.7999999999987608E-2</v>
      </c>
      <c r="P63" s="48">
        <f>'A)NSA Nb'!P65-'A)NSA Nb'!O65</f>
        <v>5.4600000000007753E-2</v>
      </c>
      <c r="Q63" s="48">
        <f>'A)NSA Nb'!Q65-'A)NSA Nb'!P65</f>
        <v>6.5600000000003433E-2</v>
      </c>
      <c r="R63" s="48">
        <f>'A)NSA Nb'!R65-'A)NSA Nb'!Q65</f>
        <v>5.9100000000000819E-2</v>
      </c>
      <c r="S63" s="48">
        <f>'A)NSA Nb'!S65-'A)NSA Nb'!R65</f>
        <v>6.7699999999987881E-2</v>
      </c>
      <c r="T63" s="48">
        <f>'A)NSA Nb'!T65-'A)NSA Nb'!S65</f>
        <v>6.9200000000009254E-2</v>
      </c>
      <c r="U63" s="48">
        <f>'A)NSA Nb'!U65-'A)NSA Nb'!T65</f>
        <v>6.9299999999998363E-2</v>
      </c>
      <c r="V63" s="48">
        <f>'A)NSA Nb'!V65-'A)NSA Nb'!U65</f>
        <v>4.0999999999996817E-2</v>
      </c>
      <c r="W63" s="48">
        <f>'A)NSA Nb'!W65-'A)NSA Nb'!V65</f>
        <v>7.6700000000002433E-2</v>
      </c>
      <c r="X63" s="48">
        <f>'A)NSA Nb'!X65-'A)NSA Nb'!W65</f>
        <v>-5.0000000000238742E-4</v>
      </c>
      <c r="Y63" s="48">
        <f>'A)NSA Nb'!Y65-'A)NSA Nb'!X65</f>
        <v>6.4999999999997726E-2</v>
      </c>
      <c r="Z63" s="48">
        <f>'A)NSA Nb'!Z65-'A)NSA Nb'!Y65</f>
        <v>3.0300000000011096E-2</v>
      </c>
      <c r="AA63" s="48">
        <f>'A)NSA Nb'!AA65-'A)NSA Nb'!Z65</f>
        <v>4.6999999999997044E-3</v>
      </c>
      <c r="AB63" s="48">
        <f>'A)NSA Nb'!AB65-'A)NSA Nb'!AA65</f>
        <v>2.9699999999991178E-2</v>
      </c>
      <c r="AC63" s="48">
        <f>'A)NSA Nb'!AC65-'A)NSA Nb'!AB65</f>
        <v>4.2000000000001592E-2</v>
      </c>
      <c r="AD63" s="48">
        <f>'A)NSA Nb'!AD65-'A)NSA Nb'!AC65</f>
        <v>4.7899999999998499E-2</v>
      </c>
      <c r="AE63" s="48">
        <f>'A)NSA Nb'!AE65-'A)NSA Nb'!AD65</f>
        <v>2.899999999996794E-3</v>
      </c>
      <c r="AF63" s="48">
        <f>'A)NSA Nb'!AF65-'A)NSA Nb'!AE65</f>
        <v>1.7000000000010118E-2</v>
      </c>
      <c r="AG63" s="48">
        <f>'A)NSA Nb'!AG65-'A)NSA Nb'!AF65</f>
        <v>2.8599999999997294E-2</v>
      </c>
      <c r="AH63" s="48">
        <f>'A)NSA Nb'!AH65-'A)NSA Nb'!AG65</f>
        <v>3.3999999999991815E-3</v>
      </c>
      <c r="AI63" s="48">
        <f>'A)NSA Nb'!AI65-'A)NSA Nb'!AH65</f>
        <v>-3.1400000000004979E-2</v>
      </c>
      <c r="AJ63" s="48">
        <f>'A)NSA Nb'!AJ65-'A)NSA Nb'!AI65</f>
        <v>2.7100000000004343E-2</v>
      </c>
      <c r="AK63" s="48">
        <f>'A)NSA Nb'!AK65-'A)NSA Nb'!AJ65</f>
        <v>1.4099999999999113E-2</v>
      </c>
      <c r="AL63" s="48">
        <f>'A)NSA Nb'!AL65-'A)NSA Nb'!AK65</f>
        <v>-6.1999999999926558E-3</v>
      </c>
      <c r="AM63" s="48">
        <f>'A)NSA Nb'!AM65-'A)NSA Nb'!AL65</f>
        <v>-2.8400000000004866E-2</v>
      </c>
      <c r="AN63" s="48">
        <f>'A)NSA Nb'!AN65-'A)NSA Nb'!AM65</f>
        <v>1.1399999999994748E-2</v>
      </c>
      <c r="AO63" s="48">
        <f>'A)NSA Nb'!AO65-'A)NSA Nb'!AN65</f>
        <v>2.1799999999998931E-2</v>
      </c>
      <c r="AP63" s="48">
        <f>'A)NSA Nb'!AP65-'A)NSA Nb'!AO65</f>
        <v>-1.5699999999995384E-2</v>
      </c>
      <c r="AQ63" s="48">
        <f>'A)NSA Nb'!AQ65-'A)NSA Nb'!AP65</f>
        <v>-2.2700000000000387E-2</v>
      </c>
      <c r="AR63" s="48">
        <f>'A)NSA Nb'!AR65-'A)NSA Nb'!AQ65</f>
        <v>1.5000000000000568E-2</v>
      </c>
      <c r="AS63" s="48">
        <f>'A)NSA Nb'!AS65-'A)NSA Nb'!AR65</f>
        <v>3.119999999999834E-2</v>
      </c>
      <c r="AT63" s="48">
        <f>'A)NSA Nb'!AT65-'A)NSA Nb'!AS65</f>
        <v>-1.1200000000002319E-2</v>
      </c>
      <c r="AU63" s="48">
        <f>'A)NSA Nb'!AU65-'A)NSA Nb'!AT65</f>
        <v>-5.3600000000002979E-2</v>
      </c>
      <c r="AV63" s="48">
        <f>'A)NSA Nb'!AV65-'A)NSA Nb'!AU65</f>
        <v>7.3000000000007503E-3</v>
      </c>
      <c r="AW63" s="48">
        <f>'A)NSA Nb'!AW65-'A)NSA Nb'!AV65</f>
        <v>2.3700000000005161E-2</v>
      </c>
      <c r="AX63" s="48">
        <f>'A)NSA Nb'!AX65-'A)NSA Nb'!AW65</f>
        <v>-1.3091076329700968E-2</v>
      </c>
      <c r="AY63" s="48">
        <f>'A)NSA Nb'!AY65-'A)NSA Nb'!AX65</f>
        <v>-4.9650632944391759E-2</v>
      </c>
      <c r="AZ63" s="48">
        <f>'A)NSA Nb'!AZ65-'A)NSA Nb'!AY65</f>
        <v>-2.76273987240927E-3</v>
      </c>
      <c r="BA63" s="48">
        <f>'A)NSA Nb'!BA65-'A)NSA Nb'!AZ65</f>
        <v>1.8318476579807452E-2</v>
      </c>
      <c r="BB63" s="48">
        <f>'A)NSA Nb'!BB65-'A)NSA Nb'!BA65</f>
        <v>-1.27294913013003E-2</v>
      </c>
      <c r="BC63" s="48">
        <f>'A)NSA Nb'!BC65-'A)NSA Nb'!BB65</f>
        <v>-8.4846060042806926E-2</v>
      </c>
      <c r="BD63" s="48">
        <f>'A)NSA Nb'!BD65-'A)NSA Nb'!BC65</f>
        <v>-6.1554050109009495E-3</v>
      </c>
      <c r="BE63" s="48">
        <f>'A)NSA Nb'!BE65-'A)NSA Nb'!BD65</f>
        <v>7.9223038087974373E-3</v>
      </c>
      <c r="BF63" s="48">
        <f>'A)NSA Nb'!BF65-'A)NSA Nb'!BE65</f>
        <v>1.2297054075204983E-2</v>
      </c>
      <c r="BG63" s="48">
        <f>'A)NSA Nb'!BG65-'A)NSA Nb'!BF65</f>
        <v>-3.1902059377500791E-2</v>
      </c>
      <c r="BH63" s="48">
        <f>'A)NSA Nb'!BH65-'A)NSA Nb'!BG65</f>
        <v>2.1049081704205719E-2</v>
      </c>
      <c r="BI63" s="48">
        <f>'A)NSA Nb'!BI65-'A)NSA Nb'!BH65</f>
        <v>3.3000970720692635E-2</v>
      </c>
      <c r="BJ63" s="48">
        <f>'A)NSA Nb'!BJ65-'A)NSA Nb'!BI65</f>
        <v>-4.3716641920923394E-3</v>
      </c>
    </row>
    <row r="64" spans="1:62" x14ac:dyDescent="0.25">
      <c r="A64" s="28" t="s">
        <v>17</v>
      </c>
      <c r="B64" s="29"/>
      <c r="C64" s="48">
        <f>'A)NSA Nb'!C66-'A)NSA Nb'!B66</f>
        <v>9.4099999999997408E-2</v>
      </c>
      <c r="D64" s="48">
        <f>'A)NSA Nb'!D66-'A)NSA Nb'!C66</f>
        <v>7.4500000000000455E-2</v>
      </c>
      <c r="E64" s="48">
        <f>'A)NSA Nb'!E66-'A)NSA Nb'!D66</f>
        <v>6.6499999999990678E-2</v>
      </c>
      <c r="F64" s="48">
        <f>'A)NSA Nb'!F66-'A)NSA Nb'!E66</f>
        <v>6.8200000000004479E-2</v>
      </c>
      <c r="G64" s="48">
        <f>'A)NSA Nb'!G66-'A)NSA Nb'!F66</f>
        <v>9.6699999999998454E-2</v>
      </c>
      <c r="H64" s="48">
        <f>'A)NSA Nb'!H66-'A)NSA Nb'!G66</f>
        <v>7.9700000000002547E-2</v>
      </c>
      <c r="I64" s="48">
        <f>'A)NSA Nb'!I66-'A)NSA Nb'!H66</f>
        <v>8.3799999999996544E-2</v>
      </c>
      <c r="J64" s="48">
        <f>'A)NSA Nb'!J66-'A)NSA Nb'!I66</f>
        <v>5.9899999999998954E-2</v>
      </c>
      <c r="K64" s="48">
        <f>'A)NSA Nb'!K66-'A)NSA Nb'!J66</f>
        <v>0.11370000000000857</v>
      </c>
      <c r="L64" s="48">
        <f>'A)NSA Nb'!L66-'A)NSA Nb'!K66</f>
        <v>6.6699999999997317E-2</v>
      </c>
      <c r="M64" s="48">
        <f>'A)NSA Nb'!M66-'A)NSA Nb'!L66</f>
        <v>5.5899999999994066E-2</v>
      </c>
      <c r="N64" s="48">
        <f>'A)NSA Nb'!N66-'A)NSA Nb'!M66</f>
        <v>6.1800000000005184E-2</v>
      </c>
      <c r="O64" s="48">
        <f>'A)NSA Nb'!O66-'A)NSA Nb'!N66</f>
        <v>0.11239999999999384</v>
      </c>
      <c r="P64" s="48">
        <f>'A)NSA Nb'!P66-'A)NSA Nb'!O66</f>
        <v>7.3700000000002319E-2</v>
      </c>
      <c r="Q64" s="48">
        <f>'A)NSA Nb'!Q66-'A)NSA Nb'!P66</f>
        <v>7.2699999999997544E-2</v>
      </c>
      <c r="R64" s="48">
        <f>'A)NSA Nb'!R66-'A)NSA Nb'!Q66</f>
        <v>6.2100000000000932E-2</v>
      </c>
      <c r="S64" s="48">
        <f>'A)NSA Nb'!S66-'A)NSA Nb'!R66</f>
        <v>8.4000000000003183E-2</v>
      </c>
      <c r="T64" s="48">
        <f>'A)NSA Nb'!T66-'A)NSA Nb'!S66</f>
        <v>8.2999999999998408E-2</v>
      </c>
      <c r="U64" s="48">
        <f>'A)NSA Nb'!U66-'A)NSA Nb'!T66</f>
        <v>9.6000000000003638E-2</v>
      </c>
      <c r="V64" s="48">
        <f>'A)NSA Nb'!V66-'A)NSA Nb'!U66</f>
        <v>8.629999999999427E-2</v>
      </c>
      <c r="W64" s="48">
        <f>'A)NSA Nb'!W66-'A)NSA Nb'!V66</f>
        <v>9.2300000000008708E-2</v>
      </c>
      <c r="X64" s="48">
        <f>'A)NSA Nb'!X66-'A)NSA Nb'!W66</f>
        <v>3.1099999999995021E-2</v>
      </c>
      <c r="Y64" s="48">
        <f>'A)NSA Nb'!Y66-'A)NSA Nb'!X66</f>
        <v>6.3200000000009027E-2</v>
      </c>
      <c r="Z64" s="48">
        <f>'A)NSA Nb'!Z66-'A)NSA Nb'!Y66</f>
        <v>6.789999999999452E-2</v>
      </c>
      <c r="AA64" s="48">
        <f>'A)NSA Nb'!AA66-'A)NSA Nb'!Z66</f>
        <v>9.7300000000004161E-2</v>
      </c>
      <c r="AB64" s="48">
        <f>'A)NSA Nb'!AB66-'A)NSA Nb'!AA66</f>
        <v>8.4299999999998931E-2</v>
      </c>
      <c r="AC64" s="48">
        <f>'A)NSA Nb'!AC66-'A)NSA Nb'!AB66</f>
        <v>7.2599999999994225E-2</v>
      </c>
      <c r="AD64" s="48">
        <f>'A)NSA Nb'!AD66-'A)NSA Nb'!AC66</f>
        <v>5.1699999999996749E-2</v>
      </c>
      <c r="AE64" s="48">
        <f>'A)NSA Nb'!AE66-'A)NSA Nb'!AD66</f>
        <v>7.2100000000006048E-2</v>
      </c>
      <c r="AF64" s="48">
        <f>'A)NSA Nb'!AF66-'A)NSA Nb'!AE66</f>
        <v>5.8099999999996044E-2</v>
      </c>
      <c r="AG64" s="48">
        <f>'A)NSA Nb'!AG66-'A)NSA Nb'!AF66</f>
        <v>9.5799999999996999E-2</v>
      </c>
      <c r="AH64" s="48">
        <f>'A)NSA Nb'!AH66-'A)NSA Nb'!AG66</f>
        <v>7.2200000000009368E-2</v>
      </c>
      <c r="AI64" s="48">
        <f>'A)NSA Nb'!AI66-'A)NSA Nb'!AH66</f>
        <v>8.5799999999991883E-2</v>
      </c>
      <c r="AJ64" s="48">
        <f>'A)NSA Nb'!AJ66-'A)NSA Nb'!AI66</f>
        <v>8.1699999999997885E-2</v>
      </c>
      <c r="AK64" s="48">
        <f>'A)NSA Nb'!AK66-'A)NSA Nb'!AJ66</f>
        <v>5.2800000000004843E-2</v>
      </c>
      <c r="AL64" s="48">
        <f>'A)NSA Nb'!AL66-'A)NSA Nb'!AK66</f>
        <v>4.8200000000008458E-2</v>
      </c>
      <c r="AM64" s="48">
        <f>'A)NSA Nb'!AM66-'A)NSA Nb'!AL66</f>
        <v>6.6699999999997317E-2</v>
      </c>
      <c r="AN64" s="48">
        <f>'A)NSA Nb'!AN66-'A)NSA Nb'!AM66</f>
        <v>4.20999999999907E-2</v>
      </c>
      <c r="AO64" s="48">
        <f>'A)NSA Nb'!AO66-'A)NSA Nb'!AN66</f>
        <v>5.8100000000010255E-2</v>
      </c>
      <c r="AP64" s="48">
        <f>'A)NSA Nb'!AP66-'A)NSA Nb'!AO66</f>
        <v>5.5499999999994998E-2</v>
      </c>
      <c r="AQ64" s="48">
        <f>'A)NSA Nb'!AQ66-'A)NSA Nb'!AP66</f>
        <v>7.9800000000005866E-2</v>
      </c>
      <c r="AR64" s="48">
        <f>'A)NSA Nb'!AR66-'A)NSA Nb'!AQ66</f>
        <v>6.4999999999997726E-2</v>
      </c>
      <c r="AS64" s="48">
        <f>'A)NSA Nb'!AS66-'A)NSA Nb'!AR66</f>
        <v>6.1099999999996157E-2</v>
      </c>
      <c r="AT64" s="48">
        <f>'A)NSA Nb'!AT66-'A)NSA Nb'!AS66</f>
        <v>6.1499999999995225E-2</v>
      </c>
      <c r="AU64" s="48">
        <f>'A)NSA Nb'!AU66-'A)NSA Nb'!AT66</f>
        <v>2.5500000000008072E-2</v>
      </c>
      <c r="AV64" s="48">
        <f>'A)NSA Nb'!AV66-'A)NSA Nb'!AU66</f>
        <v>6.3599999999993884E-2</v>
      </c>
      <c r="AW64" s="48">
        <f>'A)NSA Nb'!AW66-'A)NSA Nb'!AV66</f>
        <v>6.5399999999996794E-2</v>
      </c>
      <c r="AX64" s="48">
        <f>'A)NSA Nb'!AX66-'A)NSA Nb'!AW66</f>
        <v>4.4939741550109602E-2</v>
      </c>
      <c r="AY64" s="48">
        <f>'A)NSA Nb'!AY66-'A)NSA Nb'!AX66</f>
        <v>5.6888587283793868E-2</v>
      </c>
      <c r="AZ64" s="48">
        <f>'A)NSA Nb'!AZ66-'A)NSA Nb'!AY66</f>
        <v>3.0644143292207104E-2</v>
      </c>
      <c r="BA64" s="48">
        <f>'A)NSA Nb'!BA66-'A)NSA Nb'!AZ66</f>
        <v>6.8861614845801E-2</v>
      </c>
      <c r="BB64" s="48">
        <f>'A)NSA Nb'!BB66-'A)NSA Nb'!BA66</f>
        <v>5.7081531635489569E-2</v>
      </c>
      <c r="BC64" s="48">
        <f>'A)NSA Nb'!BC66-'A)NSA Nb'!BB66</f>
        <v>1.0924146744002883E-2</v>
      </c>
      <c r="BD64" s="48">
        <f>'A)NSA Nb'!BD66-'A)NSA Nb'!BC66</f>
        <v>3.6329679342301802E-2</v>
      </c>
      <c r="BE64" s="48">
        <f>'A)NSA Nb'!BE66-'A)NSA Nb'!BD66</f>
        <v>6.7996713719495006E-2</v>
      </c>
      <c r="BF64" s="48">
        <f>'A)NSA Nb'!BF66-'A)NSA Nb'!BE66</f>
        <v>1.126933273090458E-2</v>
      </c>
      <c r="BG64" s="48">
        <f>'A)NSA Nb'!BG66-'A)NSA Nb'!BF66</f>
        <v>4.7216797974400038E-2</v>
      </c>
      <c r="BH64" s="48">
        <f>'A)NSA Nb'!BH66-'A)NSA Nb'!BG66</f>
        <v>4.794396616179597E-2</v>
      </c>
      <c r="BI64" s="48">
        <f>'A)NSA Nb'!BI66-'A)NSA Nb'!BH66</f>
        <v>5.0814553541599139E-2</v>
      </c>
      <c r="BJ64" s="48">
        <f>'A)NSA Nb'!BJ66-'A)NSA Nb'!BI66</f>
        <v>2.8745161000202302E-2</v>
      </c>
    </row>
    <row r="65" spans="1:62" x14ac:dyDescent="0.25">
      <c r="A65" s="28" t="s">
        <v>18</v>
      </c>
      <c r="B65" s="29"/>
      <c r="C65" s="48">
        <f>'A)NSA Nb'!C67-'A)NSA Nb'!B67</f>
        <v>0.11109999999999332</v>
      </c>
      <c r="D65" s="48">
        <f>'A)NSA Nb'!D67-'A)NSA Nb'!C67</f>
        <v>8.8800000000006207E-2</v>
      </c>
      <c r="E65" s="48">
        <f>'A)NSA Nb'!E67-'A)NSA Nb'!D67</f>
        <v>9.8600000000004684E-2</v>
      </c>
      <c r="F65" s="48">
        <f>'A)NSA Nb'!F67-'A)NSA Nb'!E67</f>
        <v>0.10289999999999111</v>
      </c>
      <c r="G65" s="48">
        <f>'A)NSA Nb'!G67-'A)NSA Nb'!F67</f>
        <v>0.10640000000000782</v>
      </c>
      <c r="H65" s="48">
        <f>'A)NSA Nb'!H67-'A)NSA Nb'!G67</f>
        <v>8.7999999999993861E-2</v>
      </c>
      <c r="I65" s="48">
        <f>'A)NSA Nb'!I67-'A)NSA Nb'!H67</f>
        <v>0.10559999999999548</v>
      </c>
      <c r="J65" s="48">
        <f>'A)NSA Nb'!J67-'A)NSA Nb'!I67</f>
        <v>0.10690000000001021</v>
      </c>
      <c r="K65" s="48">
        <f>'A)NSA Nb'!K67-'A)NSA Nb'!J67</f>
        <v>0.11469999999999914</v>
      </c>
      <c r="L65" s="48">
        <f>'A)NSA Nb'!L67-'A)NSA Nb'!K67</f>
        <v>8.4699999999997999E-2</v>
      </c>
      <c r="M65" s="48">
        <f>'A)NSA Nb'!M67-'A)NSA Nb'!L67</f>
        <v>0.10139999999999816</v>
      </c>
      <c r="N65" s="48">
        <f>'A)NSA Nb'!N67-'A)NSA Nb'!M67</f>
        <v>0.10899999999999466</v>
      </c>
      <c r="O65" s="48">
        <f>'A)NSA Nb'!O67-'A)NSA Nb'!N67</f>
        <v>0.11010000000000275</v>
      </c>
      <c r="P65" s="48">
        <f>'A)NSA Nb'!P67-'A)NSA Nb'!O67</f>
        <v>8.3700000000007435E-2</v>
      </c>
      <c r="Q65" s="48">
        <f>'A)NSA Nb'!Q67-'A)NSA Nb'!P67</f>
        <v>0.10099999999999909</v>
      </c>
      <c r="R65" s="48">
        <f>'A)NSA Nb'!R67-'A)NSA Nb'!Q67</f>
        <v>0.10269999999999868</v>
      </c>
      <c r="S65" s="48">
        <f>'A)NSA Nb'!S67-'A)NSA Nb'!R67</f>
        <v>0.11199999999999477</v>
      </c>
      <c r="T65" s="48">
        <f>'A)NSA Nb'!T67-'A)NSA Nb'!S67</f>
        <v>0.10779999999999745</v>
      </c>
      <c r="U65" s="48">
        <f>'A)NSA Nb'!U67-'A)NSA Nb'!T67</f>
        <v>0.10580000000000211</v>
      </c>
      <c r="V65" s="48">
        <f>'A)NSA Nb'!V67-'A)NSA Nb'!U67</f>
        <v>0.10309999999999775</v>
      </c>
      <c r="W65" s="48">
        <f>'A)NSA Nb'!W67-'A)NSA Nb'!V67</f>
        <v>0.12580000000001235</v>
      </c>
      <c r="X65" s="48">
        <f>'A)NSA Nb'!X67-'A)NSA Nb'!W67</f>
        <v>4.4699999999991746E-2</v>
      </c>
      <c r="Y65" s="48">
        <f>'A)NSA Nb'!Y67-'A)NSA Nb'!X67</f>
        <v>9.3199999999995953E-2</v>
      </c>
      <c r="Z65" s="48">
        <f>'A)NSA Nb'!Z67-'A)NSA Nb'!Y67</f>
        <v>9.3500000000005912E-2</v>
      </c>
      <c r="AA65" s="48">
        <f>'A)NSA Nb'!AA67-'A)NSA Nb'!Z67</f>
        <v>8.9399999999997704E-2</v>
      </c>
      <c r="AB65" s="48">
        <f>'A)NSA Nb'!AB67-'A)NSA Nb'!AA67</f>
        <v>7.9400000000006798E-2</v>
      </c>
      <c r="AC65" s="48">
        <f>'A)NSA Nb'!AC67-'A)NSA Nb'!AB67</f>
        <v>9.1599999999999682E-2</v>
      </c>
      <c r="AD65" s="48">
        <f>'A)NSA Nb'!AD67-'A)NSA Nb'!AC67</f>
        <v>8.82000000000005E-2</v>
      </c>
      <c r="AE65" s="48">
        <f>'A)NSA Nb'!AE67-'A)NSA Nb'!AD67</f>
        <v>7.8199999999995384E-2</v>
      </c>
      <c r="AF65" s="48">
        <f>'A)NSA Nb'!AF67-'A)NSA Nb'!AE67</f>
        <v>5.9200000000004138E-2</v>
      </c>
      <c r="AG65" s="48">
        <f>'A)NSA Nb'!AG67-'A)NSA Nb'!AF67</f>
        <v>8.7400000000002365E-2</v>
      </c>
      <c r="AH65" s="48">
        <f>'A)NSA Nb'!AH67-'A)NSA Nb'!AG67</f>
        <v>8.1999999999993634E-2</v>
      </c>
      <c r="AI65" s="48">
        <f>'A)NSA Nb'!AI67-'A)NSA Nb'!AH67</f>
        <v>7.7100000000001501E-2</v>
      </c>
      <c r="AJ65" s="48">
        <f>'A)NSA Nb'!AJ67-'A)NSA Nb'!AI67</f>
        <v>7.3899999999994748E-2</v>
      </c>
      <c r="AK65" s="48">
        <f>'A)NSA Nb'!AK67-'A)NSA Nb'!AJ67</f>
        <v>5.8199999999999363E-2</v>
      </c>
      <c r="AL65" s="48">
        <f>'A)NSA Nb'!AL67-'A)NSA Nb'!AK67</f>
        <v>6.990000000000407E-2</v>
      </c>
      <c r="AM65" s="48">
        <f>'A)NSA Nb'!AM67-'A)NSA Nb'!AL67</f>
        <v>6.3299999999998136E-2</v>
      </c>
      <c r="AN65" s="48">
        <f>'A)NSA Nb'!AN67-'A)NSA Nb'!AM67</f>
        <v>5.5300000000002569E-2</v>
      </c>
      <c r="AO65" s="48">
        <f>'A)NSA Nb'!AO67-'A)NSA Nb'!AN67</f>
        <v>6.8700000000006867E-2</v>
      </c>
      <c r="AP65" s="48">
        <f>'A)NSA Nb'!AP67-'A)NSA Nb'!AO67</f>
        <v>6.4599999999998658E-2</v>
      </c>
      <c r="AQ65" s="48">
        <f>'A)NSA Nb'!AQ67-'A)NSA Nb'!AP67</f>
        <v>6.9199999999995043E-2</v>
      </c>
      <c r="AR65" s="48">
        <f>'A)NSA Nb'!AR67-'A)NSA Nb'!AQ67</f>
        <v>4.5000000000001705E-2</v>
      </c>
      <c r="AS65" s="48">
        <f>'A)NSA Nb'!AS67-'A)NSA Nb'!AR67</f>
        <v>7.0499999999995566E-2</v>
      </c>
      <c r="AT65" s="48">
        <f>'A)NSA Nb'!AT67-'A)NSA Nb'!AS67</f>
        <v>5.6399999999996453E-2</v>
      </c>
      <c r="AU65" s="48">
        <f>'A)NSA Nb'!AU67-'A)NSA Nb'!AT67</f>
        <v>2.5600000000011391E-2</v>
      </c>
      <c r="AV65" s="48">
        <f>'A)NSA Nb'!AV67-'A)NSA Nb'!AU67</f>
        <v>3.3099999999990359E-2</v>
      </c>
      <c r="AW65" s="48">
        <f>'A)NSA Nb'!AW67-'A)NSA Nb'!AV67</f>
        <v>6.1999999999997613E-2</v>
      </c>
      <c r="AX65" s="48">
        <f>'A)NSA Nb'!AX67-'A)NSA Nb'!AW67</f>
        <v>6.2766012424603446E-2</v>
      </c>
      <c r="AY65" s="48">
        <f>'A)NSA Nb'!AY67-'A)NSA Nb'!AX67</f>
        <v>4.6551459591000821E-2</v>
      </c>
      <c r="AZ65" s="48">
        <f>'A)NSA Nb'!AZ67-'A)NSA Nb'!AY67</f>
        <v>1.9610071399000617E-2</v>
      </c>
      <c r="BA65" s="48">
        <f>'A)NSA Nb'!BA67-'A)NSA Nb'!AZ67</f>
        <v>5.3988390301199729E-2</v>
      </c>
      <c r="BB65" s="48">
        <f>'A)NSA Nb'!BB67-'A)NSA Nb'!BA67</f>
        <v>6.9244134684694814E-2</v>
      </c>
      <c r="BC65" s="48">
        <f>'A)NSA Nb'!BC67-'A)NSA Nb'!BB67</f>
        <v>-1.2629163243587982E-2</v>
      </c>
      <c r="BD65" s="48">
        <f>'A)NSA Nb'!BD67-'A)NSA Nb'!BC67</f>
        <v>1.8351940365491259E-2</v>
      </c>
      <c r="BE65" s="48">
        <f>'A)NSA Nb'!BE67-'A)NSA Nb'!BD67</f>
        <v>4.1641671287806048E-2</v>
      </c>
      <c r="BF65" s="48">
        <f>'A)NSA Nb'!BF67-'A)NSA Nb'!BE67</f>
        <v>4.734197575520227E-2</v>
      </c>
      <c r="BG65" s="48">
        <f>'A)NSA Nb'!BG67-'A)NSA Nb'!BF67</f>
        <v>2.6243717193594307E-2</v>
      </c>
      <c r="BH65" s="48">
        <f>'A)NSA Nb'!BH67-'A)NSA Nb'!BG67</f>
        <v>1.6740360807403931E-2</v>
      </c>
      <c r="BI65" s="48">
        <f>'A)NSA Nb'!BI67-'A)NSA Nb'!BH67</f>
        <v>4.1782577939400767E-2</v>
      </c>
      <c r="BJ65" s="48">
        <f>'A)NSA Nb'!BJ67-'A)NSA Nb'!BI67</f>
        <v>4.0065259608795145E-2</v>
      </c>
    </row>
    <row r="66" spans="1:62" x14ac:dyDescent="0.25">
      <c r="A66" s="22" t="s">
        <v>29</v>
      </c>
      <c r="B66" s="29"/>
      <c r="C66" s="48">
        <f>'A)NSA Nb'!C68-'A)NSA Nb'!B68</f>
        <v>6.3900000000003843E-2</v>
      </c>
      <c r="D66" s="48">
        <f>'A)NSA Nb'!D68-'A)NSA Nb'!C68</f>
        <v>7.8800000000001091E-2</v>
      </c>
      <c r="E66" s="48">
        <f>'A)NSA Nb'!E68-'A)NSA Nb'!D68</f>
        <v>8.8999999999998636E-2</v>
      </c>
      <c r="F66" s="48">
        <f>'A)NSA Nb'!F68-'A)NSA Nb'!E68</f>
        <v>7.4799999999996203E-2</v>
      </c>
      <c r="G66" s="48">
        <f>'A)NSA Nb'!G68-'A)NSA Nb'!F68</f>
        <v>7.3300000000003251E-2</v>
      </c>
      <c r="H66" s="48">
        <f>'A)NSA Nb'!H68-'A)NSA Nb'!G68</f>
        <v>7.5699999999997658E-2</v>
      </c>
      <c r="I66" s="48">
        <f>'A)NSA Nb'!I68-'A)NSA Nb'!H68</f>
        <v>0.10580000000000211</v>
      </c>
      <c r="J66" s="48">
        <f>'A)NSA Nb'!J68-'A)NSA Nb'!I68</f>
        <v>9.9800000000001887E-2</v>
      </c>
      <c r="K66" s="48">
        <f>'A)NSA Nb'!K68-'A)NSA Nb'!J68</f>
        <v>7.8699999999997772E-2</v>
      </c>
      <c r="L66" s="48">
        <f>'A)NSA Nb'!L68-'A)NSA Nb'!K68</f>
        <v>7.8800000000001091E-2</v>
      </c>
      <c r="M66" s="48">
        <f>'A)NSA Nb'!M68-'A)NSA Nb'!L68</f>
        <v>0.1127000000000038</v>
      </c>
      <c r="N66" s="48">
        <f>'A)NSA Nb'!N68-'A)NSA Nb'!M68</f>
        <v>9.189999999999543E-2</v>
      </c>
      <c r="O66" s="48">
        <f>'A)NSA Nb'!O68-'A)NSA Nb'!N68</f>
        <v>6.7199999999999704E-2</v>
      </c>
      <c r="P66" s="48">
        <f>'A)NSA Nb'!P68-'A)NSA Nb'!O68</f>
        <v>6.3100000000005707E-2</v>
      </c>
      <c r="Q66" s="48">
        <f>'A)NSA Nb'!Q68-'A)NSA Nb'!P68</f>
        <v>7.8400000000002024E-2</v>
      </c>
      <c r="R66" s="48">
        <f>'A)NSA Nb'!R68-'A)NSA Nb'!Q68</f>
        <v>7.6099999999996726E-2</v>
      </c>
      <c r="S66" s="48">
        <f>'A)NSA Nb'!S68-'A)NSA Nb'!R68</f>
        <v>8.4199999999995612E-2</v>
      </c>
      <c r="T66" s="48">
        <f>'A)NSA Nb'!T68-'A)NSA Nb'!S68</f>
        <v>7.720000000000482E-2</v>
      </c>
      <c r="U66" s="48">
        <f>'A)NSA Nb'!U68-'A)NSA Nb'!T68</f>
        <v>8.2799999999991769E-2</v>
      </c>
      <c r="V66" s="48">
        <f>'A)NSA Nb'!V68-'A)NSA Nb'!U68</f>
        <v>6.2100000000000932E-2</v>
      </c>
      <c r="W66" s="48">
        <f>'A)NSA Nb'!W68-'A)NSA Nb'!V68</f>
        <v>3.5000000000025011E-3</v>
      </c>
      <c r="X66" s="48">
        <f>'A)NSA Nb'!X68-'A)NSA Nb'!W68</f>
        <v>0.10110000000000241</v>
      </c>
      <c r="Y66" s="48">
        <f>'A)NSA Nb'!Y68-'A)NSA Nb'!X68</f>
        <v>7.8800000000001091E-2</v>
      </c>
      <c r="Z66" s="48">
        <f>'A)NSA Nb'!Z68-'A)NSA Nb'!Y68</f>
        <v>5.2800000000004843E-2</v>
      </c>
      <c r="AA66" s="48">
        <f>'A)NSA Nb'!AA68-'A)NSA Nb'!Z68</f>
        <v>2.9899999999997817E-2</v>
      </c>
      <c r="AB66" s="48">
        <f>'A)NSA Nb'!AB68-'A)NSA Nb'!AA68</f>
        <v>4.4499999999999318E-2</v>
      </c>
      <c r="AC66" s="48">
        <f>'A)NSA Nb'!AC68-'A)NSA Nb'!AB68</f>
        <v>5.8199999999999363E-2</v>
      </c>
      <c r="AD66" s="48">
        <f>'A)NSA Nb'!AD68-'A)NSA Nb'!AC68</f>
        <v>6.260000000000332E-2</v>
      </c>
      <c r="AE66" s="48">
        <f>'A)NSA Nb'!AE68-'A)NSA Nb'!AD68</f>
        <v>2.3499999999998522E-2</v>
      </c>
      <c r="AF66" s="48">
        <f>'A)NSA Nb'!AF68-'A)NSA Nb'!AE68</f>
        <v>2.5899999999992929E-2</v>
      </c>
      <c r="AG66" s="48">
        <f>'A)NSA Nb'!AG68-'A)NSA Nb'!AF68</f>
        <v>4.5400000000000773E-2</v>
      </c>
      <c r="AH66" s="48">
        <f>'A)NSA Nb'!AH68-'A)NSA Nb'!AG68</f>
        <v>2.4299999999996658E-2</v>
      </c>
      <c r="AI66" s="48">
        <f>'A)NSA Nb'!AI68-'A)NSA Nb'!AH68</f>
        <v>-6.1999999999926558E-3</v>
      </c>
      <c r="AJ66" s="48">
        <f>'A)NSA Nb'!AJ68-'A)NSA Nb'!AI68</f>
        <v>3.3599999999992747E-2</v>
      </c>
      <c r="AK66" s="48">
        <f>'A)NSA Nb'!AK68-'A)NSA Nb'!AJ68</f>
        <v>2.8500000000008185E-2</v>
      </c>
      <c r="AL66" s="48">
        <f>'A)NSA Nb'!AL68-'A)NSA Nb'!AK68</f>
        <v>1.6899999999992588E-2</v>
      </c>
      <c r="AM66" s="48">
        <f>'A)NSA Nb'!AM68-'A)NSA Nb'!AL68</f>
        <v>-4.199999999997317E-3</v>
      </c>
      <c r="AN66" s="48">
        <f>'A)NSA Nb'!AN68-'A)NSA Nb'!AM68</f>
        <v>1.9100000000008777E-2</v>
      </c>
      <c r="AO66" s="48">
        <f>'A)NSA Nb'!AO68-'A)NSA Nb'!AN68</f>
        <v>3.2899999999997931E-2</v>
      </c>
      <c r="AP66" s="48">
        <f>'A)NSA Nb'!AP68-'A)NSA Nb'!AO68</f>
        <v>5.3999999999945203E-3</v>
      </c>
      <c r="AQ66" s="48">
        <f>'A)NSA Nb'!AQ68-'A)NSA Nb'!AP68</f>
        <v>-1.0000000000047748E-3</v>
      </c>
      <c r="AR66" s="48">
        <f>'A)NSA Nb'!AR68-'A)NSA Nb'!AQ68</f>
        <v>1.9000000000005457E-2</v>
      </c>
      <c r="AS66" s="48">
        <f>'A)NSA Nb'!AS68-'A)NSA Nb'!AR68</f>
        <v>3.8899999999998158E-2</v>
      </c>
      <c r="AT66" s="48">
        <f>'A)NSA Nb'!AT68-'A)NSA Nb'!AS68</f>
        <v>8.6000000000012733E-3</v>
      </c>
      <c r="AU66" s="48">
        <f>'A)NSA Nb'!AU68-'A)NSA Nb'!AT68</f>
        <v>-4.0899999999993497E-2</v>
      </c>
      <c r="AV66" s="48">
        <f>'A)NSA Nb'!AV68-'A)NSA Nb'!AU68</f>
        <v>1.2299999999996203E-2</v>
      </c>
      <c r="AW66" s="48">
        <f>'A)NSA Nb'!AW68-'A)NSA Nb'!AV68</f>
        <v>3.4999999999996589E-2</v>
      </c>
      <c r="AX66" s="48">
        <f>'A)NSA Nb'!AX68-'A)NSA Nb'!AW68</f>
        <v>3.1208642831046518E-3</v>
      </c>
      <c r="AY66" s="48">
        <f>'A)NSA Nb'!AY68-'A)NSA Nb'!AX68</f>
        <v>-3.3424059651508742E-2</v>
      </c>
      <c r="AZ66" s="48">
        <f>'A)NSA Nb'!AZ68-'A)NSA Nb'!AY68</f>
        <v>-6.0767927846967495E-3</v>
      </c>
      <c r="BA66" s="48">
        <f>'A)NSA Nb'!BA68-'A)NSA Nb'!AZ68</f>
        <v>2.3328208402105588E-2</v>
      </c>
      <c r="BB66" s="48">
        <f>'A)NSA Nb'!BB68-'A)NSA Nb'!BA68</f>
        <v>4.3308722232922037E-3</v>
      </c>
      <c r="BC66" s="48">
        <f>'A)NSA Nb'!BC68-'A)NSA Nb'!BB68</f>
        <v>-8.1405309675588455E-2</v>
      </c>
      <c r="BD66" s="48">
        <f>'A)NSA Nb'!BD68-'A)NSA Nb'!BC68</f>
        <v>-6.0771506129100317E-3</v>
      </c>
      <c r="BE66" s="48">
        <f>'A)NSA Nb'!BE68-'A)NSA Nb'!BD68</f>
        <v>1.3501669052402576E-2</v>
      </c>
      <c r="BF66" s="48">
        <f>'A)NSA Nb'!BF68-'A)NSA Nb'!BE68</f>
        <v>2.1377307432700832E-2</v>
      </c>
      <c r="BG66" s="48">
        <f>'A)NSA Nb'!BG68-'A)NSA Nb'!BF68</f>
        <v>-2.7025778269901934E-2</v>
      </c>
      <c r="BH66" s="48">
        <f>'A)NSA Nb'!BH68-'A)NSA Nb'!BG68</f>
        <v>1.065106245020786E-2</v>
      </c>
      <c r="BI66" s="48">
        <f>'A)NSA Nb'!BI68-'A)NSA Nb'!BH68</f>
        <v>2.6665464691987495E-2</v>
      </c>
      <c r="BJ66" s="48">
        <f>'A)NSA Nb'!BJ68-'A)NSA Nb'!BI68</f>
        <v>6.9218747260890723E-4</v>
      </c>
    </row>
    <row r="67" spans="1:62" ht="13.5" thickBot="1" x14ac:dyDescent="0.35">
      <c r="A67" s="11"/>
      <c r="B67" s="11"/>
      <c r="C67" s="36"/>
      <c r="D67" s="36"/>
      <c r="E67" s="36"/>
      <c r="F67" s="36"/>
      <c r="G67" s="36"/>
      <c r="H67" s="36"/>
      <c r="I67" s="36"/>
      <c r="J67" s="36"/>
      <c r="K67" s="143"/>
      <c r="L67" s="143"/>
      <c r="M67" s="36"/>
      <c r="N67" s="36"/>
      <c r="O67" s="36"/>
      <c r="P67" s="36"/>
      <c r="Q67" s="36"/>
      <c r="R67" s="36"/>
      <c r="S67" s="36"/>
      <c r="T67" s="36"/>
      <c r="U67" s="36"/>
      <c r="V67" s="36"/>
      <c r="W67" s="36"/>
      <c r="X67" s="36"/>
      <c r="Y67" s="36"/>
      <c r="Z67" s="36"/>
      <c r="AA67" s="36"/>
      <c r="AB67" s="36"/>
      <c r="AC67" s="36"/>
      <c r="AD67" s="36"/>
      <c r="AE67" s="36"/>
      <c r="AF67" s="36"/>
      <c r="AG67" s="36"/>
      <c r="AH67" s="36"/>
      <c r="AI67" s="36"/>
      <c r="AJ67" s="36"/>
      <c r="AM67" s="36"/>
      <c r="AN67" s="36"/>
      <c r="AO67" s="36"/>
    </row>
    <row r="68" spans="1:62" ht="13" x14ac:dyDescent="0.3">
      <c r="A68" s="26"/>
      <c r="B68" s="26"/>
      <c r="C68" s="41"/>
      <c r="D68" s="41"/>
      <c r="E68" s="41"/>
      <c r="F68" s="41"/>
      <c r="G68" s="41"/>
      <c r="H68" s="41"/>
      <c r="I68" s="41"/>
      <c r="J68" s="41"/>
      <c r="K68" s="147"/>
      <c r="L68" s="147"/>
      <c r="M68" s="41"/>
      <c r="N68" s="41"/>
      <c r="O68" s="41"/>
      <c r="P68" s="41"/>
      <c r="Q68" s="41"/>
      <c r="R68" s="41"/>
      <c r="S68" s="41"/>
      <c r="T68" s="41"/>
      <c r="U68" s="41"/>
      <c r="V68" s="41"/>
      <c r="W68" s="41"/>
      <c r="X68" s="41"/>
      <c r="Y68" s="41"/>
      <c r="Z68" s="41"/>
      <c r="AA68" s="41"/>
      <c r="AB68" s="41"/>
      <c r="AC68" s="41"/>
      <c r="AD68" s="41"/>
      <c r="AE68" s="41"/>
      <c r="AF68" s="41"/>
      <c r="AG68" s="41"/>
      <c r="AH68" s="41"/>
      <c r="AI68" s="41"/>
      <c r="AJ68" s="41"/>
      <c r="AM68" s="41"/>
      <c r="AN68" s="41"/>
      <c r="AO68" s="41"/>
      <c r="BB68" s="377" t="s">
        <v>241</v>
      </c>
      <c r="BC68" s="377"/>
      <c r="BD68" s="377"/>
      <c r="BE68" s="377"/>
      <c r="BF68" s="377"/>
      <c r="BG68" s="377"/>
      <c r="BH68" s="377"/>
      <c r="BI68" s="377"/>
      <c r="BJ68" s="377"/>
    </row>
    <row r="69" spans="1:62" ht="13" x14ac:dyDescent="0.3">
      <c r="A69" s="26" t="s">
        <v>245</v>
      </c>
      <c r="B69" s="26"/>
      <c r="C69" s="41"/>
      <c r="D69" s="41"/>
      <c r="E69" s="41"/>
      <c r="F69" s="41"/>
      <c r="G69" s="41"/>
      <c r="H69" s="41"/>
      <c r="I69" s="41"/>
      <c r="J69" s="41"/>
      <c r="K69" s="147"/>
      <c r="L69" s="147"/>
      <c r="M69" s="41"/>
      <c r="N69" s="41"/>
      <c r="O69" s="41"/>
      <c r="P69" s="41"/>
      <c r="Q69" s="41"/>
      <c r="R69" s="41"/>
      <c r="S69" s="41"/>
      <c r="T69" s="41"/>
      <c r="U69" s="41"/>
      <c r="V69" s="41"/>
      <c r="W69" s="41"/>
      <c r="X69" s="41"/>
      <c r="Y69" s="41"/>
      <c r="Z69" s="41"/>
      <c r="AA69" s="41"/>
      <c r="AB69" s="41"/>
      <c r="AC69" s="41"/>
      <c r="AD69" s="41"/>
      <c r="AE69" s="41"/>
      <c r="AF69" s="41"/>
      <c r="AG69" s="41"/>
      <c r="AH69" s="41"/>
      <c r="AI69" s="41"/>
      <c r="AJ69" s="41"/>
      <c r="AM69" s="41"/>
      <c r="AN69" s="41"/>
      <c r="AO69" s="41"/>
      <c r="BB69" s="383" t="s">
        <v>244</v>
      </c>
      <c r="BC69" s="383"/>
      <c r="BD69" s="383"/>
      <c r="BE69" s="383"/>
      <c r="BF69" s="383"/>
      <c r="BG69" s="383"/>
      <c r="BH69" s="383"/>
      <c r="BI69" s="383"/>
      <c r="BJ69" s="383"/>
    </row>
    <row r="70" spans="1:62" ht="13" x14ac:dyDescent="0.3">
      <c r="A70" s="107" t="s">
        <v>81</v>
      </c>
      <c r="B70" s="27" t="str">
        <f t="shared" ref="B70:H70" si="171">B8</f>
        <v>4eme T 2009</v>
      </c>
      <c r="C70" s="49" t="str">
        <f t="shared" si="171"/>
        <v>1er T 2010</v>
      </c>
      <c r="D70" s="49" t="str">
        <f t="shared" si="171"/>
        <v>2eme T 2010</v>
      </c>
      <c r="E70" s="49" t="str">
        <f t="shared" si="171"/>
        <v>3eme T 2010</v>
      </c>
      <c r="F70" s="49" t="str">
        <f t="shared" si="171"/>
        <v>4eme T 2010</v>
      </c>
      <c r="G70" s="49" t="str">
        <f t="shared" si="171"/>
        <v>1er T 2011</v>
      </c>
      <c r="H70" s="49" t="str">
        <f t="shared" si="171"/>
        <v>2eme T 2011</v>
      </c>
      <c r="I70" s="49" t="str">
        <f t="shared" ref="I70:N70" si="172">I8</f>
        <v>3eme T 2011</v>
      </c>
      <c r="J70" s="49" t="str">
        <f t="shared" si="172"/>
        <v>4eme T 2011</v>
      </c>
      <c r="K70" s="49" t="str">
        <f t="shared" si="172"/>
        <v>1er T 2012</v>
      </c>
      <c r="L70" s="49" t="str">
        <f t="shared" si="172"/>
        <v>2eme T 2012</v>
      </c>
      <c r="M70" s="49" t="str">
        <f t="shared" si="172"/>
        <v>3eme T 2012</v>
      </c>
      <c r="N70" s="49" t="str">
        <f t="shared" si="172"/>
        <v>4eme T 2012</v>
      </c>
      <c r="O70" s="49" t="str">
        <f t="shared" ref="O70:T70" si="173">O8</f>
        <v>1er T 2013</v>
      </c>
      <c r="P70" s="49" t="str">
        <f t="shared" si="173"/>
        <v>2e T 2013</v>
      </c>
      <c r="Q70" s="49" t="str">
        <f t="shared" si="173"/>
        <v>3e T 2013</v>
      </c>
      <c r="R70" s="49" t="str">
        <f t="shared" si="173"/>
        <v>4e T 2013</v>
      </c>
      <c r="S70" s="49" t="str">
        <f t="shared" si="173"/>
        <v>1er T 2014</v>
      </c>
      <c r="T70" s="49" t="str">
        <f t="shared" si="173"/>
        <v>2e T 2014</v>
      </c>
      <c r="U70" s="49" t="str">
        <f t="shared" ref="U70:V70" si="174">U8</f>
        <v>3e T 2014</v>
      </c>
      <c r="V70" s="49" t="str">
        <f t="shared" si="174"/>
        <v>4e T 2014</v>
      </c>
      <c r="W70" s="49" t="str">
        <f t="shared" ref="W70:X70" si="175">W8</f>
        <v>1er T 2015</v>
      </c>
      <c r="X70" s="49" t="str">
        <f t="shared" si="175"/>
        <v>2e T 2015</v>
      </c>
      <c r="Y70" s="49" t="str">
        <f t="shared" ref="Y70:Z70" si="176">Y8</f>
        <v>3e T 2015</v>
      </c>
      <c r="Z70" s="49" t="str">
        <f t="shared" si="176"/>
        <v>4e T 2015</v>
      </c>
      <c r="AA70" s="49" t="str">
        <f t="shared" ref="AA70:AB70" si="177">AA8</f>
        <v>1er T 2016</v>
      </c>
      <c r="AB70" s="49" t="str">
        <f t="shared" si="177"/>
        <v>2e T 2016</v>
      </c>
      <c r="AC70" s="49" t="str">
        <f t="shared" ref="AC70" si="178">AC8</f>
        <v>3e T 2016</v>
      </c>
      <c r="AD70" s="49" t="str">
        <f t="shared" ref="AD70:AE70" si="179">AD8</f>
        <v>4e T 2016</v>
      </c>
      <c r="AE70" s="49" t="str">
        <f t="shared" si="179"/>
        <v>1e T 2017</v>
      </c>
      <c r="AF70" s="49" t="str">
        <f t="shared" ref="AF70:AG70" si="180">AF8</f>
        <v>2e T 2017</v>
      </c>
      <c r="AG70" s="49" t="str">
        <f t="shared" si="180"/>
        <v>3e T 2017</v>
      </c>
      <c r="AH70" s="49" t="str">
        <f t="shared" ref="AH70:AI70" si="181">AH8</f>
        <v>4e T 2017</v>
      </c>
      <c r="AI70" s="49" t="str">
        <f t="shared" si="181"/>
        <v>1e T 2018</v>
      </c>
      <c r="AJ70" s="49" t="str">
        <f t="shared" ref="AJ70:AK70" si="182">AJ8</f>
        <v>2e T 2018</v>
      </c>
      <c r="AK70" s="49" t="str">
        <f t="shared" si="182"/>
        <v>3e T 2018</v>
      </c>
      <c r="AL70" s="49" t="str">
        <f t="shared" ref="AL70:AM70" si="183">AL8</f>
        <v>4e T 2018</v>
      </c>
      <c r="AM70" s="49" t="str">
        <f t="shared" si="183"/>
        <v>1e T 2019</v>
      </c>
      <c r="AN70" s="49" t="str">
        <f t="shared" ref="AN70:AP70" si="184">AN8</f>
        <v>2e T 2019</v>
      </c>
      <c r="AO70" s="49" t="str">
        <f t="shared" si="184"/>
        <v>3e T 2019</v>
      </c>
      <c r="AP70" s="49" t="str">
        <f t="shared" si="184"/>
        <v>4e T 2019</v>
      </c>
      <c r="AQ70" s="49" t="str">
        <f t="shared" ref="AQ70" si="185">AQ8</f>
        <v>1e T 2020</v>
      </c>
      <c r="AR70" s="49" t="str">
        <f t="shared" ref="AR70:AS70" si="186">AR8</f>
        <v>2e T 2020</v>
      </c>
      <c r="AS70" s="49" t="str">
        <f t="shared" si="186"/>
        <v>3e T 2020</v>
      </c>
      <c r="AT70" s="49" t="str">
        <f t="shared" ref="AT70:AU70" si="187">AT8</f>
        <v>4e T 2020</v>
      </c>
      <c r="AU70" s="49" t="str">
        <f t="shared" si="187"/>
        <v>1er T 2021</v>
      </c>
      <c r="AV70" s="49" t="str">
        <f t="shared" ref="AV70:AW70" si="188">AV8</f>
        <v>2e T 2021</v>
      </c>
      <c r="AW70" s="49" t="str">
        <f t="shared" si="188"/>
        <v>3e T 2021</v>
      </c>
      <c r="AX70" s="49" t="str">
        <f t="shared" ref="AX70:AY70" si="189">AX8</f>
        <v>4e T 2021</v>
      </c>
      <c r="AY70" s="49" t="str">
        <f t="shared" si="189"/>
        <v>1er T 2022</v>
      </c>
      <c r="AZ70" s="49" t="str">
        <f t="shared" ref="AZ70:BA70" si="190">AZ8</f>
        <v>2e T 2022</v>
      </c>
      <c r="BA70" s="49" t="str">
        <f t="shared" si="190"/>
        <v>3e T 2022</v>
      </c>
      <c r="BB70" s="49" t="str">
        <f t="shared" ref="BB70:BC70" si="191">BB8</f>
        <v>4e T 2022</v>
      </c>
      <c r="BC70" s="49" t="str">
        <f t="shared" si="191"/>
        <v>1er T 2023</v>
      </c>
      <c r="BD70" s="49" t="str">
        <f t="shared" ref="BD70:BE70" si="192">BD8</f>
        <v>2e T 2023</v>
      </c>
      <c r="BE70" s="49" t="str">
        <f t="shared" si="192"/>
        <v>3e T 2023</v>
      </c>
      <c r="BF70" s="49" t="str">
        <f t="shared" ref="BF70:BG70" si="193">BF8</f>
        <v>4e T 2023</v>
      </c>
      <c r="BG70" s="49" t="str">
        <f t="shared" si="193"/>
        <v>1er T 2024</v>
      </c>
      <c r="BH70" s="49" t="str">
        <f t="shared" ref="BH70:BI70" si="194">BH8</f>
        <v>2e T 2024</v>
      </c>
      <c r="BI70" s="49" t="str">
        <f t="shared" si="194"/>
        <v>3e T 2024</v>
      </c>
      <c r="BJ70" s="49" t="str">
        <f t="shared" ref="BJ70" si="195">BJ8</f>
        <v>4e T 2024</v>
      </c>
    </row>
    <row r="71" spans="1:62" x14ac:dyDescent="0.25">
      <c r="A71" s="22" t="s">
        <v>253</v>
      </c>
      <c r="B71" s="33"/>
      <c r="C71" s="106">
        <f>('A)NSA Nb'!C73-'A)NSA Nb'!B73)*100</f>
        <v>0.39659401992166998</v>
      </c>
      <c r="D71" s="106">
        <f>('A)NSA Nb'!D73-'A)NSA Nb'!C73)*100</f>
        <v>0.41745983443539636</v>
      </c>
      <c r="E71" s="106">
        <f>('A)NSA Nb'!E73-'A)NSA Nb'!D73)*100</f>
        <v>0.37322827069220521</v>
      </c>
      <c r="F71" s="106">
        <f>('A)NSA Nb'!F73-'A)NSA Nb'!E73)*100</f>
        <v>0.34551628747414576</v>
      </c>
      <c r="G71" s="106">
        <f>('A)NSA Nb'!G73-'A)NSA Nb'!F73)*100</f>
        <v>0.37902499785267274</v>
      </c>
      <c r="H71" s="106">
        <f>('A)NSA Nb'!H73-'A)NSA Nb'!G73)*100</f>
        <v>0.39961589347173865</v>
      </c>
      <c r="I71" s="106">
        <f>('A)NSA Nb'!I73-'A)NSA Nb'!H73)*100</f>
        <v>0.32674869561204467</v>
      </c>
      <c r="J71" s="106">
        <f>('A)NSA Nb'!J73-'A)NSA Nb'!I73)*100</f>
        <v>0.31697253095170907</v>
      </c>
      <c r="K71" s="106">
        <f>('A)NSA Nb'!K73-'A)NSA Nb'!J73)*100</f>
        <v>0.35000480555352764</v>
      </c>
      <c r="L71" s="106">
        <f>('A)NSA Nb'!L73-'A)NSA Nb'!K73)*100</f>
        <v>0.41527224667604612</v>
      </c>
      <c r="M71" s="106">
        <f>('A)NSA Nb'!M73-'A)NSA Nb'!L73)*100</f>
        <v>0.32352881512960341</v>
      </c>
      <c r="N71" s="106">
        <f>('A)NSA Nb'!N73-'A)NSA Nb'!M73)*100</f>
        <v>0.29426781681877179</v>
      </c>
      <c r="O71" s="106">
        <f>('A)NSA Nb'!O73-'A)NSA Nb'!N73)*100</f>
        <v>0.34751235231937905</v>
      </c>
      <c r="P71" s="106">
        <f>('A)NSA Nb'!P73-'A)NSA Nb'!O73)*100</f>
        <v>0.38217547675551966</v>
      </c>
      <c r="Q71" s="106">
        <f>('A)NSA Nb'!Q73-'A)NSA Nb'!P73)*100</f>
        <v>0.31087437715864308</v>
      </c>
      <c r="R71" s="106">
        <f>('A)NSA Nb'!R73-'A)NSA Nb'!Q73)*100</f>
        <v>0.28074020313875181</v>
      </c>
      <c r="S71" s="106">
        <f>('A)NSA Nb'!S73-'A)NSA Nb'!R73)*100</f>
        <v>0.29949739782185736</v>
      </c>
      <c r="T71" s="106">
        <f>('A)NSA Nb'!T73-'A)NSA Nb'!S73)*100</f>
        <v>0.30880809466168335</v>
      </c>
      <c r="U71" s="106">
        <f>('A)NSA Nb'!U73-'A)NSA Nb'!T73)*100</f>
        <v>0.28608602096764635</v>
      </c>
      <c r="V71" s="106">
        <f>('A)NSA Nb'!V73-'A)NSA Nb'!U73)*100</f>
        <v>0.26810601514579702</v>
      </c>
      <c r="W71" s="106">
        <f>('A)NSA Nb'!W73-'A)NSA Nb'!V73)*100</f>
        <v>0.31051923346258059</v>
      </c>
      <c r="X71" s="106">
        <f>('A)NSA Nb'!X73-'A)NSA Nb'!W73)*100</f>
        <v>0.32843512733155</v>
      </c>
      <c r="Y71" s="106">
        <f>('A)NSA Nb'!Y73-'A)NSA Nb'!X73)*100</f>
        <v>0.27117857273782908</v>
      </c>
      <c r="Z71" s="106">
        <f>('A)NSA Nb'!Z73-'A)NSA Nb'!Y73)*100</f>
        <v>0.24416020641441216</v>
      </c>
      <c r="AA71" s="106">
        <f>('A)NSA Nb'!AA73-'A)NSA Nb'!Z73)*100</f>
        <v>0.283943847585022</v>
      </c>
      <c r="AB71" s="106">
        <f>('A)NSA Nb'!AB73-'A)NSA Nb'!AA73)*100</f>
        <v>0.28273385688721842</v>
      </c>
      <c r="AC71" s="106">
        <f>('A)NSA Nb'!AC73-'A)NSA Nb'!AB73)*100</f>
        <v>0.24858733762138652</v>
      </c>
      <c r="AD71" s="106">
        <f>('A)NSA Nb'!AD73-'A)NSA Nb'!AC73)*100</f>
        <v>0.21041990856610626</v>
      </c>
      <c r="AE71" s="106">
        <f>('A)NSA Nb'!AE73-'A)NSA Nb'!AD73)*100</f>
        <v>0.27702243072045274</v>
      </c>
      <c r="AF71" s="106">
        <f>('A)NSA Nb'!AF73-'A)NSA Nb'!AE73)*100</f>
        <v>0.28624056434878309</v>
      </c>
      <c r="AG71" s="106">
        <f>('A)NSA Nb'!AG73-'A)NSA Nb'!AF73)*100</f>
        <v>0.21633080335967669</v>
      </c>
      <c r="AH71" s="106">
        <f>('A)NSA Nb'!AH73-'A)NSA Nb'!AG73)*100</f>
        <v>0.19298327852204089</v>
      </c>
      <c r="AI71" s="106">
        <f>('A)NSA Nb'!AI73-'A)NSA Nb'!AH73)*100</f>
        <v>0.22656285604469861</v>
      </c>
      <c r="AJ71" s="106">
        <f>('A)NSA Nb'!AJ73-'A)NSA Nb'!AI73)*100</f>
        <v>0.23395165367959825</v>
      </c>
      <c r="AK71" s="106">
        <f>('A)NSA Nb'!AK73-'A)NSA Nb'!AJ73)*100</f>
        <v>0.20497398797969524</v>
      </c>
      <c r="AL71" s="106">
        <f>('A)NSA Nb'!AL73-'A)NSA Nb'!AK73)*100</f>
        <v>0.16203415919828767</v>
      </c>
      <c r="AM71" s="106">
        <f>('A)NSA Nb'!AM73-'A)NSA Nb'!AL73)*100</f>
        <v>0.17665683719353398</v>
      </c>
      <c r="AN71" s="106">
        <f>('A)NSA Nb'!AN73-'A)NSA Nb'!AM73)*100</f>
        <v>0.20549100753244343</v>
      </c>
      <c r="AO71" s="106">
        <f>('A)NSA Nb'!AO73-'A)NSA Nb'!AN73)*100</f>
        <v>0.1722336868733354</v>
      </c>
      <c r="AP71" s="106">
        <f>('A)NSA Nb'!AP73-'A)NSA Nb'!AO73)*100</f>
        <v>0.12004103904208474</v>
      </c>
      <c r="AQ71" s="106">
        <f>('A)NSA Nb'!AQ73-'A)NSA Nb'!AP73)*100</f>
        <v>0.14102360511347722</v>
      </c>
      <c r="AR71" s="106">
        <f>('A)NSA Nb'!AR73-'A)NSA Nb'!AQ73)*100</f>
        <v>0.17555751605734526</v>
      </c>
      <c r="AS71" s="106">
        <f>('A)NSA Nb'!AS73-'A)NSA Nb'!AR73)*100</f>
        <v>0.1489926416681997</v>
      </c>
      <c r="AT71" s="106">
        <f>('A)NSA Nb'!AT73-'A)NSA Nb'!AS73)*100</f>
        <v>9.9742034282290781E-2</v>
      </c>
      <c r="AU71" s="106">
        <f>('A)NSA Nb'!AU73-'A)NSA Nb'!AT73)*100</f>
        <v>0.15344030213859661</v>
      </c>
      <c r="AV71" s="106">
        <f>('A)NSA Nb'!AV73-'A)NSA Nb'!AU73)*100</f>
        <v>0.16101803491542777</v>
      </c>
      <c r="AW71" s="106">
        <f>('A)NSA Nb'!AW73-'A)NSA Nb'!AV73)*100</f>
        <v>0.11725517324596701</v>
      </c>
      <c r="AX71" s="106">
        <f>('A)NSA Nb'!AX73-'A)NSA Nb'!AW73)*100</f>
        <v>7.8677069466903671E-2</v>
      </c>
      <c r="AY71" s="106">
        <f>('A)NSA Nb'!AY73-'A)NSA Nb'!AX73)*100</f>
        <v>-20.804506960319635</v>
      </c>
      <c r="AZ71" s="106">
        <f>('A)NSA Nb'!AZ73-'A)NSA Nb'!AY73)*100</f>
        <v>0.56369235737510071</v>
      </c>
      <c r="BA71" s="106">
        <f>('A)NSA Nb'!BA73-'A)NSA Nb'!AZ73)*100</f>
        <v>0.47903377495344124</v>
      </c>
      <c r="BB71" s="400">
        <f>('A)NSA Nb'!BB73-'A)NSA Nb'!BA73)*100</f>
        <v>0.37697737444661872</v>
      </c>
      <c r="BC71" s="456">
        <f>('A)NSA Nb'!BC73-'A)NSA Nb'!BB73)*100</f>
        <v>0.64023390505574262</v>
      </c>
      <c r="BD71" s="456">
        <f>('A)NSA Nb'!BD73-'A)NSA Nb'!BC73)*100</f>
        <v>0.50618305928918916</v>
      </c>
      <c r="BE71" s="456">
        <f>('A)NSA Nb'!BE73-'A)NSA Nb'!BD73)*100</f>
        <v>0.4363588356240844</v>
      </c>
      <c r="BF71" s="456">
        <f>('A)NSA Nb'!BF73-'A)NSA Nb'!BE73)*100</f>
        <v>0.34885095349047601</v>
      </c>
      <c r="BG71" s="456">
        <f>('A)NSA Nb'!BG73-'A)NSA Nb'!BF73)*100</f>
        <v>0.47601977174031029</v>
      </c>
      <c r="BH71" s="456">
        <f>('A)NSA Nb'!BH73-'A)NSA Nb'!BG73)*100</f>
        <v>0.48528741171544043</v>
      </c>
      <c r="BI71" s="456">
        <f>('A)NSA Nb'!BI73-'A)NSA Nb'!BH73)*100</f>
        <v>0.40661640984372971</v>
      </c>
      <c r="BJ71" s="456">
        <f>('A)NSA Nb'!BJ73-'A)NSA Nb'!BI73)*100</f>
        <v>0.35149342700644404</v>
      </c>
    </row>
    <row r="72" spans="1:62" ht="13" x14ac:dyDescent="0.3">
      <c r="A72" s="26"/>
      <c r="B72" s="56"/>
      <c r="C72" s="56"/>
      <c r="D72" s="56"/>
      <c r="E72" s="56"/>
      <c r="F72" s="56"/>
      <c r="G72" s="56"/>
      <c r="H72" s="56"/>
      <c r="I72" s="56"/>
      <c r="J72" s="56"/>
      <c r="K72" s="163"/>
      <c r="L72" s="163"/>
      <c r="M72" s="56"/>
      <c r="N72" s="56"/>
      <c r="O72" s="56"/>
      <c r="P72" s="56"/>
      <c r="Q72" s="56"/>
      <c r="R72" s="56"/>
      <c r="S72" s="56"/>
      <c r="T72" s="56"/>
      <c r="U72" s="56"/>
      <c r="V72" s="56"/>
      <c r="W72" s="56"/>
      <c r="X72" s="56"/>
      <c r="Y72" s="56"/>
      <c r="Z72" s="56"/>
      <c r="AA72" s="56"/>
      <c r="AB72" s="56"/>
      <c r="AC72" s="56"/>
      <c r="AD72" s="56"/>
      <c r="AE72" s="56"/>
      <c r="AF72" s="56"/>
      <c r="AG72" s="56"/>
      <c r="AH72" s="56"/>
      <c r="AI72" s="56"/>
      <c r="AJ72" s="56"/>
      <c r="AM72" s="56"/>
      <c r="AN72" s="56"/>
      <c r="AO72" s="56"/>
    </row>
    <row r="73" spans="1:62" ht="13" x14ac:dyDescent="0.3">
      <c r="A73" s="26" t="s">
        <v>32</v>
      </c>
      <c r="B73" s="26"/>
      <c r="C73" s="41"/>
      <c r="D73" s="41"/>
      <c r="E73" s="41"/>
      <c r="F73" s="41"/>
      <c r="G73" s="41"/>
      <c r="H73" s="41"/>
      <c r="I73" s="41"/>
      <c r="J73" s="41"/>
      <c r="K73" s="147"/>
      <c r="L73" s="147"/>
      <c r="M73" s="41"/>
      <c r="N73" s="41"/>
      <c r="O73" s="41"/>
      <c r="P73" s="41"/>
      <c r="Q73" s="41"/>
      <c r="R73" s="41"/>
      <c r="S73" s="41"/>
      <c r="T73" s="41"/>
      <c r="U73" s="41"/>
      <c r="V73" s="41"/>
      <c r="W73" s="41"/>
      <c r="X73" s="41"/>
      <c r="Y73" s="41"/>
      <c r="Z73" s="41"/>
      <c r="AA73" s="41"/>
      <c r="AB73" s="41"/>
      <c r="AC73" s="41"/>
      <c r="AD73" s="41"/>
      <c r="AE73" s="41"/>
      <c r="AF73" s="41"/>
      <c r="AG73" s="41"/>
      <c r="AH73" s="41"/>
      <c r="AI73" s="41"/>
      <c r="AJ73" s="41"/>
      <c r="AM73" s="41"/>
      <c r="AN73" s="41"/>
      <c r="AO73" s="41"/>
    </row>
    <row r="74" spans="1:62" ht="13" x14ac:dyDescent="0.3">
      <c r="A74" s="107" t="s">
        <v>82</v>
      </c>
      <c r="B74" s="27" t="str">
        <f t="shared" ref="B74:H74" si="196">B8</f>
        <v>4eme T 2009</v>
      </c>
      <c r="C74" s="49" t="str">
        <f t="shared" si="196"/>
        <v>1er T 2010</v>
      </c>
      <c r="D74" s="49" t="str">
        <f t="shared" si="196"/>
        <v>2eme T 2010</v>
      </c>
      <c r="E74" s="49" t="str">
        <f t="shared" si="196"/>
        <v>3eme T 2010</v>
      </c>
      <c r="F74" s="49" t="str">
        <f t="shared" si="196"/>
        <v>4eme T 2010</v>
      </c>
      <c r="G74" s="49" t="str">
        <f t="shared" si="196"/>
        <v>1er T 2011</v>
      </c>
      <c r="H74" s="49" t="str">
        <f t="shared" si="196"/>
        <v>2eme T 2011</v>
      </c>
      <c r="I74" s="49" t="str">
        <f t="shared" ref="I74:N74" si="197">I8</f>
        <v>3eme T 2011</v>
      </c>
      <c r="J74" s="49" t="str">
        <f t="shared" si="197"/>
        <v>4eme T 2011</v>
      </c>
      <c r="K74" s="49" t="str">
        <f t="shared" si="197"/>
        <v>1er T 2012</v>
      </c>
      <c r="L74" s="49" t="str">
        <f t="shared" si="197"/>
        <v>2eme T 2012</v>
      </c>
      <c r="M74" s="49" t="str">
        <f t="shared" si="197"/>
        <v>3eme T 2012</v>
      </c>
      <c r="N74" s="49" t="str">
        <f t="shared" si="197"/>
        <v>4eme T 2012</v>
      </c>
      <c r="O74" s="49" t="str">
        <f t="shared" ref="O74:T74" si="198">O8</f>
        <v>1er T 2013</v>
      </c>
      <c r="P74" s="49" t="str">
        <f t="shared" si="198"/>
        <v>2e T 2013</v>
      </c>
      <c r="Q74" s="49" t="str">
        <f t="shared" si="198"/>
        <v>3e T 2013</v>
      </c>
      <c r="R74" s="49" t="str">
        <f t="shared" si="198"/>
        <v>4e T 2013</v>
      </c>
      <c r="S74" s="49" t="str">
        <f t="shared" si="198"/>
        <v>1er T 2014</v>
      </c>
      <c r="T74" s="49" t="str">
        <f t="shared" si="198"/>
        <v>2e T 2014</v>
      </c>
      <c r="U74" s="49" t="str">
        <f t="shared" ref="U74:V74" si="199">U8</f>
        <v>3e T 2014</v>
      </c>
      <c r="V74" s="49" t="str">
        <f t="shared" si="199"/>
        <v>4e T 2014</v>
      </c>
      <c r="W74" s="49" t="str">
        <f t="shared" ref="W74:X74" si="200">W8</f>
        <v>1er T 2015</v>
      </c>
      <c r="X74" s="49" t="str">
        <f t="shared" si="200"/>
        <v>2e T 2015</v>
      </c>
      <c r="Y74" s="49" t="str">
        <f t="shared" ref="Y74:Z74" si="201">Y8</f>
        <v>3e T 2015</v>
      </c>
      <c r="Z74" s="49" t="str">
        <f t="shared" si="201"/>
        <v>4e T 2015</v>
      </c>
      <c r="AA74" s="49" t="str">
        <f t="shared" ref="AA74:AB74" si="202">AA8</f>
        <v>1er T 2016</v>
      </c>
      <c r="AB74" s="49" t="str">
        <f t="shared" si="202"/>
        <v>2e T 2016</v>
      </c>
      <c r="AC74" s="49" t="str">
        <f t="shared" ref="AC74" si="203">AC8</f>
        <v>3e T 2016</v>
      </c>
      <c r="AD74" s="49" t="str">
        <f t="shared" ref="AD74:AE74" si="204">AD8</f>
        <v>4e T 2016</v>
      </c>
      <c r="AE74" s="49" t="str">
        <f t="shared" si="204"/>
        <v>1e T 2017</v>
      </c>
      <c r="AF74" s="49" t="str">
        <f t="shared" ref="AF74:AG74" si="205">AF8</f>
        <v>2e T 2017</v>
      </c>
      <c r="AG74" s="49" t="str">
        <f t="shared" si="205"/>
        <v>3e T 2017</v>
      </c>
      <c r="AH74" s="49" t="str">
        <f t="shared" ref="AH74:AI74" si="206">AH8</f>
        <v>4e T 2017</v>
      </c>
      <c r="AI74" s="49" t="str">
        <f t="shared" si="206"/>
        <v>1e T 2018</v>
      </c>
      <c r="AJ74" s="49" t="str">
        <f t="shared" ref="AJ74:AK74" si="207">AJ8</f>
        <v>2e T 2018</v>
      </c>
      <c r="AK74" s="49" t="str">
        <f t="shared" si="207"/>
        <v>3e T 2018</v>
      </c>
      <c r="AL74" s="49" t="str">
        <f t="shared" ref="AL74:AM74" si="208">AL8</f>
        <v>4e T 2018</v>
      </c>
      <c r="AM74" s="49" t="str">
        <f t="shared" si="208"/>
        <v>1e T 2019</v>
      </c>
      <c r="AN74" s="49" t="str">
        <f t="shared" ref="AN74:AP74" si="209">AN8</f>
        <v>2e T 2019</v>
      </c>
      <c r="AO74" s="49" t="str">
        <f t="shared" si="209"/>
        <v>3e T 2019</v>
      </c>
      <c r="AP74" s="49" t="str">
        <f t="shared" si="209"/>
        <v>4e T 2019</v>
      </c>
      <c r="AQ74" s="49" t="str">
        <f t="shared" ref="AQ74" si="210">AQ8</f>
        <v>1e T 2020</v>
      </c>
      <c r="AR74" s="49" t="str">
        <f t="shared" ref="AR74:AS74" si="211">AR8</f>
        <v>2e T 2020</v>
      </c>
      <c r="AS74" s="49" t="str">
        <f t="shared" si="211"/>
        <v>3e T 2020</v>
      </c>
      <c r="AT74" s="49" t="str">
        <f t="shared" ref="AT74:AU74" si="212">AT8</f>
        <v>4e T 2020</v>
      </c>
      <c r="AU74" s="49" t="str">
        <f t="shared" si="212"/>
        <v>1er T 2021</v>
      </c>
      <c r="AV74" s="49" t="str">
        <f t="shared" ref="AV74:AW74" si="213">AV8</f>
        <v>2e T 2021</v>
      </c>
      <c r="AW74" s="49" t="str">
        <f t="shared" si="213"/>
        <v>3e T 2021</v>
      </c>
      <c r="AX74" s="49" t="str">
        <f t="shared" ref="AX74:AY74" si="214">AX8</f>
        <v>4e T 2021</v>
      </c>
      <c r="AY74" s="49" t="str">
        <f t="shared" si="214"/>
        <v>1er T 2022</v>
      </c>
      <c r="AZ74" s="49" t="str">
        <f t="shared" ref="AZ74:BA74" si="215">AZ8</f>
        <v>2e T 2022</v>
      </c>
      <c r="BA74" s="49" t="str">
        <f t="shared" si="215"/>
        <v>3e T 2022</v>
      </c>
      <c r="BB74" s="49" t="str">
        <f t="shared" ref="BB74:BC74" si="216">BB8</f>
        <v>4e T 2022</v>
      </c>
      <c r="BC74" s="49" t="str">
        <f t="shared" si="216"/>
        <v>1er T 2023</v>
      </c>
      <c r="BD74" s="49" t="str">
        <f t="shared" ref="BD74:BE74" si="217">BD8</f>
        <v>2e T 2023</v>
      </c>
      <c r="BE74" s="49" t="str">
        <f t="shared" si="217"/>
        <v>3e T 2023</v>
      </c>
      <c r="BF74" s="49" t="str">
        <f t="shared" ref="BF74:BG74" si="218">BF8</f>
        <v>4e T 2023</v>
      </c>
      <c r="BG74" s="49" t="str">
        <f t="shared" si="218"/>
        <v>1er T 2024</v>
      </c>
      <c r="BH74" s="49" t="str">
        <f t="shared" ref="BH74:BI74" si="219">BH8</f>
        <v>2e T 2024</v>
      </c>
      <c r="BI74" s="49" t="str">
        <f t="shared" si="219"/>
        <v>3e T 2024</v>
      </c>
      <c r="BJ74" s="49" t="str">
        <f t="shared" ref="BJ74" si="220">BJ8</f>
        <v>4e T 2024</v>
      </c>
    </row>
    <row r="75" spans="1:62" x14ac:dyDescent="0.25">
      <c r="A75" s="22" t="s">
        <v>33</v>
      </c>
      <c r="B75" s="29"/>
      <c r="C75" s="48">
        <f>'A)NSA Nb'!C77-'A)NSA Nb'!B77</f>
        <v>-6.6000000000002501E-2</v>
      </c>
      <c r="D75" s="48">
        <f>'A)NSA Nb'!D77-'A)NSA Nb'!C77</f>
        <v>-0.14699999999999136</v>
      </c>
      <c r="E75" s="48">
        <f>'A)NSA Nb'!E77-'A)NSA Nb'!D77</f>
        <v>-0.12800000000000011</v>
      </c>
      <c r="F75" s="48">
        <f>'A)NSA Nb'!F77-'A)NSA Nb'!E77</f>
        <v>-7.8000000000002956E-2</v>
      </c>
      <c r="G75" s="48">
        <f>'A)NSA Nb'!G77-'A)NSA Nb'!F77</f>
        <v>-9.0000000000003411E-2</v>
      </c>
      <c r="H75" s="48">
        <f>'A)NSA Nb'!H77-'A)NSA Nb'!G77</f>
        <v>-0.13800000000000523</v>
      </c>
      <c r="I75" s="48">
        <f>'A)NSA Nb'!I77-'A)NSA Nb'!H77</f>
        <v>-0.11499999999999488</v>
      </c>
      <c r="J75" s="48">
        <f>'A)NSA Nb'!J77-'A)NSA Nb'!I77</f>
        <v>-8.1999999999993634E-2</v>
      </c>
      <c r="K75" s="48">
        <f>'A)NSA Nb'!K77-'A)NSA Nb'!J77</f>
        <v>-8.4000000000003183E-2</v>
      </c>
      <c r="L75" s="48">
        <f>'A)NSA Nb'!L77-'A)NSA Nb'!K77</f>
        <v>-0.15000000000000568</v>
      </c>
      <c r="M75" s="48">
        <f>'A)NSA Nb'!M77-'A)NSA Nb'!L77</f>
        <v>-0.11499999999999488</v>
      </c>
      <c r="N75" s="48">
        <f>'A)NSA Nb'!N77-'A)NSA Nb'!M77</f>
        <v>-7.5000000000002842E-2</v>
      </c>
      <c r="O75" s="48">
        <f>'A)NSA Nb'!O77-'A)NSA Nb'!N77</f>
        <v>-8.2999999999998408E-2</v>
      </c>
      <c r="P75" s="48">
        <f>'A)NSA Nb'!P77-'A)NSA Nb'!O77</f>
        <v>-0.13700000000000045</v>
      </c>
      <c r="Q75" s="48">
        <f>'A)NSA Nb'!Q77-'A)NSA Nb'!P77</f>
        <v>-0.14100000000000534</v>
      </c>
      <c r="R75" s="48">
        <f>'A)NSA Nb'!R77-'A)NSA Nb'!Q77</f>
        <v>-7.0999999999997954E-2</v>
      </c>
      <c r="S75" s="48">
        <f>'A)NSA Nb'!S77-'A)NSA Nb'!R77</f>
        <v>-4.8999999999992383E-2</v>
      </c>
      <c r="T75" s="48">
        <f>'A)NSA Nb'!T77-'A)NSA Nb'!S77</f>
        <v>-9.9000000000003752E-2</v>
      </c>
      <c r="U75" s="48">
        <f>'A)NSA Nb'!U77-'A)NSA Nb'!T77</f>
        <v>-9.4999999999998863E-2</v>
      </c>
      <c r="V75" s="48">
        <f>'A)NSA Nb'!V77-'A)NSA Nb'!U77</f>
        <v>-6.799999999999784E-2</v>
      </c>
      <c r="W75" s="48">
        <f>'A)NSA Nb'!W77-'A)NSA Nb'!V77</f>
        <v>-7.5000000000002842E-2</v>
      </c>
      <c r="X75" s="48">
        <f>'A)NSA Nb'!X77-'A)NSA Nb'!W77</f>
        <v>-0.13370000000000459</v>
      </c>
      <c r="Y75" s="48">
        <f>'A)NSA Nb'!Y77-'A)NSA Nb'!X77</f>
        <v>-0.11939999999999884</v>
      </c>
      <c r="Z75" s="48">
        <f>'A)NSA Nb'!Z77-'A)NSA Nb'!Y77</f>
        <v>-3.7700000000000955E-2</v>
      </c>
      <c r="AA75" s="48">
        <f>'A)NSA Nb'!AA77-'A)NSA Nb'!Z77</f>
        <v>-5.4900000000003502E-2</v>
      </c>
      <c r="AB75" s="48">
        <f>'A)NSA Nb'!AB77-'A)NSA Nb'!AA77</f>
        <v>-0.1302999999999912</v>
      </c>
      <c r="AC75" s="48">
        <f>'A)NSA Nb'!AC77-'A)NSA Nb'!AB77</f>
        <v>-0.12460000000000093</v>
      </c>
      <c r="AD75" s="48">
        <f>'A)NSA Nb'!AD77-'A)NSA Nb'!AC77</f>
        <v>-2.7900000000002478E-2</v>
      </c>
      <c r="AE75" s="48">
        <f>'A)NSA Nb'!AE77-'A)NSA Nb'!AD77</f>
        <v>-5.3700000000006298E-2</v>
      </c>
      <c r="AF75" s="48">
        <f>'A)NSA Nb'!AF77-'A)NSA Nb'!AE77</f>
        <v>-0.12509999999998911</v>
      </c>
      <c r="AG75" s="48">
        <f>'A)NSA Nb'!AG77-'A)NSA Nb'!AF77</f>
        <v>-0.1127000000000038</v>
      </c>
      <c r="AH75" s="48">
        <f>'A)NSA Nb'!AH77-'A)NSA Nb'!AG77</f>
        <v>-1.9900000000006912E-2</v>
      </c>
      <c r="AI75" s="48">
        <f>'A)NSA Nb'!AI77-'A)NSA Nb'!AH77</f>
        <v>-8.5899999999995202E-2</v>
      </c>
      <c r="AJ75" s="48">
        <f>'A)NSA Nb'!AJ77-'A)NSA Nb'!AI77</f>
        <v>-0.10273850000000095</v>
      </c>
      <c r="AK75" s="48">
        <f>'A)NSA Nb'!AK77-'A)NSA Nb'!AJ77</f>
        <v>-0.13966150000000255</v>
      </c>
      <c r="AL75" s="48">
        <f>'A)NSA Nb'!AL77-'A)NSA Nb'!AK77</f>
        <v>0</v>
      </c>
      <c r="AM75" s="48">
        <f>'A)NSA Nb'!AM77-'A)NSA Nb'!AL77</f>
        <v>-0.10739999999999839</v>
      </c>
      <c r="AN75" s="48">
        <f>'A)NSA Nb'!AN77-'A)NSA Nb'!AM77</f>
        <v>-0.12779999999999347</v>
      </c>
      <c r="AO75" s="48">
        <f>'A)NSA Nb'!AO77-'A)NSA Nb'!AN77</f>
        <v>-0.15780000000000882</v>
      </c>
      <c r="AP75" s="48">
        <f>'A)NSA Nb'!AP77-'A)NSA Nb'!AO77</f>
        <v>-3.8699999999991519E-2</v>
      </c>
      <c r="AQ75" s="48">
        <f>'A)NSA Nb'!AQ77-'A)NSA Nb'!AP77</f>
        <v>-7.4300000000008026E-2</v>
      </c>
      <c r="AR75" s="48">
        <f>'A)NSA Nb'!AR77-'A)NSA Nb'!AQ77</f>
        <v>-0.15359999999999729</v>
      </c>
      <c r="AS75" s="48">
        <f>'A)NSA Nb'!AS77-'A)NSA Nb'!AR77</f>
        <v>-0.13209999999999411</v>
      </c>
      <c r="AT75" s="48">
        <f>'A)NSA Nb'!AT77-'A)NSA Nb'!AS77</f>
        <v>-3.1500000000008299E-2</v>
      </c>
      <c r="AU75" s="48">
        <f>'A)NSA Nb'!AU77-'A)NSA Nb'!AT77</f>
        <v>-5.6399999999996453E-2</v>
      </c>
      <c r="AV75" s="48">
        <f>'A)NSA Nb'!AV77-'A)NSA Nb'!AU77</f>
        <v>-0.17040000000000077</v>
      </c>
      <c r="AW75" s="48">
        <f>'A)NSA Nb'!AW77-'A)NSA Nb'!AV77</f>
        <v>-0.13849999999999341</v>
      </c>
      <c r="AX75" s="48">
        <f>'A)NSA Nb'!AX77-'A)NSA Nb'!AW77</f>
        <v>3.4644022502490657E-2</v>
      </c>
      <c r="AY75" s="48">
        <f>'A)NSA Nb'!AY77-'A)NSA Nb'!AX77</f>
        <v>-3.7651004103295804E-2</v>
      </c>
      <c r="AZ75" s="48">
        <f>'A)NSA Nb'!AZ77-'A)NSA Nb'!AY77</f>
        <v>-0.1454290869114061</v>
      </c>
      <c r="BA75" s="48">
        <f>'A)NSA Nb'!BA77-'A)NSA Nb'!AZ77</f>
        <v>-0.1284409495130916</v>
      </c>
      <c r="BB75" s="48">
        <f>'A)NSA Nb'!BB77-'A)NSA Nb'!BA77</f>
        <v>8.6030115658104478E-2</v>
      </c>
      <c r="BC75" s="48">
        <f>'A)NSA Nb'!BC77-'A)NSA Nb'!BB77</f>
        <v>-7.3359311934012794E-2</v>
      </c>
      <c r="BD75" s="48">
        <f>'A)NSA Nb'!BD77-'A)NSA Nb'!BC77</f>
        <v>2.229845468358107</v>
      </c>
      <c r="BE75" s="48">
        <f>'A)NSA Nb'!BE77-'A)NSA Nb'!BD77</f>
        <v>-8.1352660647894481E-2</v>
      </c>
      <c r="BF75" s="48">
        <f>'A)NSA Nb'!BF77-'A)NSA Nb'!BE77</f>
        <v>8.2563279207093387E-2</v>
      </c>
      <c r="BG75" s="48">
        <f>'A)NSA Nb'!BG77-'A)NSA Nb'!BF77</f>
        <v>-1.1837917957194577E-2</v>
      </c>
      <c r="BH75" s="48">
        <f>'A)NSA Nb'!BH77-'A)NSA Nb'!BG77</f>
        <v>-0.16052368716310639</v>
      </c>
      <c r="BI75" s="48">
        <f>'A)NSA Nb'!BI77-'A)NSA Nb'!BH77</f>
        <v>-0.10821863855059632</v>
      </c>
      <c r="BJ75" s="48">
        <f>'A)NSA Nb'!BJ77-'A)NSA Nb'!BI77</f>
        <v>5.0171332185797723E-2</v>
      </c>
    </row>
    <row r="76" spans="1:62" ht="13.5" thickBot="1" x14ac:dyDescent="0.35">
      <c r="A76" s="11"/>
      <c r="B76" s="11"/>
      <c r="C76" s="36"/>
      <c r="D76" s="36"/>
      <c r="E76" s="36"/>
      <c r="F76" s="36"/>
      <c r="G76" s="36"/>
      <c r="H76" s="36"/>
      <c r="I76" s="36"/>
      <c r="J76" s="36"/>
      <c r="K76" s="143"/>
      <c r="L76" s="143"/>
      <c r="M76" s="36"/>
      <c r="N76" s="36"/>
      <c r="O76" s="36"/>
      <c r="P76" s="36"/>
      <c r="Q76" s="36"/>
      <c r="R76" s="36"/>
      <c r="S76" s="36"/>
      <c r="T76" s="36"/>
      <c r="U76" s="36"/>
      <c r="V76" s="36"/>
      <c r="W76" s="36"/>
      <c r="X76" s="36"/>
      <c r="Y76" s="36"/>
      <c r="Z76" s="36"/>
      <c r="AA76" s="36"/>
      <c r="AB76" s="36"/>
      <c r="AC76" s="36"/>
      <c r="AD76" s="36"/>
      <c r="AE76" s="36"/>
      <c r="AF76" s="36"/>
      <c r="AG76" s="36"/>
      <c r="AH76" s="36"/>
      <c r="AI76" s="36"/>
      <c r="AJ76" s="36"/>
      <c r="AM76" s="36"/>
      <c r="AN76" s="36"/>
      <c r="AO76" s="36"/>
    </row>
    <row r="77" spans="1:62" ht="13" x14ac:dyDescent="0.3">
      <c r="A77" s="26"/>
      <c r="B77" s="26"/>
      <c r="C77" s="41"/>
      <c r="D77" s="41"/>
      <c r="E77" s="41"/>
      <c r="F77" s="41"/>
      <c r="G77" s="41"/>
      <c r="H77" s="41"/>
      <c r="I77" s="41"/>
      <c r="J77" s="41"/>
      <c r="K77" s="147"/>
      <c r="L77" s="147"/>
      <c r="M77" s="41"/>
      <c r="N77" s="41"/>
      <c r="O77" s="41"/>
      <c r="P77" s="41"/>
      <c r="Q77" s="41"/>
      <c r="R77" s="41"/>
      <c r="S77" s="41"/>
      <c r="T77" s="41"/>
      <c r="U77" s="41"/>
      <c r="V77" s="41"/>
      <c r="W77" s="41"/>
      <c r="X77" s="41"/>
      <c r="Y77" s="41"/>
      <c r="Z77" s="41"/>
      <c r="AA77" s="41"/>
      <c r="AB77" s="41"/>
      <c r="AC77" s="41"/>
      <c r="AD77" s="41"/>
      <c r="AE77" s="41"/>
      <c r="AF77" s="41"/>
      <c r="AG77" s="41"/>
      <c r="AH77" s="41"/>
      <c r="AI77" s="41"/>
      <c r="AJ77" s="41"/>
      <c r="AM77" s="41"/>
      <c r="AN77" s="41"/>
      <c r="AO77" s="41"/>
    </row>
    <row r="78" spans="1:62" ht="13" x14ac:dyDescent="0.3">
      <c r="A78" s="25" t="s">
        <v>22</v>
      </c>
      <c r="L78" s="14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M78" s="35"/>
      <c r="AN78" s="35"/>
      <c r="AO78" s="35"/>
      <c r="BB78" s="377" t="s">
        <v>241</v>
      </c>
      <c r="BC78" s="377"/>
      <c r="BD78" s="377"/>
      <c r="BE78" s="377"/>
      <c r="BF78" s="377"/>
      <c r="BG78" s="377"/>
      <c r="BH78" s="377"/>
      <c r="BI78" s="377"/>
      <c r="BJ78" s="377"/>
    </row>
    <row r="79" spans="1:62" x14ac:dyDescent="0.25">
      <c r="A79" s="24" t="s">
        <v>246</v>
      </c>
      <c r="L79" s="14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M79" s="35"/>
      <c r="AN79" s="35"/>
      <c r="AO79" s="35"/>
      <c r="BB79" s="383" t="s">
        <v>244</v>
      </c>
      <c r="BC79" s="383"/>
      <c r="BD79" s="383"/>
      <c r="BE79" s="383"/>
      <c r="BF79" s="383"/>
      <c r="BG79" s="383"/>
      <c r="BH79" s="383"/>
      <c r="BI79" s="383"/>
      <c r="BJ79" s="383"/>
    </row>
    <row r="80" spans="1:62" x14ac:dyDescent="0.25">
      <c r="A80" s="5"/>
      <c r="B80" s="2" t="str">
        <f t="shared" ref="B80:H80" si="221">B8</f>
        <v>4eme T 2009</v>
      </c>
      <c r="C80" s="38" t="str">
        <f t="shared" si="221"/>
        <v>1er T 2010</v>
      </c>
      <c r="D80" s="38" t="str">
        <f t="shared" si="221"/>
        <v>2eme T 2010</v>
      </c>
      <c r="E80" s="38" t="str">
        <f t="shared" si="221"/>
        <v>3eme T 2010</v>
      </c>
      <c r="F80" s="38" t="str">
        <f t="shared" si="221"/>
        <v>4eme T 2010</v>
      </c>
      <c r="G80" s="38" t="str">
        <f t="shared" si="221"/>
        <v>1er T 2011</v>
      </c>
      <c r="H80" s="38" t="str">
        <f t="shared" si="221"/>
        <v>2eme T 2011</v>
      </c>
      <c r="I80" s="38" t="str">
        <f t="shared" ref="I80:N80" si="222">I8</f>
        <v>3eme T 2011</v>
      </c>
      <c r="J80" s="38" t="str">
        <f t="shared" si="222"/>
        <v>4eme T 2011</v>
      </c>
      <c r="K80" s="38" t="str">
        <f t="shared" si="222"/>
        <v>1er T 2012</v>
      </c>
      <c r="L80" s="38" t="str">
        <f t="shared" si="222"/>
        <v>2eme T 2012</v>
      </c>
      <c r="M80" s="38" t="str">
        <f t="shared" si="222"/>
        <v>3eme T 2012</v>
      </c>
      <c r="N80" s="38" t="str">
        <f t="shared" si="222"/>
        <v>4eme T 2012</v>
      </c>
      <c r="O80" s="38" t="str">
        <f t="shared" ref="O80:T80" si="223">O8</f>
        <v>1er T 2013</v>
      </c>
      <c r="P80" s="38" t="str">
        <f t="shared" si="223"/>
        <v>2e T 2013</v>
      </c>
      <c r="Q80" s="38" t="str">
        <f t="shared" si="223"/>
        <v>3e T 2013</v>
      </c>
      <c r="R80" s="38" t="str">
        <f t="shared" si="223"/>
        <v>4e T 2013</v>
      </c>
      <c r="S80" s="38" t="str">
        <f t="shared" si="223"/>
        <v>1er T 2014</v>
      </c>
      <c r="T80" s="38" t="str">
        <f t="shared" si="223"/>
        <v>2e T 2014</v>
      </c>
      <c r="U80" s="38" t="str">
        <f t="shared" ref="U80:V80" si="224">U8</f>
        <v>3e T 2014</v>
      </c>
      <c r="V80" s="38" t="str">
        <f t="shared" si="224"/>
        <v>4e T 2014</v>
      </c>
      <c r="W80" s="38" t="str">
        <f t="shared" ref="W80:X80" si="225">W8</f>
        <v>1er T 2015</v>
      </c>
      <c r="X80" s="38" t="str">
        <f t="shared" si="225"/>
        <v>2e T 2015</v>
      </c>
      <c r="Y80" s="38" t="str">
        <f t="shared" ref="Y80:Z80" si="226">Y8</f>
        <v>3e T 2015</v>
      </c>
      <c r="Z80" s="38" t="str">
        <f t="shared" si="226"/>
        <v>4e T 2015</v>
      </c>
      <c r="AA80" s="38" t="str">
        <f t="shared" ref="AA80:AB80" si="227">AA8</f>
        <v>1er T 2016</v>
      </c>
      <c r="AB80" s="38" t="str">
        <f t="shared" si="227"/>
        <v>2e T 2016</v>
      </c>
      <c r="AC80" s="38" t="str">
        <f t="shared" ref="AC80" si="228">AC8</f>
        <v>3e T 2016</v>
      </c>
      <c r="AD80" s="38" t="str">
        <f t="shared" ref="AD80:AE80" si="229">AD8</f>
        <v>4e T 2016</v>
      </c>
      <c r="AE80" s="38" t="str">
        <f t="shared" si="229"/>
        <v>1e T 2017</v>
      </c>
      <c r="AF80" s="38" t="str">
        <f t="shared" ref="AF80:AG80" si="230">AF8</f>
        <v>2e T 2017</v>
      </c>
      <c r="AG80" s="38" t="str">
        <f t="shared" si="230"/>
        <v>3e T 2017</v>
      </c>
      <c r="AH80" s="38" t="str">
        <f t="shared" ref="AH80:AI80" si="231">AH8</f>
        <v>4e T 2017</v>
      </c>
      <c r="AI80" s="38" t="str">
        <f t="shared" si="231"/>
        <v>1e T 2018</v>
      </c>
      <c r="AJ80" s="38" t="str">
        <f t="shared" ref="AJ80:AK80" si="232">AJ8</f>
        <v>2e T 2018</v>
      </c>
      <c r="AK80" s="38" t="str">
        <f t="shared" si="232"/>
        <v>3e T 2018</v>
      </c>
      <c r="AL80" s="38" t="str">
        <f t="shared" ref="AL80:AM80" si="233">AL8</f>
        <v>4e T 2018</v>
      </c>
      <c r="AM80" s="38" t="str">
        <f t="shared" si="233"/>
        <v>1e T 2019</v>
      </c>
      <c r="AN80" s="38" t="str">
        <f t="shared" ref="AN80:AP80" si="234">AN8</f>
        <v>2e T 2019</v>
      </c>
      <c r="AO80" s="38" t="str">
        <f t="shared" si="234"/>
        <v>3e T 2019</v>
      </c>
      <c r="AP80" s="38" t="str">
        <f t="shared" si="234"/>
        <v>4e T 2019</v>
      </c>
      <c r="AQ80" s="38" t="str">
        <f t="shared" ref="AQ80" si="235">AQ8</f>
        <v>1e T 2020</v>
      </c>
      <c r="AR80" s="38" t="str">
        <f t="shared" ref="AR80:AS80" si="236">AR8</f>
        <v>2e T 2020</v>
      </c>
      <c r="AS80" s="38" t="str">
        <f t="shared" si="236"/>
        <v>3e T 2020</v>
      </c>
      <c r="AT80" s="38" t="str">
        <f t="shared" ref="AT80:AU80" si="237">AT8</f>
        <v>4e T 2020</v>
      </c>
      <c r="AU80" s="38" t="str">
        <f t="shared" si="237"/>
        <v>1er T 2021</v>
      </c>
      <c r="AV80" s="38" t="str">
        <f t="shared" ref="AV80:AW80" si="238">AV8</f>
        <v>2e T 2021</v>
      </c>
      <c r="AW80" s="38" t="str">
        <f t="shared" si="238"/>
        <v>3e T 2021</v>
      </c>
      <c r="AX80" s="38" t="str">
        <f t="shared" ref="AX80:AY80" si="239">AX8</f>
        <v>4e T 2021</v>
      </c>
      <c r="AY80" s="38" t="str">
        <f t="shared" si="239"/>
        <v>1er T 2022</v>
      </c>
      <c r="AZ80" s="38" t="str">
        <f t="shared" ref="AZ80:BA80" si="240">AZ8</f>
        <v>2e T 2022</v>
      </c>
      <c r="BA80" s="38" t="str">
        <f t="shared" si="240"/>
        <v>3e T 2022</v>
      </c>
      <c r="BB80" s="38" t="str">
        <f t="shared" ref="BB80:BC80" si="241">BB8</f>
        <v>4e T 2022</v>
      </c>
      <c r="BC80" s="38" t="str">
        <f t="shared" si="241"/>
        <v>1er T 2023</v>
      </c>
      <c r="BD80" s="38" t="str">
        <f t="shared" ref="BD80:BE80" si="242">BD8</f>
        <v>2e T 2023</v>
      </c>
      <c r="BE80" s="38" t="str">
        <f t="shared" si="242"/>
        <v>3e T 2023</v>
      </c>
      <c r="BF80" s="38" t="str">
        <f t="shared" ref="BF80:BG80" si="243">BF8</f>
        <v>4e T 2023</v>
      </c>
      <c r="BG80" s="38" t="str">
        <f t="shared" si="243"/>
        <v>1er T 2024</v>
      </c>
      <c r="BH80" s="38" t="str">
        <f t="shared" ref="BH80:BI80" si="244">BH8</f>
        <v>2e T 2024</v>
      </c>
      <c r="BI80" s="38" t="str">
        <f t="shared" si="244"/>
        <v>3e T 2024</v>
      </c>
      <c r="BJ80" s="38" t="str">
        <f t="shared" ref="BJ80" si="245">BJ8</f>
        <v>4e T 2024</v>
      </c>
    </row>
    <row r="81" spans="1:62" x14ac:dyDescent="0.25">
      <c r="A81" s="8" t="s">
        <v>0</v>
      </c>
      <c r="B81" s="9"/>
      <c r="C81" s="105">
        <f>'A)NSA Nb'!C86/'A)NSA Nb'!B86-1</f>
        <v>-2.8321326303706318E-3</v>
      </c>
      <c r="D81" s="105">
        <f>'A)NSA Nb'!D86/'A)NSA Nb'!C86-1</f>
        <v>-9.5647579087746459E-3</v>
      </c>
      <c r="E81" s="105">
        <f>'A)NSA Nb'!E86/'A)NSA Nb'!D86-1</f>
        <v>-8.9457822716634272E-3</v>
      </c>
      <c r="F81" s="105">
        <f>'A)NSA Nb'!F86/'A)NSA Nb'!E86-1</f>
        <v>-4.8000512689053698E-3</v>
      </c>
      <c r="G81" s="105">
        <f>'A)NSA Nb'!G86/'A)NSA Nb'!F86-1</f>
        <v>-4.8908178838439342E-3</v>
      </c>
      <c r="H81" s="105">
        <f>'A)NSA Nb'!H86/'A)NSA Nb'!G86-1</f>
        <v>-1.0033553029641151E-2</v>
      </c>
      <c r="I81" s="105">
        <f>'A)NSA Nb'!I86/'A)NSA Nb'!H86-1</f>
        <v>-9.9326060098966495E-3</v>
      </c>
      <c r="J81" s="105">
        <f>'A)NSA Nb'!J86/'A)NSA Nb'!I86-1</f>
        <v>-7.5497733747520446E-3</v>
      </c>
      <c r="K81" s="105">
        <f>'A)NSA Nb'!K86/'A)NSA Nb'!J86-1</f>
        <v>-5.7677723226758904E-3</v>
      </c>
      <c r="L81" s="105">
        <f>'A)NSA Nb'!L86/'A)NSA Nb'!K86-1</f>
        <v>-1.1773089507597811E-2</v>
      </c>
      <c r="M81" s="105">
        <f>'A)NSA Nb'!M86/'A)NSA Nb'!L86-1</f>
        <v>-1.1788085299424766E-2</v>
      </c>
      <c r="N81" s="105">
        <f>'A)NSA Nb'!N86/'A)NSA Nb'!M86-1</f>
        <v>-8.2014107522756508E-3</v>
      </c>
      <c r="O81" s="105">
        <f>'A)NSA Nb'!O86/'A)NSA Nb'!N86-1</f>
        <v>-5.6095362115596847E-3</v>
      </c>
      <c r="P81" s="105">
        <f>'A)NSA Nb'!P86/'A)NSA Nb'!O86-1</f>
        <v>-1.0702264461604161E-2</v>
      </c>
      <c r="Q81" s="105">
        <f>'A)NSA Nb'!Q86/'A)NSA Nb'!P86-1</f>
        <v>-8.521709819453549E-3</v>
      </c>
      <c r="R81" s="105">
        <f>'A)NSA Nb'!R86/'A)NSA Nb'!Q86-1</f>
        <v>-6.923417441345725E-3</v>
      </c>
      <c r="S81" s="105">
        <f>'A)NSA Nb'!S86/'A)NSA Nb'!R86-1</f>
        <v>-6.9217602168176739E-3</v>
      </c>
      <c r="T81" s="105">
        <f>'A)NSA Nb'!T86/'A)NSA Nb'!S86-1</f>
        <v>-7.4475992803766378E-3</v>
      </c>
      <c r="U81" s="105">
        <f>'A)NSA Nb'!U86/'A)NSA Nb'!T86-1</f>
        <v>-8.7335612597456702E-3</v>
      </c>
      <c r="V81" s="105">
        <f>'A)NSA Nb'!V86/'A)NSA Nb'!U86-1</f>
        <v>-5.0658598275126199E-3</v>
      </c>
      <c r="W81" s="105">
        <f>'A)NSA Nb'!W86/'A)NSA Nb'!V86-1</f>
        <v>-4.7321562858809729E-3</v>
      </c>
      <c r="X81" s="105">
        <f>'A)NSA Nb'!X86/'A)NSA Nb'!W86-1</f>
        <v>-1.2170445205353264E-2</v>
      </c>
      <c r="Y81" s="105">
        <f>'A)NSA Nb'!Y86/'A)NSA Nb'!X86-1</f>
        <v>-1.0533149758778504E-2</v>
      </c>
      <c r="Z81" s="105">
        <f>'A)NSA Nb'!Z86/'A)NSA Nb'!Y86-1</f>
        <v>-4.1555424830685972E-3</v>
      </c>
      <c r="AA81" s="105">
        <f>'A)NSA Nb'!AA86/'A)NSA Nb'!Z86-1</f>
        <v>-3.2754481494664534E-3</v>
      </c>
      <c r="AB81" s="105">
        <f>'A)NSA Nb'!AB86/'A)NSA Nb'!AA86-1</f>
        <v>-9.1823980609450073E-3</v>
      </c>
      <c r="AC81" s="105">
        <f>'A)NSA Nb'!AC86/'A)NSA Nb'!AB86-1</f>
        <v>-8.8227174429840183E-3</v>
      </c>
      <c r="AD81" s="105">
        <f>'A)NSA Nb'!AD86/'A)NSA Nb'!AC86-1</f>
        <v>-4.8045864071210032E-3</v>
      </c>
      <c r="AE81" s="105">
        <f>'A)NSA Nb'!AE86/'A)NSA Nb'!AD86-1</f>
        <v>-4.3885392655708122E-3</v>
      </c>
      <c r="AF81" s="105">
        <f>'A)NSA Nb'!AF86/'A)NSA Nb'!AE86-1</f>
        <v>-9.5302422188558999E-3</v>
      </c>
      <c r="AG81" s="105">
        <f>'A)NSA Nb'!AG86/'A)NSA Nb'!AF86-1</f>
        <v>-7.0558277589666263E-3</v>
      </c>
      <c r="AH81" s="105">
        <f>'A)NSA Nb'!AH86/'A)NSA Nb'!AG86-1</f>
        <v>-1.7864160920361138E-3</v>
      </c>
      <c r="AI81" s="105">
        <f>'A)NSA Nb'!AI86/'A)NSA Nb'!AH86-1</f>
        <v>-2.5730659253692112E-3</v>
      </c>
      <c r="AJ81" s="105">
        <f>'A)NSA Nb'!AJ86/'A)NSA Nb'!AI86-1</f>
        <v>-8.4288926811374454E-3</v>
      </c>
      <c r="AK81" s="105">
        <f>'A)NSA Nb'!AK86/'A)NSA Nb'!AJ86-1</f>
        <v>-8.7337649282238639E-3</v>
      </c>
      <c r="AL81" s="105">
        <f>'A)NSA Nb'!AL86/'A)NSA Nb'!AK86-1</f>
        <v>-2.5190858274041217E-3</v>
      </c>
      <c r="AM81" s="105">
        <f>'A)NSA Nb'!AM86/'A)NSA Nb'!AL86-1</f>
        <v>-3.6153348759846438E-3</v>
      </c>
      <c r="AN81" s="105">
        <f>'A)NSA Nb'!AN86/'A)NSA Nb'!AM86-1</f>
        <v>-1.0240481943446733E-2</v>
      </c>
      <c r="AO81" s="105">
        <f>'A)NSA Nb'!AO86/'A)NSA Nb'!AN86-1</f>
        <v>-8.6680769817607528E-3</v>
      </c>
      <c r="AP81" s="105">
        <f>'A)NSA Nb'!AP86/'A)NSA Nb'!AO86-1</f>
        <v>-1.1813791353469938E-3</v>
      </c>
      <c r="AQ81" s="105">
        <f>'A)NSA Nb'!AQ86/'A)NSA Nb'!AP86-1</f>
        <v>-3.2109881597414125E-3</v>
      </c>
      <c r="AR81" s="105">
        <f>'A)NSA Nb'!AR86/'A)NSA Nb'!AQ86-1</f>
        <v>-1.0833869525616047E-2</v>
      </c>
      <c r="AS81" s="105">
        <f>'A)NSA Nb'!AS86/'A)NSA Nb'!AR86-1</f>
        <v>-9.609333091164074E-3</v>
      </c>
      <c r="AT81" s="105">
        <f>'A)NSA Nb'!AT86/'A)NSA Nb'!AS86-1</f>
        <v>-2.7721623719474398E-3</v>
      </c>
      <c r="AU81" s="105">
        <f>'A)NSA Nb'!AU86/'A)NSA Nb'!AT86-1</f>
        <v>-6.1071575201860906E-3</v>
      </c>
      <c r="AV81" s="105">
        <f>'A)NSA Nb'!AV86/'A)NSA Nb'!AU86-1</f>
        <v>-1.2551851150622184E-2</v>
      </c>
      <c r="AW81" s="105">
        <f>'A)NSA Nb'!AW86/'A)NSA Nb'!AV86-1</f>
        <v>-9.8222495304580715E-3</v>
      </c>
      <c r="AX81" s="105">
        <f>'A)NSA Nb'!AX86/'A)NSA Nb'!AW86-1</f>
        <v>-3.1246561777975579E-4</v>
      </c>
      <c r="AY81" s="105">
        <f>'A)NSA Nb'!AY86/'A)NSA Nb'!AX86-1</f>
        <v>-0.23108992137492623</v>
      </c>
      <c r="AZ81" s="105">
        <f>'A)NSA Nb'!AZ86/'A)NSA Nb'!AY86-1</f>
        <v>-1.454245653007824E-2</v>
      </c>
      <c r="BA81" s="105">
        <f>'A)NSA Nb'!BA86/'A)NSA Nb'!AZ86-1</f>
        <v>-1.1213041987903849E-2</v>
      </c>
      <c r="BB81" s="396">
        <f>'A)NSA Nb'!BB86/'A)NSA Nb'!BA86-1</f>
        <v>1.6863406408094139E-3</v>
      </c>
      <c r="BC81" s="455">
        <f>'A)NSA Nb'!BC86/'A)NSA Nb'!BB86-1</f>
        <v>-8.4527035746547741E-3</v>
      </c>
      <c r="BD81" s="455">
        <f>'A)NSA Nb'!BD86/'A)NSA Nb'!BC86-1</f>
        <v>-1.2932079958825615E-2</v>
      </c>
      <c r="BE81" s="455">
        <f>'A)NSA Nb'!BE86/'A)NSA Nb'!BD86-1</f>
        <v>-9.4994935601224739E-3</v>
      </c>
      <c r="BF81" s="455">
        <f>'A)NSA Nb'!BF86/'A)NSA Nb'!BE86-1</f>
        <v>-3.7817820967409599E-3</v>
      </c>
      <c r="BG81" s="455">
        <f>'A)NSA Nb'!BG86/'A)NSA Nb'!BF86-1</f>
        <v>-5.7579825195425149E-3</v>
      </c>
      <c r="BH81" s="455">
        <f>'A)NSA Nb'!BH86/'A)NSA Nb'!BG86-1</f>
        <v>-1.4136218408850709E-2</v>
      </c>
      <c r="BI81" s="455">
        <f>'A)NSA Nb'!BI86/'A)NSA Nb'!BH86-1</f>
        <v>-1.1531859783491027E-2</v>
      </c>
      <c r="BJ81" s="455">
        <f>'A)NSA Nb'!BJ86/'A)NSA Nb'!BI86-1</f>
        <v>-3.6923732744893467E-3</v>
      </c>
    </row>
    <row r="82" spans="1:62" x14ac:dyDescent="0.25">
      <c r="A82" s="8" t="s">
        <v>1</v>
      </c>
      <c r="B82" s="9"/>
      <c r="C82" s="105">
        <f>'A)NSA Nb'!C87/'A)NSA Nb'!B87-1</f>
        <v>-2.1349577148264243E-2</v>
      </c>
      <c r="D82" s="105">
        <f>'A)NSA Nb'!D87/'A)NSA Nb'!C87-1</f>
        <v>-2.1271452743533925E-2</v>
      </c>
      <c r="E82" s="105">
        <f>'A)NSA Nb'!E87/'A)NSA Nb'!D87-1</f>
        <v>-2.1754342636041812E-2</v>
      </c>
      <c r="F82" s="105">
        <f>'A)NSA Nb'!F87/'A)NSA Nb'!E87-1</f>
        <v>-1.9839683574930045E-2</v>
      </c>
      <c r="G82" s="105">
        <f>'A)NSA Nb'!G87/'A)NSA Nb'!F87-1</f>
        <v>-2.4405426290031729E-2</v>
      </c>
      <c r="H82" s="105">
        <f>'A)NSA Nb'!H87/'A)NSA Nb'!G87-1</f>
        <v>-2.3321819101889907E-2</v>
      </c>
      <c r="I82" s="105">
        <f>'A)NSA Nb'!I87/'A)NSA Nb'!H87-1</f>
        <v>-2.3000157689621825E-2</v>
      </c>
      <c r="J82" s="105">
        <f>'A)NSA Nb'!J87/'A)NSA Nb'!I87-1</f>
        <v>-2.3656905695180974E-2</v>
      </c>
      <c r="K82" s="105">
        <f>'A)NSA Nb'!K87/'A)NSA Nb'!J87-1</f>
        <v>-2.3852257698847579E-2</v>
      </c>
      <c r="L82" s="105">
        <f>'A)NSA Nb'!L87/'A)NSA Nb'!K87-1</f>
        <v>-2.5523781874485896E-2</v>
      </c>
      <c r="M82" s="105">
        <f>'A)NSA Nb'!M87/'A)NSA Nb'!L87-1</f>
        <v>-2.5323369497753156E-2</v>
      </c>
      <c r="N82" s="105">
        <f>'A)NSA Nb'!N87/'A)NSA Nb'!M87-1</f>
        <v>-2.3841666878932188E-2</v>
      </c>
      <c r="O82" s="105">
        <f>'A)NSA Nb'!O87/'A)NSA Nb'!N87-1</f>
        <v>-2.2806147744174554E-2</v>
      </c>
      <c r="P82" s="105">
        <f>'A)NSA Nb'!P87/'A)NSA Nb'!O87-1</f>
        <v>-2.5127506742503192E-2</v>
      </c>
      <c r="Q82" s="105">
        <f>'A)NSA Nb'!Q87/'A)NSA Nb'!P87-1</f>
        <v>-2.3885175851868112E-2</v>
      </c>
      <c r="R82" s="105">
        <f>'A)NSA Nb'!R87/'A)NSA Nb'!Q87-1</f>
        <v>-2.469412953193395E-2</v>
      </c>
      <c r="S82" s="105">
        <f>'A)NSA Nb'!S87/'A)NSA Nb'!R87-1</f>
        <v>-2.6124985613994678E-2</v>
      </c>
      <c r="T82" s="105">
        <f>'A)NSA Nb'!T87/'A)NSA Nb'!S87-1</f>
        <v>-1.855353344363031E-2</v>
      </c>
      <c r="U82" s="105">
        <f>'A)NSA Nb'!U87/'A)NSA Nb'!T87-1</f>
        <v>-2.4804334738109612E-2</v>
      </c>
      <c r="V82" s="105">
        <f>'A)NSA Nb'!V87/'A)NSA Nb'!U87-1</f>
        <v>-2.3151006297073673E-2</v>
      </c>
      <c r="W82" s="105">
        <f>'A)NSA Nb'!W87/'A)NSA Nb'!V87-1</f>
        <v>-2.4331669089300401E-2</v>
      </c>
      <c r="X82" s="105">
        <f>'A)NSA Nb'!X87/'A)NSA Nb'!W87-1</f>
        <v>-2.9407954398238068E-2</v>
      </c>
      <c r="Y82" s="105">
        <f>'A)NSA Nb'!Y87/'A)NSA Nb'!X87-1</f>
        <v>-2.7195675387079565E-2</v>
      </c>
      <c r="Z82" s="105">
        <f>'A)NSA Nb'!Z87/'A)NSA Nb'!Y87-1</f>
        <v>-2.528041710973139E-2</v>
      </c>
      <c r="AA82" s="105">
        <f>'A)NSA Nb'!AA87/'A)NSA Nb'!Z87-1</f>
        <v>-2.4035754504504458E-2</v>
      </c>
      <c r="AB82" s="105">
        <f>'A)NSA Nb'!AB87/'A)NSA Nb'!AA87-1</f>
        <v>-2.6178199257202661E-2</v>
      </c>
      <c r="AC82" s="105">
        <f>'A)NSA Nb'!AC87/'A)NSA Nb'!AB87-1</f>
        <v>-2.5141629947791344E-2</v>
      </c>
      <c r="AD82" s="105">
        <f>'A)NSA Nb'!AD87/'A)NSA Nb'!AC87-1</f>
        <v>-2.3017319963536953E-2</v>
      </c>
      <c r="AE82" s="105">
        <f>'A)NSA Nb'!AE87/'A)NSA Nb'!AD87-1</f>
        <v>-2.6980794650493745E-2</v>
      </c>
      <c r="AF82" s="105">
        <f>'A)NSA Nb'!AF87/'A)NSA Nb'!AE87-1</f>
        <v>-2.8727824836183524E-2</v>
      </c>
      <c r="AG82" s="105">
        <f>'A)NSA Nb'!AG87/'A)NSA Nb'!AF87-1</f>
        <v>-2.316014644781772E-2</v>
      </c>
      <c r="AH82" s="105">
        <f>'A)NSA Nb'!AH87/'A)NSA Nb'!AG87-1</f>
        <v>-2.3203908026614983E-2</v>
      </c>
      <c r="AI82" s="105">
        <f>'A)NSA Nb'!AI87/'A)NSA Nb'!AH87-1</f>
        <v>-2.4229359775813752E-2</v>
      </c>
      <c r="AJ82" s="105">
        <f>'A)NSA Nb'!AJ87/'A)NSA Nb'!AI87-1</f>
        <v>-2.3505500817390557E-2</v>
      </c>
      <c r="AK82" s="105">
        <f>'A)NSA Nb'!AK87/'A)NSA Nb'!AJ87-1</f>
        <v>-2.7691054703407048E-2</v>
      </c>
      <c r="AL82" s="105">
        <f>'A)NSA Nb'!AL87/'A)NSA Nb'!AK87-1</f>
        <v>-2.6525198938992078E-2</v>
      </c>
      <c r="AM82" s="105">
        <f>'A)NSA Nb'!AM87/'A)NSA Nb'!AL87-1</f>
        <v>-2.7725990726134131E-2</v>
      </c>
      <c r="AN82" s="105">
        <f>'A)NSA Nb'!AN87/'A)NSA Nb'!AM87-1</f>
        <v>-2.7385810511824538E-2</v>
      </c>
      <c r="AO82" s="105">
        <f>'A)NSA Nb'!AO87/'A)NSA Nb'!AN87-1</f>
        <v>-2.31018097260135E-2</v>
      </c>
      <c r="AP82" s="105">
        <f>'A)NSA Nb'!AP87/'A)NSA Nb'!AO87-1</f>
        <v>-2.4734799482535541E-2</v>
      </c>
      <c r="AQ82" s="105">
        <f>'A)NSA Nb'!AQ87/'A)NSA Nb'!AP87-1</f>
        <v>-2.4035655541996048E-2</v>
      </c>
      <c r="AR82" s="105">
        <f>'A)NSA Nb'!AR87/'A)NSA Nb'!AQ87-1</f>
        <v>-2.5334348157007747E-2</v>
      </c>
      <c r="AS82" s="105">
        <f>'A)NSA Nb'!AS87/'A)NSA Nb'!AR87-1</f>
        <v>-2.6271753681392229E-2</v>
      </c>
      <c r="AT82" s="105">
        <f>'A)NSA Nb'!AT87/'A)NSA Nb'!AS87-1</f>
        <v>-2.6235893910752095E-2</v>
      </c>
      <c r="AU82" s="105">
        <f>'A)NSA Nb'!AU87/'A)NSA Nb'!AT87-1</f>
        <v>-2.9001705982704906E-2</v>
      </c>
      <c r="AV82" s="105">
        <f>'A)NSA Nb'!AV87/'A)NSA Nb'!AU87-1</f>
        <v>-2.7808069792802592E-2</v>
      </c>
      <c r="AW82" s="105">
        <f>'A)NSA Nb'!AW87/'A)NSA Nb'!AV87-1</f>
        <v>-2.4989094534804024E-2</v>
      </c>
      <c r="AX82" s="105">
        <f>'A)NSA Nb'!AX87/'A)NSA Nb'!AW87-1</f>
        <v>-2.3967787293877052E-2</v>
      </c>
      <c r="AY82" s="105">
        <f>'A)NSA Nb'!AY87/'A)NSA Nb'!AX87-1</f>
        <v>-0.26376792613450328</v>
      </c>
      <c r="AZ82" s="105">
        <f>'A)NSA Nb'!AZ87/'A)NSA Nb'!AY87-1</f>
        <v>-3.5666637018589298E-2</v>
      </c>
      <c r="BA82" s="105">
        <f>'A)NSA Nb'!BA87/'A)NSA Nb'!AZ87-1</f>
        <v>-3.0898358236487677E-2</v>
      </c>
      <c r="BB82" s="396">
        <f>'A)NSA Nb'!BB87/'A)NSA Nb'!BA87-1</f>
        <v>-2.6744075378319243E-2</v>
      </c>
      <c r="BC82" s="455">
        <f>'A)NSA Nb'!BC87/'A)NSA Nb'!BB87-1</f>
        <v>-3.3933111676119676E-2</v>
      </c>
      <c r="BD82" s="455">
        <f>'A)NSA Nb'!BD87/'A)NSA Nb'!BC87-1</f>
        <v>-3.7959307622228988E-2</v>
      </c>
      <c r="BE82" s="455">
        <f>'A)NSA Nb'!BE87/'A)NSA Nb'!BD87-1</f>
        <v>-2.9671717171717127E-2</v>
      </c>
      <c r="BF82" s="455">
        <f>'A)NSA Nb'!BF87/'A)NSA Nb'!BE87-1</f>
        <v>-3.242246801127735E-2</v>
      </c>
      <c r="BG82" s="455">
        <f>'A)NSA Nb'!BG87/'A)NSA Nb'!BF87-1</f>
        <v>-3.4517538944301207E-2</v>
      </c>
      <c r="BH82" s="455">
        <f>'A)NSA Nb'!BH87/'A)NSA Nb'!BG87-1</f>
        <v>-3.4242600116076605E-2</v>
      </c>
      <c r="BI82" s="455">
        <f>'A)NSA Nb'!BI87/'A)NSA Nb'!BH87-1</f>
        <v>-2.9567307692307643E-2</v>
      </c>
      <c r="BJ82" s="455">
        <f>'A)NSA Nb'!BJ87/'A)NSA Nb'!BI87-1</f>
        <v>-3.5174634629675516E-2</v>
      </c>
    </row>
    <row r="83" spans="1:62" x14ac:dyDescent="0.25">
      <c r="A83" s="8" t="s">
        <v>2</v>
      </c>
      <c r="B83" s="9"/>
      <c r="C83" s="105">
        <f>'A)NSA Nb'!C88/'A)NSA Nb'!B88-1</f>
        <v>-8.9437162683114746E-3</v>
      </c>
      <c r="D83" s="105">
        <f>'A)NSA Nb'!D88/'A)NSA Nb'!C88-1</f>
        <v>-1.0580364088999539E-2</v>
      </c>
      <c r="E83" s="105">
        <f>'A)NSA Nb'!E88/'A)NSA Nb'!D88-1</f>
        <v>-1.0064475546469609E-2</v>
      </c>
      <c r="F83" s="105">
        <f>'A)NSA Nb'!F88/'A)NSA Nb'!E88-1</f>
        <v>-9.8490865766481805E-3</v>
      </c>
      <c r="G83" s="105">
        <f>'A)NSA Nb'!G88/'A)NSA Nb'!F88-1</f>
        <v>-1.1070110701106972E-2</v>
      </c>
      <c r="H83" s="105">
        <f>'A)NSA Nb'!H88/'A)NSA Nb'!G88-1</f>
        <v>-1.29785853341986E-2</v>
      </c>
      <c r="I83" s="105">
        <f>'A)NSA Nb'!I88/'A)NSA Nb'!H88-1</f>
        <v>-1.5450361604207763E-2</v>
      </c>
      <c r="J83" s="105">
        <f>'A)NSA Nb'!J88/'A)NSA Nb'!I88-1</f>
        <v>-1.0851419031719489E-2</v>
      </c>
      <c r="K83" s="105">
        <f>'A)NSA Nb'!K88/'A)NSA Nb'!J88-1</f>
        <v>-1.2658227848101222E-2</v>
      </c>
      <c r="L83" s="105">
        <f>'A)NSA Nb'!L88/'A)NSA Nb'!K88-1</f>
        <v>-1.7435897435897463E-2</v>
      </c>
      <c r="M83" s="105">
        <f>'A)NSA Nb'!M88/'A)NSA Nb'!L88-1</f>
        <v>-1.7223382045928992E-2</v>
      </c>
      <c r="N83" s="105">
        <f>'A)NSA Nb'!N88/'A)NSA Nb'!M88-1</f>
        <v>-1.4515843512126092E-2</v>
      </c>
      <c r="O83" s="105">
        <f>'A)NSA Nb'!O88/'A)NSA Nb'!N88-1</f>
        <v>-1.7064846416382284E-2</v>
      </c>
      <c r="P83" s="105">
        <f>'A)NSA Nb'!P88/'A)NSA Nb'!O88-1</f>
        <v>-2.083333333333337E-2</v>
      </c>
      <c r="Q83" s="105">
        <f>'A)NSA Nb'!Q88/'A)NSA Nb'!P88-1</f>
        <v>-1.1384845091451989E-2</v>
      </c>
      <c r="R83" s="105">
        <f>'A)NSA Nb'!R88/'A)NSA Nb'!Q88-1</f>
        <v>-1.000566358316024E-2</v>
      </c>
      <c r="S83" s="105">
        <f>'A)NSA Nb'!S88/'A)NSA Nb'!R88-1</f>
        <v>-1.6781083142639153E-2</v>
      </c>
      <c r="T83" s="105">
        <f>'A)NSA Nb'!T88/'A)NSA Nb'!S88-1</f>
        <v>-1.5321955003879006E-2</v>
      </c>
      <c r="U83" s="105">
        <f>'A)NSA Nb'!U88/'A)NSA Nb'!T88-1</f>
        <v>-1.3984636596415245E-2</v>
      </c>
      <c r="V83" s="105">
        <f>'A)NSA Nb'!V88/'A)NSA Nb'!U88-1</f>
        <v>-1.3583699560527407E-2</v>
      </c>
      <c r="W83" s="105">
        <f>'A)NSA Nb'!W88/'A)NSA Nb'!V88-1</f>
        <v>-1.6808424463345517E-2</v>
      </c>
      <c r="X83" s="105">
        <f>'A)NSA Nb'!X88/'A)NSA Nb'!W88-1</f>
        <v>-2.0185375901132896E-2</v>
      </c>
      <c r="Y83" s="105">
        <f>'A)NSA Nb'!Y88/'A)NSA Nb'!X88-1</f>
        <v>-1.4504940088290952E-2</v>
      </c>
      <c r="Z83" s="105">
        <f>'A)NSA Nb'!Z88/'A)NSA Nb'!Y88-1</f>
        <v>-1.4505119453924964E-2</v>
      </c>
      <c r="AA83" s="105">
        <f>'A)NSA Nb'!AA88/'A)NSA Nb'!Z88-1</f>
        <v>-2.1428571428571463E-2</v>
      </c>
      <c r="AB83" s="105">
        <f>'A)NSA Nb'!AB88/'A)NSA Nb'!AA88-1</f>
        <v>-2.3667330236673334E-2</v>
      </c>
      <c r="AC83" s="105">
        <f>'A)NSA Nb'!AC88/'A)NSA Nb'!AB88-1</f>
        <v>-1.9256909832351621E-2</v>
      </c>
      <c r="AD83" s="105">
        <f>'A)NSA Nb'!AD88/'A)NSA Nb'!AC88-1</f>
        <v>-1.478401478401481E-2</v>
      </c>
      <c r="AE83" s="105">
        <f>'A)NSA Nb'!AE88/'A)NSA Nb'!AD88-1</f>
        <v>-2.2274325908558046E-2</v>
      </c>
      <c r="AF83" s="105">
        <f>'A)NSA Nb'!AF88/'A)NSA Nb'!AE88-1</f>
        <v>-1.9664268585131928E-2</v>
      </c>
      <c r="AG83" s="105">
        <f>'A)NSA Nb'!AG88/'A)NSA Nb'!AF88-1</f>
        <v>-1.5410958904109595E-2</v>
      </c>
      <c r="AH83" s="105">
        <f>'A)NSA Nb'!AH88/'A)NSA Nb'!AG88-1</f>
        <v>-2.1118012422360222E-2</v>
      </c>
      <c r="AI83" s="105">
        <f>'A)NSA Nb'!AI88/'A)NSA Nb'!AH88-1</f>
        <v>-1.4974619289340074E-2</v>
      </c>
      <c r="AJ83" s="105">
        <f>'A)NSA Nb'!AJ88/'A)NSA Nb'!AI88-1</f>
        <v>-2.7312548312290685E-2</v>
      </c>
      <c r="AK83" s="105">
        <f>'A)NSA Nb'!AK88/'A)NSA Nb'!AJ88-1</f>
        <v>-1.8278145695364234E-2</v>
      </c>
      <c r="AL83" s="105">
        <f>'A)NSA Nb'!AL88/'A)NSA Nb'!AK88-1</f>
        <v>-1.7808958445763579E-2</v>
      </c>
      <c r="AM83" s="105">
        <f>'A)NSA Nb'!AM88/'A)NSA Nb'!AL88-1</f>
        <v>-2.5274725274725296E-2</v>
      </c>
      <c r="AN83" s="105">
        <f>'A)NSA Nb'!AN88/'A)NSA Nb'!AM88-1</f>
        <v>-2.5084554678692195E-2</v>
      </c>
      <c r="AO83" s="105">
        <f>'A)NSA Nb'!AO88/'A)NSA Nb'!AN88-1</f>
        <v>-1.7346053772766656E-2</v>
      </c>
      <c r="AP83" s="105">
        <f>'A)NSA Nb'!AP88/'A)NSA Nb'!AO88-1</f>
        <v>-1.3239187996469504E-2</v>
      </c>
      <c r="AQ83" s="105">
        <f>'A)NSA Nb'!AQ88/'A)NSA Nb'!AP88-1</f>
        <v>-2.0870602265951055E-2</v>
      </c>
      <c r="AR83" s="105">
        <f>'A)NSA Nb'!AR88/'A)NSA Nb'!AQ88-1</f>
        <v>-2.5274056029232606E-2</v>
      </c>
      <c r="AS83" s="105">
        <f>'A)NSA Nb'!AS88/'A)NSA Nb'!AR88-1</f>
        <v>-2.5304592314901564E-2</v>
      </c>
      <c r="AT83" s="105">
        <f>'A)NSA Nb'!AT88/'A)NSA Nb'!AS88-1</f>
        <v>-1.8589743589743635E-2</v>
      </c>
      <c r="AU83" s="105">
        <f>'A)NSA Nb'!AU88/'A)NSA Nb'!AT88-1</f>
        <v>-2.7106466361854986E-2</v>
      </c>
      <c r="AV83" s="105">
        <f>'A)NSA Nb'!AV88/'A)NSA Nb'!AU88-1</f>
        <v>-2.9540114132259099E-2</v>
      </c>
      <c r="AW83" s="105">
        <f>'A)NSA Nb'!AW88/'A)NSA Nb'!AV88-1</f>
        <v>-1.7986855759252851E-2</v>
      </c>
      <c r="AX83" s="105">
        <f>'A)NSA Nb'!AX88/'A)NSA Nb'!AW88-1</f>
        <v>-1.6202888340965171E-2</v>
      </c>
      <c r="AY83" s="105">
        <f>'A)NSA Nb'!AY88/'A)NSA Nb'!AX88-1</f>
        <v>-0.32939491586108127</v>
      </c>
      <c r="AZ83" s="105">
        <f>'A)NSA Nb'!AZ88/'A)NSA Nb'!AY88-1</f>
        <v>-3.3101975440469888E-2</v>
      </c>
      <c r="BA83" s="105">
        <f>'A)NSA Nb'!BA88/'A)NSA Nb'!AZ88-1</f>
        <v>-2.4848150193263363E-2</v>
      </c>
      <c r="BB83" s="396">
        <f>'A)NSA Nb'!BB88/'A)NSA Nb'!BA88-1</f>
        <v>-2.8312570781426905E-2</v>
      </c>
      <c r="BC83" s="455">
        <f>'A)NSA Nb'!BC88/'A)NSA Nb'!BB88-1</f>
        <v>-4.1958041958041981E-2</v>
      </c>
      <c r="BD83" s="455">
        <f>'A)NSA Nb'!BD88/'A)NSA Nb'!BC88-1</f>
        <v>-2.4330900243308973E-2</v>
      </c>
      <c r="BE83" s="455">
        <f>'A)NSA Nb'!BE88/'A)NSA Nb'!BD88-1</f>
        <v>-3.5536159600997541E-2</v>
      </c>
      <c r="BF83" s="455">
        <f>'A)NSA Nb'!BF88/'A)NSA Nb'!BE88-1</f>
        <v>-1.616031027795739E-2</v>
      </c>
      <c r="BG83" s="455">
        <f>'A)NSA Nb'!BG88/'A)NSA Nb'!BF88-1</f>
        <v>-3.5479632063074917E-2</v>
      </c>
      <c r="BH83" s="455">
        <f>'A)NSA Nb'!BH88/'A)NSA Nb'!BG88-1</f>
        <v>-3.2016348773841963E-2</v>
      </c>
      <c r="BI83" s="455">
        <f>'A)NSA Nb'!BI88/'A)NSA Nb'!BH88-1</f>
        <v>-2.2519352568613704E-2</v>
      </c>
      <c r="BJ83" s="455">
        <f>'A)NSA Nb'!BJ88/'A)NSA Nb'!BI88-1</f>
        <v>-2.0878329733621359E-2</v>
      </c>
    </row>
    <row r="84" spans="1:62" x14ac:dyDescent="0.25">
      <c r="A84" s="8" t="s">
        <v>3</v>
      </c>
      <c r="B84" s="9"/>
      <c r="C84" s="105">
        <f>'A)NSA Nb'!C89/'A)NSA Nb'!B89-1</f>
        <v>-2.2895136024043694E-3</v>
      </c>
      <c r="D84" s="105">
        <f>'A)NSA Nb'!D89/'A)NSA Nb'!C89-1</f>
        <v>-6.4935526269048749E-3</v>
      </c>
      <c r="E84" s="105">
        <f>'A)NSA Nb'!E89/'A)NSA Nb'!D89-1</f>
        <v>-3.3824128832030675E-3</v>
      </c>
      <c r="F84" s="105">
        <f>'A)NSA Nb'!F89/'A)NSA Nb'!E89-1</f>
        <v>-2.9633775328626877E-3</v>
      </c>
      <c r="G84" s="105">
        <f>'A)NSA Nb'!G89/'A)NSA Nb'!F89-1</f>
        <v>-3.1305098772984596E-3</v>
      </c>
      <c r="H84" s="105">
        <f>'A)NSA Nb'!H89/'A)NSA Nb'!G89-1</f>
        <v>-4.9884493213976366E-3</v>
      </c>
      <c r="I84" s="105">
        <f>'A)NSA Nb'!I89/'A)NSA Nb'!H89-1</f>
        <v>-3.5768960088224944E-3</v>
      </c>
      <c r="J84" s="105">
        <f>'A)NSA Nb'!J89/'A)NSA Nb'!I89-1</f>
        <v>-3.5169220015145441E-3</v>
      </c>
      <c r="K84" s="105">
        <f>'A)NSA Nb'!K89/'A)NSA Nb'!J89-1</f>
        <v>-3.0836006517942494E-3</v>
      </c>
      <c r="L84" s="162">
        <f>'A)NSA Nb'!L89/'A)NSA Nb'!K89-1</f>
        <v>-9.1474811443147397E-3</v>
      </c>
      <c r="M84" s="105">
        <f>'A)NSA Nb'!M89/'A)NSA Nb'!L89-1</f>
        <v>-6.0880436149516326E-3</v>
      </c>
      <c r="N84" s="105">
        <f>'A)NSA Nb'!N89/'A)NSA Nb'!M89-1</f>
        <v>-4.0339386722239023E-3</v>
      </c>
      <c r="O84" s="105">
        <f>'A)NSA Nb'!O89/'A)NSA Nb'!N89-1</f>
        <v>-7.5849287838706259E-3</v>
      </c>
      <c r="P84" s="162">
        <f>'A)NSA Nb'!P89/'A)NSA Nb'!O89-1</f>
        <v>-1.1114206757377509E-2</v>
      </c>
      <c r="Q84" s="105">
        <f>'A)NSA Nb'!Q89/'A)NSA Nb'!P89-1</f>
        <v>-5.8556123264827953E-3</v>
      </c>
      <c r="R84" s="105">
        <f>'A)NSA Nb'!R89/'A)NSA Nb'!Q89-1</f>
        <v>-4.2816219611206963E-3</v>
      </c>
      <c r="S84" s="105">
        <f>'A)NSA Nb'!S89/'A)NSA Nb'!R89-1</f>
        <v>-5.130808698528444E-3</v>
      </c>
      <c r="T84" s="105">
        <f>'A)NSA Nb'!T89/'A)NSA Nb'!S89-1</f>
        <v>-1.1760430519902276E-2</v>
      </c>
      <c r="U84" s="105">
        <f>'A)NSA Nb'!U89/'A)NSA Nb'!T89-1</f>
        <v>-6.0636408446846923E-3</v>
      </c>
      <c r="V84" s="105">
        <f>'A)NSA Nb'!V89/'A)NSA Nb'!U89-1</f>
        <v>-4.6679681350167979E-3</v>
      </c>
      <c r="W84" s="105">
        <f>'A)NSA Nb'!W89/'A)NSA Nb'!V89-1</f>
        <v>-7.7505279058548426E-3</v>
      </c>
      <c r="X84" s="105">
        <f>'A)NSA Nb'!X89/'A)NSA Nb'!W89-1</f>
        <v>-1.1086933996477089E-2</v>
      </c>
      <c r="Y84" s="105">
        <f>'A)NSA Nb'!Y89/'A)NSA Nb'!X89-1</f>
        <v>-6.2544329099232243E-3</v>
      </c>
      <c r="Z84" s="105">
        <f>'A)NSA Nb'!Z89/'A)NSA Nb'!Y89-1</f>
        <v>-3.6173111860887674E-3</v>
      </c>
      <c r="AA84" s="105">
        <f>'A)NSA Nb'!AA89/'A)NSA Nb'!Z89-1</f>
        <v>-8.0016280016279584E-3</v>
      </c>
      <c r="AB84" s="105">
        <f>'A)NSA Nb'!AB89/'A)NSA Nb'!AA89-1</f>
        <v>-1.1249969228749324E-2</v>
      </c>
      <c r="AC84" s="105">
        <f>'A)NSA Nb'!AC89/'A)NSA Nb'!AB89-1</f>
        <v>-8.3986190412960182E-3</v>
      </c>
      <c r="AD84" s="105">
        <f>'A)NSA Nb'!AD89/'A)NSA Nb'!AC89-1</f>
        <v>-5.8166783837166891E-3</v>
      </c>
      <c r="AE84" s="105">
        <f>'A)NSA Nb'!AE89/'A)NSA Nb'!AD89-1</f>
        <v>-1.0346075815100719E-2</v>
      </c>
      <c r="AF84" s="105">
        <f>'A)NSA Nb'!AF89/'A)NSA Nb'!AE89-1</f>
        <v>-1.6161959850289231E-2</v>
      </c>
      <c r="AG84" s="105">
        <f>'A)NSA Nb'!AG89/'A)NSA Nb'!AF89-1</f>
        <v>-1.0107210790247234E-2</v>
      </c>
      <c r="AH84" s="105">
        <f>'A)NSA Nb'!AH89/'A)NSA Nb'!AG89-1</f>
        <v>-8.3500013101466264E-3</v>
      </c>
      <c r="AI84" s="105">
        <f>'A)NSA Nb'!AI89/'A)NSA Nb'!AH89-1</f>
        <v>-1.2709737085480288E-2</v>
      </c>
      <c r="AJ84" s="105">
        <f>'A)NSA Nb'!AJ89/'A)NSA Nb'!AI89-1</f>
        <v>-1.6174214038468415E-2</v>
      </c>
      <c r="AK84" s="105">
        <f>'A)NSA Nb'!AK89/'A)NSA Nb'!AJ89-1</f>
        <v>-8.8774834737348485E-3</v>
      </c>
      <c r="AL84" s="105">
        <f>'A)NSA Nb'!AL89/'A)NSA Nb'!AK89-1</f>
        <v>-5.2881976212260096E-3</v>
      </c>
      <c r="AM84" s="105">
        <f>'A)NSA Nb'!AM89/'A)NSA Nb'!AL89-1</f>
        <v>-1.1037324552528482E-2</v>
      </c>
      <c r="AN84" s="105">
        <f>'A)NSA Nb'!AN89/'A)NSA Nb'!AM89-1</f>
        <v>-1.5085284871933169E-2</v>
      </c>
      <c r="AO84" s="105">
        <f>'A)NSA Nb'!AO89/'A)NSA Nb'!AN89-1</f>
        <v>-1.1038715769593921E-2</v>
      </c>
      <c r="AP84" s="105">
        <f>'A)NSA Nb'!AP89/'A)NSA Nb'!AO89-1</f>
        <v>-8.5170579866514773E-3</v>
      </c>
      <c r="AQ84" s="105">
        <f>'A)NSA Nb'!AQ89/'A)NSA Nb'!AP89-1</f>
        <v>-1.0564431475649783E-2</v>
      </c>
      <c r="AR84" s="105">
        <f>'A)NSA Nb'!AR89/'A)NSA Nb'!AQ89-1</f>
        <v>-1.6838293979093311E-2</v>
      </c>
      <c r="AS84" s="105">
        <f>'A)NSA Nb'!AS89/'A)NSA Nb'!AR89-1</f>
        <v>-1.4255731992238507E-2</v>
      </c>
      <c r="AT84" s="105">
        <f>'A)NSA Nb'!AT89/'A)NSA Nb'!AS89-1</f>
        <v>-8.6771381512874557E-3</v>
      </c>
      <c r="AU84" s="105">
        <f>'A)NSA Nb'!AU89/'A)NSA Nb'!AT89-1</f>
        <v>-1.7556834299145008E-2</v>
      </c>
      <c r="AV84" s="105">
        <f>'A)NSA Nb'!AV89/'A)NSA Nb'!AU89-1</f>
        <v>-1.8778035576179408E-2</v>
      </c>
      <c r="AW84" s="105">
        <f>'A)NSA Nb'!AW89/'A)NSA Nb'!AV89-1</f>
        <v>-1.2758265548479253E-2</v>
      </c>
      <c r="AX84" s="105">
        <f>'A)NSA Nb'!AX89/'A)NSA Nb'!AW89-1</f>
        <v>-9.7828401107089569E-3</v>
      </c>
      <c r="AY84" s="105">
        <f>'A)NSA Nb'!AY89/'A)NSA Nb'!AX89-1</f>
        <v>-6.8962922350866984E-2</v>
      </c>
      <c r="AZ84" s="105">
        <f>'A)NSA Nb'!AZ89/'A)NSA Nb'!AY89-1</f>
        <v>-2.1799875297323523E-2</v>
      </c>
      <c r="BA84" s="105">
        <f>'A)NSA Nb'!BA89/'A)NSA Nb'!AZ89-1</f>
        <v>-1.6301140253547008E-2</v>
      </c>
      <c r="BB84" s="396">
        <f>'A)NSA Nb'!BB89/'A)NSA Nb'!BA89-1</f>
        <v>-1.0583534324489774E-2</v>
      </c>
      <c r="BC84" s="455">
        <f>'A)NSA Nb'!BC89/'A)NSA Nb'!BB89-1</f>
        <v>-2.7081438360317733E-2</v>
      </c>
      <c r="BD84" s="455">
        <f>'A)NSA Nb'!BD89/'A)NSA Nb'!BC89-1</f>
        <v>-1.9109471217371832E-2</v>
      </c>
      <c r="BE84" s="455">
        <f>'A)NSA Nb'!BE89/'A)NSA Nb'!BD89-1</f>
        <v>-1.5643863818322723E-2</v>
      </c>
      <c r="BF84" s="455">
        <f>'A)NSA Nb'!BF89/'A)NSA Nb'!BE89-1</f>
        <v>-1.0560561852875128E-2</v>
      </c>
      <c r="BG84" s="455">
        <f>'A)NSA Nb'!BG89/'A)NSA Nb'!BF89-1</f>
        <v>-2.0159185803757862E-2</v>
      </c>
      <c r="BH84" s="455">
        <f>'A)NSA Nb'!BH89/'A)NSA Nb'!BG89-1</f>
        <v>-2.428923363739266E-2</v>
      </c>
      <c r="BI84" s="455">
        <f>'A)NSA Nb'!BI89/'A)NSA Nb'!BH89-1</f>
        <v>-1.8124496731312556E-2</v>
      </c>
      <c r="BJ84" s="455">
        <f>'A)NSA Nb'!BJ89/'A)NSA Nb'!BI89-1</f>
        <v>-1.3288297680107863E-2</v>
      </c>
    </row>
    <row r="85" spans="1:62" x14ac:dyDescent="0.25">
      <c r="A85" s="22" t="s">
        <v>29</v>
      </c>
      <c r="B85" s="3"/>
      <c r="C85" s="105">
        <f>'A)NSA Nb'!C91/'A)NSA Nb'!B91-1</f>
        <v>-4.5771767695226284E-3</v>
      </c>
      <c r="D85" s="105">
        <f>'A)NSA Nb'!D91/'A)NSA Nb'!C91-1</f>
        <v>-9.8666573420053139E-3</v>
      </c>
      <c r="E85" s="105">
        <f>'A)NSA Nb'!E91/'A)NSA Nb'!D91-1</f>
        <v>-8.6543649509009946E-3</v>
      </c>
      <c r="F85" s="105">
        <f>'A)NSA Nb'!F91/'A)NSA Nb'!E91-1</f>
        <v>-5.7711261612510834E-3</v>
      </c>
      <c r="G85" s="105">
        <f>'A)NSA Nb'!G91/'A)NSA Nb'!F91-1</f>
        <v>-6.2903347811720245E-3</v>
      </c>
      <c r="H85" s="105">
        <f>'A)NSA Nb'!H91/'A)NSA Nb'!G91-1</f>
        <v>-9.8798472750291078E-3</v>
      </c>
      <c r="I85" s="105">
        <f>'A)NSA Nb'!I91/'A)NSA Nb'!H91-1</f>
        <v>-9.4018200725924927E-3</v>
      </c>
      <c r="J85" s="105">
        <f>'A)NSA Nb'!J91/'A)NSA Nb'!I91-1</f>
        <v>-7.885723389002508E-3</v>
      </c>
      <c r="K85" s="105">
        <f>'A)NSA Nb'!K91/'A)NSA Nb'!J91-1</f>
        <v>-6.6720465746318292E-3</v>
      </c>
      <c r="L85" s="105">
        <f>'A)NSA Nb'!L91/'A)NSA Nb'!K91-1</f>
        <v>-1.2277287639606449E-2</v>
      </c>
      <c r="M85" s="105">
        <f>'A)NSA Nb'!M91/'A)NSA Nb'!L91-1</f>
        <v>-1.1380779826812404E-2</v>
      </c>
      <c r="N85" s="105">
        <f>'A)NSA Nb'!N91/'A)NSA Nb'!M91-1</f>
        <v>-8.3918933546137664E-3</v>
      </c>
      <c r="O85" s="105">
        <f>'A)NSA Nb'!O91/'A)NSA Nb'!N91-1</f>
        <v>-7.7223548045332047E-3</v>
      </c>
      <c r="P85" s="105">
        <f>'A)NSA Nb'!P91/'A)NSA Nb'!O91-1</f>
        <v>-1.2105080380581001E-2</v>
      </c>
      <c r="Q85" s="105">
        <f>'A)NSA Nb'!Q91/'A)NSA Nb'!P91-1</f>
        <v>-9.0153822639985615E-3</v>
      </c>
      <c r="R85" s="105">
        <f>'A)NSA Nb'!R91/'A)NSA Nb'!Q91-1</f>
        <v>-7.5947526362406537E-3</v>
      </c>
      <c r="S85" s="105">
        <f>'A)NSA Nb'!S91/'A)NSA Nb'!R91-1</f>
        <v>-8.0014386604472243E-3</v>
      </c>
      <c r="T85" s="105">
        <f>'A)NSA Nb'!T91/'A)NSA Nb'!S91-1</f>
        <v>-9.6281458769289507E-3</v>
      </c>
      <c r="U85" s="105">
        <f>'A)NSA Nb'!U91/'A)NSA Nb'!T91-1</f>
        <v>-9.2291073934550605E-3</v>
      </c>
      <c r="V85" s="105">
        <f>'A)NSA Nb'!V91/'A)NSA Nb'!U91-1</f>
        <v>-6.384157982250227E-3</v>
      </c>
      <c r="W85" s="105">
        <f>'A)NSA Nb'!W91/'A)NSA Nb'!V91-1</f>
        <v>-7.168927759796162E-3</v>
      </c>
      <c r="X85" s="105">
        <f>'A)NSA Nb'!X91/'A)NSA Nb'!W91-1</f>
        <v>-1.3176665348768934E-2</v>
      </c>
      <c r="Y85" s="105">
        <f>'A)NSA Nb'!Y91/'A)NSA Nb'!X91-1</f>
        <v>-1.0503551948417122E-2</v>
      </c>
      <c r="Z85" s="105">
        <f>'A)NSA Nb'!Z91/'A)NSA Nb'!Y91-1</f>
        <v>-5.5715385070739254E-3</v>
      </c>
      <c r="AA85" s="105">
        <f>'A)NSA Nb'!AA91/'A)NSA Nb'!Z91-1</f>
        <v>-6.2623222500547415E-3</v>
      </c>
      <c r="AB85" s="105">
        <f>'A)NSA Nb'!AB91/'A)NSA Nb'!AA91-1</f>
        <v>-1.1072453766934554E-2</v>
      </c>
      <c r="AC85" s="105">
        <f>'A)NSA Nb'!AC91/'A)NSA Nb'!AB91-1</f>
        <v>-9.8783439660206085E-3</v>
      </c>
      <c r="AD85" s="105">
        <f>'A)NSA Nb'!AD91/'A)NSA Nb'!AC91-1</f>
        <v>-6.3796360646430905E-3</v>
      </c>
      <c r="AE85" s="105">
        <f>'A)NSA Nb'!AE91/'A)NSA Nb'!AD91-1</f>
        <v>-7.7505251984425483E-3</v>
      </c>
      <c r="AF85" s="105">
        <f>'A)NSA Nb'!AF91/'A)NSA Nb'!AE91-1</f>
        <v>-1.2762788850554707E-2</v>
      </c>
      <c r="AG85" s="105">
        <f>'A)NSA Nb'!AG91/'A)NSA Nb'!AF91-1</f>
        <v>-9.0132445669116601E-3</v>
      </c>
      <c r="AH85" s="105">
        <f>'A)NSA Nb'!AH91/'A)NSA Nb'!AG91-1</f>
        <v>-5.1805978744834391E-3</v>
      </c>
      <c r="AI85" s="105">
        <f>'A)NSA Nb'!AI91/'A)NSA Nb'!AH91-1</f>
        <v>-6.9136822562423372E-3</v>
      </c>
      <c r="AJ85" s="105">
        <f>'A)NSA Nb'!AJ91/'A)NSA Nb'!AI91-1</f>
        <v>-1.1722862792429622E-2</v>
      </c>
      <c r="AK85" s="105">
        <f>'A)NSA Nb'!AK91/'A)NSA Nb'!AJ91-1</f>
        <v>-9.9572555184554989E-3</v>
      </c>
      <c r="AL85" s="105">
        <f>'A)NSA Nb'!AL91/'A)NSA Nb'!AK91-1</f>
        <v>-4.8161086367132233E-3</v>
      </c>
      <c r="AM85" s="105">
        <f>'A)NSA Nb'!AM91/'A)NSA Nb'!AL91-1</f>
        <v>-7.1470391214679685E-3</v>
      </c>
      <c r="AN85" s="105">
        <f>'A)NSA Nb'!AN91/'A)NSA Nb'!AM91-1</f>
        <v>-1.2683680950306586E-2</v>
      </c>
      <c r="AO85" s="105">
        <f>'A)NSA Nb'!AO91/'A)NSA Nb'!AN91-1</f>
        <v>-1.0199277360617542E-2</v>
      </c>
      <c r="AP85" s="105">
        <f>'A)NSA Nb'!AP91/'A)NSA Nb'!AO91-1</f>
        <v>-4.6262319856917866E-3</v>
      </c>
      <c r="AQ85" s="105">
        <f>'A)NSA Nb'!AQ91/'A)NSA Nb'!AP91-1</f>
        <v>-6.5319497542326577E-3</v>
      </c>
      <c r="AR85" s="105">
        <f>'A)NSA Nb'!AR91/'A)NSA Nb'!AQ91-1</f>
        <v>-1.3394427830064171E-2</v>
      </c>
      <c r="AS85" s="105">
        <f>'A)NSA Nb'!AS91/'A)NSA Nb'!AR91-1</f>
        <v>-1.1890732305292029E-2</v>
      </c>
      <c r="AT85" s="105">
        <f>'A)NSA Nb'!AT91/'A)NSA Nb'!AS91-1</f>
        <v>-5.7264983773511746E-3</v>
      </c>
      <c r="AU85" s="105">
        <f>'A)NSA Nb'!AU91/'A)NSA Nb'!AT91-1</f>
        <v>-1.0594494039179225E-2</v>
      </c>
      <c r="AV85" s="105">
        <f>'A)NSA Nb'!AV91/'A)NSA Nb'!AU91-1</f>
        <v>-1.5159071367153887E-2</v>
      </c>
      <c r="AW85" s="105">
        <f>'A)NSA Nb'!AW91/'A)NSA Nb'!AV91-1</f>
        <v>-1.1411159712581997E-2</v>
      </c>
      <c r="AX85" s="105">
        <f>'A)NSA Nb'!AX91/'A)NSA Nb'!AW91-1</f>
        <v>-4.1626188583708812E-3</v>
      </c>
      <c r="AY85" s="105">
        <f>'A)NSA Nb'!AY91/'A)NSA Nb'!AX91-1</f>
        <v>-0.18877484657498611</v>
      </c>
      <c r="AZ85" s="105">
        <f>'A)NSA Nb'!AZ91/'A)NSA Nb'!AY91-1</f>
        <v>-1.7823174864622593E-2</v>
      </c>
      <c r="BA85" s="105">
        <f>'A)NSA Nb'!BA91/'A)NSA Nb'!AZ91-1</f>
        <v>-1.3690650658375603E-2</v>
      </c>
      <c r="BB85" s="396">
        <f>'A)NSA Nb'!BB91/'A)NSA Nb'!BA91-1</f>
        <v>-3.4758141267017262E-3</v>
      </c>
      <c r="BC85" s="455">
        <f>'A)NSA Nb'!BC91/'A)NSA Nb'!BB91-1</f>
        <v>-1.5461679872259992E-2</v>
      </c>
      <c r="BD85" s="455">
        <f>'A)NSA Nb'!BD91/'A)NSA Nb'!BC91-1</f>
        <v>-1.5865530237676229E-2</v>
      </c>
      <c r="BE85" s="455">
        <f>'A)NSA Nb'!BE91/'A)NSA Nb'!BD91-1</f>
        <v>-1.2287721239369054E-2</v>
      </c>
      <c r="BF85" s="455">
        <f>'A)NSA Nb'!BF91/'A)NSA Nb'!BE91-1</f>
        <v>-6.9736712355783492E-3</v>
      </c>
      <c r="BG85" s="455">
        <f>'A)NSA Nb'!BG91/'A)NSA Nb'!BF91-1</f>
        <v>-1.1324412032237441E-2</v>
      </c>
      <c r="BH85" s="455">
        <f>'A)NSA Nb'!BH91/'A)NSA Nb'!BG91-1</f>
        <v>-1.8022868070677323E-2</v>
      </c>
      <c r="BI85" s="455">
        <f>'A)NSA Nb'!BI91/'A)NSA Nb'!BH91-1</f>
        <v>-1.4172326323541484E-2</v>
      </c>
      <c r="BJ85" s="455">
        <f>'A)NSA Nb'!BJ91/'A)NSA Nb'!BI91-1</f>
        <v>-7.7151015123092526E-3</v>
      </c>
    </row>
    <row r="86" spans="1:62" x14ac:dyDescent="0.25">
      <c r="A86" s="5"/>
      <c r="B86" s="10"/>
      <c r="C86" s="40"/>
      <c r="D86" s="40"/>
      <c r="E86" s="40"/>
      <c r="F86" s="40"/>
      <c r="G86" s="40"/>
      <c r="H86" s="40"/>
      <c r="I86" s="40"/>
      <c r="J86" s="40"/>
      <c r="K86" s="146"/>
      <c r="L86" s="146"/>
      <c r="M86" s="40"/>
      <c r="N86" s="40"/>
      <c r="O86" s="40"/>
      <c r="P86" s="40"/>
      <c r="Q86" s="40"/>
      <c r="R86" s="40"/>
      <c r="S86" s="40"/>
      <c r="T86" s="40"/>
      <c r="U86" s="40"/>
      <c r="V86" s="40"/>
      <c r="W86" s="40"/>
      <c r="X86" s="40"/>
      <c r="Y86" s="40"/>
      <c r="Z86" s="40"/>
      <c r="AA86" s="40"/>
      <c r="AB86" s="40"/>
      <c r="AC86" s="40"/>
      <c r="AD86" s="40"/>
      <c r="AE86" s="40"/>
      <c r="AF86" s="40"/>
      <c r="AG86" s="40"/>
      <c r="AH86" s="40"/>
      <c r="AI86" s="40"/>
      <c r="AJ86" s="40"/>
      <c r="AM86" s="40"/>
      <c r="AN86" s="40"/>
      <c r="AO86" s="40"/>
    </row>
    <row r="87" spans="1:62" ht="13" x14ac:dyDescent="0.3">
      <c r="A87" s="25" t="s">
        <v>23</v>
      </c>
      <c r="L87" s="14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M87" s="35"/>
      <c r="AN87" s="35"/>
      <c r="AO87" s="35"/>
      <c r="BB87" s="377" t="s">
        <v>241</v>
      </c>
      <c r="BC87" s="377"/>
      <c r="BD87" s="377"/>
      <c r="BE87" s="377"/>
      <c r="BF87" s="377"/>
      <c r="BG87" s="377"/>
      <c r="BH87" s="377"/>
      <c r="BI87" s="377"/>
      <c r="BJ87" s="377"/>
    </row>
    <row r="88" spans="1:62" x14ac:dyDescent="0.25">
      <c r="A88" s="24" t="s">
        <v>6</v>
      </c>
      <c r="L88" s="14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M88" s="35"/>
      <c r="AN88" s="35"/>
      <c r="AO88" s="35"/>
      <c r="BB88" s="383" t="s">
        <v>244</v>
      </c>
      <c r="BC88" s="383"/>
      <c r="BD88" s="383"/>
      <c r="BE88" s="383"/>
      <c r="BF88" s="383"/>
      <c r="BG88" s="383"/>
      <c r="BH88" s="383"/>
      <c r="BI88" s="383"/>
      <c r="BJ88" s="383"/>
    </row>
    <row r="89" spans="1:62" x14ac:dyDescent="0.25">
      <c r="B89" s="2" t="str">
        <f t="shared" ref="B89:H89" si="246">B8</f>
        <v>4eme T 2009</v>
      </c>
      <c r="C89" s="38" t="str">
        <f t="shared" si="246"/>
        <v>1er T 2010</v>
      </c>
      <c r="D89" s="38" t="str">
        <f t="shared" si="246"/>
        <v>2eme T 2010</v>
      </c>
      <c r="E89" s="38" t="str">
        <f t="shared" si="246"/>
        <v>3eme T 2010</v>
      </c>
      <c r="F89" s="38" t="str">
        <f t="shared" si="246"/>
        <v>4eme T 2010</v>
      </c>
      <c r="G89" s="38" t="str">
        <f t="shared" si="246"/>
        <v>1er T 2011</v>
      </c>
      <c r="H89" s="38" t="str">
        <f t="shared" si="246"/>
        <v>2eme T 2011</v>
      </c>
      <c r="I89" s="38" t="str">
        <f t="shared" ref="I89:N89" si="247">I8</f>
        <v>3eme T 2011</v>
      </c>
      <c r="J89" s="38" t="str">
        <f t="shared" si="247"/>
        <v>4eme T 2011</v>
      </c>
      <c r="K89" s="38" t="str">
        <f t="shared" si="247"/>
        <v>1er T 2012</v>
      </c>
      <c r="L89" s="38" t="str">
        <f t="shared" si="247"/>
        <v>2eme T 2012</v>
      </c>
      <c r="M89" s="38" t="str">
        <f t="shared" si="247"/>
        <v>3eme T 2012</v>
      </c>
      <c r="N89" s="38" t="str">
        <f t="shared" si="247"/>
        <v>4eme T 2012</v>
      </c>
      <c r="O89" s="38" t="str">
        <f t="shared" ref="O89:T89" si="248">O8</f>
        <v>1er T 2013</v>
      </c>
      <c r="P89" s="38" t="str">
        <f t="shared" si="248"/>
        <v>2e T 2013</v>
      </c>
      <c r="Q89" s="38" t="str">
        <f t="shared" si="248"/>
        <v>3e T 2013</v>
      </c>
      <c r="R89" s="38" t="str">
        <f t="shared" si="248"/>
        <v>4e T 2013</v>
      </c>
      <c r="S89" s="38" t="str">
        <f t="shared" si="248"/>
        <v>1er T 2014</v>
      </c>
      <c r="T89" s="38" t="str">
        <f t="shared" si="248"/>
        <v>2e T 2014</v>
      </c>
      <c r="U89" s="38" t="str">
        <f t="shared" ref="U89:V89" si="249">U8</f>
        <v>3e T 2014</v>
      </c>
      <c r="V89" s="38" t="str">
        <f t="shared" si="249"/>
        <v>4e T 2014</v>
      </c>
      <c r="W89" s="38" t="str">
        <f t="shared" ref="W89:X89" si="250">W8</f>
        <v>1er T 2015</v>
      </c>
      <c r="X89" s="38" t="str">
        <f t="shared" si="250"/>
        <v>2e T 2015</v>
      </c>
      <c r="Y89" s="38" t="str">
        <f t="shared" ref="Y89:Z89" si="251">Y8</f>
        <v>3e T 2015</v>
      </c>
      <c r="Z89" s="38" t="str">
        <f t="shared" si="251"/>
        <v>4e T 2015</v>
      </c>
      <c r="AA89" s="38" t="str">
        <f t="shared" ref="AA89:AB89" si="252">AA8</f>
        <v>1er T 2016</v>
      </c>
      <c r="AB89" s="38" t="str">
        <f t="shared" si="252"/>
        <v>2e T 2016</v>
      </c>
      <c r="AC89" s="38" t="str">
        <f t="shared" ref="AC89" si="253">AC8</f>
        <v>3e T 2016</v>
      </c>
      <c r="AD89" s="38" t="str">
        <f t="shared" ref="AD89:AE89" si="254">AD8</f>
        <v>4e T 2016</v>
      </c>
      <c r="AE89" s="38" t="str">
        <f t="shared" si="254"/>
        <v>1e T 2017</v>
      </c>
      <c r="AF89" s="38" t="str">
        <f t="shared" ref="AF89:AG89" si="255">AF8</f>
        <v>2e T 2017</v>
      </c>
      <c r="AG89" s="38" t="str">
        <f t="shared" si="255"/>
        <v>3e T 2017</v>
      </c>
      <c r="AH89" s="38" t="str">
        <f t="shared" ref="AH89:AI89" si="256">AH8</f>
        <v>4e T 2017</v>
      </c>
      <c r="AI89" s="38" t="str">
        <f t="shared" si="256"/>
        <v>1e T 2018</v>
      </c>
      <c r="AJ89" s="38" t="str">
        <f t="shared" ref="AJ89:AK89" si="257">AJ8</f>
        <v>2e T 2018</v>
      </c>
      <c r="AK89" s="38" t="str">
        <f t="shared" si="257"/>
        <v>3e T 2018</v>
      </c>
      <c r="AL89" s="38" t="str">
        <f t="shared" ref="AL89:AM89" si="258">AL8</f>
        <v>4e T 2018</v>
      </c>
      <c r="AM89" s="38" t="str">
        <f t="shared" si="258"/>
        <v>1e T 2019</v>
      </c>
      <c r="AN89" s="38" t="str">
        <f t="shared" ref="AN89:AP89" si="259">AN8</f>
        <v>2e T 2019</v>
      </c>
      <c r="AO89" s="38" t="str">
        <f t="shared" si="259"/>
        <v>3e T 2019</v>
      </c>
      <c r="AP89" s="38" t="str">
        <f t="shared" si="259"/>
        <v>4e T 2019</v>
      </c>
      <c r="AQ89" s="38" t="str">
        <f t="shared" ref="AQ89" si="260">AQ8</f>
        <v>1e T 2020</v>
      </c>
      <c r="AR89" s="38" t="str">
        <f t="shared" ref="AR89:AS89" si="261">AR8</f>
        <v>2e T 2020</v>
      </c>
      <c r="AS89" s="38" t="str">
        <f t="shared" si="261"/>
        <v>3e T 2020</v>
      </c>
      <c r="AT89" s="38" t="str">
        <f t="shared" ref="AT89:AU89" si="262">AT8</f>
        <v>4e T 2020</v>
      </c>
      <c r="AU89" s="38" t="str">
        <f t="shared" si="262"/>
        <v>1er T 2021</v>
      </c>
      <c r="AV89" s="38" t="str">
        <f t="shared" ref="AV89:AW89" si="263">AV8</f>
        <v>2e T 2021</v>
      </c>
      <c r="AW89" s="38" t="str">
        <f t="shared" si="263"/>
        <v>3e T 2021</v>
      </c>
      <c r="AX89" s="38" t="str">
        <f t="shared" ref="AX89:AY89" si="264">AX8</f>
        <v>4e T 2021</v>
      </c>
      <c r="AY89" s="38" t="str">
        <f t="shared" si="264"/>
        <v>1er T 2022</v>
      </c>
      <c r="AZ89" s="38" t="str">
        <f t="shared" ref="AZ89:BA89" si="265">AZ8</f>
        <v>2e T 2022</v>
      </c>
      <c r="BA89" s="38" t="str">
        <f t="shared" si="265"/>
        <v>3e T 2022</v>
      </c>
      <c r="BB89" s="38" t="str">
        <f t="shared" ref="BB89:BC89" si="266">BB8</f>
        <v>4e T 2022</v>
      </c>
      <c r="BC89" s="38" t="str">
        <f t="shared" si="266"/>
        <v>1er T 2023</v>
      </c>
      <c r="BD89" s="38" t="str">
        <f t="shared" ref="BD89:BE89" si="267">BD8</f>
        <v>2e T 2023</v>
      </c>
      <c r="BE89" s="38" t="str">
        <f t="shared" si="267"/>
        <v>3e T 2023</v>
      </c>
      <c r="BF89" s="38" t="str">
        <f t="shared" ref="BF89:BG89" si="268">BF8</f>
        <v>4e T 2023</v>
      </c>
      <c r="BG89" s="38" t="str">
        <f t="shared" si="268"/>
        <v>1er T 2024</v>
      </c>
      <c r="BH89" s="38" t="str">
        <f t="shared" ref="BH89:BI89" si="269">BH8</f>
        <v>2e T 2024</v>
      </c>
      <c r="BI89" s="38" t="str">
        <f t="shared" si="269"/>
        <v>3e T 2024</v>
      </c>
      <c r="BJ89" s="38" t="str">
        <f t="shared" ref="BJ89" si="270">BJ8</f>
        <v>4e T 2024</v>
      </c>
    </row>
    <row r="90" spans="1:62" x14ac:dyDescent="0.25">
      <c r="A90" s="8" t="s">
        <v>0</v>
      </c>
      <c r="B90" s="16"/>
      <c r="C90" s="105">
        <f>'A)NSA Nb'!C96/'A)NSA Nb'!B96-1</f>
        <v>2.7499334693514843E-3</v>
      </c>
      <c r="D90" s="105">
        <f>'A)NSA Nb'!D96/'A)NSA Nb'!C96-1</f>
        <v>1.0473185499724869E-2</v>
      </c>
      <c r="E90" s="105">
        <f>'A)NSA Nb'!E96/'A)NSA Nb'!D96-1</f>
        <v>5.641941022260788E-4</v>
      </c>
      <c r="F90" s="105">
        <f>'A)NSA Nb'!F96/'A)NSA Nb'!E96-1</f>
        <v>7.9720395296489777E-4</v>
      </c>
      <c r="G90" s="105">
        <f>'A)NSA Nb'!G96/'A)NSA Nb'!F96-1</f>
        <v>2.9094194275389729E-3</v>
      </c>
      <c r="H90" s="105">
        <f>'A)NSA Nb'!H96/'A)NSA Nb'!G96-1</f>
        <v>2.4113482046861145E-2</v>
      </c>
      <c r="I90" s="105">
        <f>'A)NSA Nb'!I96/'A)NSA Nb'!H96-1</f>
        <v>7.4245369122416527E-4</v>
      </c>
      <c r="J90" s="105">
        <f>'A)NSA Nb'!J96/'A)NSA Nb'!I96-1</f>
        <v>8.8839323687017746E-4</v>
      </c>
      <c r="K90" s="105">
        <f>'A)NSA Nb'!K96/'A)NSA Nb'!J96-1</f>
        <v>-1.7988158975665858E-3</v>
      </c>
      <c r="L90" s="105">
        <f>'A)NSA Nb'!L96/'A)NSA Nb'!K96-1</f>
        <v>2.4921366914981702E-2</v>
      </c>
      <c r="M90" s="105">
        <f>'A)NSA Nb'!M96/'A)NSA Nb'!L96-1</f>
        <v>8.7219766121804376E-4</v>
      </c>
      <c r="N90" s="105">
        <f>'A)NSA Nb'!N96/'A)NSA Nb'!M96-1</f>
        <v>9.0832384280936651E-4</v>
      </c>
      <c r="O90" s="105">
        <f>'A)NSA Nb'!O96/'A)NSA Nb'!N96-1</f>
        <v>3.2246176524752812E-5</v>
      </c>
      <c r="P90" s="105">
        <f>'A)NSA Nb'!P96/'A)NSA Nb'!O96-1</f>
        <v>1.4187860166661403E-2</v>
      </c>
      <c r="Q90" s="105">
        <f>'A)NSA Nb'!Q96/'A)NSA Nb'!P96-1</f>
        <v>6.0862890442270334E-4</v>
      </c>
      <c r="R90" s="105">
        <f>'A)NSA Nb'!R96/'A)NSA Nb'!Q96-1</f>
        <v>-2.6736147362019791E-3</v>
      </c>
      <c r="S90" s="105">
        <f>'A)NSA Nb'!S96/'A)NSA Nb'!R96-1</f>
        <v>4.5696184095542769E-3</v>
      </c>
      <c r="T90" s="105">
        <f>'A)NSA Nb'!T96/'A)NSA Nb'!S96-1</f>
        <v>5.889921890576133E-4</v>
      </c>
      <c r="U90" s="105">
        <f>'A)NSA Nb'!U96/'A)NSA Nb'!T96-1</f>
        <v>5.4789310198066765E-4</v>
      </c>
      <c r="V90" s="105">
        <f>'A)NSA Nb'!V96/'A)NSA Nb'!U96-1</f>
        <v>9.1416365339624939E-4</v>
      </c>
      <c r="W90" s="105">
        <f>'A)NSA Nb'!W96/'A)NSA Nb'!V96-1</f>
        <v>9.3593586804674445E-4</v>
      </c>
      <c r="X90" s="105">
        <f>'A)NSA Nb'!X96/'A)NSA Nb'!W96-1</f>
        <v>1.4906764960969099E-3</v>
      </c>
      <c r="Y90" s="105">
        <f>'A)NSA Nb'!Y96/'A)NSA Nb'!X96-1</f>
        <v>1.2854861844062704E-3</v>
      </c>
      <c r="Z90" s="105">
        <f>'A)NSA Nb'!Z96/'A)NSA Nb'!Y96-1</f>
        <v>2.2163060664621703E-3</v>
      </c>
      <c r="AA90" s="105">
        <f>'A)NSA Nb'!AA96/'A)NSA Nb'!Z96-1</f>
        <v>1.2090811432783344E-3</v>
      </c>
      <c r="AB90" s="105">
        <f>'A)NSA Nb'!AB96/'A)NSA Nb'!AA96-1</f>
        <v>1.7463367332279933E-3</v>
      </c>
      <c r="AC90" s="105">
        <f>'A)NSA Nb'!AC96/'A)NSA Nb'!AB96-1</f>
        <v>8.7836838590837907E-4</v>
      </c>
      <c r="AD90" s="105">
        <f>'A)NSA Nb'!AD96/'A)NSA Nb'!AC96-1</f>
        <v>1.365649220684606E-3</v>
      </c>
      <c r="AE90" s="105">
        <f>'A)NSA Nb'!AE96/'A)NSA Nb'!AD96-1</f>
        <v>1.4219153826202646E-3</v>
      </c>
      <c r="AF90" s="105">
        <f>'A)NSA Nb'!AF96/'A)NSA Nb'!AE96-1</f>
        <v>5.0008930166089982E-4</v>
      </c>
      <c r="AG90" s="105">
        <f>'A)NSA Nb'!AG96/'A)NSA Nb'!AF96-1</f>
        <v>1.9904316469705474E-3</v>
      </c>
      <c r="AH90" s="105">
        <f>'A)NSA Nb'!AH96/'A)NSA Nb'!AG96-1</f>
        <v>8.008266597778313E-3</v>
      </c>
      <c r="AI90" s="105">
        <f>'A)NSA Nb'!AI96/'A)NSA Nb'!AH96-1</f>
        <v>1.891161031478239E-3</v>
      </c>
      <c r="AJ90" s="105">
        <f>'A)NSA Nb'!AJ96/'A)NSA Nb'!AI96-1</f>
        <v>2.086052993684584E-3</v>
      </c>
      <c r="AK90" s="105">
        <f>'A)NSA Nb'!AK96/'A)NSA Nb'!AJ96-1</f>
        <v>1.2631097145019421E-3</v>
      </c>
      <c r="AL90" s="105">
        <f>'A)NSA Nb'!AL96/'A)NSA Nb'!AK96-1</f>
        <v>1.1032773050145828E-3</v>
      </c>
      <c r="AM90" s="105">
        <f>'A)NSA Nb'!AM96/'A)NSA Nb'!AL96-1</f>
        <v>4.8956115123706123E-3</v>
      </c>
      <c r="AN90" s="105">
        <f>'A)NSA Nb'!AN96/'A)NSA Nb'!AM96-1</f>
        <v>1.8787958229562474E-3</v>
      </c>
      <c r="AO90" s="105">
        <f>'A)NSA Nb'!AO96/'A)NSA Nb'!AN96-1</f>
        <v>1.2690798081116395E-3</v>
      </c>
      <c r="AP90" s="105">
        <f>'A)NSA Nb'!AP96/'A)NSA Nb'!AO96-1</f>
        <v>1.5200944287887541E-3</v>
      </c>
      <c r="AQ90" s="105">
        <f>'A)NSA Nb'!AQ96/'A)NSA Nb'!AP96-1</f>
        <v>1.1437766373836533E-2</v>
      </c>
      <c r="AR90" s="105">
        <f>'A)NSA Nb'!AR96/'A)NSA Nb'!AQ96-1</f>
        <v>1.638216450961183E-3</v>
      </c>
      <c r="AS90" s="105">
        <f>'A)NSA Nb'!AS96/'A)NSA Nb'!AR96-1</f>
        <v>1.1719202750790636E-3</v>
      </c>
      <c r="AT90" s="105">
        <f>'A)NSA Nb'!AT96/'A)NSA Nb'!AS96-1</f>
        <v>1.3977978252668333E-3</v>
      </c>
      <c r="AU90" s="105">
        <f>'A)NSA Nb'!AU96/'A)NSA Nb'!AT96-1</f>
        <v>5.1338043245556797E-3</v>
      </c>
      <c r="AV90" s="105">
        <f>'A)NSA Nb'!AV96/'A)NSA Nb'!AU96-1</f>
        <v>2.5431418238204273E-3</v>
      </c>
      <c r="AW90" s="105">
        <f>'A)NSA Nb'!AW96/'A)NSA Nb'!AV96-1</f>
        <v>2.094788099224143E-3</v>
      </c>
      <c r="AX90" s="105">
        <f>'A)NSA Nb'!AX96/'A)NSA Nb'!AW96-1</f>
        <v>2.0116768507414395E-3</v>
      </c>
      <c r="AY90" s="105">
        <f>'A)NSA Nb'!AY96/'A)NSA Nb'!AX96-1</f>
        <v>5.201511049455898E-2</v>
      </c>
      <c r="AZ90" s="105">
        <f>'A)NSA Nb'!AZ96/'A)NSA Nb'!AY96-1</f>
        <v>2.5076158168388929E-3</v>
      </c>
      <c r="BA90" s="105">
        <f>'A)NSA Nb'!BA96/'A)NSA Nb'!AZ96-1</f>
        <v>4.117041024182222E-2</v>
      </c>
      <c r="BB90" s="396">
        <f>'A)NSA Nb'!BB96/'A)NSA Nb'!BA96-1</f>
        <v>-9.2751228406784403E-4</v>
      </c>
      <c r="BC90" s="455">
        <f>'A)NSA Nb'!BC96/'A)NSA Nb'!BB96-1</f>
        <v>1.2635833336973823E-2</v>
      </c>
      <c r="BD90" s="455">
        <f>'A)NSA Nb'!BD96/'A)NSA Nb'!BC96-1</f>
        <v>3.6470832730641778E-3</v>
      </c>
      <c r="BE90" s="455">
        <f>'A)NSA Nb'!BE96/'A)NSA Nb'!BD96-1</f>
        <v>2.789748778201151E-3</v>
      </c>
      <c r="BF90" s="455">
        <f>'A)NSA Nb'!BF96/'A)NSA Nb'!BE96-1</f>
        <v>2.3972342780609335E-3</v>
      </c>
      <c r="BG90" s="455">
        <f>'A)NSA Nb'!BG96/'A)NSA Nb'!BF96-1</f>
        <v>5.4179727090001073E-2</v>
      </c>
      <c r="BH90" s="455">
        <f>'A)NSA Nb'!BH96/'A)NSA Nb'!BG96-1</f>
        <v>3.5340137115709158E-3</v>
      </c>
      <c r="BI90" s="455">
        <f>'A)NSA Nb'!BI96/'A)NSA Nb'!BH96-1</f>
        <v>2.8882432366510447E-3</v>
      </c>
      <c r="BJ90" s="455">
        <f>'A)NSA Nb'!BJ96/'A)NSA Nb'!BI96-1</f>
        <v>1.9088690617994342E-3</v>
      </c>
    </row>
    <row r="91" spans="1:62" x14ac:dyDescent="0.25">
      <c r="A91" s="8" t="s">
        <v>1</v>
      </c>
      <c r="B91" s="16"/>
      <c r="C91" s="105">
        <f>'A)NSA Nb'!C97/'A)NSA Nb'!B97-1</f>
        <v>1.0272149321977064E-3</v>
      </c>
      <c r="D91" s="105">
        <f>'A)NSA Nb'!D97/'A)NSA Nb'!C97-1</f>
        <v>9.9800399201597223E-3</v>
      </c>
      <c r="E91" s="105">
        <f>'A)NSA Nb'!E97/'A)NSA Nb'!D97-1</f>
        <v>-1.4868598758477347E-4</v>
      </c>
      <c r="F91" s="105">
        <f>'A)NSA Nb'!F97/'A)NSA Nb'!E97-1</f>
        <v>-5.3287068591623132E-4</v>
      </c>
      <c r="G91" s="105">
        <f>'A)NSA Nb'!G97/'A)NSA Nb'!F97-1</f>
        <v>3.0377423994454311E-4</v>
      </c>
      <c r="H91" s="105">
        <f>'A)NSA Nb'!H97/'A)NSA Nb'!G97-1</f>
        <v>2.2193575576531011E-2</v>
      </c>
      <c r="I91" s="105">
        <f>'A)NSA Nb'!I97/'A)NSA Nb'!H97-1</f>
        <v>-6.0630312731069225E-5</v>
      </c>
      <c r="J91" s="105">
        <f>'A)NSA Nb'!J97/'A)NSA Nb'!I97-1</f>
        <v>2.7285295044987556E-4</v>
      </c>
      <c r="K91" s="105">
        <f>'A)NSA Nb'!K97/'A)NSA Nb'!J97-1</f>
        <v>-5.6980402378636885E-4</v>
      </c>
      <c r="L91" s="105">
        <f>'A)NSA Nb'!L97/'A)NSA Nb'!K97-1</f>
        <v>2.0815769522365413E-2</v>
      </c>
      <c r="M91" s="105">
        <f>'A)NSA Nb'!M97/'A)NSA Nb'!L97-1</f>
        <v>8.3181329356474265E-5</v>
      </c>
      <c r="N91" s="105">
        <f>'A)NSA Nb'!N97/'A)NSA Nb'!M97-1</f>
        <v>6.5351322770190734E-5</v>
      </c>
      <c r="O91" s="105">
        <f>'A)NSA Nb'!O97/'A)NSA Nb'!N97-1</f>
        <v>-5.7030154694293067E-4</v>
      </c>
      <c r="P91" s="105">
        <f>'A)NSA Nb'!P97/'A)NSA Nb'!O97-1</f>
        <v>1.210204712427787E-2</v>
      </c>
      <c r="Q91" s="105">
        <f>'A)NSA Nb'!Q97/'A)NSA Nb'!P97-1</f>
        <v>-1.9380755497078184E-4</v>
      </c>
      <c r="R91" s="105">
        <f>'A)NSA Nb'!R97/'A)NSA Nb'!Q97-1</f>
        <v>-4.1706072051650445E-4</v>
      </c>
      <c r="S91" s="105">
        <f>'A)NSA Nb'!S97/'A)NSA Nb'!R97-1</f>
        <v>2.3506182125898611E-4</v>
      </c>
      <c r="T91" s="105">
        <f>'A)NSA Nb'!T97/'A)NSA Nb'!S97-1</f>
        <v>-1.0340289528106839E-3</v>
      </c>
      <c r="U91" s="105">
        <f>'A)NSA Nb'!U97/'A)NSA Nb'!T97-1</f>
        <v>-6.9986826009216241E-4</v>
      </c>
      <c r="V91" s="105">
        <f>'A)NSA Nb'!V97/'A)NSA Nb'!U97-1</f>
        <v>-1.6479021616955247E-4</v>
      </c>
      <c r="W91" s="105">
        <f>'A)NSA Nb'!W97/'A)NSA Nb'!V97-1</f>
        <v>-7.4756452894608749E-4</v>
      </c>
      <c r="X91" s="105">
        <f>'A)NSA Nb'!X97/'A)NSA Nb'!W97-1</f>
        <v>-4.0057022349448967E-4</v>
      </c>
      <c r="Y91" s="105">
        <f>'A)NSA Nb'!Y97/'A)NSA Nb'!X97-1</f>
        <v>-1.7679297542705363E-5</v>
      </c>
      <c r="Z91" s="105">
        <f>'A)NSA Nb'!Z97/'A)NSA Nb'!Y97-1</f>
        <v>1.1314950467626872E-3</v>
      </c>
      <c r="AA91" s="105">
        <f>'A)NSA Nb'!AA97/'A)NSA Nb'!Z97-1</f>
        <v>-1.1831950976871619E-3</v>
      </c>
      <c r="AB91" s="105">
        <f>'A)NSA Nb'!AB97/'A)NSA Nb'!AA97-1</f>
        <v>-2.1216657433487107E-4</v>
      </c>
      <c r="AC91" s="105">
        <f>'A)NSA Nb'!AC97/'A)NSA Nb'!AB97-1</f>
        <v>-6.4842432888179147E-5</v>
      </c>
      <c r="AD91" s="105">
        <f>'A)NSA Nb'!AD97/'A)NSA Nb'!AC97-1</f>
        <v>-1.5916901981360976E-4</v>
      </c>
      <c r="AE91" s="105">
        <f>'A)NSA Nb'!AE97/'A)NSA Nb'!AD97-1</f>
        <v>-9.2568571495954544E-4</v>
      </c>
      <c r="AF91" s="105">
        <f>'A)NSA Nb'!AF97/'A)NSA Nb'!AE97-1</f>
        <v>-7.9080774519457719E-4</v>
      </c>
      <c r="AG91" s="105">
        <f>'A)NSA Nb'!AG97/'A)NSA Nb'!AF97-1</f>
        <v>1.1812442045200378E-4</v>
      </c>
      <c r="AH91" s="105">
        <f>'A)NSA Nb'!AH97/'A)NSA Nb'!AG97-1</f>
        <v>7.5472589512970423E-3</v>
      </c>
      <c r="AI91" s="105">
        <f>'A)NSA Nb'!AI97/'A)NSA Nb'!AH97-1</f>
        <v>-8.3230272373990832E-4</v>
      </c>
      <c r="AJ91" s="105">
        <f>'A)NSA Nb'!AJ97/'A)NSA Nb'!AI97-1</f>
        <v>-5.2795522939685924E-5</v>
      </c>
      <c r="AK91" s="105">
        <f>'A)NSA Nb'!AK97/'A)NSA Nb'!AJ97-1</f>
        <v>-7.8024169893220474E-4</v>
      </c>
      <c r="AL91" s="105">
        <f>'A)NSA Nb'!AL97/'A)NSA Nb'!AK97-1</f>
        <v>-6.5168763613510095E-4</v>
      </c>
      <c r="AM91" s="105">
        <f>'A)NSA Nb'!AM97/'A)NSA Nb'!AL97-1</f>
        <v>2.7435728721152408E-3</v>
      </c>
      <c r="AN91" s="105">
        <f>'A)NSA Nb'!AN97/'A)NSA Nb'!AM97-1</f>
        <v>-3.8668174334866023E-4</v>
      </c>
      <c r="AO91" s="105">
        <f>'A)NSA Nb'!AO97/'A)NSA Nb'!AN97-1</f>
        <v>-3.575259206293202E-4</v>
      </c>
      <c r="AP91" s="105">
        <f>'A)NSA Nb'!AP97/'A)NSA Nb'!AO97-1</f>
        <v>-6.2735992870377455E-4</v>
      </c>
      <c r="AQ91" s="105">
        <f>'A)NSA Nb'!AQ97/'A)NSA Nb'!AP97-1</f>
        <v>1.3558307763612554E-2</v>
      </c>
      <c r="AR91" s="105">
        <f>'A)NSA Nb'!AR97/'A)NSA Nb'!AQ97-1</f>
        <v>-5.5568418615403736E-4</v>
      </c>
      <c r="AS91" s="105">
        <f>'A)NSA Nb'!AS97/'A)NSA Nb'!AR97-1</f>
        <v>-3.3012092850859265E-4</v>
      </c>
      <c r="AT91" s="105">
        <f>'A)NSA Nb'!AT97/'A)NSA Nb'!AS97-1</f>
        <v>-1.1818755902135436E-3</v>
      </c>
      <c r="AU91" s="105">
        <f>'A)NSA Nb'!AU97/'A)NSA Nb'!AT97-1</f>
        <v>3.0741924444470659E-3</v>
      </c>
      <c r="AV91" s="105">
        <f>'A)NSA Nb'!AV97/'A)NSA Nb'!AU97-1</f>
        <v>1.237473472385231E-3</v>
      </c>
      <c r="AW91" s="105">
        <f>'A)NSA Nb'!AW97/'A)NSA Nb'!AV97-1</f>
        <v>4.6781058869060921E-4</v>
      </c>
      <c r="AX91" s="105">
        <f>'A)NSA Nb'!AX97/'A)NSA Nb'!AW97-1</f>
        <v>-1.1151127486885848E-4</v>
      </c>
      <c r="AY91" s="105">
        <f>'A)NSA Nb'!AY97/'A)NSA Nb'!AX97-1</f>
        <v>0.20886528794423365</v>
      </c>
      <c r="AZ91" s="105">
        <f>'A)NSA Nb'!AZ97/'A)NSA Nb'!AY97-1</f>
        <v>-1.0607734289214132E-3</v>
      </c>
      <c r="BA91" s="105">
        <f>'A)NSA Nb'!BA97/'A)NSA Nb'!AZ97-1</f>
        <v>3.8800240299095012E-2</v>
      </c>
      <c r="BB91" s="396">
        <f>'A)NSA Nb'!BB97/'A)NSA Nb'!BA97-1</f>
        <v>-3.4763365436143445E-3</v>
      </c>
      <c r="BC91" s="455">
        <f>'A)NSA Nb'!BC97/'A)NSA Nb'!BB97-1</f>
        <v>1.0090252097479269E-2</v>
      </c>
      <c r="BD91" s="455">
        <f>'A)NSA Nb'!BD97/'A)NSA Nb'!BC97-1</f>
        <v>1.0914221565843096E-3</v>
      </c>
      <c r="BE91" s="455">
        <f>'A)NSA Nb'!BE97/'A)NSA Nb'!BD97-1</f>
        <v>-6.3501134311616525E-4</v>
      </c>
      <c r="BF91" s="455">
        <f>'A)NSA Nb'!BF97/'A)NSA Nb'!BE97-1</f>
        <v>5.7909722175786271E-5</v>
      </c>
      <c r="BG91" s="455">
        <f>'A)NSA Nb'!BG97/'A)NSA Nb'!BF97-1</f>
        <v>5.0150647161517625E-2</v>
      </c>
      <c r="BH91" s="455">
        <f>'A)NSA Nb'!BH97/'A)NSA Nb'!BG97-1</f>
        <v>1.8315876259245023E-3</v>
      </c>
      <c r="BI91" s="455">
        <f>'A)NSA Nb'!BI97/'A)NSA Nb'!BH97-1</f>
        <v>-6.5727673196269709E-4</v>
      </c>
      <c r="BJ91" s="455">
        <f>'A)NSA Nb'!BJ97/'A)NSA Nb'!BI97-1</f>
        <v>-1.0508744085976351E-3</v>
      </c>
    </row>
    <row r="92" spans="1:62" x14ac:dyDescent="0.25">
      <c r="A92" s="8" t="s">
        <v>2</v>
      </c>
      <c r="B92" s="16"/>
      <c r="C92" s="105">
        <f>'A)NSA Nb'!C98/'A)NSA Nb'!B98-1</f>
        <v>1.9087403949455961E-3</v>
      </c>
      <c r="D92" s="105">
        <f>'A)NSA Nb'!D98/'A)NSA Nb'!C98-1</f>
        <v>1.7690251854754813E-2</v>
      </c>
      <c r="E92" s="105">
        <f>'A)NSA Nb'!E98/'A)NSA Nb'!D98-1</f>
        <v>-4.8136836981926834E-4</v>
      </c>
      <c r="F92" s="105">
        <f>'A)NSA Nb'!F98/'A)NSA Nb'!E98-1</f>
        <v>-2.7772278022443198E-3</v>
      </c>
      <c r="G92" s="105">
        <f>'A)NSA Nb'!G98/'A)NSA Nb'!F98-1</f>
        <v>-1.0249090460295873E-3</v>
      </c>
      <c r="H92" s="105">
        <f>'A)NSA Nb'!H98/'A)NSA Nb'!G98-1</f>
        <v>4.3353548158374E-2</v>
      </c>
      <c r="I92" s="105">
        <f>'A)NSA Nb'!I98/'A)NSA Nb'!H98-1</f>
        <v>-4.793088890948316E-3</v>
      </c>
      <c r="J92" s="105">
        <f>'A)NSA Nb'!J98/'A)NSA Nb'!I98-1</f>
        <v>-7.7079464271856413E-4</v>
      </c>
      <c r="K92" s="105">
        <f>'A)NSA Nb'!K98/'A)NSA Nb'!J98-1</f>
        <v>-1.1752037192350739E-3</v>
      </c>
      <c r="L92" s="105">
        <f>'A)NSA Nb'!L98/'A)NSA Nb'!K98-1</f>
        <v>4.3518148975540516E-2</v>
      </c>
      <c r="M92" s="105">
        <f>'A)NSA Nb'!M98/'A)NSA Nb'!L98-1</f>
        <v>-6.9985645243807459E-3</v>
      </c>
      <c r="N92" s="105">
        <f>'A)NSA Nb'!N98/'A)NSA Nb'!M98-1</f>
        <v>-2.5010254204205218E-5</v>
      </c>
      <c r="O92" s="105">
        <f>'A)NSA Nb'!O98/'A)NSA Nb'!N98-1</f>
        <v>-5.1022194654681829E-4</v>
      </c>
      <c r="P92" s="105">
        <f>'A)NSA Nb'!P98/'A)NSA Nb'!O98-1</f>
        <v>1.4854037065026526E-2</v>
      </c>
      <c r="Q92" s="105">
        <f>'A)NSA Nb'!Q98/'A)NSA Nb'!P98-1</f>
        <v>-4.7342180403295853E-3</v>
      </c>
      <c r="R92" s="105">
        <f>'A)NSA Nb'!R98/'A)NSA Nb'!Q98-1</f>
        <v>-3.9143985452305685E-4</v>
      </c>
      <c r="S92" s="105">
        <f>'A)NSA Nb'!S98/'A)NSA Nb'!R98-1</f>
        <v>-4.6594626747298307E-4</v>
      </c>
      <c r="T92" s="105">
        <f>'A)NSA Nb'!T98/'A)NSA Nb'!S98-1</f>
        <v>-1.3727026571318079E-2</v>
      </c>
      <c r="U92" s="105">
        <f>'A)NSA Nb'!U98/'A)NSA Nb'!T98-1</f>
        <v>-7.1702249620370084E-3</v>
      </c>
      <c r="V92" s="105">
        <f>'A)NSA Nb'!V98/'A)NSA Nb'!U98-1</f>
        <v>6.128071632599319E-3</v>
      </c>
      <c r="W92" s="105">
        <f>'A)NSA Nb'!W98/'A)NSA Nb'!V98-1</f>
        <v>-2.4665008909604547E-3</v>
      </c>
      <c r="X92" s="105">
        <f>'A)NSA Nb'!X98/'A)NSA Nb'!W98-1</f>
        <v>-1.8317421230042985E-3</v>
      </c>
      <c r="Y92" s="105">
        <f>'A)NSA Nb'!Y98/'A)NSA Nb'!X98-1</f>
        <v>1.5873898558711463E-3</v>
      </c>
      <c r="Z92" s="105">
        <f>'A)NSA Nb'!Z98/'A)NSA Nb'!Y98-1</f>
        <v>-1.5142108690058276E-4</v>
      </c>
      <c r="AA92" s="105">
        <f>'A)NSA Nb'!AA98/'A)NSA Nb'!Z98-1</f>
        <v>-3.3822497513802396E-4</v>
      </c>
      <c r="AB92" s="105">
        <f>'A)NSA Nb'!AB98/'A)NSA Nb'!AA98-1</f>
        <v>-1.3685071657257852E-3</v>
      </c>
      <c r="AC92" s="105">
        <f>'A)NSA Nb'!AC98/'A)NSA Nb'!AB98-1</f>
        <v>-1.1124876741419598E-4</v>
      </c>
      <c r="AD92" s="105">
        <f>'A)NSA Nb'!AD98/'A)NSA Nb'!AC98-1</f>
        <v>-1.2137579463215031E-3</v>
      </c>
      <c r="AE92" s="105">
        <f>'A)NSA Nb'!AE98/'A)NSA Nb'!AD98-1</f>
        <v>-7.595205906032465E-4</v>
      </c>
      <c r="AF92" s="105">
        <f>'A)NSA Nb'!AF98/'A)NSA Nb'!AE98-1</f>
        <v>-1.0590697415161499E-3</v>
      </c>
      <c r="AG92" s="105">
        <f>'A)NSA Nb'!AG98/'A)NSA Nb'!AF98-1</f>
        <v>9.1308450089755411E-5</v>
      </c>
      <c r="AH92" s="105">
        <f>'A)NSA Nb'!AH98/'A)NSA Nb'!AG98-1</f>
        <v>6.1729021262781902E-3</v>
      </c>
      <c r="AI92" s="105">
        <f>'A)NSA Nb'!AI98/'A)NSA Nb'!AH98-1</f>
        <v>-3.800997131608197E-3</v>
      </c>
      <c r="AJ92" s="105">
        <f>'A)NSA Nb'!AJ98/'A)NSA Nb'!AI98-1</f>
        <v>2.2063102497279941E-2</v>
      </c>
      <c r="AK92" s="105">
        <f>'A)NSA Nb'!AK98/'A)NSA Nb'!AJ98-1</f>
        <v>-2.970664686222646E-4</v>
      </c>
      <c r="AL92" s="105">
        <f>'A)NSA Nb'!AL98/'A)NSA Nb'!AK98-1</f>
        <v>-2.3673327885497253E-3</v>
      </c>
      <c r="AM92" s="105">
        <f>'A)NSA Nb'!AM98/'A)NSA Nb'!AL98-1</f>
        <v>2.7825076823026595E-2</v>
      </c>
      <c r="AN92" s="105">
        <f>'A)NSA Nb'!AN98/'A)NSA Nb'!AM98-1</f>
        <v>-2.2024516764713731E-3</v>
      </c>
      <c r="AO92" s="105">
        <f>'A)NSA Nb'!AO98/'A)NSA Nb'!AN98-1</f>
        <v>1.9846456197414319E-4</v>
      </c>
      <c r="AP92" s="105">
        <f>'A)NSA Nb'!AP98/'A)NSA Nb'!AO98-1</f>
        <v>-3.7797577276929006E-3</v>
      </c>
      <c r="AQ92" s="105">
        <f>'A)NSA Nb'!AQ98/'A)NSA Nb'!AP98-1</f>
        <v>6.0861032033656004E-2</v>
      </c>
      <c r="AR92" s="105">
        <f>'A)NSA Nb'!AR98/'A)NSA Nb'!AQ98-1</f>
        <v>-1.3792850797256007E-2</v>
      </c>
      <c r="AS92" s="105">
        <f>'A)NSA Nb'!AS98/'A)NSA Nb'!AR98-1</f>
        <v>-9.7510238575049257E-4</v>
      </c>
      <c r="AT92" s="105">
        <f>'A)NSA Nb'!AT98/'A)NSA Nb'!AS98-1</f>
        <v>-1.4594333308544094E-3</v>
      </c>
      <c r="AU92" s="105">
        <f>'A)NSA Nb'!AU98/'A)NSA Nb'!AT98-1</f>
        <v>1.0519554268797471E-3</v>
      </c>
      <c r="AV92" s="105">
        <f>'A)NSA Nb'!AV98/'A)NSA Nb'!AU98-1</f>
        <v>-5.3611948071270454E-3</v>
      </c>
      <c r="AW92" s="105">
        <f>'A)NSA Nb'!AW98/'A)NSA Nb'!AV98-1</f>
        <v>-3.2677141427978063E-3</v>
      </c>
      <c r="AX92" s="105">
        <f>'A)NSA Nb'!AX98/'A)NSA Nb'!AW98-1</f>
        <v>6.9804067336254327E-4</v>
      </c>
      <c r="AY92" s="105">
        <f>'A)NSA Nb'!AY98/'A)NSA Nb'!AX98-1</f>
        <v>0.16753354195702697</v>
      </c>
      <c r="AZ92" s="105">
        <f>'A)NSA Nb'!AZ98/'A)NSA Nb'!AY98-1</f>
        <v>-5.9381515591777623E-2</v>
      </c>
      <c r="BA92" s="105">
        <f>'A)NSA Nb'!BA98/'A)NSA Nb'!AZ98-1</f>
        <v>4.0373608238269076E-2</v>
      </c>
      <c r="BB92" s="396">
        <f>'A)NSA Nb'!BB98/'A)NSA Nb'!BA98-1</f>
        <v>-8.2022666623593476E-4</v>
      </c>
      <c r="BC92" s="455">
        <f>'A)NSA Nb'!BC98/'A)NSA Nb'!BB98-1</f>
        <v>1.2633281926688111E-2</v>
      </c>
      <c r="BD92" s="455">
        <f>'A)NSA Nb'!BD98/'A)NSA Nb'!BC98-1</f>
        <v>-6.241123245361857E-3</v>
      </c>
      <c r="BE92" s="455">
        <f>'A)NSA Nb'!BE98/'A)NSA Nb'!BD98-1</f>
        <v>1.4661806006850409E-3</v>
      </c>
      <c r="BF92" s="455">
        <f>'A)NSA Nb'!BF98/'A)NSA Nb'!BE98-1</f>
        <v>-2.3595057308981593E-3</v>
      </c>
      <c r="BG92" s="455">
        <f>'A)NSA Nb'!BG98/'A)NSA Nb'!BF98-1</f>
        <v>6.1113460273139131E-2</v>
      </c>
      <c r="BH92" s="455">
        <f>'A)NSA Nb'!BH98/'A)NSA Nb'!BG98-1</f>
        <v>-5.2412627440345805E-3</v>
      </c>
      <c r="BI92" s="455">
        <f>'A)NSA Nb'!BI98/'A)NSA Nb'!BH98-1</f>
        <v>-3.2984358243437484E-4</v>
      </c>
      <c r="BJ92" s="455">
        <f>'A)NSA Nb'!BJ98/'A)NSA Nb'!BI98-1</f>
        <v>3.6111297575436296E-4</v>
      </c>
    </row>
    <row r="93" spans="1:62" x14ac:dyDescent="0.25">
      <c r="A93" s="8" t="s">
        <v>3</v>
      </c>
      <c r="B93" s="16"/>
      <c r="C93" s="105">
        <f>'A)NSA Nb'!C99/'A)NSA Nb'!B99-1</f>
        <v>2.4247947468205577E-3</v>
      </c>
      <c r="D93" s="105">
        <f>'A)NSA Nb'!D99/'A)NSA Nb'!C99-1</f>
        <v>1.078371687162627E-2</v>
      </c>
      <c r="E93" s="105">
        <f>'A)NSA Nb'!E99/'A)NSA Nb'!D99-1</f>
        <v>2.324862375375103E-3</v>
      </c>
      <c r="F93" s="105">
        <f>'A)NSA Nb'!F99/'A)NSA Nb'!E99-1</f>
        <v>1.97094853901425E-3</v>
      </c>
      <c r="G93" s="105">
        <f>'A)NSA Nb'!G99/'A)NSA Nb'!F99-1</f>
        <v>2.2069583156749673E-3</v>
      </c>
      <c r="H93" s="105">
        <f>'A)NSA Nb'!H99/'A)NSA Nb'!G99-1</f>
        <v>2.4183189053337273E-2</v>
      </c>
      <c r="I93" s="105">
        <f>'A)NSA Nb'!I99/'A)NSA Nb'!H99-1</f>
        <v>2.1111509278155527E-3</v>
      </c>
      <c r="J93" s="105">
        <f>'A)NSA Nb'!J99/'A)NSA Nb'!I99-1</f>
        <v>2.1727807706959368E-3</v>
      </c>
      <c r="K93" s="105">
        <f>'A)NSA Nb'!K99/'A)NSA Nb'!J99-1</f>
        <v>8.8429332164619012E-4</v>
      </c>
      <c r="L93" s="105">
        <f>'A)NSA Nb'!L99/'A)NSA Nb'!K99-1</f>
        <v>2.468021126787856E-2</v>
      </c>
      <c r="M93" s="105">
        <f>'A)NSA Nb'!M99/'A)NSA Nb'!L99-1</f>
        <v>1.4257081269144489E-3</v>
      </c>
      <c r="N93" s="105">
        <f>'A)NSA Nb'!N99/'A)NSA Nb'!M99-1</f>
        <v>1.8541805919027876E-3</v>
      </c>
      <c r="O93" s="105">
        <f>'A)NSA Nb'!O99/'A)NSA Nb'!N99-1</f>
        <v>1.6962057761460425E-3</v>
      </c>
      <c r="P93" s="105">
        <f>'A)NSA Nb'!P99/'A)NSA Nb'!O99-1</f>
        <v>1.4927675843280142E-2</v>
      </c>
      <c r="Q93" s="105">
        <f>'A)NSA Nb'!Q99/'A)NSA Nb'!P99-1</f>
        <v>1.5534916485919759E-3</v>
      </c>
      <c r="R93" s="105">
        <f>'A)NSA Nb'!R99/'A)NSA Nb'!Q99-1</f>
        <v>1.2623364700481421E-3</v>
      </c>
      <c r="S93" s="105">
        <f>'A)NSA Nb'!S99/'A)NSA Nb'!R99-1</f>
        <v>2.4068767908309585E-3</v>
      </c>
      <c r="T93" s="105">
        <f>'A)NSA Nb'!T99/'A)NSA Nb'!S99-1</f>
        <v>1.235587881649014E-3</v>
      </c>
      <c r="U93" s="105">
        <f>'A)NSA Nb'!U99/'A)NSA Nb'!T99-1</f>
        <v>1.4992945579659356E-3</v>
      </c>
      <c r="V93" s="105">
        <f>'A)NSA Nb'!V99/'A)NSA Nb'!U99-1</f>
        <v>1.6515367751999133E-3</v>
      </c>
      <c r="W93" s="105">
        <f>'A)NSA Nb'!W99/'A)NSA Nb'!V99-1</f>
        <v>1.424810055927539E-3</v>
      </c>
      <c r="X93" s="105">
        <f>'A)NSA Nb'!X99/'A)NSA Nb'!W99-1</f>
        <v>2.1268403586292006E-3</v>
      </c>
      <c r="Y93" s="105">
        <f>'A)NSA Nb'!Y99/'A)NSA Nb'!X99-1</f>
        <v>1.9174122253327042E-3</v>
      </c>
      <c r="Z93" s="105">
        <f>'A)NSA Nb'!Z99/'A)NSA Nb'!Y99-1</f>
        <v>2.5419179062777797E-3</v>
      </c>
      <c r="AA93" s="105">
        <f>'A)NSA Nb'!AA99/'A)NSA Nb'!Z99-1</f>
        <v>1.9489626782753788E-3</v>
      </c>
      <c r="AB93" s="105">
        <f>'A)NSA Nb'!AB99/'A)NSA Nb'!AA99-1</f>
        <v>1.534322280395406E-3</v>
      </c>
      <c r="AC93" s="105">
        <f>'A)NSA Nb'!AC99/'A)NSA Nb'!AB99-1</f>
        <v>1.6699218040963082E-3</v>
      </c>
      <c r="AD93" s="105">
        <f>'A)NSA Nb'!AD99/'A)NSA Nb'!AC99-1</f>
        <v>1.5946535615138924E-3</v>
      </c>
      <c r="AE93" s="105">
        <f>'A)NSA Nb'!AE99/'A)NSA Nb'!AD99-1</f>
        <v>1.7368523892575816E-3</v>
      </c>
      <c r="AF93" s="105">
        <f>'A)NSA Nb'!AF99/'A)NSA Nb'!AE99-1</f>
        <v>1.3401145779903256E-3</v>
      </c>
      <c r="AG93" s="105">
        <f>'A)NSA Nb'!AG99/'A)NSA Nb'!AF99-1</f>
        <v>1.9263165868843579E-3</v>
      </c>
      <c r="AH93" s="105">
        <f>'A)NSA Nb'!AH99/'A)NSA Nb'!AG99-1</f>
        <v>9.008198108350296E-3</v>
      </c>
      <c r="AI93" s="105">
        <f>'A)NSA Nb'!AI99/'A)NSA Nb'!AH99-1</f>
        <v>1.4701212136352115E-3</v>
      </c>
      <c r="AJ93" s="105">
        <f>'A)NSA Nb'!AJ99/'A)NSA Nb'!AI99-1</f>
        <v>1.7957607220098204E-3</v>
      </c>
      <c r="AK93" s="105">
        <f>'A)NSA Nb'!AK99/'A)NSA Nb'!AJ99-1</f>
        <v>1.5649173972578367E-3</v>
      </c>
      <c r="AL93" s="105">
        <f>'A)NSA Nb'!AL99/'A)NSA Nb'!AK99-1</f>
        <v>1.296141758846403E-3</v>
      </c>
      <c r="AM93" s="105">
        <f>'A)NSA Nb'!AM99/'A)NSA Nb'!AL99-1</f>
        <v>4.663616696811701E-3</v>
      </c>
      <c r="AN93" s="105">
        <f>'A)NSA Nb'!AN99/'A)NSA Nb'!AM99-1</f>
        <v>1.5637961769949804E-3</v>
      </c>
      <c r="AO93" s="105">
        <f>'A)NSA Nb'!AO99/'A)NSA Nb'!AN99-1</f>
        <v>3.7712175040882645E-3</v>
      </c>
      <c r="AP93" s="105">
        <f>'A)NSA Nb'!AP99/'A)NSA Nb'!AO99-1</f>
        <v>-8.0758994094065617E-4</v>
      </c>
      <c r="AQ93" s="105">
        <f>'A)NSA Nb'!AQ99/'A)NSA Nb'!AP99-1</f>
        <v>1.123808720586994E-2</v>
      </c>
      <c r="AR93" s="105">
        <f>'A)NSA Nb'!AR99/'A)NSA Nb'!AQ99-1</f>
        <v>9.3478729245299874E-4</v>
      </c>
      <c r="AS93" s="105">
        <f>'A)NSA Nb'!AS99/'A)NSA Nb'!AR99-1</f>
        <v>1.0623708924262232E-3</v>
      </c>
      <c r="AT93" s="105">
        <f>'A)NSA Nb'!AT99/'A)NSA Nb'!AS99-1</f>
        <v>1.3386927284015915E-3</v>
      </c>
      <c r="AU93" s="105">
        <f>'A)NSA Nb'!AU99/'A)NSA Nb'!AT99-1</f>
        <v>4.8592615169347209E-3</v>
      </c>
      <c r="AV93" s="105">
        <f>'A)NSA Nb'!AV99/'A)NSA Nb'!AU99-1</f>
        <v>9.7887154034381751E-4</v>
      </c>
      <c r="AW93" s="105">
        <f>'A)NSA Nb'!AW99/'A)NSA Nb'!AV99-1</f>
        <v>1.6493695207531189E-3</v>
      </c>
      <c r="AX93" s="105">
        <f>'A)NSA Nb'!AX99/'A)NSA Nb'!AW99-1</f>
        <v>1.4434686902127236E-3</v>
      </c>
      <c r="AY93" s="105">
        <f>'A)NSA Nb'!AY99/'A)NSA Nb'!AX99-1</f>
        <v>1.8242344558346613E-2</v>
      </c>
      <c r="AZ93" s="105">
        <f>'A)NSA Nb'!AZ99/'A)NSA Nb'!AY99-1</f>
        <v>1.9674845814512398E-3</v>
      </c>
      <c r="BA93" s="105">
        <f>'A)NSA Nb'!BA99/'A)NSA Nb'!AZ99-1</f>
        <v>4.1259377640624484E-2</v>
      </c>
      <c r="BB93" s="396">
        <f>'A)NSA Nb'!BB99/'A)NSA Nb'!BA99-1</f>
        <v>-3.8514034053896973E-3</v>
      </c>
      <c r="BC93" s="455">
        <f>'A)NSA Nb'!BC99/'A)NSA Nb'!BB99-1</f>
        <v>1.519094974181967E-2</v>
      </c>
      <c r="BD93" s="455">
        <f>'A)NSA Nb'!BD99/'A)NSA Nb'!BC99-1</f>
        <v>1.644622124007844E-3</v>
      </c>
      <c r="BE93" s="455">
        <f>'A)NSA Nb'!BE99/'A)NSA Nb'!BD99-1</f>
        <v>1.8610389177313724E-3</v>
      </c>
      <c r="BF93" s="455">
        <f>'A)NSA Nb'!BF99/'A)NSA Nb'!BE99-1</f>
        <v>1.7804546054138726E-3</v>
      </c>
      <c r="BG93" s="455">
        <f>'A)NSA Nb'!BG99/'A)NSA Nb'!BF99-1</f>
        <v>5.3303641475068275E-2</v>
      </c>
      <c r="BH93" s="455">
        <f>'A)NSA Nb'!BH99/'A)NSA Nb'!BG99-1</f>
        <v>2.4010661265092548E-3</v>
      </c>
      <c r="BI93" s="455">
        <f>'A)NSA Nb'!BI99/'A)NSA Nb'!BH99-1</f>
        <v>1.4714755155249559E-3</v>
      </c>
      <c r="BJ93" s="455">
        <f>'A)NSA Nb'!BJ99/'A)NSA Nb'!BI99-1</f>
        <v>1.7167678983771584E-3</v>
      </c>
    </row>
    <row r="94" spans="1:62" x14ac:dyDescent="0.25">
      <c r="A94" s="22" t="s">
        <v>29</v>
      </c>
      <c r="B94" s="16"/>
      <c r="C94" s="105">
        <f>'A)NSA Nb'!C100/'A)NSA Nb'!B100-1</f>
        <v>2.9838671298718644E-3</v>
      </c>
      <c r="D94" s="105">
        <f>'A)NSA Nb'!D100/'A)NSA Nb'!C100-1</f>
        <v>1.103640685718621E-2</v>
      </c>
      <c r="E94" s="105">
        <f>'A)NSA Nb'!E100/'A)NSA Nb'!D100-1</f>
        <v>1.6284734117693045E-3</v>
      </c>
      <c r="F94" s="105">
        <f>'A)NSA Nb'!F100/'A)NSA Nb'!E100-1</f>
        <v>1.5040059972823983E-3</v>
      </c>
      <c r="G94" s="105">
        <f>'A)NSA Nb'!G100/'A)NSA Nb'!F100-1</f>
        <v>2.9847813577479343E-3</v>
      </c>
      <c r="H94" s="105">
        <f>'A)NSA Nb'!H100/'A)NSA Nb'!G100-1</f>
        <v>2.4772726212632268E-2</v>
      </c>
      <c r="I94" s="105">
        <f>'A)NSA Nb'!I100/'A)NSA Nb'!H100-1</f>
        <v>1.6841147018660241E-3</v>
      </c>
      <c r="J94" s="105">
        <f>'A)NSA Nb'!J100/'A)NSA Nb'!I100-1</f>
        <v>1.8085154723497254E-3</v>
      </c>
      <c r="K94" s="105">
        <f>'A)NSA Nb'!K100/'A)NSA Nb'!J100-1</f>
        <v>-2.9029156158710823E-4</v>
      </c>
      <c r="L94" s="105">
        <f>'A)NSA Nb'!L100/'A)NSA Nb'!K100-1</f>
        <v>2.522640242463825E-2</v>
      </c>
      <c r="M94" s="105">
        <f>'A)NSA Nb'!M100/'A)NSA Nb'!L100-1</f>
        <v>1.5002389761202828E-3</v>
      </c>
      <c r="N94" s="105">
        <f>'A)NSA Nb'!N100/'A)NSA Nb'!M100-1</f>
        <v>1.7189343490806586E-3</v>
      </c>
      <c r="O94" s="105">
        <f>'A)NSA Nb'!O100/'A)NSA Nb'!N100-1</f>
        <v>8.2490780442179279E-4</v>
      </c>
      <c r="P94" s="105">
        <f>'A)NSA Nb'!P100/'A)NSA Nb'!O100-1</f>
        <v>1.4620127909590552E-2</v>
      </c>
      <c r="Q94" s="105">
        <f>'A)NSA Nb'!Q100/'A)NSA Nb'!P100-1</f>
        <v>1.2902048688943069E-3</v>
      </c>
      <c r="R94" s="105">
        <f>'A)NSA Nb'!R100/'A)NSA Nb'!Q100-1</f>
        <v>-6.8982572138831522E-4</v>
      </c>
      <c r="S94" s="105">
        <f>'A)NSA Nb'!S100/'A)NSA Nb'!R100-1</f>
        <v>4.03761494178001E-3</v>
      </c>
      <c r="T94" s="105">
        <f>'A)NSA Nb'!T100/'A)NSA Nb'!S100-1</f>
        <v>5.9672063096716244E-4</v>
      </c>
      <c r="U94" s="105">
        <f>'A)NSA Nb'!U100/'A)NSA Nb'!T100-1</f>
        <v>1.1927295356133349E-3</v>
      </c>
      <c r="V94" s="105">
        <f>'A)NSA Nb'!V100/'A)NSA Nb'!U100-1</f>
        <v>1.5538808173412022E-3</v>
      </c>
      <c r="W94" s="105">
        <f>'A)NSA Nb'!W100/'A)NSA Nb'!V100-1</f>
        <v>1.2325567363964396E-3</v>
      </c>
      <c r="X94" s="105">
        <f>'A)NSA Nb'!X100/'A)NSA Nb'!W100-1</f>
        <v>1.9886021246191543E-3</v>
      </c>
      <c r="Y94" s="105">
        <f>'A)NSA Nb'!Y100/'A)NSA Nb'!X100-1</f>
        <v>1.9803596436209769E-3</v>
      </c>
      <c r="Z94" s="105">
        <f>'A)NSA Nb'!Z100/'A)NSA Nb'!Y100-1</f>
        <v>2.6967120691800961E-3</v>
      </c>
      <c r="AA94" s="105">
        <f>'A)NSA Nb'!AA100/'A)NSA Nb'!Z100-1</f>
        <v>1.5093468333646776E-3</v>
      </c>
      <c r="AB94" s="105">
        <f>'A)NSA Nb'!AB100/'A)NSA Nb'!AA100-1</f>
        <v>1.7845783400005644E-3</v>
      </c>
      <c r="AC94" s="105">
        <f>'A)NSA Nb'!AC100/'A)NSA Nb'!AB100-1</f>
        <v>1.4361999087992849E-3</v>
      </c>
      <c r="AD94" s="105">
        <f>'A)NSA Nb'!AD100/'A)NSA Nb'!AC100-1</f>
        <v>1.6426650325127579E-3</v>
      </c>
      <c r="AE94" s="105">
        <f>'A)NSA Nb'!AE100/'A)NSA Nb'!AD100-1</f>
        <v>1.5380039937120671E-3</v>
      </c>
      <c r="AF94" s="105">
        <f>'A)NSA Nb'!AF100/'A)NSA Nb'!AE100-1</f>
        <v>7.338842414266189E-4</v>
      </c>
      <c r="AG94" s="105">
        <f>'A)NSA Nb'!AG100/'A)NSA Nb'!AF100-1</f>
        <v>2.0092833979779012E-3</v>
      </c>
      <c r="AH94" s="105">
        <f>'A)NSA Nb'!AH100/'A)NSA Nb'!AG100-1</f>
        <v>8.3763786123134398E-3</v>
      </c>
      <c r="AI94" s="105">
        <f>'A)NSA Nb'!AI100/'A)NSA Nb'!AH100-1</f>
        <v>1.4515919264639354E-3</v>
      </c>
      <c r="AJ94" s="105">
        <f>'A)NSA Nb'!AJ100/'A)NSA Nb'!AI100-1</f>
        <v>1.9563896860139707E-3</v>
      </c>
      <c r="AK94" s="105">
        <f>'A)NSA Nb'!AK100/'A)NSA Nb'!AJ100-1</f>
        <v>1.5929958356331042E-3</v>
      </c>
      <c r="AL94" s="105">
        <f>'A)NSA Nb'!AL100/'A)NSA Nb'!AK100-1</f>
        <v>1.3483446251978393E-3</v>
      </c>
      <c r="AM94" s="105">
        <f>'A)NSA Nb'!AM100/'A)NSA Nb'!AL100-1</f>
        <v>4.9608964631724373E-3</v>
      </c>
      <c r="AN94" s="105">
        <f>'A)NSA Nb'!AN100/'A)NSA Nb'!AM100-1</f>
        <v>1.7049272813254301E-3</v>
      </c>
      <c r="AO94" s="105">
        <f>'A)NSA Nb'!AO100/'A)NSA Nb'!AN100-1</f>
        <v>2.1658377402402618E-3</v>
      </c>
      <c r="AP94" s="105">
        <f>'A)NSA Nb'!AP100/'A)NSA Nb'!AO100-1</f>
        <v>6.2809917355366451E-4</v>
      </c>
      <c r="AQ94" s="105">
        <f>'A)NSA Nb'!AQ100/'A)NSA Nb'!AP100-1</f>
        <v>1.180250421223028E-2</v>
      </c>
      <c r="AR94" s="105">
        <f>'A)NSA Nb'!AR100/'A)NSA Nb'!AQ100-1</f>
        <v>1.142810497530844E-3</v>
      </c>
      <c r="AS94" s="105">
        <f>'A)NSA Nb'!AS100/'A)NSA Nb'!AR100-1</f>
        <v>1.104814709119939E-3</v>
      </c>
      <c r="AT94" s="105">
        <f>'A)NSA Nb'!AT100/'A)NSA Nb'!AS100-1</f>
        <v>1.3438616066883124E-3</v>
      </c>
      <c r="AU94" s="105">
        <f>'A)NSA Nb'!AU100/'A)NSA Nb'!AT100-1</f>
        <v>4.7297379733297618E-3</v>
      </c>
      <c r="AV94" s="105">
        <f>'A)NSA Nb'!AV100/'A)NSA Nb'!AU100-1</f>
        <v>1.8659888121626E-3</v>
      </c>
      <c r="AW94" s="105">
        <f>'A)NSA Nb'!AW100/'A)NSA Nb'!AV100-1</f>
        <v>1.9433165666726815E-3</v>
      </c>
      <c r="AX94" s="105">
        <f>'A)NSA Nb'!AX100/'A)NSA Nb'!AW100-1</f>
        <v>1.6495160084799565E-3</v>
      </c>
      <c r="AY94" s="105">
        <f>'A)NSA Nb'!AY100/'A)NSA Nb'!AX100-1</f>
        <v>5.5385766648897494E-2</v>
      </c>
      <c r="AZ94" s="105">
        <f>'A)NSA Nb'!AZ100/'A)NSA Nb'!AY100-1</f>
        <v>1.6825320523181642E-3</v>
      </c>
      <c r="BA94" s="105">
        <f>'A)NSA Nb'!BA100/'A)NSA Nb'!AZ100-1</f>
        <v>4.1081702174576851E-2</v>
      </c>
      <c r="BB94" s="396">
        <f>'A)NSA Nb'!BB100/'A)NSA Nb'!BA100-1</f>
        <v>-2.3057065153593292E-3</v>
      </c>
      <c r="BC94" s="455">
        <f>'A)NSA Nb'!BC100/'A)NSA Nb'!BB100-1</f>
        <v>1.2915180966305062E-2</v>
      </c>
      <c r="BD94" s="455">
        <f>'A)NSA Nb'!BD100/'A)NSA Nb'!BC100-1</f>
        <v>2.7749069130837967E-3</v>
      </c>
      <c r="BE94" s="455">
        <f>'A)NSA Nb'!BE100/'A)NSA Nb'!BD100-1</f>
        <v>2.2885453931400512E-3</v>
      </c>
      <c r="BF94" s="455">
        <f>'A)NSA Nb'!BF100/'A)NSA Nb'!BE100-1</f>
        <v>2.0496427198701817E-3</v>
      </c>
      <c r="BG94" s="455">
        <f>'A)NSA Nb'!BG100/'A)NSA Nb'!BF100-1</f>
        <v>5.3446939011950523E-2</v>
      </c>
      <c r="BH94" s="455">
        <f>'A)NSA Nb'!BH100/'A)NSA Nb'!BG100-1</f>
        <v>2.8206418595402294E-3</v>
      </c>
      <c r="BI94" s="455">
        <f>'A)NSA Nb'!BI100/'A)NSA Nb'!BH100-1</f>
        <v>2.2084131384028094E-3</v>
      </c>
      <c r="BJ94" s="455">
        <f>'A)NSA Nb'!BJ100/'A)NSA Nb'!BI100-1</f>
        <v>1.6046013818593607E-3</v>
      </c>
    </row>
    <row r="95" spans="1:62" x14ac:dyDescent="0.25">
      <c r="A95" s="18"/>
      <c r="B95" s="18"/>
      <c r="C95" s="44"/>
      <c r="D95" s="44"/>
      <c r="E95" s="44"/>
      <c r="F95" s="44"/>
      <c r="G95" s="44"/>
      <c r="H95" s="44"/>
      <c r="I95" s="44"/>
      <c r="J95" s="44"/>
      <c r="K95" s="148"/>
      <c r="L95" s="148"/>
    </row>
    <row r="96" spans="1:62" x14ac:dyDescent="0.25">
      <c r="L96" s="145"/>
    </row>
    <row r="97" spans="1:12" ht="13" x14ac:dyDescent="0.3">
      <c r="A97" s="122" t="s">
        <v>80</v>
      </c>
      <c r="B97" s="58" t="s">
        <v>89</v>
      </c>
      <c r="C97" s="123" t="s">
        <v>90</v>
      </c>
      <c r="E97" s="58"/>
      <c r="F97" s="58"/>
      <c r="G97" s="58"/>
      <c r="H97" s="58"/>
      <c r="I97" s="58"/>
      <c r="J97" s="58"/>
      <c r="K97" s="82"/>
      <c r="L97" s="82"/>
    </row>
    <row r="98" spans="1:12" x14ac:dyDescent="0.25">
      <c r="A98" s="124">
        <v>39904</v>
      </c>
      <c r="B98" s="120">
        <v>0.01</v>
      </c>
      <c r="C98" s="119">
        <f>($B98-C26)*100</f>
        <v>0.86771393137661157</v>
      </c>
      <c r="D98" s="58"/>
      <c r="E98" s="58"/>
      <c r="F98" s="119"/>
      <c r="G98" s="119"/>
      <c r="H98" s="119"/>
      <c r="I98" s="119"/>
      <c r="J98" s="119"/>
      <c r="K98" s="164"/>
      <c r="L98" s="164"/>
    </row>
    <row r="99" spans="1:12" x14ac:dyDescent="0.25">
      <c r="A99" s="124">
        <v>40269</v>
      </c>
      <c r="B99" s="120">
        <v>8.9999999999999993E-3</v>
      </c>
      <c r="D99" s="119">
        <f>($B99-D26)*100</f>
        <v>8.2486995293442819E-3</v>
      </c>
      <c r="E99" s="119">
        <f>($B99-E26)*100</f>
        <v>0.93764628856698362</v>
      </c>
      <c r="F99" s="119">
        <f>($B99-F26)*100</f>
        <v>0.918011527377526</v>
      </c>
      <c r="G99" s="119">
        <f>($B99-G26)*100</f>
        <v>0.61995217896856269</v>
      </c>
      <c r="H99" s="119"/>
      <c r="I99" s="119"/>
      <c r="J99" s="119"/>
      <c r="K99" s="164"/>
      <c r="L99" s="164"/>
    </row>
    <row r="100" spans="1:12" x14ac:dyDescent="0.25">
      <c r="A100" s="124">
        <v>40634</v>
      </c>
      <c r="B100" s="120">
        <v>2.1000000000000001E-2</v>
      </c>
      <c r="D100" s="58"/>
      <c r="E100" s="58"/>
      <c r="F100" s="119"/>
      <c r="G100" s="119"/>
      <c r="H100" s="119">
        <f>($B100-H26)*100</f>
        <v>-0.19536843480531146</v>
      </c>
      <c r="I100" s="119">
        <f>($B100-I26)*100</f>
        <v>2.1582718020355256</v>
      </c>
      <c r="J100" s="119">
        <f>($B100-J26)*100</f>
        <v>2.092811616427857</v>
      </c>
      <c r="K100" s="164">
        <f>($B100-K26)*100</f>
        <v>2.2733074570125504</v>
      </c>
      <c r="L100" s="164">
        <f>($B100-L26)*100</f>
        <v>-0.13850744835751833</v>
      </c>
    </row>
  </sheetData>
  <phoneticPr fontId="2" type="noConversion"/>
  <pageMargins left="0.78740157480314965" right="0.78740157480314965" top="0.47244094488188981" bottom="0.55118110236220474" header="0.19685039370078741" footer="0.4724409448818898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77"/>
  <sheetViews>
    <sheetView workbookViewId="0">
      <pane xSplit="1" ySplit="8" topLeftCell="BC9" activePane="bottomRight" state="frozen"/>
      <selection pane="topRight" activeCell="B1" sqref="B1"/>
      <selection pane="bottomLeft" activeCell="A9" sqref="A9"/>
      <selection pane="bottomRight" activeCell="BK1" sqref="BK1"/>
    </sheetView>
  </sheetViews>
  <sheetFormatPr baseColWidth="10" defaultColWidth="11.453125" defaultRowHeight="12.5" x14ac:dyDescent="0.25"/>
  <cols>
    <col min="1" max="1" width="82.453125" style="4" bestFit="1" customWidth="1"/>
    <col min="2" max="2" width="11.7265625" style="4" bestFit="1" customWidth="1"/>
    <col min="3" max="3" width="9.7265625" style="35" bestFit="1" customWidth="1"/>
    <col min="4" max="10" width="11.7265625" style="35" bestFit="1" customWidth="1"/>
    <col min="11" max="11" width="11.7265625" style="145" bestFit="1" customWidth="1"/>
    <col min="12" max="16384" width="11.453125" style="4"/>
  </cols>
  <sheetData>
    <row r="1" spans="1:62" ht="15.5" x14ac:dyDescent="0.35">
      <c r="A1" s="32" t="str">
        <f>'A)NSA Nb'!A1</f>
        <v>Les Retraites du Régime des Non Salariés Agricoles (métropole)</v>
      </c>
      <c r="L1" s="145"/>
      <c r="M1" s="145"/>
      <c r="N1" s="145"/>
      <c r="O1" s="145"/>
      <c r="P1" s="145"/>
      <c r="Q1" s="145"/>
      <c r="R1" s="145"/>
      <c r="S1" s="145"/>
      <c r="T1" s="145"/>
      <c r="U1" s="145"/>
      <c r="V1" s="145"/>
      <c r="W1" s="145"/>
      <c r="X1" s="145"/>
      <c r="Y1" s="145"/>
      <c r="Z1" s="145"/>
      <c r="AA1" s="145"/>
      <c r="AB1" s="145"/>
    </row>
    <row r="2" spans="1:62" ht="15.5" x14ac:dyDescent="0.35">
      <c r="A2" s="32" t="str">
        <f>'A)NSA Nb'!A2</f>
        <v>Elements démographiques et financiers</v>
      </c>
      <c r="L2" s="145"/>
      <c r="M2" s="145"/>
      <c r="N2" s="145"/>
      <c r="O2" s="145"/>
      <c r="P2" s="145"/>
      <c r="Q2" s="145"/>
      <c r="R2" s="145"/>
      <c r="S2" s="145"/>
      <c r="T2" s="145"/>
      <c r="U2" s="145"/>
      <c r="V2" s="145"/>
      <c r="W2" s="145"/>
      <c r="X2" s="145"/>
      <c r="Y2" s="145"/>
      <c r="Z2" s="145"/>
      <c r="AA2" s="145"/>
      <c r="AB2" s="145"/>
    </row>
    <row r="3" spans="1:62" ht="13" x14ac:dyDescent="0.3">
      <c r="A3" s="108" t="s">
        <v>84</v>
      </c>
      <c r="L3" s="145"/>
      <c r="M3" s="145"/>
      <c r="N3" s="145"/>
      <c r="O3" s="145"/>
      <c r="P3" s="145"/>
      <c r="Q3" s="145"/>
      <c r="R3" s="145"/>
      <c r="S3" s="145"/>
      <c r="T3" s="145"/>
      <c r="U3" s="145"/>
      <c r="V3" s="145"/>
      <c r="W3" s="145"/>
      <c r="X3" s="145"/>
      <c r="Y3" s="145"/>
      <c r="Z3" s="145"/>
      <c r="AA3" s="145"/>
      <c r="AB3" s="145"/>
    </row>
    <row r="4" spans="1:62" ht="13" x14ac:dyDescent="0.3">
      <c r="A4" s="1" t="s">
        <v>26</v>
      </c>
      <c r="L4" s="145"/>
      <c r="M4" s="145"/>
      <c r="N4" s="145"/>
      <c r="O4" s="145"/>
      <c r="P4" s="145"/>
      <c r="Q4" s="145"/>
      <c r="R4" s="145"/>
      <c r="S4" s="145"/>
      <c r="T4" s="145"/>
      <c r="U4" s="145"/>
      <c r="V4" s="145"/>
      <c r="W4" s="145"/>
      <c r="X4" s="145"/>
      <c r="Y4" s="145"/>
      <c r="Z4" s="145"/>
      <c r="AA4" s="145"/>
      <c r="AB4" s="145"/>
    </row>
    <row r="5" spans="1:62" ht="13.5" thickBot="1" x14ac:dyDescent="0.35">
      <c r="A5" s="11"/>
      <c r="B5" s="7"/>
      <c r="C5" s="52"/>
      <c r="D5" s="52"/>
      <c r="E5" s="52"/>
      <c r="F5" s="52"/>
      <c r="G5" s="52"/>
      <c r="H5" s="52"/>
      <c r="I5" s="52"/>
      <c r="J5" s="52"/>
      <c r="K5" s="156"/>
      <c r="L5" s="156"/>
      <c r="M5" s="156"/>
      <c r="N5" s="156"/>
      <c r="O5" s="156"/>
      <c r="P5" s="156"/>
      <c r="Q5" s="156"/>
      <c r="R5" s="156"/>
      <c r="S5" s="156"/>
      <c r="T5" s="156"/>
      <c r="U5" s="156"/>
      <c r="V5" s="156"/>
      <c r="W5" s="156"/>
      <c r="X5" s="156"/>
      <c r="Y5" s="156"/>
      <c r="Z5" s="156"/>
      <c r="AA5" s="156"/>
      <c r="AB5" s="156"/>
    </row>
    <row r="6" spans="1:62" ht="13" x14ac:dyDescent="0.3">
      <c r="A6" s="1"/>
      <c r="L6" s="145"/>
      <c r="M6" s="145"/>
      <c r="N6" s="145"/>
      <c r="O6" s="145"/>
      <c r="P6" s="145"/>
      <c r="Q6" s="145"/>
      <c r="R6" s="145"/>
      <c r="S6" s="145"/>
      <c r="T6" s="145"/>
      <c r="U6" s="145"/>
      <c r="V6" s="145"/>
      <c r="W6" s="145"/>
      <c r="X6" s="145"/>
      <c r="Y6" s="145"/>
      <c r="Z6" s="145"/>
      <c r="AA6" s="145"/>
      <c r="AB6" s="145"/>
      <c r="AC6" s="145"/>
      <c r="AD6" s="145"/>
      <c r="AE6" s="145"/>
      <c r="AF6" s="145"/>
      <c r="AG6" s="145"/>
      <c r="AH6" s="145"/>
      <c r="AI6" s="145"/>
      <c r="AM6" s="145"/>
      <c r="AN6" s="145"/>
      <c r="AO6" s="145"/>
    </row>
    <row r="7" spans="1:62" ht="13" x14ac:dyDescent="0.3">
      <c r="A7" s="25" t="s">
        <v>9</v>
      </c>
      <c r="L7" s="145"/>
      <c r="M7" s="145"/>
      <c r="N7" s="145"/>
      <c r="O7" s="145"/>
      <c r="P7" s="145"/>
      <c r="Q7" s="145"/>
      <c r="R7" s="145"/>
      <c r="S7" s="145"/>
      <c r="T7" s="145"/>
      <c r="U7" s="145"/>
      <c r="V7" s="145"/>
      <c r="W7" s="145"/>
      <c r="X7" s="145"/>
      <c r="Y7" s="145"/>
      <c r="Z7" s="145"/>
      <c r="AA7" s="145"/>
      <c r="AB7" s="145"/>
    </row>
    <row r="8" spans="1:62" x14ac:dyDescent="0.25">
      <c r="A8" s="5"/>
      <c r="B8" s="2" t="str">
        <f>'A)NSA Nb'!B8</f>
        <v>4eme T 2009</v>
      </c>
      <c r="C8" s="38" t="str">
        <f>'A)NSA Nb'!C8</f>
        <v>1er T 2010</v>
      </c>
      <c r="D8" s="38" t="str">
        <f>'A)NSA Nb'!D8</f>
        <v>2eme T 2010</v>
      </c>
      <c r="E8" s="38" t="str">
        <f>'A)NSA Nb'!E8</f>
        <v>3eme T 2010</v>
      </c>
      <c r="F8" s="38" t="str">
        <f>'A)NSA Nb'!F8</f>
        <v>4eme T 2010</v>
      </c>
      <c r="G8" s="38" t="str">
        <f>'A)NSA Nb'!G8</f>
        <v>1er T 2011</v>
      </c>
      <c r="H8" s="38" t="str">
        <f>'A)NSA Nb'!H8</f>
        <v>2eme T 2011</v>
      </c>
      <c r="I8" s="38" t="str">
        <f>'A)NSA Nb'!I8</f>
        <v>3eme T 2011</v>
      </c>
      <c r="J8" s="38" t="str">
        <f>'A)NSA Nb'!J8</f>
        <v>4eme T 2011</v>
      </c>
      <c r="K8" s="38" t="str">
        <f>'A)NSA Nb'!K8</f>
        <v>1er T 2012</v>
      </c>
      <c r="L8" s="38" t="str">
        <f>'A)NSA Nb'!L8</f>
        <v>2eme T 2012</v>
      </c>
      <c r="M8" s="38" t="str">
        <f>'A)NSA Nb'!M8</f>
        <v>3eme T 2012</v>
      </c>
      <c r="N8" s="38" t="str">
        <f>'A)NSA Nb'!N8</f>
        <v>4eme T 2012</v>
      </c>
      <c r="O8" s="38" t="str">
        <f>'A)NSA Nb'!O8</f>
        <v>1er T 2013</v>
      </c>
      <c r="P8" s="38" t="str">
        <f>'A)NSA Nb'!P8</f>
        <v>2eme T 2013</v>
      </c>
      <c r="Q8" s="38" t="str">
        <f>'A)NSA Nb'!Q8</f>
        <v>3ème T 2013</v>
      </c>
      <c r="R8" s="38" t="str">
        <f>'A)NSA Nb'!R8</f>
        <v>4ème T 2013</v>
      </c>
      <c r="S8" s="38" t="str">
        <f>'A)NSA Nb'!S8</f>
        <v>1er T 2014</v>
      </c>
      <c r="T8" s="38" t="str">
        <f>'A)NSA Nb'!T8</f>
        <v>2eme T 2014</v>
      </c>
      <c r="U8" s="38" t="str">
        <f>'A)NSA Nb'!U8</f>
        <v>3T 2014</v>
      </c>
      <c r="V8" s="38" t="str">
        <f>'A)NSA Nb'!V8</f>
        <v>4ème T 2014</v>
      </c>
      <c r="W8" s="38" t="str">
        <f>'A)NSA Nb'!W8</f>
        <v>1er T 2015</v>
      </c>
      <c r="X8" s="38" t="str">
        <f>'A)NSA Nb'!X8</f>
        <v>2e T 2015</v>
      </c>
      <c r="Y8" s="38" t="str">
        <f>'A)NSA Nb'!Y8</f>
        <v>3e T 2015</v>
      </c>
      <c r="Z8" s="38" t="str">
        <f>'A)NSA Nb'!Z8</f>
        <v>4e T 2015</v>
      </c>
      <c r="AA8" s="38" t="str">
        <f>'A)NSA Nb'!AA8</f>
        <v>1er T 2016</v>
      </c>
      <c r="AB8" s="38" t="str">
        <f>'A)NSA Nb'!AB8</f>
        <v>2e T 2016</v>
      </c>
      <c r="AC8" s="38" t="str">
        <f>'A)NSA Nb'!AC8</f>
        <v>3e T 2016</v>
      </c>
      <c r="AD8" s="38" t="str">
        <f>'A)NSA Nb'!AD8</f>
        <v>4e T 2016</v>
      </c>
      <c r="AE8" s="38" t="str">
        <f>'A)NSA Nb'!AE8</f>
        <v>2017 - T1</v>
      </c>
      <c r="AF8" s="38" t="str">
        <f>'A)NSA Nb'!AF8</f>
        <v>2017 - T2</v>
      </c>
      <c r="AG8" s="38" t="str">
        <f>'A)NSA Nb'!AG8</f>
        <v>2017- T3</v>
      </c>
      <c r="AH8" s="38" t="str">
        <f>'A)NSA Nb'!AH8</f>
        <v>2017 - T4</v>
      </c>
      <c r="AI8" s="38" t="str">
        <f>'A)NSA Nb'!AI8</f>
        <v>2018 - T1</v>
      </c>
      <c r="AJ8" s="38" t="str">
        <f>'A)NSA Nb'!AJ8</f>
        <v>2018 - T2</v>
      </c>
      <c r="AK8" s="38" t="str">
        <f>'A)NSA Nb'!AK8</f>
        <v>2018 - T3</v>
      </c>
      <c r="AL8" s="38" t="str">
        <f>'A)NSA Nb'!AL8</f>
        <v>2018 - T4</v>
      </c>
      <c r="AM8" s="38" t="str">
        <f>'A)NSA Nb'!AM8</f>
        <v>2019 - T1</v>
      </c>
      <c r="AN8" s="38" t="str">
        <f>'A)NSA Nb'!AN8</f>
        <v>2019 - T2</v>
      </c>
      <c r="AO8" s="38" t="str">
        <f>'A)NSA Nb'!AO8</f>
        <v>2019 - T3</v>
      </c>
      <c r="AP8" s="38" t="str">
        <f>'A)NSA Nb'!AP8</f>
        <v>2019 - T4</v>
      </c>
      <c r="AQ8" s="38" t="str">
        <f>'A)NSA Nb'!AQ8</f>
        <v>2020 - T1</v>
      </c>
      <c r="AR8" s="38" t="str">
        <f>'A)NSA Nb'!AR8</f>
        <v>2020 - T2</v>
      </c>
      <c r="AS8" s="38" t="str">
        <f>'A)NSA Nb'!AS8</f>
        <v>2020 - T3</v>
      </c>
      <c r="AT8" s="38" t="str">
        <f>'A)NSA Nb'!AT8</f>
        <v>2020- T4</v>
      </c>
      <c r="AU8" s="38" t="str">
        <f>'A)NSA Nb'!AU8</f>
        <v>2021- T1</v>
      </c>
      <c r="AV8" s="38" t="str">
        <f>'A)NSA Nb'!AV8</f>
        <v>2021- T2</v>
      </c>
      <c r="AW8" s="38" t="str">
        <f>'A)NSA Nb'!AW8</f>
        <v>2021- T3</v>
      </c>
      <c r="AX8" s="38" t="str">
        <f>'A)NSA Nb'!AX8</f>
        <v>2021- T4</v>
      </c>
      <c r="AY8" s="38" t="str">
        <f>'A)NSA Nb'!AY8</f>
        <v>2022- T1</v>
      </c>
      <c r="AZ8" s="38" t="str">
        <f>'A)NSA Nb'!AZ8</f>
        <v>2022- T2</v>
      </c>
      <c r="BA8" s="38" t="str">
        <f>'A)NSA Nb'!BA8</f>
        <v>2022- T3</v>
      </c>
      <c r="BB8" s="38" t="str">
        <f>'A)NSA Nb'!BB8</f>
        <v>2022- T4</v>
      </c>
      <c r="BC8" s="38" t="str">
        <f>'A)NSA Nb'!BC8</f>
        <v>2023- T1</v>
      </c>
      <c r="BD8" s="38" t="str">
        <f>'A)NSA Nb'!BD8</f>
        <v>2023- T2</v>
      </c>
      <c r="BE8" s="38" t="str">
        <f>'A)NSA Nb'!BE8</f>
        <v>2023- T3</v>
      </c>
      <c r="BF8" s="38" t="str">
        <f>'A)NSA Nb'!BF8</f>
        <v>2023- T4</v>
      </c>
      <c r="BG8" s="38" t="str">
        <f>'A)NSA Nb'!BG8</f>
        <v>2024- T1</v>
      </c>
      <c r="BH8" s="38" t="str">
        <f>'A)NSA Nb'!BH8</f>
        <v>2024- T2</v>
      </c>
      <c r="BI8" s="38" t="str">
        <f>'A)NSA Nb'!BI8</f>
        <v>2024- T3</v>
      </c>
      <c r="BJ8" s="38" t="str">
        <f>'A)NSA Nb'!BJ8</f>
        <v>2024- T4</v>
      </c>
    </row>
    <row r="9" spans="1:62" x14ac:dyDescent="0.25">
      <c r="A9" s="20" t="s">
        <v>27</v>
      </c>
      <c r="B9" s="39"/>
      <c r="C9" s="39"/>
      <c r="D9" s="39"/>
      <c r="E9" s="39"/>
      <c r="F9" s="105">
        <f>'B)NSA RCO Nb'!F9/'B)NSA RCO Nb'!B9-1</f>
        <v>-1.3642961632523987E-2</v>
      </c>
      <c r="G9" s="105">
        <f>'B)NSA RCO Nb'!G9/'B)NSA RCO Nb'!C9-1</f>
        <v>-1.2722804440552515E-2</v>
      </c>
      <c r="H9" s="105">
        <f>'B)NSA RCO Nb'!H9/'B)NSA RCO Nb'!D9-1</f>
        <v>-1.6693879289537583E-2</v>
      </c>
      <c r="I9" s="105">
        <f>'B)NSA RCO Nb'!I9/'B)NSA RCO Nb'!E9-1</f>
        <v>-1.7956033849994113E-2</v>
      </c>
      <c r="J9" s="105">
        <f>'B)NSA RCO Nb'!J9/'B)NSA RCO Nb'!F9-1</f>
        <v>-2.0379590633061384E-2</v>
      </c>
      <c r="K9" s="105">
        <f>'B)NSA RCO Nb'!K9/'B)NSA RCO Nb'!G9-1</f>
        <v>-2.045172328944278E-2</v>
      </c>
      <c r="L9" s="105">
        <f>'B)NSA RCO Nb'!L9/'B)NSA RCO Nb'!H9-1</f>
        <v>-2.2510294958502541E-2</v>
      </c>
      <c r="M9" s="105">
        <f>'B)NSA RCO Nb'!M9/'B)NSA RCO Nb'!I9-1</f>
        <v>-2.4487706705909051E-2</v>
      </c>
      <c r="N9" s="105">
        <f>'B)NSA RCO Nb'!N9/'B)NSA RCO Nb'!J9-1</f>
        <v>-2.4921599401437344E-2</v>
      </c>
      <c r="O9" s="105">
        <f>'B)NSA RCO Nb'!O9/'B)NSA RCO Nb'!K9-1</f>
        <v>-2.5473334930102398E-2</v>
      </c>
      <c r="P9" s="105">
        <f>'B)NSA RCO Nb'!P9/'B)NSA RCO Nb'!L9-1</f>
        <v>-2.4561952902735995E-2</v>
      </c>
      <c r="Q9" s="105">
        <f>'B)NSA RCO Nb'!Q9/'B)NSA RCO Nb'!M9-1</f>
        <v>-2.057085616499621E-2</v>
      </c>
      <c r="R9" s="105">
        <f>'B)NSA RCO Nb'!R9/'B)NSA RCO Nb'!N9-1</f>
        <v>-1.709698884379518E-2</v>
      </c>
      <c r="S9" s="105">
        <f>'B)NSA RCO Nb'!S9/'B)NSA RCO Nb'!O9-1</f>
        <v>-2.1505408572790152E-2</v>
      </c>
      <c r="T9" s="105">
        <f>'B)NSA RCO Nb'!T9/'B)NSA RCO Nb'!P9-1</f>
        <v>1.4443768039566596E-2</v>
      </c>
      <c r="U9" s="105">
        <f>'B)NSA RCO Nb'!U9/'B)NSA RCO Nb'!Q9-1</f>
        <v>1.4370247712509832E-2</v>
      </c>
      <c r="V9" s="105">
        <f>'B)NSA RCO Nb'!V9/'B)NSA RCO Nb'!R9-1</f>
        <v>2.1858856679332295E-2</v>
      </c>
      <c r="W9" s="105">
        <f>'B)NSA RCO Nb'!W9/'B)NSA RCO Nb'!S9-1</f>
        <v>2.5372018795449369E-2</v>
      </c>
      <c r="X9" s="105">
        <f>'B)NSA RCO Nb'!X9/'B)NSA RCO Nb'!T9-1</f>
        <v>-8.6969242803317526E-3</v>
      </c>
      <c r="Y9" s="105">
        <f>'B)NSA RCO Nb'!Y9/'B)NSA RCO Nb'!U9-1</f>
        <v>-9.4584497384823107E-3</v>
      </c>
      <c r="Z9" s="105">
        <f>'B)NSA RCO Nb'!Z9/'B)NSA RCO Nb'!V9-1</f>
        <v>-1.5583872989346159E-2</v>
      </c>
      <c r="AA9" s="105">
        <f>'B)NSA RCO Nb'!AA9/'B)NSA RCO Nb'!W9-1</f>
        <v>-1.376271490238834E-2</v>
      </c>
      <c r="AB9" s="105">
        <f>'B)NSA RCO Nb'!AB9/'B)NSA RCO Nb'!X9-1</f>
        <v>-1.0920601265536845E-2</v>
      </c>
      <c r="AC9" s="105">
        <f>'B)NSA RCO Nb'!AC9/'B)NSA RCO Nb'!Y9-1</f>
        <v>-9.330647237916323E-3</v>
      </c>
      <c r="AD9" s="105">
        <f>'B)NSA RCO Nb'!AD9/'B)NSA RCO Nb'!Z9-1</f>
        <v>-9.5341166769737917E-3</v>
      </c>
      <c r="AE9" s="105">
        <f>'B)NSA RCO Nb'!AE9/'B)NSA RCO Nb'!AA9-1</f>
        <v>-1.0952995414038935E-2</v>
      </c>
      <c r="AF9" s="105">
        <f>'B)NSA RCO Nb'!AF9/'B)NSA RCO Nb'!AB9-1</f>
        <v>-1.207647827238767E-2</v>
      </c>
      <c r="AG9" s="105">
        <f>'B)NSA RCO Nb'!AG9/'B)NSA RCO Nb'!AC9-1</f>
        <v>-1.127165420546461E-2</v>
      </c>
      <c r="AH9" s="105">
        <f>'B)NSA RCO Nb'!AH9/'B)NSA RCO Nb'!AD9-1</f>
        <v>-9.4453099414488761E-3</v>
      </c>
      <c r="AI9" s="105">
        <f>'B)NSA RCO Nb'!AI9/'B)NSA RCO Nb'!AE9-1</f>
        <v>-7.5553867733261226E-3</v>
      </c>
      <c r="AJ9" s="105">
        <f>'B)NSA RCO Nb'!AJ9/'B)NSA RCO Nb'!AF9-1</f>
        <v>-6.8887717643577595E-3</v>
      </c>
      <c r="AK9" s="105">
        <f>'B)NSA RCO Nb'!AK9/'B)NSA RCO Nb'!AG9-1</f>
        <v>-6.9186494251984865E-3</v>
      </c>
      <c r="AL9" s="105">
        <f>'B)NSA RCO Nb'!AL9/'B)NSA RCO Nb'!AH9-1</f>
        <v>-6.6463352459700253E-3</v>
      </c>
      <c r="AM9" s="105">
        <f>'B)NSA RCO Nb'!AM9/'B)NSA RCO Nb'!AI9-1</f>
        <v>-7.3783771273394638E-3</v>
      </c>
      <c r="AN9" s="105">
        <f>'B)NSA RCO Nb'!AN9/'B)NSA RCO Nb'!AJ9-1</f>
        <v>-7.6472815527953708E-3</v>
      </c>
      <c r="AO9" s="105">
        <f>'B)NSA RCO Nb'!AO9/'B)NSA RCO Nb'!AK9-1</f>
        <v>-7.813959861970976E-3</v>
      </c>
      <c r="AP9" s="105">
        <f>'B)NSA RCO Nb'!AP9/'B)NSA RCO Nb'!AL9-1</f>
        <v>-7.1636089907491929E-3</v>
      </c>
      <c r="AQ9" s="105">
        <f>'B)NSA RCO Nb'!AQ9/'B)NSA RCO Nb'!AM9-1</f>
        <v>-5.996940907282089E-3</v>
      </c>
      <c r="AR9" s="105">
        <f>'B)NSA RCO Nb'!AR9/'B)NSA RCO Nb'!AN9-1</f>
        <v>-6.0423716621526014E-3</v>
      </c>
      <c r="AS9" s="105">
        <f>'B)NSA RCO Nb'!AS9/'B)NSA RCO Nb'!AO9-1</f>
        <v>-7.966526776381655E-3</v>
      </c>
      <c r="AT9" s="105">
        <f>'B)NSA RCO Nb'!AT9/'B)NSA RCO Nb'!AP9-1</f>
        <v>-8.9697759592459736E-3</v>
      </c>
      <c r="AU9" s="105">
        <f>'B)NSA RCO Nb'!AU9/'B)NSA RCO Nb'!AQ9-1</f>
        <v>-1.2225749448762202E-2</v>
      </c>
      <c r="AV9" s="105">
        <f>'B)NSA RCO Nb'!AV9/'B)NSA RCO Nb'!AR9-1</f>
        <v>-1.5043579497183823E-2</v>
      </c>
      <c r="AW9" s="105">
        <f>'B)NSA RCO Nb'!AW9/'B)NSA RCO Nb'!AS9-1</f>
        <v>-1.3817652549478754E-2</v>
      </c>
      <c r="AX9" s="105">
        <f>'B)NSA RCO Nb'!AX9/'B)NSA RCO Nb'!AT9-1</f>
        <v>-1.2651745068285258E-2</v>
      </c>
      <c r="AY9" s="105">
        <f>'B)NSA RCO Nb'!AY9/'B)NSA RCO Nb'!AU9-1</f>
        <v>-8.982794323456611E-3</v>
      </c>
      <c r="AZ9" s="105">
        <f>'B)NSA RCO Nb'!AZ9/'B)NSA RCO Nb'!AV9-1</f>
        <v>-6.500995115468533E-3</v>
      </c>
      <c r="BA9" s="105">
        <f>'B)NSA RCO Nb'!BA9/'B)NSA RCO Nb'!AW9-1</f>
        <v>-6.1954966343469309E-3</v>
      </c>
      <c r="BB9" s="105">
        <f>'B)NSA RCO Nb'!BB9/'B)NSA RCO Nb'!AX9-1</f>
        <v>-3.5124456483456301E-3</v>
      </c>
      <c r="BC9" s="105">
        <f>'B)NSA RCO Nb'!BC9/'B)NSA RCO Nb'!AY9-1</f>
        <v>-6.1791308959739943E-3</v>
      </c>
      <c r="BD9" s="105">
        <f>'B)NSA RCO Nb'!BD9/'B)NSA RCO Nb'!AZ9-1</f>
        <v>-3.4116413821488889E-3</v>
      </c>
      <c r="BE9" s="105">
        <f>'B)NSA RCO Nb'!BE9/'B)NSA RCO Nb'!BA9-1</f>
        <v>-1.3236609232696317E-3</v>
      </c>
      <c r="BF9" s="105">
        <f>'B)NSA RCO Nb'!BF9/'B)NSA RCO Nb'!BB9-1</f>
        <v>-4.7169053502174041E-3</v>
      </c>
      <c r="BG9" s="105">
        <f>'B)NSA RCO Nb'!BG9/'B)NSA RCO Nb'!BC9-1</f>
        <v>-1.9932166337143231E-3</v>
      </c>
      <c r="BH9" s="105">
        <f>'B)NSA RCO Nb'!BH9/'B)NSA RCO Nb'!BD9-1</f>
        <v>-5.3527697921809114E-3</v>
      </c>
      <c r="BI9" s="105">
        <f>'B)NSA RCO Nb'!BI9/'B)NSA RCO Nb'!BE9-1</f>
        <v>4.545204744340392E-3</v>
      </c>
      <c r="BJ9" s="105">
        <f>'B)NSA RCO Nb'!BJ9/'B)NSA RCO Nb'!BF9-1</f>
        <v>5.188004635951815E-3</v>
      </c>
    </row>
    <row r="10" spans="1:62" x14ac:dyDescent="0.25">
      <c r="A10" s="20" t="s">
        <v>28</v>
      </c>
      <c r="B10" s="39"/>
      <c r="C10" s="39"/>
      <c r="D10" s="39"/>
      <c r="E10" s="39"/>
      <c r="F10" s="105">
        <f>'B)NSA RCO Nb'!F10/'B)NSA RCO Nb'!B10-1</f>
        <v>0.449437067239701</v>
      </c>
      <c r="G10" s="105">
        <f>'B)NSA RCO Nb'!G10/'B)NSA RCO Nb'!C10-1</f>
        <v>0.45344472914937395</v>
      </c>
      <c r="H10" s="105">
        <f>'B)NSA RCO Nb'!H10/'B)NSA RCO Nb'!D10-1</f>
        <v>5.955659732395735E-2</v>
      </c>
      <c r="I10" s="105">
        <f>'B)NSA RCO Nb'!I10/'B)NSA RCO Nb'!E10-1</f>
        <v>5.3763095933123228E-2</v>
      </c>
      <c r="J10" s="105">
        <f>'B)NSA RCO Nb'!J10/'B)NSA RCO Nb'!F10-1</f>
        <v>5.1699559666740669E-2</v>
      </c>
      <c r="K10" s="105">
        <f>'B)NSA RCO Nb'!K10/'B)NSA RCO Nb'!G10-1</f>
        <v>4.9765975144946406E-2</v>
      </c>
      <c r="L10" s="105">
        <f>'B)NSA RCO Nb'!L10/'B)NSA RCO Nb'!H10-1</f>
        <v>4.5774647887323994E-2</v>
      </c>
      <c r="M10" s="105">
        <f>'B)NSA RCO Nb'!M10/'B)NSA RCO Nb'!I10-1</f>
        <v>4.2685191386248933E-2</v>
      </c>
      <c r="N10" s="105">
        <f>'B)NSA RCO Nb'!N10/'B)NSA RCO Nb'!J10-1</f>
        <v>4.1730172595560111E-2</v>
      </c>
      <c r="O10" s="105">
        <f>'B)NSA RCO Nb'!O10/'B)NSA RCO Nb'!K10-1</f>
        <v>3.7383730212700472E-2</v>
      </c>
      <c r="P10" s="105">
        <f>'B)NSA RCO Nb'!P10/'B)NSA RCO Nb'!L10-1</f>
        <v>3.6919515104506306E-2</v>
      </c>
      <c r="Q10" s="105">
        <f>'B)NSA RCO Nb'!Q10/'B)NSA RCO Nb'!M10-1</f>
        <v>3.8934952703491676E-2</v>
      </c>
      <c r="R10" s="105">
        <f>'B)NSA RCO Nb'!R10/'B)NSA RCO Nb'!N10-1</f>
        <v>3.9428181492233483E-2</v>
      </c>
      <c r="S10" s="105">
        <f>'B)NSA RCO Nb'!S10/'B)NSA RCO Nb'!O10-1</f>
        <v>3.5016217017322937E-2</v>
      </c>
      <c r="T10" s="105">
        <f>'B)NSA RCO Nb'!T10/'B)NSA RCO Nb'!P10-1</f>
        <v>1.244979145888113</v>
      </c>
      <c r="U10" s="105">
        <f>'B)NSA RCO Nb'!U10/'B)NSA RCO Nb'!Q10-1</f>
        <v>1.2219437075671058</v>
      </c>
      <c r="V10" s="105">
        <f>'B)NSA RCO Nb'!V10/'B)NSA RCO Nb'!R10-1</f>
        <v>1.1969344608879493</v>
      </c>
      <c r="W10" s="105">
        <f>'B)NSA RCO Nb'!W10/'B)NSA RCO Nb'!S10-1</f>
        <v>1.1664261796713222</v>
      </c>
      <c r="X10" s="105">
        <f>'B)NSA RCO Nb'!X10/'B)NSA RCO Nb'!T10-1</f>
        <v>-1.567556379020496E-2</v>
      </c>
      <c r="Y10" s="105">
        <f>'B)NSA RCO Nb'!Y10/'B)NSA RCO Nb'!U10-1</f>
        <v>-2.0172203588755155E-2</v>
      </c>
      <c r="Z10" s="105">
        <f>'B)NSA RCO Nb'!Z10/'B)NSA RCO Nb'!V10-1</f>
        <v>-2.2584247753097753E-2</v>
      </c>
      <c r="AA10" s="105">
        <f>'B)NSA RCO Nb'!AA10/'B)NSA RCO Nb'!W10-1</f>
        <v>-2.2558856651862969E-2</v>
      </c>
      <c r="AB10" s="105">
        <f>'B)NSA RCO Nb'!AB10/'B)NSA RCO Nb'!X10-1</f>
        <v>-2.0961769261542584E-2</v>
      </c>
      <c r="AC10" s="105">
        <f>'B)NSA RCO Nb'!AC10/'B)NSA RCO Nb'!Y10-1</f>
        <v>-2.0153806041236955E-2</v>
      </c>
      <c r="AD10" s="105">
        <f>'B)NSA RCO Nb'!AD10/'B)NSA RCO Nb'!Z10-1</f>
        <v>-2.1098095911741943E-2</v>
      </c>
      <c r="AE10" s="105">
        <f>'B)NSA RCO Nb'!AE10/'B)NSA RCO Nb'!AA10-1</f>
        <v>-2.3011883057605154E-2</v>
      </c>
      <c r="AF10" s="105">
        <f>'B)NSA RCO Nb'!AF10/'B)NSA RCO Nb'!AB10-1</f>
        <v>-2.5381508431689959E-2</v>
      </c>
      <c r="AG10" s="105">
        <f>'B)NSA RCO Nb'!AG10/'B)NSA RCO Nb'!AC10-1</f>
        <v>-2.621165337070952E-2</v>
      </c>
      <c r="AH10" s="105">
        <f>'B)NSA RCO Nb'!AH10/'B)NSA RCO Nb'!AD10-1</f>
        <v>-2.6248226650009476E-2</v>
      </c>
      <c r="AI10" s="105">
        <f>'B)NSA RCO Nb'!AI10/'B)NSA RCO Nb'!AE10-1</f>
        <v>-2.5233662275155777E-2</v>
      </c>
      <c r="AJ10" s="105">
        <f>'B)NSA RCO Nb'!AJ10/'B)NSA RCO Nb'!AF10-1</f>
        <v>-2.4376216123241035E-2</v>
      </c>
      <c r="AK10" s="105">
        <f>'B)NSA RCO Nb'!AK10/'B)NSA RCO Nb'!AG10-1</f>
        <v>-2.351095058371544E-2</v>
      </c>
      <c r="AL10" s="105">
        <f>'B)NSA RCO Nb'!AL10/'B)NSA RCO Nb'!AH10-1</f>
        <v>-2.2677419617884276E-2</v>
      </c>
      <c r="AM10" s="105">
        <f>'B)NSA RCO Nb'!AM10/'B)NSA RCO Nb'!AI10-1</f>
        <v>-2.3076713002157523E-2</v>
      </c>
      <c r="AN10" s="105">
        <f>'B)NSA RCO Nb'!AN10/'B)NSA RCO Nb'!AJ10-1</f>
        <v>-2.3329678745172333E-2</v>
      </c>
      <c r="AO10" s="105">
        <f>'B)NSA RCO Nb'!AO10/'B)NSA RCO Nb'!AK10-1</f>
        <v>-2.3478562028122152E-2</v>
      </c>
      <c r="AP10" s="105">
        <f>'B)NSA RCO Nb'!AP10/'B)NSA RCO Nb'!AL10-1</f>
        <v>-2.3278710409505021E-2</v>
      </c>
      <c r="AQ10" s="105">
        <f>'B)NSA RCO Nb'!AQ10/'B)NSA RCO Nb'!AM10-1</f>
        <v>-2.2766409482276595E-2</v>
      </c>
      <c r="AR10" s="105">
        <f>'B)NSA RCO Nb'!AR10/'B)NSA RCO Nb'!AN10-1</f>
        <v>-2.2747465060852678E-2</v>
      </c>
      <c r="AS10" s="105">
        <f>'B)NSA RCO Nb'!AS10/'B)NSA RCO Nb'!AO10-1</f>
        <v>-2.4670095984973828E-2</v>
      </c>
      <c r="AT10" s="105">
        <f>'B)NSA RCO Nb'!AT10/'B)NSA RCO Nb'!AP10-1</f>
        <v>-2.5841007329449384E-2</v>
      </c>
      <c r="AU10" s="105">
        <f>'B)NSA RCO Nb'!AU10/'B)NSA RCO Nb'!AQ10-1</f>
        <v>-2.7996773233860406E-2</v>
      </c>
      <c r="AV10" s="105">
        <f>'B)NSA RCO Nb'!AV10/'B)NSA RCO Nb'!AR10-1</f>
        <v>-2.9756407296236409E-2</v>
      </c>
      <c r="AW10" s="105">
        <f>'B)NSA RCO Nb'!AW10/'B)NSA RCO Nb'!AS10-1</f>
        <v>-2.9136945973306627E-2</v>
      </c>
      <c r="AX10" s="105">
        <f>'B)NSA RCO Nb'!AX10/'B)NSA RCO Nb'!AT10-1</f>
        <v>-2.8452753638439021E-2</v>
      </c>
      <c r="AY10" s="105">
        <f>'B)NSA RCO Nb'!AY10/'B)NSA RCO Nb'!AU10-1</f>
        <v>-2.7213947479170941E-2</v>
      </c>
      <c r="AZ10" s="105">
        <f>'B)NSA RCO Nb'!AZ10/'B)NSA RCO Nb'!AV10-1</f>
        <v>-2.6108813992920199E-2</v>
      </c>
      <c r="BA10" s="105">
        <f>'B)NSA RCO Nb'!BA10/'B)NSA RCO Nb'!AW10-1</f>
        <v>-2.5849463654341709E-2</v>
      </c>
      <c r="BB10" s="105">
        <f>'B)NSA RCO Nb'!BB10/'B)NSA RCO Nb'!AX10-1</f>
        <v>-2.4484245299765006E-2</v>
      </c>
      <c r="BC10" s="105">
        <f>'B)NSA RCO Nb'!BC10/'B)NSA RCO Nb'!AY10-1</f>
        <v>-2.7370198038373372E-2</v>
      </c>
      <c r="BD10" s="105">
        <f>'B)NSA RCO Nb'!BD10/'B)NSA RCO Nb'!AZ10-1</f>
        <v>-2.5614475569117223E-2</v>
      </c>
      <c r="BE10" s="105">
        <f>'B)NSA RCO Nb'!BE10/'B)NSA RCO Nb'!BA10-1</f>
        <v>-2.4729863155272147E-2</v>
      </c>
      <c r="BF10" s="105">
        <f>'B)NSA RCO Nb'!BF10/'B)NSA RCO Nb'!BB10-1</f>
        <v>-2.5783449862601393E-2</v>
      </c>
      <c r="BG10" s="105">
        <f>'B)NSA RCO Nb'!BG10/'B)NSA RCO Nb'!BC10-1</f>
        <v>-2.2613104402867901E-2</v>
      </c>
      <c r="BH10" s="105">
        <f>'B)NSA RCO Nb'!BH10/'B)NSA RCO Nb'!BD10-1</f>
        <v>-2.4990047240342705E-2</v>
      </c>
      <c r="BI10" s="105">
        <f>'B)NSA RCO Nb'!BI10/'B)NSA RCO Nb'!BE10-1</f>
        <v>1.1943621815796446E-2</v>
      </c>
      <c r="BJ10" s="105">
        <f>'B)NSA RCO Nb'!BJ10/'B)NSA RCO Nb'!BF10-1</f>
        <v>1.326773859610797E-2</v>
      </c>
    </row>
    <row r="11" spans="1:62" x14ac:dyDescent="0.25">
      <c r="A11" s="20" t="s">
        <v>13</v>
      </c>
      <c r="B11" s="111"/>
      <c r="C11" s="111"/>
      <c r="D11" s="111"/>
      <c r="E11" s="111"/>
      <c r="F11" s="105">
        <f>'B)NSA RCO Nb'!F11/'B)NSA RCO Nb'!B11-1</f>
        <v>9.5270801475606737E-2</v>
      </c>
      <c r="G11" s="105">
        <f>'B)NSA RCO Nb'!G11/'B)NSA RCO Nb'!C11-1</f>
        <v>9.8428296683202632E-2</v>
      </c>
      <c r="H11" s="105">
        <f>'B)NSA RCO Nb'!H11/'B)NSA RCO Nb'!D11-1</f>
        <v>6.4616905585763718E-3</v>
      </c>
      <c r="I11" s="105">
        <f>'B)NSA RCO Nb'!I11/'B)NSA RCO Nb'!E11-1</f>
        <v>4.1363472871649432E-3</v>
      </c>
      <c r="J11" s="105">
        <f>'B)NSA RCO Nb'!J11/'B)NSA RCO Nb'!F11-1</f>
        <v>2.0547972218825095E-3</v>
      </c>
      <c r="K11" s="105">
        <f>'B)NSA RCO Nb'!K11/'B)NSA RCO Nb'!G11-1</f>
        <v>1.7019193106149189E-3</v>
      </c>
      <c r="L11" s="105">
        <f>'B)NSA RCO Nb'!L11/'B)NSA RCO Nb'!H11-1</f>
        <v>-6.7974020565086946E-4</v>
      </c>
      <c r="M11" s="105">
        <f>'B)NSA RCO Nb'!M11/'B)NSA RCO Nb'!I11-1</f>
        <v>-2.7731034550625422E-3</v>
      </c>
      <c r="N11" s="105">
        <f>'B)NSA RCO Nb'!N11/'B)NSA RCO Nb'!J11-1</f>
        <v>-3.1486889646323846E-3</v>
      </c>
      <c r="O11" s="105">
        <f>'B)NSA RCO Nb'!O11/'B)NSA RCO Nb'!K11-1</f>
        <v>-4.6904113445780382E-3</v>
      </c>
      <c r="P11" s="105">
        <f>'B)NSA RCO Nb'!P11/'B)NSA RCO Nb'!L11-1</f>
        <v>-3.9927497483643881E-3</v>
      </c>
      <c r="Q11" s="105">
        <f>'B)NSA RCO Nb'!Q11/'B)NSA RCO Nb'!M11-1</f>
        <v>-4.5787726520962746E-4</v>
      </c>
      <c r="R11" s="105">
        <f>'B)NSA RCO Nb'!R11/'B)NSA RCO Nb'!N11-1</f>
        <v>2.1991992861485343E-3</v>
      </c>
      <c r="S11" s="105">
        <f>'B)NSA RCO Nb'!S11/'B)NSA RCO Nb'!O11-1</f>
        <v>-2.0272261182155971E-3</v>
      </c>
      <c r="T11" s="105">
        <f>'B)NSA RCO Nb'!T11/'B)NSA RCO Nb'!P11-1</f>
        <v>0.44304152249817919</v>
      </c>
      <c r="U11" s="105">
        <f>'B)NSA RCO Nb'!U11/'B)NSA RCO Nb'!Q11-1</f>
        <v>0.43861634027967011</v>
      </c>
      <c r="V11" s="105">
        <f>'B)NSA RCO Nb'!V11/'B)NSA RCO Nb'!R11-1</f>
        <v>0.43789962612919631</v>
      </c>
      <c r="W11" s="105">
        <f>'B)NSA RCO Nb'!W11/'B)NSA RCO Nb'!S11-1</f>
        <v>0.43319200532243651</v>
      </c>
      <c r="X11" s="105">
        <f>'B)NSA RCO Nb'!X11/'B)NSA RCO Nb'!T11-1</f>
        <v>-1.2478388847551147E-2</v>
      </c>
      <c r="Y11" s="105">
        <f>'B)NSA RCO Nb'!Y11/'B)NSA RCO Nb'!U11-1</f>
        <v>-1.5271900773134006E-2</v>
      </c>
      <c r="Z11" s="105">
        <f>'B)NSA RCO Nb'!Z11/'B)NSA RCO Nb'!V11-1</f>
        <v>-1.9370738677227828E-2</v>
      </c>
      <c r="AA11" s="105">
        <f>'B)NSA RCO Nb'!AA11/'B)NSA RCO Nb'!W11-1</f>
        <v>-1.8514906965373612E-2</v>
      </c>
      <c r="AB11" s="105">
        <f>'B)NSA RCO Nb'!AB11/'B)NSA RCO Nb'!X11-1</f>
        <v>-1.6343920407877799E-2</v>
      </c>
      <c r="AC11" s="105">
        <f>'B)NSA RCO Nb'!AC11/'B)NSA RCO Nb'!Y11-1</f>
        <v>-1.5174238221741465E-2</v>
      </c>
      <c r="AD11" s="105">
        <f>'B)NSA RCO Nb'!AD11/'B)NSA RCO Nb'!Z11-1</f>
        <v>-1.576917327790095E-2</v>
      </c>
      <c r="AE11" s="105">
        <f>'B)NSA RCO Nb'!AE11/'B)NSA RCO Nb'!AA11-1</f>
        <v>-1.7441071316126378E-2</v>
      </c>
      <c r="AF11" s="105">
        <f>'B)NSA RCO Nb'!AF11/'B)NSA RCO Nb'!AB11-1</f>
        <v>-1.9228900801344984E-2</v>
      </c>
      <c r="AG11" s="105">
        <f>'B)NSA RCO Nb'!AG11/'B)NSA RCO Nb'!AC11-1</f>
        <v>-1.929720526650236E-2</v>
      </c>
      <c r="AH11" s="105">
        <f>'B)NSA RCO Nb'!AH11/'B)NSA RCO Nb'!AD11-1</f>
        <v>-1.8456040048883016E-2</v>
      </c>
      <c r="AI11" s="105">
        <f>'B)NSA RCO Nb'!AI11/'B)NSA RCO Nb'!AE11-1</f>
        <v>-1.701294983700552E-2</v>
      </c>
      <c r="AJ11" s="105">
        <f>'B)NSA RCO Nb'!AJ11/'B)NSA RCO Nb'!AF11-1</f>
        <v>-1.6230573202684728E-2</v>
      </c>
      <c r="AK11" s="105">
        <f>'B)NSA RCO Nb'!AK11/'B)NSA RCO Nb'!AG11-1</f>
        <v>-1.5768951026345568E-2</v>
      </c>
      <c r="AL11" s="105">
        <f>'B)NSA RCO Nb'!AL11/'B)NSA RCO Nb'!AH11-1</f>
        <v>-1.517491497188872E-2</v>
      </c>
      <c r="AM11" s="105">
        <f>'B)NSA RCO Nb'!AM11/'B)NSA RCO Nb'!AI11-1</f>
        <v>-1.5706472527074467E-2</v>
      </c>
      <c r="AN11" s="105">
        <f>'B)NSA RCO Nb'!AN11/'B)NSA RCO Nb'!AJ11-1</f>
        <v>-1.5955459560433094E-2</v>
      </c>
      <c r="AO11" s="105">
        <f>'B)NSA RCO Nb'!AO11/'B)NSA RCO Nb'!AK11-1</f>
        <v>-1.6103704159866949E-2</v>
      </c>
      <c r="AP11" s="105">
        <f>'B)NSA RCO Nb'!AP11/'B)NSA RCO Nb'!AL11-1</f>
        <v>-1.5671573853007548E-2</v>
      </c>
      <c r="AQ11" s="105">
        <f>'B)NSA RCO Nb'!AQ11/'B)NSA RCO Nb'!AM11-1</f>
        <v>-1.482666650966169E-2</v>
      </c>
      <c r="AR11" s="105">
        <f>'B)NSA RCO Nb'!AR11/'B)NSA RCO Nb'!AN11-1</f>
        <v>-1.4826031052059485E-2</v>
      </c>
      <c r="AS11" s="105">
        <f>'B)NSA RCO Nb'!AS11/'B)NSA RCO Nb'!AO11-1</f>
        <v>-1.6739837325679519E-2</v>
      </c>
      <c r="AT11" s="105">
        <f>'B)NSA RCO Nb'!AT11/'B)NSA RCO Nb'!AP11-1</f>
        <v>-1.7808102701646455E-2</v>
      </c>
      <c r="AU11" s="105">
        <f>'B)NSA RCO Nb'!AU11/'B)NSA RCO Nb'!AQ11-1</f>
        <v>-2.0462834168271549E-2</v>
      </c>
      <c r="AV11" s="105">
        <f>'B)NSA RCO Nb'!AV11/'B)NSA RCO Nb'!AR11-1</f>
        <v>-2.2717487844164497E-2</v>
      </c>
      <c r="AW11" s="105">
        <f>'B)NSA RCO Nb'!AW11/'B)NSA RCO Nb'!AS11-1</f>
        <v>-2.1798996970298634E-2</v>
      </c>
      <c r="AX11" s="105">
        <f>'B)NSA RCO Nb'!AX11/'B)NSA RCO Nb'!AT11-1</f>
        <v>-2.0861715198707276E-2</v>
      </c>
      <c r="AY11" s="105">
        <f>'B)NSA RCO Nb'!AY11/'B)NSA RCO Nb'!AU11-1</f>
        <v>-1.8431549003607328E-2</v>
      </c>
      <c r="AZ11" s="105">
        <f>'B)NSA RCO Nb'!AZ11/'B)NSA RCO Nb'!AV11-1</f>
        <v>-1.6654369461444052E-2</v>
      </c>
      <c r="BA11" s="105">
        <f>'B)NSA RCO Nb'!BA11/'B)NSA RCO Nb'!AW11-1</f>
        <v>-1.6358390996222605E-2</v>
      </c>
      <c r="BB11" s="105">
        <f>'B)NSA RCO Nb'!BB11/'B)NSA RCO Nb'!AX11-1</f>
        <v>-1.4324603106895539E-2</v>
      </c>
      <c r="BC11" s="105">
        <f>'B)NSA RCO Nb'!BC11/'B)NSA RCO Nb'!AY11-1</f>
        <v>-1.7063669038476781E-2</v>
      </c>
      <c r="BD11" s="105">
        <f>'B)NSA RCO Nb'!BD11/'B)NSA RCO Nb'!AZ11-1</f>
        <v>-1.4798233673304795E-2</v>
      </c>
      <c r="BE11" s="105">
        <f>'B)NSA RCO Nb'!BE11/'B)NSA RCO Nb'!BA11-1</f>
        <v>-1.3310021107015735E-2</v>
      </c>
      <c r="BF11" s="105">
        <f>'B)NSA RCO Nb'!BF11/'B)NSA RCO Nb'!BB11-1</f>
        <v>-1.5465961665565131E-2</v>
      </c>
      <c r="BG11" s="105">
        <f>'B)NSA RCO Nb'!BG11/'B)NSA RCO Nb'!BC11-1</f>
        <v>-1.2473322267014475E-2</v>
      </c>
      <c r="BH11" s="105">
        <f>'B)NSA RCO Nb'!BH11/'B)NSA RCO Nb'!BD11-1</f>
        <v>-1.5313066429230138E-2</v>
      </c>
      <c r="BI11" s="105">
        <f>'B)NSA RCO Nb'!BI11/'B)NSA RCO Nb'!BE11-1</f>
        <v>8.2900975399498034E-3</v>
      </c>
      <c r="BJ11" s="105">
        <f>'B)NSA RCO Nb'!BJ11/'B)NSA RCO Nb'!BF11-1</f>
        <v>9.2674287760217133E-3</v>
      </c>
    </row>
    <row r="12" spans="1:62" ht="13" x14ac:dyDescent="0.3">
      <c r="A12" s="14"/>
      <c r="B12" s="100"/>
      <c r="C12" s="100"/>
      <c r="D12" s="100"/>
      <c r="E12" s="100"/>
      <c r="F12" s="100"/>
      <c r="G12" s="100"/>
      <c r="H12" s="100"/>
      <c r="I12" s="100"/>
      <c r="J12" s="100"/>
      <c r="K12" s="165"/>
      <c r="L12" s="165"/>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M12" s="100"/>
      <c r="AN12" s="100"/>
      <c r="AO12" s="100"/>
    </row>
    <row r="13" spans="1:62" ht="13" x14ac:dyDescent="0.3">
      <c r="A13" s="25" t="s">
        <v>41</v>
      </c>
      <c r="L13" s="14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M13" s="35"/>
      <c r="AN13" s="35"/>
      <c r="AO13" s="35"/>
    </row>
    <row r="14" spans="1:62" x14ac:dyDescent="0.25">
      <c r="A14" s="17" t="s">
        <v>12</v>
      </c>
      <c r="L14" s="14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M14" s="35"/>
      <c r="AN14" s="35"/>
      <c r="AO14" s="35"/>
    </row>
    <row r="15" spans="1:62" x14ac:dyDescent="0.25">
      <c r="A15" s="5"/>
      <c r="B15" s="2" t="str">
        <f t="shared" ref="B15:H15" si="0">B8</f>
        <v>4eme T 2009</v>
      </c>
      <c r="C15" s="38" t="str">
        <f t="shared" si="0"/>
        <v>1er T 2010</v>
      </c>
      <c r="D15" s="38" t="str">
        <f t="shared" si="0"/>
        <v>2eme T 2010</v>
      </c>
      <c r="E15" s="38" t="str">
        <f t="shared" si="0"/>
        <v>3eme T 2010</v>
      </c>
      <c r="F15" s="38" t="str">
        <f t="shared" si="0"/>
        <v>4eme T 2010</v>
      </c>
      <c r="G15" s="38" t="str">
        <f t="shared" si="0"/>
        <v>1er T 2011</v>
      </c>
      <c r="H15" s="38" t="str">
        <f t="shared" si="0"/>
        <v>2eme T 2011</v>
      </c>
      <c r="I15" s="38" t="str">
        <f t="shared" ref="I15:N15" si="1">I8</f>
        <v>3eme T 2011</v>
      </c>
      <c r="J15" s="38" t="str">
        <f t="shared" si="1"/>
        <v>4eme T 2011</v>
      </c>
      <c r="K15" s="38" t="str">
        <f t="shared" si="1"/>
        <v>1er T 2012</v>
      </c>
      <c r="L15" s="38" t="str">
        <f t="shared" si="1"/>
        <v>2eme T 2012</v>
      </c>
      <c r="M15" s="38" t="str">
        <f t="shared" si="1"/>
        <v>3eme T 2012</v>
      </c>
      <c r="N15" s="38" t="str">
        <f t="shared" si="1"/>
        <v>4eme T 2012</v>
      </c>
      <c r="O15" s="38" t="str">
        <f t="shared" ref="O15:T15" si="2">O8</f>
        <v>1er T 2013</v>
      </c>
      <c r="P15" s="38" t="str">
        <f t="shared" si="2"/>
        <v>2eme T 2013</v>
      </c>
      <c r="Q15" s="38" t="str">
        <f t="shared" si="2"/>
        <v>3ème T 2013</v>
      </c>
      <c r="R15" s="38" t="str">
        <f t="shared" si="2"/>
        <v>4ème T 2013</v>
      </c>
      <c r="S15" s="38" t="str">
        <f t="shared" si="2"/>
        <v>1er T 2014</v>
      </c>
      <c r="T15" s="38" t="str">
        <f t="shared" si="2"/>
        <v>2eme T 2014</v>
      </c>
      <c r="U15" s="38" t="str">
        <f t="shared" ref="U15:V15" si="3">U8</f>
        <v>3T 2014</v>
      </c>
      <c r="V15" s="38" t="str">
        <f t="shared" si="3"/>
        <v>4ème T 2014</v>
      </c>
      <c r="W15" s="38" t="str">
        <f t="shared" ref="W15:X15" si="4">W8</f>
        <v>1er T 2015</v>
      </c>
      <c r="X15" s="38" t="str">
        <f t="shared" si="4"/>
        <v>2e T 2015</v>
      </c>
      <c r="Y15" s="38" t="str">
        <f t="shared" ref="Y15:Z15" si="5">Y8</f>
        <v>3e T 2015</v>
      </c>
      <c r="Z15" s="38" t="str">
        <f t="shared" si="5"/>
        <v>4e T 2015</v>
      </c>
      <c r="AA15" s="38" t="str">
        <f t="shared" ref="AA15:AB15" si="6">AA8</f>
        <v>1er T 2016</v>
      </c>
      <c r="AB15" s="38" t="str">
        <f t="shared" si="6"/>
        <v>2e T 2016</v>
      </c>
      <c r="AC15" s="38" t="str">
        <f t="shared" ref="AC15:AD15" si="7">AC8</f>
        <v>3e T 2016</v>
      </c>
      <c r="AD15" s="38" t="str">
        <f t="shared" si="7"/>
        <v>4e T 2016</v>
      </c>
      <c r="AE15" s="38" t="str">
        <f t="shared" ref="AE15:AF15" si="8">AE8</f>
        <v>2017 - T1</v>
      </c>
      <c r="AF15" s="38" t="str">
        <f t="shared" si="8"/>
        <v>2017 - T2</v>
      </c>
      <c r="AG15" s="38" t="str">
        <f t="shared" ref="AG15:AH15" si="9">AG8</f>
        <v>2017- T3</v>
      </c>
      <c r="AH15" s="38" t="str">
        <f t="shared" si="9"/>
        <v>2017 - T4</v>
      </c>
      <c r="AI15" s="38" t="str">
        <f t="shared" ref="AI15:AJ15" si="10">AI8</f>
        <v>2018 - T1</v>
      </c>
      <c r="AJ15" s="38" t="str">
        <f t="shared" si="10"/>
        <v>2018 - T2</v>
      </c>
      <c r="AK15" s="38" t="str">
        <f t="shared" ref="AK15:AM15" si="11">AK8</f>
        <v>2018 - T3</v>
      </c>
      <c r="AL15" s="38" t="str">
        <f t="shared" si="11"/>
        <v>2018 - T4</v>
      </c>
      <c r="AM15" s="38" t="str">
        <f t="shared" si="11"/>
        <v>2019 - T1</v>
      </c>
      <c r="AN15" s="38" t="str">
        <f t="shared" ref="AN15:AP15" si="12">AN8</f>
        <v>2019 - T2</v>
      </c>
      <c r="AO15" s="38" t="str">
        <f t="shared" si="12"/>
        <v>2019 - T3</v>
      </c>
      <c r="AP15" s="38" t="str">
        <f t="shared" si="12"/>
        <v>2019 - T4</v>
      </c>
      <c r="AQ15" s="38" t="str">
        <f t="shared" ref="AQ15" si="13">AQ8</f>
        <v>2020 - T1</v>
      </c>
      <c r="AR15" s="38" t="str">
        <f t="shared" ref="AR15" si="14">AR8</f>
        <v>2020 - T2</v>
      </c>
      <c r="AS15" s="38" t="str">
        <f t="shared" ref="AS15:AT15" si="15">AS8</f>
        <v>2020 - T3</v>
      </c>
      <c r="AT15" s="38" t="str">
        <f t="shared" si="15"/>
        <v>2020- T4</v>
      </c>
      <c r="AU15" s="38" t="str">
        <f t="shared" ref="AU15:AV15" si="16">AU8</f>
        <v>2021- T1</v>
      </c>
      <c r="AV15" s="38" t="str">
        <f t="shared" si="16"/>
        <v>2021- T2</v>
      </c>
      <c r="AW15" s="38" t="str">
        <f t="shared" ref="AW15:AX15" si="17">AW8</f>
        <v>2021- T3</v>
      </c>
      <c r="AX15" s="38" t="str">
        <f t="shared" si="17"/>
        <v>2021- T4</v>
      </c>
      <c r="AY15" s="38" t="str">
        <f t="shared" ref="AY15:AZ15" si="18">AY8</f>
        <v>2022- T1</v>
      </c>
      <c r="AZ15" s="38" t="str">
        <f t="shared" si="18"/>
        <v>2022- T2</v>
      </c>
      <c r="BA15" s="38" t="str">
        <f t="shared" ref="BA15:BB15" si="19">BA8</f>
        <v>2022- T3</v>
      </c>
      <c r="BB15" s="38" t="str">
        <f t="shared" si="19"/>
        <v>2022- T4</v>
      </c>
      <c r="BC15" s="38" t="str">
        <f t="shared" ref="BC15:BD15" si="20">BC8</f>
        <v>2023- T1</v>
      </c>
      <c r="BD15" s="38" t="str">
        <f t="shared" si="20"/>
        <v>2023- T2</v>
      </c>
      <c r="BE15" s="38" t="str">
        <f t="shared" ref="BE15:BF15" si="21">BE8</f>
        <v>2023- T3</v>
      </c>
      <c r="BF15" s="38" t="str">
        <f t="shared" si="21"/>
        <v>2023- T4</v>
      </c>
      <c r="BG15" s="38" t="str">
        <f t="shared" ref="BG15:BH15" si="22">BG8</f>
        <v>2024- T1</v>
      </c>
      <c r="BH15" s="38" t="str">
        <f t="shared" si="22"/>
        <v>2024- T2</v>
      </c>
      <c r="BI15" s="38" t="str">
        <f t="shared" ref="BI15:BJ15" si="23">BI8</f>
        <v>2024- T3</v>
      </c>
      <c r="BJ15" s="38" t="str">
        <f t="shared" si="23"/>
        <v>2024- T4</v>
      </c>
    </row>
    <row r="16" spans="1:62" x14ac:dyDescent="0.25">
      <c r="A16" s="20" t="s">
        <v>27</v>
      </c>
      <c r="B16" s="16"/>
      <c r="C16" s="16"/>
      <c r="D16" s="16"/>
      <c r="E16" s="16"/>
      <c r="F16" s="110">
        <f>'B)NSA RCO Nb'!F16/'B)NSA RCO Nb'!B16-1</f>
        <v>9.7902576248578566E-3</v>
      </c>
      <c r="G16" s="110">
        <f>'B)NSA RCO Nb'!G16/'B)NSA RCO Nb'!C16-1</f>
        <v>7.4327090369459281E-3</v>
      </c>
      <c r="H16" s="110">
        <f>'B)NSA RCO Nb'!H16/'B)NSA RCO Nb'!D16-1</f>
        <v>1.8892993301767413E-2</v>
      </c>
      <c r="I16" s="110">
        <f>'B)NSA RCO Nb'!I16/'B)NSA RCO Nb'!E16-1</f>
        <v>1.9087168546174871E-2</v>
      </c>
      <c r="J16" s="110">
        <f>'B)NSA RCO Nb'!J16/'B)NSA RCO Nb'!F16-1</f>
        <v>1.9471117207742639E-2</v>
      </c>
      <c r="K16" s="110">
        <f>'B)NSA RCO Nb'!K16/'B)NSA RCO Nb'!G16-1</f>
        <v>1.8213987902492068E-2</v>
      </c>
      <c r="L16" s="110">
        <f>'B)NSA RCO Nb'!L16/'B)NSA RCO Nb'!H16-1</f>
        <v>1.9975414874001229E-2</v>
      </c>
      <c r="M16" s="110">
        <f>'B)NSA RCO Nb'!M16/'B)NSA RCO Nb'!I16-1</f>
        <v>2.0108747575195096E-2</v>
      </c>
      <c r="N16" s="110">
        <f>'B)NSA RCO Nb'!N16/'B)NSA RCO Nb'!J16-1</f>
        <v>1.9900745447372303E-2</v>
      </c>
      <c r="O16" s="110">
        <f>'B)NSA RCO Nb'!O16/'B)NSA RCO Nb'!K16-1</f>
        <v>2.1808355851174355E-2</v>
      </c>
      <c r="P16" s="110">
        <f>'B)NSA RCO Nb'!P16/'B)NSA RCO Nb'!L16-1</f>
        <v>1.213732563536718E-2</v>
      </c>
      <c r="Q16" s="110">
        <f>'B)NSA RCO Nb'!Q16/'B)NSA RCO Nb'!M16-1</f>
        <v>1.171095601469152E-2</v>
      </c>
      <c r="R16" s="110">
        <f>'B)NSA RCO Nb'!R16/'B)NSA RCO Nb'!N16-1</f>
        <v>8.9866320285683088E-3</v>
      </c>
      <c r="S16" s="110">
        <f>'B)NSA RCO Nb'!S16/'B)NSA RCO Nb'!O16-1</f>
        <v>1.1704828394278222E-2</v>
      </c>
      <c r="T16" s="110">
        <f>'B)NSA RCO Nb'!T16/'B)NSA RCO Nb'!P16-1</f>
        <v>-7.9247909182700305E-3</v>
      </c>
      <c r="U16" s="110">
        <f>'B)NSA RCO Nb'!U16/'B)NSA RCO Nb'!Q16-1</f>
        <v>-6.4960677458564264E-3</v>
      </c>
      <c r="V16" s="110">
        <f>'B)NSA RCO Nb'!V16/'B)NSA RCO Nb'!R16-1</f>
        <v>-4.1728209722592391E-3</v>
      </c>
      <c r="W16" s="110">
        <f>'B)NSA RCO Nb'!W16/'B)NSA RCO Nb'!S16-1</f>
        <v>-8.9836854021144719E-3</v>
      </c>
      <c r="X16" s="110">
        <f>'B)NSA RCO Nb'!X16/'B)NSA RCO Nb'!T16-1</f>
        <v>-1.1434734831743398E-3</v>
      </c>
      <c r="Y16" s="110">
        <f>'B)NSA RCO Nb'!Y16/'B)NSA RCO Nb'!U16-1</f>
        <v>-2.5765260650452149E-3</v>
      </c>
      <c r="Z16" s="110">
        <f>'B)NSA RCO Nb'!Z16/'B)NSA RCO Nb'!V16-1</f>
        <v>-1.5966931431350417E-3</v>
      </c>
      <c r="AA16" s="110">
        <f>'B)NSA RCO Nb'!AA16/'B)NSA RCO Nb'!W16-1</f>
        <v>1.4993568388120604E-2</v>
      </c>
      <c r="AB16" s="110">
        <f>'B)NSA RCO Nb'!AB16/'B)NSA RCO Nb'!X16-1</f>
        <v>1.4403150181663271E-2</v>
      </c>
      <c r="AC16" s="110">
        <f>'B)NSA RCO Nb'!AC16/'B)NSA RCO Nb'!Y16-1</f>
        <v>1.3781030673251982E-2</v>
      </c>
      <c r="AD16" s="110">
        <f>'B)NSA RCO Nb'!AD16/'B)NSA RCO Nb'!Z16-1</f>
        <v>2.1309758651762101E-2</v>
      </c>
      <c r="AE16" s="110">
        <f>'B)NSA RCO Nb'!AE16/'B)NSA RCO Nb'!AA16-1</f>
        <v>4.7414585782019625E-3</v>
      </c>
      <c r="AF16" s="110">
        <f>'B)NSA RCO Nb'!AF16/'B)NSA RCO Nb'!AB16-1</f>
        <v>3.8057811055574042E-3</v>
      </c>
      <c r="AG16" s="110">
        <f>'B)NSA RCO Nb'!AG16/'B)NSA RCO Nb'!AC16-1</f>
        <v>4.4991806923848632E-3</v>
      </c>
      <c r="AH16" s="110">
        <f>'B)NSA RCO Nb'!AH16/'B)NSA RCO Nb'!AD16-1</f>
        <v>1.8679257280936001E-2</v>
      </c>
      <c r="AI16" s="110">
        <f>'B)NSA RCO Nb'!AI16/'B)NSA RCO Nb'!AE16-1</f>
        <v>9.2272799618016155E-3</v>
      </c>
      <c r="AJ16" s="110">
        <f>'B)NSA RCO Nb'!AJ16/'B)NSA RCO Nb'!AF16-1</f>
        <v>1.0616583078848718E-2</v>
      </c>
      <c r="AK16" s="110">
        <f>'B)NSA RCO Nb'!AK16/'B)NSA RCO Nb'!AG16-1</f>
        <v>9.444648298527536E-3</v>
      </c>
      <c r="AL16" s="110">
        <f>'B)NSA RCO Nb'!AL16/'B)NSA RCO Nb'!AH16-1</f>
        <v>-1.3643315282697799E-2</v>
      </c>
      <c r="AM16" s="110">
        <f>'B)NSA RCO Nb'!AM16/'B)NSA RCO Nb'!AI16-1</f>
        <v>-1.624355875870731E-3</v>
      </c>
      <c r="AN16" s="110">
        <f>'B)NSA RCO Nb'!AN16/'B)NSA RCO Nb'!AJ16-1</f>
        <v>-1.952685830601486E-3</v>
      </c>
      <c r="AO16" s="110">
        <f>'B)NSA RCO Nb'!AO16/'B)NSA RCO Nb'!AK16-1</f>
        <v>-5.2154947607996327E-4</v>
      </c>
      <c r="AP16" s="110">
        <f>'B)NSA RCO Nb'!AP16/'B)NSA RCO Nb'!AL16-1</f>
        <v>2.017253450095069E-4</v>
      </c>
      <c r="AQ16" s="110">
        <f>'B)NSA RCO Nb'!AQ16/'B)NSA RCO Nb'!AM16-1</f>
        <v>6.0538568162162854E-3</v>
      </c>
      <c r="AR16" s="110">
        <f>'B)NSA RCO Nb'!AR16/'B)NSA RCO Nb'!AN16-1</f>
        <v>5.1382993019817302E-3</v>
      </c>
      <c r="AS16" s="110">
        <f>'B)NSA RCO Nb'!AS16/'B)NSA RCO Nb'!AO16-1</f>
        <v>4.119228336495917E-3</v>
      </c>
      <c r="AT16" s="110">
        <f>'B)NSA RCO Nb'!AT16/'B)NSA RCO Nb'!AP16-1</f>
        <v>3.7686355441530761E-3</v>
      </c>
      <c r="AU16" s="110">
        <f>'B)NSA RCO Nb'!AU16/'B)NSA RCO Nb'!AQ16-1</f>
        <v>-1.1367525798791078E-3</v>
      </c>
      <c r="AV16" s="110">
        <f>'B)NSA RCO Nb'!AV16/'B)NSA RCO Nb'!AR16-1</f>
        <v>1.8179426085906947E-4</v>
      </c>
      <c r="AW16" s="110">
        <f>'B)NSA RCO Nb'!AW16/'B)NSA RCO Nb'!AS16-1</f>
        <v>2.7086400894482665E-3</v>
      </c>
      <c r="AX16" s="110">
        <f>'B)NSA RCO Nb'!AX16/'B)NSA RCO Nb'!AT16-1</f>
        <v>4.3773913113351659E-2</v>
      </c>
      <c r="AY16" s="110">
        <f>'B)NSA RCO Nb'!AY16/'B)NSA RCO Nb'!AU16-1</f>
        <v>8.6272975389276585E-2</v>
      </c>
      <c r="AZ16" s="110">
        <f>'B)NSA RCO Nb'!AZ16/'B)NSA RCO Nb'!AV16-1</f>
        <v>8.4941354385616119E-2</v>
      </c>
      <c r="BA16" s="110">
        <f>'B)NSA RCO Nb'!BA16/'B)NSA RCO Nb'!AW16-1</f>
        <v>0.12479670808194276</v>
      </c>
      <c r="BB16" s="110">
        <f>'B)NSA RCO Nb'!BB16/'B)NSA RCO Nb'!AX16-1</f>
        <v>7.7585033442760798E-2</v>
      </c>
      <c r="BC16" s="110">
        <f>'B)NSA RCO Nb'!BC16/'B)NSA RCO Nb'!AY16-1</f>
        <v>3.9382817548246907E-2</v>
      </c>
      <c r="BD16" s="110">
        <f>'B)NSA RCO Nb'!BD16/'B)NSA RCO Nb'!AZ16-1</f>
        <v>4.3248058747800577E-2</v>
      </c>
      <c r="BE16" s="110">
        <f>'B)NSA RCO Nb'!BE16/'B)NSA RCO Nb'!BA16-1</f>
        <v>4.4589483090369253E-3</v>
      </c>
      <c r="BF16" s="110">
        <f>'B)NSA RCO Nb'!BF16/'B)NSA RCO Nb'!BB16-1</f>
        <v>7.4452325643621364E-3</v>
      </c>
      <c r="BG16" s="110">
        <f>'B)NSA RCO Nb'!BG16/'B)NSA RCO Nb'!BC16-1</f>
        <v>4.1715006179082526E-2</v>
      </c>
      <c r="BH16" s="110">
        <f>'B)NSA RCO Nb'!BH16/'B)NSA RCO Nb'!BD16-1</f>
        <v>3.9813169356317957E-2</v>
      </c>
      <c r="BI16" s="110">
        <f>'B)NSA RCO Nb'!BI16/'B)NSA RCO Nb'!BE16-1</f>
        <v>3.7528232710685394E-2</v>
      </c>
      <c r="BJ16" s="110">
        <f>'B)NSA RCO Nb'!BJ16/'B)NSA RCO Nb'!BF16-1</f>
        <v>3.5283715820527251E-2</v>
      </c>
    </row>
    <row r="17" spans="1:62" x14ac:dyDescent="0.25">
      <c r="A17" s="20" t="s">
        <v>28</v>
      </c>
      <c r="B17" s="16"/>
      <c r="C17" s="42"/>
      <c r="D17" s="42"/>
      <c r="E17" s="42"/>
      <c r="F17" s="110">
        <f>'B)NSA RCO Nb'!F17/'B)NSA RCO Nb'!B17-1</f>
        <v>6.7170932924331517E-2</v>
      </c>
      <c r="G17" s="110">
        <f>'B)NSA RCO Nb'!G17/'B)NSA RCO Nb'!C17-1</f>
        <v>7.3894574519541401E-2</v>
      </c>
      <c r="H17" s="110">
        <f>'B)NSA RCO Nb'!H17/'B)NSA RCO Nb'!D17-1</f>
        <v>2.0500956176364493E-2</v>
      </c>
      <c r="I17" s="110">
        <f>'B)NSA RCO Nb'!I17/'B)NSA RCO Nb'!E17-1</f>
        <v>2.1329327490984484E-2</v>
      </c>
      <c r="J17" s="110">
        <f>'B)NSA RCO Nb'!J17/'B)NSA RCO Nb'!F17-1</f>
        <v>2.220099623288263E-2</v>
      </c>
      <c r="K17" s="110">
        <f>'B)NSA RCO Nb'!K17/'B)NSA RCO Nb'!G17-1</f>
        <v>1.6067534482989476E-2</v>
      </c>
      <c r="L17" s="110">
        <f>'B)NSA RCO Nb'!L17/'B)NSA RCO Nb'!H17-1</f>
        <v>1.7193028436639946E-2</v>
      </c>
      <c r="M17" s="110">
        <f>'B)NSA RCO Nb'!M17/'B)NSA RCO Nb'!I17-1</f>
        <v>1.6506345908765541E-2</v>
      </c>
      <c r="N17" s="110">
        <f>'B)NSA RCO Nb'!N17/'B)NSA RCO Nb'!J17-1</f>
        <v>1.6020574801980603E-2</v>
      </c>
      <c r="O17" s="110">
        <f>'B)NSA RCO Nb'!O17/'B)NSA RCO Nb'!K17-1</f>
        <v>1.8688225276943804E-2</v>
      </c>
      <c r="P17" s="110">
        <f>'B)NSA RCO Nb'!P17/'B)NSA RCO Nb'!L17-1</f>
        <v>7.6181151391787605E-3</v>
      </c>
      <c r="Q17" s="110">
        <f>'B)NSA RCO Nb'!Q17/'B)NSA RCO Nb'!M17-1</f>
        <v>6.0367701991361766E-3</v>
      </c>
      <c r="R17" s="110">
        <f>'B)NSA RCO Nb'!R17/'B)NSA RCO Nb'!N17-1</f>
        <v>3.0513092695336752E-3</v>
      </c>
      <c r="S17" s="110">
        <f>'B)NSA RCO Nb'!S17/'B)NSA RCO Nb'!O17-1</f>
        <v>8.2549913400142838E-3</v>
      </c>
      <c r="T17" s="110">
        <f>'B)NSA RCO Nb'!T17/'B)NSA RCO Nb'!P17-1</f>
        <v>-8.4077736106375811E-2</v>
      </c>
      <c r="U17" s="110">
        <f>'B)NSA RCO Nb'!U17/'B)NSA RCO Nb'!Q17-1</f>
        <v>-8.0205025777595584E-2</v>
      </c>
      <c r="V17" s="110">
        <f>'B)NSA RCO Nb'!V17/'B)NSA RCO Nb'!R17-1</f>
        <v>-7.6744773925971566E-2</v>
      </c>
      <c r="W17" s="110">
        <f>'B)NSA RCO Nb'!W17/'B)NSA RCO Nb'!S17-1</f>
        <v>-8.0275876214650044E-2</v>
      </c>
      <c r="X17" s="110">
        <f>'B)NSA RCO Nb'!X17/'B)NSA RCO Nb'!T17-1</f>
        <v>1.7169818344253684E-3</v>
      </c>
      <c r="Y17" s="110">
        <f>'B)NSA RCO Nb'!Y17/'B)NSA RCO Nb'!U17-1</f>
        <v>-3.9903674386021493E-4</v>
      </c>
      <c r="Z17" s="110">
        <f>'B)NSA RCO Nb'!Z17/'B)NSA RCO Nb'!V17-1</f>
        <v>6.8218205443537627E-4</v>
      </c>
      <c r="AA17" s="110">
        <f>'B)NSA RCO Nb'!AA17/'B)NSA RCO Nb'!W17-1</f>
        <v>5.7054713053819039E-3</v>
      </c>
      <c r="AB17" s="110">
        <f>'B)NSA RCO Nb'!AB17/'B)NSA RCO Nb'!X17-1</f>
        <v>4.8959267190322731E-3</v>
      </c>
      <c r="AC17" s="110">
        <f>'B)NSA RCO Nb'!AC17/'B)NSA RCO Nb'!Y17-1</f>
        <v>4.052303964573678E-3</v>
      </c>
      <c r="AD17" s="110">
        <f>'B)NSA RCO Nb'!AD17/'B)NSA RCO Nb'!Z17-1</f>
        <v>5.3841730355419504E-3</v>
      </c>
      <c r="AE17" s="110">
        <f>'B)NSA RCO Nb'!AE17/'B)NSA RCO Nb'!AA17-1</f>
        <v>5.0355723921291506E-4</v>
      </c>
      <c r="AF17" s="110">
        <f>'B)NSA RCO Nb'!AF17/'B)NSA RCO Nb'!AB17-1</f>
        <v>-3.5130700071639431E-4</v>
      </c>
      <c r="AG17" s="110">
        <f>'B)NSA RCO Nb'!AG17/'B)NSA RCO Nb'!AC17-1</f>
        <v>-2.6813865542330007E-4</v>
      </c>
      <c r="AH17" s="110">
        <f>'B)NSA RCO Nb'!AH17/'B)NSA RCO Nb'!AD17-1</f>
        <v>7.5648198973214953E-3</v>
      </c>
      <c r="AI17" s="110">
        <f>'B)NSA RCO Nb'!AI17/'B)NSA RCO Nb'!AE17-1</f>
        <v>4.7652249398575375E-3</v>
      </c>
      <c r="AJ17" s="110">
        <f>'B)NSA RCO Nb'!AJ17/'B)NSA RCO Nb'!AF17-1</f>
        <v>5.3500663556198536E-3</v>
      </c>
      <c r="AK17" s="110">
        <f>'B)NSA RCO Nb'!AK17/'B)NSA RCO Nb'!AG17-1</f>
        <v>4.6289445451517253E-3</v>
      </c>
      <c r="AL17" s="110">
        <f>'B)NSA RCO Nb'!AL17/'B)NSA RCO Nb'!AH17-1</f>
        <v>-5.9743720042300108E-3</v>
      </c>
      <c r="AM17" s="110">
        <f>'B)NSA RCO Nb'!AM17/'B)NSA RCO Nb'!AI17-1</f>
        <v>-2.6654289272587395E-4</v>
      </c>
      <c r="AN17" s="110">
        <f>'B)NSA RCO Nb'!AN17/'B)NSA RCO Nb'!AJ17-1</f>
        <v>-7.0831953490080313E-4</v>
      </c>
      <c r="AO17" s="110">
        <f>'B)NSA RCO Nb'!AO17/'B)NSA RCO Nb'!AK17-1</f>
        <v>9.8504481033301339E-4</v>
      </c>
      <c r="AP17" s="110">
        <f>'B)NSA RCO Nb'!AP17/'B)NSA RCO Nb'!AL17-1</f>
        <v>-9.3493239011099849E-4</v>
      </c>
      <c r="AQ17" s="110">
        <f>'B)NSA RCO Nb'!AQ17/'B)NSA RCO Nb'!AM17-1</f>
        <v>5.7184096937157314E-3</v>
      </c>
      <c r="AR17" s="110">
        <f>'B)NSA RCO Nb'!AR17/'B)NSA RCO Nb'!AN17-1</f>
        <v>6.6555587263303906E-3</v>
      </c>
      <c r="AS17" s="110">
        <f>'B)NSA RCO Nb'!AS17/'B)NSA RCO Nb'!AO17-1</f>
        <v>3.8765215232015038E-3</v>
      </c>
      <c r="AT17" s="110">
        <f>'B)NSA RCO Nb'!AT17/'B)NSA RCO Nb'!AP17-1</f>
        <v>9.3189095625678675E-4</v>
      </c>
      <c r="AU17" s="110">
        <f>'B)NSA RCO Nb'!AU17/'B)NSA RCO Nb'!AQ17-1</f>
        <v>-6.0746594660560094E-3</v>
      </c>
      <c r="AV17" s="110">
        <f>'B)NSA RCO Nb'!AV17/'B)NSA RCO Nb'!AR17-1</f>
        <v>-6.8861237461043112E-3</v>
      </c>
      <c r="AW17" s="110">
        <f>'B)NSA RCO Nb'!AW17/'B)NSA RCO Nb'!AS17-1</f>
        <v>-5.0891867378817235E-3</v>
      </c>
      <c r="AX17" s="110">
        <f>'B)NSA RCO Nb'!AX17/'B)NSA RCO Nb'!AT17-1</f>
        <v>1.0859130220302937E-2</v>
      </c>
      <c r="AY17" s="110">
        <f>'B)NSA RCO Nb'!AY17/'B)NSA RCO Nb'!AU17-1</f>
        <v>5.4933310531195323E-2</v>
      </c>
      <c r="AZ17" s="110">
        <f>'B)NSA RCO Nb'!AZ17/'B)NSA RCO Nb'!AV17-1</f>
        <v>5.3303874720581401E-2</v>
      </c>
      <c r="BA17" s="110">
        <f>'B)NSA RCO Nb'!BA17/'B)NSA RCO Nb'!AW17-1</f>
        <v>9.3002861919620816E-2</v>
      </c>
      <c r="BB17" s="110">
        <f>'B)NSA RCO Nb'!BB17/'B)NSA RCO Nb'!AX17-1</f>
        <v>7.6643622043797599E-2</v>
      </c>
      <c r="BC17" s="110">
        <f>'B)NSA RCO Nb'!BC17/'B)NSA RCO Nb'!AY17-1</f>
        <v>3.6509293362605222E-2</v>
      </c>
      <c r="BD17" s="110">
        <f>'B)NSA RCO Nb'!BD17/'B)NSA RCO Nb'!AZ17-1</f>
        <v>3.8211136252446209E-2</v>
      </c>
      <c r="BE17" s="110">
        <f>'B)NSA RCO Nb'!BE17/'B)NSA RCO Nb'!BA17-1</f>
        <v>-1.1321904995315046E-3</v>
      </c>
      <c r="BF17" s="110">
        <f>'B)NSA RCO Nb'!BF17/'B)NSA RCO Nb'!BB17-1</f>
        <v>2.5035008114426827E-3</v>
      </c>
      <c r="BG17" s="110">
        <f>'B)NSA RCO Nb'!BG17/'B)NSA RCO Nb'!BC17-1</f>
        <v>3.8036992092615574E-2</v>
      </c>
      <c r="BH17" s="110">
        <f>'B)NSA RCO Nb'!BH17/'B)NSA RCO Nb'!BD17-1</f>
        <v>3.8492041051230164E-2</v>
      </c>
      <c r="BI17" s="110">
        <f>'B)NSA RCO Nb'!BI17/'B)NSA RCO Nb'!BE17-1</f>
        <v>3.1119243805861174E-2</v>
      </c>
      <c r="BJ17" s="110">
        <f>'B)NSA RCO Nb'!BJ17/'B)NSA RCO Nb'!BF17-1</f>
        <v>2.5409417793297306E-2</v>
      </c>
    </row>
    <row r="18" spans="1:62" x14ac:dyDescent="0.25">
      <c r="A18" s="20" t="s">
        <v>13</v>
      </c>
      <c r="B18" s="16"/>
      <c r="C18" s="42"/>
      <c r="D18" s="42"/>
      <c r="E18" s="42"/>
      <c r="F18" s="110">
        <f>'B)NSA RCO Nb'!F18/'B)NSA RCO Nb'!B18-1</f>
        <v>1.8166605337398556E-2</v>
      </c>
      <c r="G18" s="110">
        <f>'B)NSA RCO Nb'!G18/'B)NSA RCO Nb'!C18-1</f>
        <v>1.786464901218987E-2</v>
      </c>
      <c r="H18" s="110">
        <f>'B)NSA RCO Nb'!H18/'B)NSA RCO Nb'!D18-1</f>
        <v>1.8543507408808058E-2</v>
      </c>
      <c r="I18" s="110">
        <f>'B)NSA RCO Nb'!I18/'B)NSA RCO Nb'!E18-1</f>
        <v>1.8974034852374144E-2</v>
      </c>
      <c r="J18" s="110">
        <f>'B)NSA RCO Nb'!J18/'B)NSA RCO Nb'!F18-1</f>
        <v>1.9507535829070388E-2</v>
      </c>
      <c r="K18" s="110">
        <f>'B)NSA RCO Nb'!K18/'B)NSA RCO Nb'!G18-1</f>
        <v>1.6738075572992006E-2</v>
      </c>
      <c r="L18" s="110">
        <f>'B)NSA RCO Nb'!L18/'B)NSA RCO Nb'!H18-1</f>
        <v>1.8324044031711617E-2</v>
      </c>
      <c r="M18" s="110">
        <f>'B)NSA RCO Nb'!M18/'B)NSA RCO Nb'!I18-1</f>
        <v>1.8207211996928319E-2</v>
      </c>
      <c r="N18" s="110">
        <f>'B)NSA RCO Nb'!N18/'B)NSA RCO Nb'!J18-1</f>
        <v>1.7880881341340471E-2</v>
      </c>
      <c r="O18" s="110">
        <f>'B)NSA RCO Nb'!O18/'B)NSA RCO Nb'!K18-1</f>
        <v>2.0012269679084316E-2</v>
      </c>
      <c r="P18" s="110">
        <f>'B)NSA RCO Nb'!P18/'B)NSA RCO Nb'!L18-1</f>
        <v>9.89418033262357E-3</v>
      </c>
      <c r="Q18" s="110">
        <f>'B)NSA RCO Nb'!Q18/'B)NSA RCO Nb'!M18-1</f>
        <v>9.0837888350621121E-3</v>
      </c>
      <c r="R18" s="110">
        <f>'B)NSA RCO Nb'!R18/'B)NSA RCO Nb'!N18-1</f>
        <v>6.2771047372653932E-3</v>
      </c>
      <c r="S18" s="110">
        <f>'B)NSA RCO Nb'!S18/'B)NSA RCO Nb'!O18-1</f>
        <v>9.8056701993072259E-3</v>
      </c>
      <c r="T18" s="110">
        <f>'B)NSA RCO Nb'!T18/'B)NSA RCO Nb'!P18-1</f>
        <v>-5.8627565212396759E-2</v>
      </c>
      <c r="U18" s="110">
        <f>'B)NSA RCO Nb'!U18/'B)NSA RCO Nb'!Q18-1</f>
        <v>-5.6007983540108719E-2</v>
      </c>
      <c r="V18" s="110">
        <f>'B)NSA RCO Nb'!V18/'B)NSA RCO Nb'!R18-1</f>
        <v>-5.2944278721756222E-2</v>
      </c>
      <c r="W18" s="110">
        <f>'B)NSA RCO Nb'!W18/'B)NSA RCO Nb'!S18-1</f>
        <v>-5.6907196168396679E-2</v>
      </c>
      <c r="X18" s="110">
        <f>'B)NSA RCO Nb'!X18/'B)NSA RCO Nb'!T18-1</f>
        <v>5.5785087948678758E-4</v>
      </c>
      <c r="Y18" s="110">
        <f>'B)NSA RCO Nb'!Y18/'B)NSA RCO Nb'!U18-1</f>
        <v>-1.1006556079056207E-3</v>
      </c>
      <c r="Z18" s="110">
        <f>'B)NSA RCO Nb'!Z18/'B)NSA RCO Nb'!V18-1</f>
        <v>-2.0012355454235298E-4</v>
      </c>
      <c r="AA18" s="110">
        <f>'B)NSA RCO Nb'!AA18/'B)NSA RCO Nb'!W18-1</f>
        <v>1.0631764629020823E-2</v>
      </c>
      <c r="AB18" s="110">
        <f>'B)NSA RCO Nb'!AB18/'B)NSA RCO Nb'!X18-1</f>
        <v>9.9703806951825236E-3</v>
      </c>
      <c r="AC18" s="110">
        <f>'B)NSA RCO Nb'!AC18/'B)NSA RCO Nb'!Y18-1</f>
        <v>9.2635338182134319E-3</v>
      </c>
      <c r="AD18" s="110">
        <f>'B)NSA RCO Nb'!AD18/'B)NSA RCO Nb'!Z18-1</f>
        <v>1.3719910187457662E-2</v>
      </c>
      <c r="AE18" s="110">
        <f>'B)NSA RCO Nb'!AE18/'B)NSA RCO Nb'!AA18-1</f>
        <v>3.0857280766776185E-3</v>
      </c>
      <c r="AF18" s="110">
        <f>'B)NSA RCO Nb'!AF18/'B)NSA RCO Nb'!AB18-1</f>
        <v>2.2383328517396883E-3</v>
      </c>
      <c r="AG18" s="110">
        <f>'B)NSA RCO Nb'!AG18/'B)NSA RCO Nb'!AC18-1</f>
        <v>2.6840772082146191E-3</v>
      </c>
      <c r="AH18" s="110">
        <f>'B)NSA RCO Nb'!AH18/'B)NSA RCO Nb'!AD18-1</f>
        <v>1.3838988689288012E-2</v>
      </c>
      <c r="AI18" s="110">
        <f>'B)NSA RCO Nb'!AI18/'B)NSA RCO Nb'!AE18-1</f>
        <v>7.7034783804219575E-3</v>
      </c>
      <c r="AJ18" s="110">
        <f>'B)NSA RCO Nb'!AJ18/'B)NSA RCO Nb'!AF18-1</f>
        <v>8.7009656264522839E-3</v>
      </c>
      <c r="AK18" s="110">
        <f>'B)NSA RCO Nb'!AK18/'B)NSA RCO Nb'!AG18-1</f>
        <v>7.7165076454968062E-3</v>
      </c>
      <c r="AL18" s="110">
        <f>'B)NSA RCO Nb'!AL18/'B)NSA RCO Nb'!AH18-1</f>
        <v>-9.2468319862482051E-3</v>
      </c>
      <c r="AM18" s="110">
        <f>'B)NSA RCO Nb'!AM18/'B)NSA RCO Nb'!AI18-1</f>
        <v>-3.2829520987442962E-4</v>
      </c>
      <c r="AN18" s="110">
        <f>'B)NSA RCO Nb'!AN18/'B)NSA RCO Nb'!AJ18-1</f>
        <v>-7.2522503306160502E-4</v>
      </c>
      <c r="AO18" s="110">
        <f>'B)NSA RCO Nb'!AO18/'B)NSA RCO Nb'!AK18-1</f>
        <v>8.2852164406022055E-4</v>
      </c>
      <c r="AP18" s="110">
        <f>'B)NSA RCO Nb'!AP18/'B)NSA RCO Nb'!AL18-1</f>
        <v>2.9059208136561487E-4</v>
      </c>
      <c r="AQ18" s="110">
        <f>'B)NSA RCO Nb'!AQ18/'B)NSA RCO Nb'!AM18-1</f>
        <v>6.559530511626388E-3</v>
      </c>
      <c r="AR18" s="110">
        <f>'B)NSA RCO Nb'!AR18/'B)NSA RCO Nb'!AN18-1</f>
        <v>6.5403005464479413E-3</v>
      </c>
      <c r="AS18" s="110">
        <f>'B)NSA RCO Nb'!AS18/'B)NSA RCO Nb'!AO18-1</f>
        <v>4.6725781536700595E-3</v>
      </c>
      <c r="AT18" s="110">
        <f>'B)NSA RCO Nb'!AT18/'B)NSA RCO Nb'!AP18-1</f>
        <v>2.9201978513797577E-3</v>
      </c>
      <c r="AU18" s="110">
        <f>'B)NSA RCO Nb'!AU18/'B)NSA RCO Nb'!AQ18-1</f>
        <v>-3.0574263752447539E-3</v>
      </c>
      <c r="AV18" s="110">
        <f>'B)NSA RCO Nb'!AV18/'B)NSA RCO Nb'!AR18-1</f>
        <v>-2.7958999929084127E-3</v>
      </c>
      <c r="AW18" s="110">
        <f>'B)NSA RCO Nb'!AW18/'B)NSA RCO Nb'!AS18-1</f>
        <v>-5.9038145437706468E-4</v>
      </c>
      <c r="AX18" s="110">
        <f>'B)NSA RCO Nb'!AX18/'B)NSA RCO Nb'!AT18-1</f>
        <v>2.8733430928513659E-2</v>
      </c>
      <c r="AY18" s="110">
        <f>'B)NSA RCO Nb'!AY18/'B)NSA RCO Nb'!AU18-1</f>
        <v>7.2199056861477429E-2</v>
      </c>
      <c r="AZ18" s="110">
        <f>'B)NSA RCO Nb'!AZ18/'B)NSA RCO Nb'!AV18-1</f>
        <v>7.0807171237576849E-2</v>
      </c>
      <c r="BA18" s="110">
        <f>'B)NSA RCO Nb'!BA18/'B)NSA RCO Nb'!AW18-1</f>
        <v>0.11065658595354066</v>
      </c>
      <c r="BB18" s="110">
        <f>'B)NSA RCO Nb'!BB18/'B)NSA RCO Nb'!AX18-1</f>
        <v>7.8230124975942283E-2</v>
      </c>
      <c r="BC18" s="110">
        <f>'B)NSA RCO Nb'!BC18/'B)NSA RCO Nb'!AY18-1</f>
        <v>3.9101280388096793E-2</v>
      </c>
      <c r="BD18" s="110">
        <f>'B)NSA RCO Nb'!BD18/'B)NSA RCO Nb'!AZ18-1</f>
        <v>4.2025333282282862E-2</v>
      </c>
      <c r="BE18" s="110">
        <f>'B)NSA RCO Nb'!BE18/'B)NSA RCO Nb'!BA18-1</f>
        <v>3.0084218845825017E-3</v>
      </c>
      <c r="BF18" s="110">
        <f>'B)NSA RCO Nb'!BF18/'B)NSA RCO Nb'!BB18-1</f>
        <v>6.1959906516362295E-3</v>
      </c>
      <c r="BG18" s="110">
        <f>'B)NSA RCO Nb'!BG18/'B)NSA RCO Nb'!BC18-1</f>
        <v>4.1044716638105383E-2</v>
      </c>
      <c r="BH18" s="110">
        <f>'B)NSA RCO Nb'!BH18/'B)NSA RCO Nb'!BD18-1</f>
        <v>4.021280330559307E-2</v>
      </c>
      <c r="BI18" s="110">
        <f>'B)NSA RCO Nb'!BI18/'B)NSA RCO Nb'!BE18-1</f>
        <v>3.4220025118466113E-2</v>
      </c>
      <c r="BJ18" s="110">
        <f>'B)NSA RCO Nb'!BJ18/'B)NSA RCO Nb'!BF18-1</f>
        <v>3.0361790012061407E-2</v>
      </c>
    </row>
    <row r="19" spans="1:62" ht="13" thickBot="1" x14ac:dyDescent="0.3">
      <c r="A19" s="6"/>
      <c r="B19" s="15"/>
      <c r="C19" s="53"/>
      <c r="D19" s="53"/>
      <c r="E19" s="53"/>
      <c r="F19" s="53"/>
      <c r="G19" s="53"/>
      <c r="H19" s="53"/>
      <c r="I19" s="53"/>
      <c r="J19" s="53"/>
      <c r="K19" s="154"/>
      <c r="L19" s="154"/>
      <c r="M19" s="53"/>
      <c r="N19" s="53"/>
      <c r="O19" s="53"/>
      <c r="P19" s="53"/>
      <c r="Q19" s="53"/>
      <c r="R19" s="53"/>
      <c r="S19" s="53"/>
      <c r="T19" s="53"/>
      <c r="U19" s="53"/>
      <c r="V19" s="53"/>
      <c r="W19" s="53"/>
      <c r="X19" s="53"/>
      <c r="Y19" s="53"/>
      <c r="Z19" s="53"/>
      <c r="AA19" s="53"/>
      <c r="AB19" s="53"/>
    </row>
    <row r="20" spans="1:62" x14ac:dyDescent="0.25">
      <c r="A20" s="19"/>
      <c r="B20" s="10"/>
      <c r="C20" s="40"/>
      <c r="D20" s="40"/>
      <c r="E20" s="40"/>
      <c r="F20" s="40"/>
      <c r="G20" s="40"/>
      <c r="H20" s="40"/>
      <c r="I20" s="40"/>
      <c r="J20" s="40"/>
      <c r="K20" s="146"/>
      <c r="L20" s="146"/>
      <c r="M20" s="40"/>
      <c r="N20" s="40"/>
      <c r="O20" s="40"/>
      <c r="P20" s="40"/>
      <c r="Q20" s="40"/>
      <c r="R20" s="40"/>
      <c r="S20" s="40"/>
      <c r="T20" s="40"/>
      <c r="U20" s="40"/>
      <c r="V20" s="40"/>
      <c r="W20" s="40"/>
      <c r="X20" s="40"/>
      <c r="Y20" s="40"/>
      <c r="Z20" s="40"/>
      <c r="AA20" s="40"/>
      <c r="AB20" s="40"/>
      <c r="AC20" s="40"/>
      <c r="AD20" s="40"/>
      <c r="AE20" s="40"/>
      <c r="AF20" s="40"/>
      <c r="AG20" s="40"/>
      <c r="AH20" s="40"/>
      <c r="AI20" s="40"/>
      <c r="AJ20" s="40"/>
      <c r="AM20" s="40"/>
      <c r="AN20" s="40"/>
      <c r="AO20" s="40"/>
    </row>
    <row r="21" spans="1:62" ht="13" x14ac:dyDescent="0.3">
      <c r="A21" s="1" t="s">
        <v>20</v>
      </c>
      <c r="L21" s="145"/>
      <c r="M21" s="35"/>
      <c r="N21" s="35"/>
      <c r="O21" s="35"/>
      <c r="P21" s="35"/>
      <c r="Q21" s="35"/>
      <c r="R21" s="35"/>
      <c r="S21" s="35"/>
      <c r="T21" s="35"/>
      <c r="U21" s="35"/>
      <c r="V21" s="35"/>
      <c r="W21" s="35"/>
      <c r="X21" s="35"/>
      <c r="Y21" s="35"/>
      <c r="Z21" s="35"/>
      <c r="AA21" s="35"/>
      <c r="AB21" s="35"/>
    </row>
    <row r="22" spans="1:62" x14ac:dyDescent="0.25">
      <c r="A22" s="17" t="s">
        <v>21</v>
      </c>
      <c r="L22" s="145"/>
      <c r="M22" s="35"/>
      <c r="N22" s="35"/>
      <c r="O22" s="35"/>
      <c r="P22" s="35"/>
      <c r="Q22" s="35"/>
      <c r="R22" s="35"/>
      <c r="S22" s="35"/>
      <c r="T22" s="35"/>
      <c r="U22" s="35"/>
      <c r="V22" s="35"/>
      <c r="W22" s="35"/>
      <c r="X22" s="35"/>
      <c r="Y22" s="35"/>
      <c r="Z22" s="35"/>
      <c r="AA22" s="35"/>
      <c r="AB22" s="35"/>
      <c r="BB22" s="377" t="s">
        <v>241</v>
      </c>
      <c r="BC22" s="377"/>
      <c r="BD22" s="377"/>
    </row>
    <row r="23" spans="1:62" x14ac:dyDescent="0.25">
      <c r="A23" s="5"/>
      <c r="B23" s="2" t="str">
        <f t="shared" ref="B23:H23" si="24">B8</f>
        <v>4eme T 2009</v>
      </c>
      <c r="C23" s="38" t="str">
        <f t="shared" si="24"/>
        <v>1er T 2010</v>
      </c>
      <c r="D23" s="38" t="str">
        <f t="shared" si="24"/>
        <v>2eme T 2010</v>
      </c>
      <c r="E23" s="38" t="str">
        <f t="shared" si="24"/>
        <v>3eme T 2010</v>
      </c>
      <c r="F23" s="38" t="str">
        <f t="shared" si="24"/>
        <v>4eme T 2010</v>
      </c>
      <c r="G23" s="38" t="str">
        <f t="shared" si="24"/>
        <v>1er T 2011</v>
      </c>
      <c r="H23" s="38" t="str">
        <f t="shared" si="24"/>
        <v>2eme T 2011</v>
      </c>
      <c r="I23" s="38" t="str">
        <f t="shared" ref="I23:N23" si="25">I8</f>
        <v>3eme T 2011</v>
      </c>
      <c r="J23" s="38" t="str">
        <f t="shared" si="25"/>
        <v>4eme T 2011</v>
      </c>
      <c r="K23" s="38" t="str">
        <f t="shared" si="25"/>
        <v>1er T 2012</v>
      </c>
      <c r="L23" s="38" t="str">
        <f t="shared" si="25"/>
        <v>2eme T 2012</v>
      </c>
      <c r="M23" s="38" t="str">
        <f t="shared" si="25"/>
        <v>3eme T 2012</v>
      </c>
      <c r="N23" s="38" t="str">
        <f t="shared" si="25"/>
        <v>4eme T 2012</v>
      </c>
      <c r="O23" s="38" t="str">
        <f t="shared" ref="O23:T23" si="26">O8</f>
        <v>1er T 2013</v>
      </c>
      <c r="P23" s="38" t="str">
        <f t="shared" si="26"/>
        <v>2eme T 2013</v>
      </c>
      <c r="Q23" s="38" t="str">
        <f t="shared" si="26"/>
        <v>3ème T 2013</v>
      </c>
      <c r="R23" s="38" t="str">
        <f t="shared" si="26"/>
        <v>4ème T 2013</v>
      </c>
      <c r="S23" s="38" t="str">
        <f t="shared" si="26"/>
        <v>1er T 2014</v>
      </c>
      <c r="T23" s="38" t="str">
        <f t="shared" si="26"/>
        <v>2eme T 2014</v>
      </c>
      <c r="U23" s="38" t="str">
        <f t="shared" ref="U23:V23" si="27">U8</f>
        <v>3T 2014</v>
      </c>
      <c r="V23" s="38" t="str">
        <f t="shared" si="27"/>
        <v>4ème T 2014</v>
      </c>
      <c r="W23" s="38" t="str">
        <f t="shared" ref="W23:X23" si="28">W8</f>
        <v>1er T 2015</v>
      </c>
      <c r="X23" s="38" t="str">
        <f t="shared" si="28"/>
        <v>2e T 2015</v>
      </c>
      <c r="Y23" s="38" t="str">
        <f t="shared" ref="Y23:Z23" si="29">Y8</f>
        <v>3e T 2015</v>
      </c>
      <c r="Z23" s="38" t="str">
        <f t="shared" si="29"/>
        <v>4e T 2015</v>
      </c>
      <c r="AA23" s="38" t="str">
        <f t="shared" ref="AA23:AB23" si="30">AA8</f>
        <v>1er T 2016</v>
      </c>
      <c r="AB23" s="38" t="str">
        <f t="shared" si="30"/>
        <v>2e T 2016</v>
      </c>
      <c r="AC23" s="38" t="str">
        <f t="shared" ref="AC23:AD23" si="31">AC8</f>
        <v>3e T 2016</v>
      </c>
      <c r="AD23" s="38" t="str">
        <f t="shared" si="31"/>
        <v>4e T 2016</v>
      </c>
      <c r="AE23" s="38" t="str">
        <f t="shared" ref="AE23:AF23" si="32">AE8</f>
        <v>2017 - T1</v>
      </c>
      <c r="AF23" s="38" t="str">
        <f t="shared" si="32"/>
        <v>2017 - T2</v>
      </c>
      <c r="AG23" s="38" t="str">
        <f t="shared" ref="AG23:AH23" si="33">AG8</f>
        <v>2017- T3</v>
      </c>
      <c r="AH23" s="38" t="str">
        <f t="shared" si="33"/>
        <v>2017 - T4</v>
      </c>
      <c r="AI23" s="38" t="str">
        <f t="shared" ref="AI23:AJ23" si="34">AI8</f>
        <v>2018 - T1</v>
      </c>
      <c r="AJ23" s="38" t="str">
        <f t="shared" si="34"/>
        <v>2018 - T2</v>
      </c>
      <c r="AK23" s="38" t="str">
        <f t="shared" ref="AK23:AM23" si="35">AK8</f>
        <v>2018 - T3</v>
      </c>
      <c r="AL23" s="38" t="str">
        <f t="shared" si="35"/>
        <v>2018 - T4</v>
      </c>
      <c r="AM23" s="38" t="str">
        <f t="shared" si="35"/>
        <v>2019 - T1</v>
      </c>
      <c r="AN23" s="38" t="str">
        <f t="shared" ref="AN23:AP23" si="36">AN8</f>
        <v>2019 - T2</v>
      </c>
      <c r="AO23" s="38" t="str">
        <f t="shared" si="36"/>
        <v>2019 - T3</v>
      </c>
      <c r="AP23" s="38" t="str">
        <f t="shared" si="36"/>
        <v>2019 - T4</v>
      </c>
      <c r="AQ23" s="38" t="str">
        <f t="shared" ref="AQ23" si="37">AQ8</f>
        <v>2020 - T1</v>
      </c>
      <c r="AR23" s="38" t="str">
        <f t="shared" ref="AR23" si="38">AR8</f>
        <v>2020 - T2</v>
      </c>
      <c r="AS23" s="38" t="str">
        <f t="shared" ref="AS23:AT23" si="39">AS8</f>
        <v>2020 - T3</v>
      </c>
      <c r="AT23" s="38" t="str">
        <f t="shared" si="39"/>
        <v>2020- T4</v>
      </c>
      <c r="AU23" s="38" t="str">
        <f t="shared" ref="AU23:AV23" si="40">AU8</f>
        <v>2021- T1</v>
      </c>
      <c r="AV23" s="38" t="str">
        <f t="shared" si="40"/>
        <v>2021- T2</v>
      </c>
      <c r="AW23" s="38" t="str">
        <f t="shared" ref="AW23:AX23" si="41">AW8</f>
        <v>2021- T3</v>
      </c>
      <c r="AX23" s="38" t="str">
        <f t="shared" si="41"/>
        <v>2021- T4</v>
      </c>
      <c r="AY23" s="38" t="str">
        <f t="shared" ref="AY23:AZ23" si="42">AY8</f>
        <v>2022- T1</v>
      </c>
      <c r="AZ23" s="38" t="str">
        <f t="shared" si="42"/>
        <v>2022- T2</v>
      </c>
      <c r="BA23" s="38" t="str">
        <f t="shared" ref="BA23:BB23" si="43">BA8</f>
        <v>2022- T3</v>
      </c>
      <c r="BB23" s="38" t="str">
        <f t="shared" si="43"/>
        <v>2022- T4</v>
      </c>
      <c r="BC23" s="38" t="str">
        <f t="shared" ref="BC23:BD23" si="44">BC8</f>
        <v>2023- T1</v>
      </c>
      <c r="BD23" s="38" t="str">
        <f t="shared" si="44"/>
        <v>2023- T2</v>
      </c>
      <c r="BE23" s="38" t="str">
        <f t="shared" ref="BE23:BF23" si="45">BE8</f>
        <v>2023- T3</v>
      </c>
      <c r="BF23" s="38" t="str">
        <f t="shared" si="45"/>
        <v>2023- T4</v>
      </c>
      <c r="BG23" s="38" t="str">
        <f t="shared" ref="BG23:BH23" si="46">BG8</f>
        <v>2024- T1</v>
      </c>
      <c r="BH23" s="38" t="str">
        <f t="shared" si="46"/>
        <v>2024- T2</v>
      </c>
      <c r="BI23" s="38" t="str">
        <f t="shared" ref="BI23:BJ23" si="47">BI8</f>
        <v>2024- T3</v>
      </c>
      <c r="BJ23" s="38" t="str">
        <f t="shared" si="47"/>
        <v>2024- T4</v>
      </c>
    </row>
    <row r="24" spans="1:62" x14ac:dyDescent="0.25">
      <c r="A24" s="22" t="s">
        <v>16</v>
      </c>
      <c r="B24" s="3"/>
      <c r="C24" s="39"/>
      <c r="D24" s="39"/>
      <c r="E24" s="39"/>
      <c r="F24" s="110">
        <f>'B)NSA RCO Nb'!F24/'B)NSA RCO Nb'!B24-1</f>
        <v>-5.1820349442974756E-3</v>
      </c>
      <c r="G24" s="110">
        <f>'B)NSA RCO Nb'!G24/'B)NSA RCO Nb'!C24-1</f>
        <v>-7.9450263086953132E-3</v>
      </c>
      <c r="H24" s="110">
        <f>'B)NSA RCO Nb'!H24/'B)NSA RCO Nb'!D24-1</f>
        <v>-9.4312682237652767E-3</v>
      </c>
      <c r="I24" s="110">
        <f>'B)NSA RCO Nb'!I24/'B)NSA RCO Nb'!E24-1</f>
        <v>-1.1052977282507759E-2</v>
      </c>
      <c r="J24" s="110">
        <f>'B)NSA RCO Nb'!J24/'B)NSA RCO Nb'!F24-1</f>
        <v>-1.414418610506174E-2</v>
      </c>
      <c r="K24" s="110">
        <f>'B)NSA RCO Nb'!K24/'B)NSA RCO Nb'!G24-1</f>
        <v>-1.4092515945602568E-2</v>
      </c>
      <c r="L24" s="110">
        <f>'B)NSA RCO Nb'!L24/'B)NSA RCO Nb'!H24-1</f>
        <v>-1.5827978525132846E-2</v>
      </c>
      <c r="M24" s="110">
        <f>'B)NSA RCO Nb'!M24/'B)NSA RCO Nb'!I24-1</f>
        <v>-1.763252385060321E-2</v>
      </c>
      <c r="N24" s="110">
        <f>'B)NSA RCO Nb'!N24/'B)NSA RCO Nb'!J24-1</f>
        <v>-1.7679792224773117E-2</v>
      </c>
      <c r="O24" s="110">
        <f>'B)NSA RCO Nb'!O24/'B)NSA RCO Nb'!K24-1</f>
        <v>-1.7384469329631225E-2</v>
      </c>
      <c r="P24" s="110">
        <f>'B)NSA RCO Nb'!P24/'B)NSA RCO Nb'!L24-1</f>
        <v>-1.562259108895625E-2</v>
      </c>
      <c r="Q24" s="110">
        <f>'B)NSA RCO Nb'!Q24/'B)NSA RCO Nb'!M24-1</f>
        <v>-1.094710883384542E-2</v>
      </c>
      <c r="R24" s="110">
        <f>'B)NSA RCO Nb'!R24/'B)NSA RCO Nb'!N24-1</f>
        <v>-9.062690105913318E-3</v>
      </c>
      <c r="S24" s="110">
        <f>'B)NSA RCO Nb'!S24/'B)NSA RCO Nb'!O24-1</f>
        <v>-1.145878784101062E-2</v>
      </c>
      <c r="T24" s="110">
        <f>'B)NSA RCO Nb'!T24/'B)NSA RCO Nb'!P24-1</f>
        <v>0.37292090837901326</v>
      </c>
      <c r="U24" s="110">
        <f>'B)NSA RCO Nb'!U24/'B)NSA RCO Nb'!Q24-1</f>
        <v>0.36947764868574073</v>
      </c>
      <c r="V24" s="110">
        <f>'B)NSA RCO Nb'!V24/'B)NSA RCO Nb'!R24-1</f>
        <v>0.36747313520547364</v>
      </c>
      <c r="W24" s="110">
        <f>'B)NSA RCO Nb'!W24/'B)NSA RCO Nb'!S24-1</f>
        <v>0.36600546476800999</v>
      </c>
      <c r="X24" s="110">
        <f>'B)NSA RCO Nb'!X24/'B)NSA RCO Nb'!T24-1</f>
        <v>-2.0702859120171224E-2</v>
      </c>
      <c r="Y24" s="110">
        <f>'B)NSA RCO Nb'!Y24/'B)NSA RCO Nb'!U24-1</f>
        <v>-2.2909522780430791E-2</v>
      </c>
      <c r="Z24" s="110">
        <f>'B)NSA RCO Nb'!Z24/'B)NSA RCO Nb'!V24-1</f>
        <v>-2.3135349178972309E-2</v>
      </c>
      <c r="AA24" s="110">
        <f>'B)NSA RCO Nb'!AA24/'B)NSA RCO Nb'!W24-1</f>
        <v>-2.1708733307816974E-2</v>
      </c>
      <c r="AB24" s="110">
        <f>'B)NSA RCO Nb'!AB24/'B)NSA RCO Nb'!X24-1</f>
        <v>-1.8556448841629547E-2</v>
      </c>
      <c r="AC24" s="110">
        <f>'B)NSA RCO Nb'!AC24/'B)NSA RCO Nb'!Y24-1</f>
        <v>-1.6349451168908402E-2</v>
      </c>
      <c r="AD24" s="110">
        <f>'B)NSA RCO Nb'!AD24/'B)NSA RCO Nb'!Z24-1</f>
        <v>-1.6838905058741749E-2</v>
      </c>
      <c r="AE24" s="110">
        <f>'B)NSA RCO Nb'!AE24/'B)NSA RCO Nb'!AA24-1</f>
        <v>-1.8521868032918998E-2</v>
      </c>
      <c r="AF24" s="110">
        <f>'B)NSA RCO Nb'!AF24/'B)NSA RCO Nb'!AB24-1</f>
        <v>-1.9494816218579292E-2</v>
      </c>
      <c r="AG24" s="110">
        <f>'B)NSA RCO Nb'!AG24/'B)NSA RCO Nb'!AC24-1</f>
        <v>-1.8810031220711898E-2</v>
      </c>
      <c r="AH24" s="110">
        <f>'B)NSA RCO Nb'!AH24/'B)NSA RCO Nb'!AD24-1</f>
        <v>-1.6364232007734625E-2</v>
      </c>
      <c r="AI24" s="110">
        <f>'B)NSA RCO Nb'!AI24/'B)NSA RCO Nb'!AE24-1</f>
        <v>-1.3553115754345257E-2</v>
      </c>
      <c r="AJ24" s="110">
        <f>'B)NSA RCO Nb'!AJ24/'B)NSA RCO Nb'!AF24-1</f>
        <v>-1.1866909842151108E-2</v>
      </c>
      <c r="AK24" s="110">
        <f>'B)NSA RCO Nb'!AK24/'B)NSA RCO Nb'!AG24-1</f>
        <v>-1.2277478310599554E-2</v>
      </c>
      <c r="AL24" s="110">
        <f>'B)NSA RCO Nb'!AL24/'B)NSA RCO Nb'!AH24-1</f>
        <v>-1.3003338667619824E-2</v>
      </c>
      <c r="AM24" s="110">
        <f>'B)NSA RCO Nb'!AM24/'B)NSA RCO Nb'!AI24-1</f>
        <v>-1.4482541552020001E-2</v>
      </c>
      <c r="AN24" s="110">
        <f>'B)NSA RCO Nb'!AN24/'B)NSA RCO Nb'!AJ24-1</f>
        <v>-1.5804990791821627E-2</v>
      </c>
      <c r="AO24" s="110">
        <f>'B)NSA RCO Nb'!AO24/'B)NSA RCO Nb'!AK24-1</f>
        <v>-1.5452402657665454E-2</v>
      </c>
      <c r="AP24" s="110">
        <f>'B)NSA RCO Nb'!AP24/'B)NSA RCO Nb'!AL24-1</f>
        <v>-1.3750774162618384E-2</v>
      </c>
      <c r="AQ24" s="110">
        <f>'B)NSA RCO Nb'!AQ24/'B)NSA RCO Nb'!AM24-1</f>
        <v>-1.236084010030436E-2</v>
      </c>
      <c r="AR24" s="110">
        <f>'B)NSA RCO Nb'!AR24/'B)NSA RCO Nb'!AN24-1</f>
        <v>-1.1866210550554812E-2</v>
      </c>
      <c r="AS24" s="110">
        <f>'B)NSA RCO Nb'!AS24/'B)NSA RCO Nb'!AO24-1</f>
        <v>-1.299012758645135E-2</v>
      </c>
      <c r="AT24" s="110">
        <f>'B)NSA RCO Nb'!AT24/'B)NSA RCO Nb'!AP24-1</f>
        <v>-1.4547510462607938E-2</v>
      </c>
      <c r="AU24" s="110">
        <f>'B)NSA RCO Nb'!AU24/'B)NSA RCO Nb'!AQ24-1</f>
        <v>-1.7274328011950169E-2</v>
      </c>
      <c r="AV24" s="110">
        <f>'B)NSA RCO Nb'!AV24/'B)NSA RCO Nb'!AR24-1</f>
        <v>-1.9159348422597366E-2</v>
      </c>
      <c r="AW24" s="110">
        <f>'B)NSA RCO Nb'!AW24/'B)NSA RCO Nb'!AS24-1</f>
        <v>-1.8479195586628916E-2</v>
      </c>
      <c r="AX24" s="110">
        <f>'B)NSA RCO Nb'!AX24/'B)NSA RCO Nb'!AT24-1</f>
        <v>-1.6754418835066121E-2</v>
      </c>
      <c r="AY24" s="110">
        <f>'B)NSA RCO Nb'!AY24/'B)NSA RCO Nb'!AU24-1</f>
        <v>0.1168956615517871</v>
      </c>
      <c r="AZ24" s="110">
        <f>'B)NSA RCO Nb'!AZ24/'B)NSA RCO Nb'!AV24-1</f>
        <v>0.11598368989394148</v>
      </c>
      <c r="BA24" s="110">
        <f>'B)NSA RCO Nb'!BA24/'B)NSA RCO Nb'!AW24-1</f>
        <v>0.114809608583059</v>
      </c>
      <c r="BB24" s="396">
        <f>'B)NSA RCO Nb'!BB24/'B)NSA RCO Nb'!AX24-1</f>
        <v>0.11508292800561537</v>
      </c>
      <c r="BC24" s="455">
        <f>'B)NSA RCO Nb'!BC24/'B)NSA RCO Nb'!AY24-1</f>
        <v>-2.0039649729047482E-2</v>
      </c>
      <c r="BD24" s="455">
        <f>'B)NSA RCO Nb'!BD24/'B)NSA RCO Nb'!AZ24-1</f>
        <v>-1.8094218826119834E-2</v>
      </c>
      <c r="BE24" s="455">
        <f>'B)NSA RCO Nb'!BE24/'B)NSA RCO Nb'!BA24-1</f>
        <v>-1.662170747107905E-2</v>
      </c>
      <c r="BF24" s="455">
        <f>'B)NSA RCO Nb'!BF24/'B)NSA RCO Nb'!BB24-1</f>
        <v>-1.9851782624814684E-2</v>
      </c>
      <c r="BG24" s="455">
        <f>'B)NSA RCO Nb'!BG24/'B)NSA RCO Nb'!BC24-1</f>
        <v>-1.7984188190021011E-2</v>
      </c>
      <c r="BH24" s="455">
        <f>'B)NSA RCO Nb'!BH24/'B)NSA RCO Nb'!BD24-1</f>
        <v>-1.9464867525608054E-2</v>
      </c>
      <c r="BI24" s="455">
        <f>'B)NSA RCO Nb'!BI24/'B)NSA RCO Nb'!BE24-1</f>
        <v>1.0407073668336375E-2</v>
      </c>
      <c r="BJ24" s="455">
        <f>'B)NSA RCO Nb'!BJ24/'B)NSA RCO Nb'!BF24-1</f>
        <v>1.2352075522993111E-2</v>
      </c>
    </row>
    <row r="25" spans="1:62" x14ac:dyDescent="0.25">
      <c r="A25" s="22" t="s">
        <v>17</v>
      </c>
      <c r="B25" s="3"/>
      <c r="C25" s="39"/>
      <c r="D25" s="39"/>
      <c r="E25" s="39"/>
      <c r="F25" s="110">
        <f>'B)NSA RCO Nb'!F25/'B)NSA RCO Nb'!B25-1</f>
        <v>1.2557221783741119</v>
      </c>
      <c r="G25" s="110">
        <f>'B)NSA RCO Nb'!G25/'B)NSA RCO Nb'!C25-1</f>
        <v>1.214123006833713</v>
      </c>
      <c r="H25" s="110">
        <f>'B)NSA RCO Nb'!H25/'B)NSA RCO Nb'!D25-1</f>
        <v>0.13853141559424675</v>
      </c>
      <c r="I25" s="110">
        <f>'B)NSA RCO Nb'!I25/'B)NSA RCO Nb'!E25-1</f>
        <v>0.11051115910727138</v>
      </c>
      <c r="J25" s="110">
        <f>'B)NSA RCO Nb'!J25/'B)NSA RCO Nb'!F25-1</f>
        <v>0.11791462561231625</v>
      </c>
      <c r="K25" s="110">
        <f>'B)NSA RCO Nb'!K25/'B)NSA RCO Nb'!G25-1</f>
        <v>0.12448559670781889</v>
      </c>
      <c r="L25" s="110">
        <f>'B)NSA RCO Nb'!L25/'B)NSA RCO Nb'!H25-1</f>
        <v>0.11835106382978733</v>
      </c>
      <c r="M25" s="110">
        <f>'B)NSA RCO Nb'!M25/'B)NSA RCO Nb'!I25-1</f>
        <v>0.13711507293354952</v>
      </c>
      <c r="N25" s="110">
        <f>'B)NSA RCO Nb'!N25/'B)NSA RCO Nb'!J25-1</f>
        <v>0.13552425665101731</v>
      </c>
      <c r="O25" s="110">
        <f>'B)NSA RCO Nb'!O25/'B)NSA RCO Nb'!K25-1</f>
        <v>0.14272644098810616</v>
      </c>
      <c r="P25" s="110">
        <f>'B)NSA RCO Nb'!P25/'B)NSA RCO Nb'!L25-1</f>
        <v>0.13525564803805001</v>
      </c>
      <c r="Q25" s="110">
        <f>'B)NSA RCO Nb'!Q25/'B)NSA RCO Nb'!M25-1</f>
        <v>0.12172177879133406</v>
      </c>
      <c r="R25" s="110">
        <f>'B)NSA RCO Nb'!R25/'B)NSA RCO Nb'!N25-1</f>
        <v>0.11411245865490627</v>
      </c>
      <c r="S25" s="110">
        <f>'B)NSA RCO Nb'!S25/'B)NSA RCO Nb'!O25-1</f>
        <v>0.10248198558847088</v>
      </c>
      <c r="T25" s="110">
        <f>'B)NSA RCO Nb'!T25/'B)NSA RCO Nb'!P25-1</f>
        <v>0.10447761194029859</v>
      </c>
      <c r="U25" s="110">
        <f>'B)NSA RCO Nb'!U25/'B)NSA RCO Nb'!Q25-1</f>
        <v>8.3354510800508264E-2</v>
      </c>
      <c r="V25" s="110">
        <f>'B)NSA RCO Nb'!V25/'B)NSA RCO Nb'!R25-1</f>
        <v>0.14225630875804063</v>
      </c>
      <c r="W25" s="110">
        <f>'B)NSA RCO Nb'!W25/'B)NSA RCO Nb'!S25-1</f>
        <v>0.13483418058581464</v>
      </c>
      <c r="X25" s="110">
        <f>'B)NSA RCO Nb'!X25/'B)NSA RCO Nb'!T25-1</f>
        <v>0.13632053105737318</v>
      </c>
      <c r="Y25" s="110">
        <f>'B)NSA RCO Nb'!Y25/'B)NSA RCO Nb'!U25-1</f>
        <v>0.16209242317616712</v>
      </c>
      <c r="Z25" s="110">
        <f>'B)NSA RCO Nb'!Z25/'B)NSA RCO Nb'!V25-1</f>
        <v>9.2700888022525518E-2</v>
      </c>
      <c r="AA25" s="110">
        <f>'B)NSA RCO Nb'!AA25/'B)NSA RCO Nb'!W25-1</f>
        <v>9.4283276450511933E-2</v>
      </c>
      <c r="AB25" s="110">
        <f>'B)NSA RCO Nb'!AB25/'B)NSA RCO Nb'!X25-1</f>
        <v>9.0548716878781521E-2</v>
      </c>
      <c r="AC25" s="110">
        <f>'B)NSA RCO Nb'!AC25/'B)NSA RCO Nb'!Y25-1</f>
        <v>7.5494549858700077E-2</v>
      </c>
      <c r="AD25" s="110">
        <f>'B)NSA RCO Nb'!AD25/'B)NSA RCO Nb'!Z25-1</f>
        <v>9.1774033696729429E-2</v>
      </c>
      <c r="AE25" s="110">
        <f>'B)NSA RCO Nb'!AE25/'B)NSA RCO Nb'!AA25-1</f>
        <v>9.5321637426900585E-2</v>
      </c>
      <c r="AF25" s="110">
        <f>'B)NSA RCO Nb'!AF25/'B)NSA RCO Nb'!AB25-1</f>
        <v>9.5657164721637544E-2</v>
      </c>
      <c r="AG25" s="110">
        <f>'B)NSA RCO Nb'!AG25/'B)NSA RCO Nb'!AC25-1</f>
        <v>9.2154654654654555E-2</v>
      </c>
      <c r="AH25" s="110">
        <f>'B)NSA RCO Nb'!AH25/'B)NSA RCO Nb'!AD25-1</f>
        <v>7.0987654320987748E-2</v>
      </c>
      <c r="AI25" s="110">
        <f>'B)NSA RCO Nb'!AI25/'B)NSA RCO Nb'!AE25-1</f>
        <v>6.6559886100729715E-2</v>
      </c>
      <c r="AJ25" s="110">
        <f>'B)NSA RCO Nb'!AJ25/'B)NSA RCO Nb'!AF25-1</f>
        <v>5.9367906408241744E-2</v>
      </c>
      <c r="AK25" s="110">
        <f>'B)NSA RCO Nb'!AK25/'B)NSA RCO Nb'!AG25-1</f>
        <v>6.9771438391476259E-2</v>
      </c>
      <c r="AL25" s="110">
        <f>'B)NSA RCO Nb'!AL25/'B)NSA RCO Nb'!AH25-1</f>
        <v>8.4251568062383431E-2</v>
      </c>
      <c r="AM25" s="110">
        <f>'B)NSA RCO Nb'!AM25/'B)NSA RCO Nb'!AI25-1</f>
        <v>8.2262639746370825E-2</v>
      </c>
      <c r="AN25" s="110">
        <f>'B)NSA RCO Nb'!AN25/'B)NSA RCO Nb'!AJ25-1</f>
        <v>8.7193011373001506E-2</v>
      </c>
      <c r="AO25" s="110">
        <f>'B)NSA RCO Nb'!AO25/'B)NSA RCO Nb'!AK25-1</f>
        <v>8.6586345381526097E-2</v>
      </c>
      <c r="AP25" s="110">
        <f>'B)NSA RCO Nb'!AP25/'B)NSA RCO Nb'!AL25-1</f>
        <v>8.0675422138836828E-2</v>
      </c>
      <c r="AQ25" s="110">
        <f>'B)NSA RCO Nb'!AQ25/'B)NSA RCO Nb'!AM25-1</f>
        <v>8.58772741288929E-2</v>
      </c>
      <c r="AR25" s="110">
        <f>'B)NSA RCO Nb'!AR25/'B)NSA RCO Nb'!AN25-1</f>
        <v>8.5657974530018111E-2</v>
      </c>
      <c r="AS25" s="110">
        <f>'B)NSA RCO Nb'!AS25/'B)NSA RCO Nb'!AO25-1</f>
        <v>7.1850975753991797E-2</v>
      </c>
      <c r="AT25" s="110">
        <f>'B)NSA RCO Nb'!AT25/'B)NSA RCO Nb'!AP25-1</f>
        <v>7.4074074074074181E-2</v>
      </c>
      <c r="AU25" s="110">
        <f>'B)NSA RCO Nb'!AU25/'B)NSA RCO Nb'!AQ25-1</f>
        <v>7.156041459605289E-2</v>
      </c>
      <c r="AV25" s="110">
        <f>'B)NSA RCO Nb'!AV25/'B)NSA RCO Nb'!AR25-1</f>
        <v>6.7448680351906098E-2</v>
      </c>
      <c r="AW25" s="110">
        <f>'B)NSA RCO Nb'!AW25/'B)NSA RCO Nb'!AS25-1</f>
        <v>6.6344827586206856E-2</v>
      </c>
      <c r="AX25" s="110">
        <f>'B)NSA RCO Nb'!AX25/'B)NSA RCO Nb'!AT25-1</f>
        <v>5.7246767241379226E-2</v>
      </c>
      <c r="AY25" s="110">
        <f>'B)NSA RCO Nb'!AY25/'B)NSA RCO Nb'!AU25-1</f>
        <v>2.6433019742944217</v>
      </c>
      <c r="AZ25" s="110">
        <f>'B)NSA RCO Nb'!AZ25/'B)NSA RCO Nb'!AV25-1</f>
        <v>2.5914442700156988</v>
      </c>
      <c r="BA25" s="110">
        <f>'B)NSA RCO Nb'!BA25/'B)NSA RCO Nb'!AW25-1</f>
        <v>2.5563316517914889</v>
      </c>
      <c r="BB25" s="396">
        <f>'B)NSA RCO Nb'!BB25/'B)NSA RCO Nb'!AX25-1</f>
        <v>2.5180277742387567</v>
      </c>
      <c r="BC25" s="455">
        <f>'B)NSA RCO Nb'!BC25/'B)NSA RCO Nb'!AY25-1</f>
        <v>3.3459412278149525E-3</v>
      </c>
      <c r="BD25" s="455">
        <f>'B)NSA RCO Nb'!BD25/'B)NSA RCO Nb'!AZ25-1</f>
        <v>5.0631989217935214E-3</v>
      </c>
      <c r="BE25" s="455">
        <f>'B)NSA RCO Nb'!BE25/'B)NSA RCO Nb'!BA25-1</f>
        <v>5.819451516694496E-3</v>
      </c>
      <c r="BF25" s="455">
        <f>'B)NSA RCO Nb'!BF25/'B)NSA RCO Nb'!BB25-1</f>
        <v>1.1081736863071789E-2</v>
      </c>
      <c r="BG25" s="455">
        <f>'B)NSA RCO Nb'!BG25/'B)NSA RCO Nb'!BC25-1</f>
        <v>1.3085399449035862E-2</v>
      </c>
      <c r="BH25" s="455">
        <f>'B)NSA RCO Nb'!BH25/'B)NSA RCO Nb'!BD25-1</f>
        <v>9.0605972745723129E-3</v>
      </c>
      <c r="BI25" s="455">
        <f>'B)NSA RCO Nb'!BI25/'B)NSA RCO Nb'!BE25-1</f>
        <v>-6.1690894626455495E-2</v>
      </c>
      <c r="BJ25" s="455">
        <f>'B)NSA RCO Nb'!BJ25/'B)NSA RCO Nb'!BF25-1</f>
        <v>-6.6979476342275857E-2</v>
      </c>
    </row>
    <row r="26" spans="1:62" x14ac:dyDescent="0.25">
      <c r="A26" s="22" t="s">
        <v>18</v>
      </c>
      <c r="B26" s="3"/>
      <c r="C26" s="39"/>
      <c r="D26" s="39"/>
      <c r="E26" s="39"/>
      <c r="F26" s="110">
        <f>'B)NSA RCO Nb'!F26/'B)NSA RCO Nb'!B26-1</f>
        <v>0.71232369421008568</v>
      </c>
      <c r="G26" s="110">
        <f>'B)NSA RCO Nb'!G26/'B)NSA RCO Nb'!C26-1</f>
        <v>0.73525741528813238</v>
      </c>
      <c r="H26" s="110">
        <f>'B)NSA RCO Nb'!H26/'B)NSA RCO Nb'!D26-1</f>
        <v>6.4028289091261348E-2</v>
      </c>
      <c r="I26" s="110">
        <f>'B)NSA RCO Nb'!I26/'B)NSA RCO Nb'!E26-1</f>
        <v>6.0574009490595104E-2</v>
      </c>
      <c r="J26" s="110">
        <f>'B)NSA RCO Nb'!J26/'B)NSA RCO Nb'!F26-1</f>
        <v>5.9116681868188747E-2</v>
      </c>
      <c r="K26" s="110">
        <f>'B)NSA RCO Nb'!K26/'B)NSA RCO Nb'!G26-1</f>
        <v>5.3750553178934846E-2</v>
      </c>
      <c r="L26" s="110">
        <f>'B)NSA RCO Nb'!L26/'B)NSA RCO Nb'!H26-1</f>
        <v>4.860282803266891E-2</v>
      </c>
      <c r="M26" s="110">
        <f>'B)NSA RCO Nb'!M26/'B)NSA RCO Nb'!I26-1</f>
        <v>4.4814605176859645E-2</v>
      </c>
      <c r="N26" s="110">
        <f>'B)NSA RCO Nb'!N26/'B)NSA RCO Nb'!J26-1</f>
        <v>4.2597393373344117E-2</v>
      </c>
      <c r="O26" s="110">
        <f>'B)NSA RCO Nb'!O26/'B)NSA RCO Nb'!K26-1</f>
        <v>3.4796227273522717E-2</v>
      </c>
      <c r="P26" s="110">
        <f>'B)NSA RCO Nb'!P26/'B)NSA RCO Nb'!L26-1</f>
        <v>3.1588910017626537E-2</v>
      </c>
      <c r="Q26" s="110">
        <f>'B)NSA RCO Nb'!Q26/'B)NSA RCO Nb'!M26-1</f>
        <v>3.0139907645475583E-2</v>
      </c>
      <c r="R26" s="110">
        <f>'B)NSA RCO Nb'!R26/'B)NSA RCO Nb'!N26-1</f>
        <v>3.0084983905853457E-2</v>
      </c>
      <c r="S26" s="110">
        <f>'B)NSA RCO Nb'!S26/'B)NSA RCO Nb'!O26-1</f>
        <v>3.1537739598041847E-2</v>
      </c>
      <c r="T26" s="110">
        <f>'B)NSA RCO Nb'!T26/'B)NSA RCO Nb'!P26-1</f>
        <v>0.68241235638230724</v>
      </c>
      <c r="U26" s="110">
        <f>'B)NSA RCO Nb'!U26/'B)NSA RCO Nb'!Q26-1</f>
        <v>0.67179204647901436</v>
      </c>
      <c r="V26" s="110">
        <f>'B)NSA RCO Nb'!V26/'B)NSA RCO Nb'!R26-1</f>
        <v>0.67659774979953213</v>
      </c>
      <c r="W26" s="110">
        <f>'B)NSA RCO Nb'!W26/'B)NSA RCO Nb'!S26-1</f>
        <v>0.65714215457250358</v>
      </c>
      <c r="X26" s="110">
        <f>'B)NSA RCO Nb'!X26/'B)NSA RCO Nb'!T26-1</f>
        <v>4.7979027311524369E-3</v>
      </c>
      <c r="Y26" s="110">
        <f>'B)NSA RCO Nb'!Y26/'B)NSA RCO Nb'!U26-1</f>
        <v>5.0430909653775835E-4</v>
      </c>
      <c r="Z26" s="110">
        <f>'B)NSA RCO Nb'!Z26/'B)NSA RCO Nb'!V26-1</f>
        <v>-1.2158983891565112E-2</v>
      </c>
      <c r="AA26" s="110">
        <f>'B)NSA RCO Nb'!AA26/'B)NSA RCO Nb'!W26-1</f>
        <v>-1.2954252051460835E-2</v>
      </c>
      <c r="AB26" s="110">
        <f>'B)NSA RCO Nb'!AB26/'B)NSA RCO Nb'!X26-1</f>
        <v>-1.3488483255160832E-2</v>
      </c>
      <c r="AC26" s="110">
        <f>'B)NSA RCO Nb'!AC26/'B)NSA RCO Nb'!Y26-1</f>
        <v>-1.5031815346225774E-2</v>
      </c>
      <c r="AD26" s="110">
        <f>'B)NSA RCO Nb'!AD26/'B)NSA RCO Nb'!Z26-1</f>
        <v>-1.6591214243287911E-2</v>
      </c>
      <c r="AE26" s="110">
        <f>'B)NSA RCO Nb'!AE26/'B)NSA RCO Nb'!AA26-1</f>
        <v>-1.8431101356023882E-2</v>
      </c>
      <c r="AF26" s="110">
        <f>'B)NSA RCO Nb'!AF26/'B)NSA RCO Nb'!AB26-1</f>
        <v>-2.2434878286369031E-2</v>
      </c>
      <c r="AG26" s="110">
        <f>'B)NSA RCO Nb'!AG26/'B)NSA RCO Nb'!AC26-1</f>
        <v>-2.428520036683679E-2</v>
      </c>
      <c r="AH26" s="110">
        <f>'B)NSA RCO Nb'!AH26/'B)NSA RCO Nb'!AD26-1</f>
        <v>-2.6864883795292949E-2</v>
      </c>
      <c r="AI26" s="110">
        <f>'B)NSA RCO Nb'!AI26/'B)NSA RCO Nb'!AE26-1</f>
        <v>-2.9314464252894634E-2</v>
      </c>
      <c r="AJ26" s="110">
        <f>'B)NSA RCO Nb'!AJ26/'B)NSA RCO Nb'!AF26-1</f>
        <v>-3.0265793767167093E-2</v>
      </c>
      <c r="AK26" s="110">
        <f>'B)NSA RCO Nb'!AK26/'B)NSA RCO Nb'!AG26-1</f>
        <v>-2.8316975645219955E-2</v>
      </c>
      <c r="AL26" s="110">
        <f>'B)NSA RCO Nb'!AL26/'B)NSA RCO Nb'!AH26-1</f>
        <v>-2.4664893339592098E-2</v>
      </c>
      <c r="AM26" s="110">
        <f>'B)NSA RCO Nb'!AM26/'B)NSA RCO Nb'!AI26-1</f>
        <v>-2.201079238852599E-2</v>
      </c>
      <c r="AN26" s="110">
        <f>'B)NSA RCO Nb'!AN26/'B)NSA RCO Nb'!AJ26-1</f>
        <v>-2.0333081321676882E-2</v>
      </c>
      <c r="AO26" s="110">
        <f>'B)NSA RCO Nb'!AO26/'B)NSA RCO Nb'!AK26-1</f>
        <v>-2.3012339872913734E-2</v>
      </c>
      <c r="AP26" s="110">
        <f>'B)NSA RCO Nb'!AP26/'B)NSA RCO Nb'!AL26-1</f>
        <v>-2.5962428008406424E-2</v>
      </c>
      <c r="AQ26" s="110">
        <f>'B)NSA RCO Nb'!AQ26/'B)NSA RCO Nb'!AM26-1</f>
        <v>-2.5990997531581295E-2</v>
      </c>
      <c r="AR26" s="110">
        <f>'B)NSA RCO Nb'!AR26/'B)NSA RCO Nb'!AN26-1</f>
        <v>-2.7303902653761036E-2</v>
      </c>
      <c r="AS26" s="110">
        <f>'B)NSA RCO Nb'!AS26/'B)NSA RCO Nb'!AO26-1</f>
        <v>-2.972468833932318E-2</v>
      </c>
      <c r="AT26" s="110">
        <f>'B)NSA RCO Nb'!AT26/'B)NSA RCO Nb'!AP26-1</f>
        <v>-2.9789289910291727E-2</v>
      </c>
      <c r="AU26" s="110">
        <f>'B)NSA RCO Nb'!AU26/'B)NSA RCO Nb'!AQ26-1</f>
        <v>-3.6098412067404273E-2</v>
      </c>
      <c r="AV26" s="110">
        <f>'B)NSA RCO Nb'!AV26/'B)NSA RCO Nb'!AR26-1</f>
        <v>-3.7155196978416516E-2</v>
      </c>
      <c r="AW26" s="110">
        <f>'B)NSA RCO Nb'!AW26/'B)NSA RCO Nb'!AS26-1</f>
        <v>-3.51060171273615E-2</v>
      </c>
      <c r="AX26" s="110">
        <f>'B)NSA RCO Nb'!AX26/'B)NSA RCO Nb'!AT26-1</f>
        <v>-3.6051380715255821E-2</v>
      </c>
      <c r="AY26" s="110">
        <f>'B)NSA RCO Nb'!AY26/'B)NSA RCO Nb'!AU26-1</f>
        <v>-0.48557664768756659</v>
      </c>
      <c r="AZ26" s="110">
        <f>'B)NSA RCO Nb'!AZ26/'B)NSA RCO Nb'!AV26-1</f>
        <v>-0.48091731513558367</v>
      </c>
      <c r="BA26" s="110">
        <f>'B)NSA RCO Nb'!BA26/'B)NSA RCO Nb'!AW26-1</f>
        <v>-0.47770376862401398</v>
      </c>
      <c r="BB26" s="396">
        <f>'B)NSA RCO Nb'!BB26/'B)NSA RCO Nb'!AX26-1</f>
        <v>-0.47251818325907402</v>
      </c>
      <c r="BC26" s="455">
        <f>'B)NSA RCO Nb'!BC26/'B)NSA RCO Nb'!AY26-1</f>
        <v>-5.9460843809502339E-3</v>
      </c>
      <c r="BD26" s="455">
        <f>'B)NSA RCO Nb'!BD26/'B)NSA RCO Nb'!AZ26-1</f>
        <v>-1.81100689747693E-3</v>
      </c>
      <c r="BE26" s="455">
        <f>'B)NSA RCO Nb'!BE26/'B)NSA RCO Nb'!BA26-1</f>
        <v>2.2373617030835291E-5</v>
      </c>
      <c r="BF26" s="455">
        <f>'B)NSA RCO Nb'!BF26/'B)NSA RCO Nb'!BB26-1</f>
        <v>1.3799857549856576E-3</v>
      </c>
      <c r="BG26" s="455">
        <f>'B)NSA RCO Nb'!BG26/'B)NSA RCO Nb'!BC26-1</f>
        <v>7.2586336294289122E-3</v>
      </c>
      <c r="BH26" s="455">
        <f>'B)NSA RCO Nb'!BH26/'B)NSA RCO Nb'!BD26-1</f>
        <v>2.4638541398358527E-4</v>
      </c>
      <c r="BI26" s="455">
        <f>'B)NSA RCO Nb'!BI26/'B)NSA RCO Nb'!BE26-1</f>
        <v>1.7081874419697218E-2</v>
      </c>
      <c r="BJ26" s="455">
        <f>'B)NSA RCO Nb'!BJ26/'B)NSA RCO Nb'!BF26-1</f>
        <v>1.4603245165592416E-2</v>
      </c>
    </row>
    <row r="27" spans="1:62" x14ac:dyDescent="0.25">
      <c r="A27" s="8" t="s">
        <v>4</v>
      </c>
      <c r="B27" s="3"/>
      <c r="C27" s="39"/>
      <c r="D27" s="39"/>
      <c r="E27" s="39"/>
      <c r="F27" s="110">
        <f>'B)NSA RCO Nb'!F27/'B)NSA RCO Nb'!B27-1</f>
        <v>0.97198879551820738</v>
      </c>
      <c r="G27" s="110">
        <f>'B)NSA RCO Nb'!G27/'B)NSA RCO Nb'!C27-1</f>
        <v>3.4936708860759493</v>
      </c>
      <c r="H27" s="110">
        <f>'B)NSA RCO Nb'!H27/'B)NSA RCO Nb'!D27-1</f>
        <v>8.4795321637426868E-2</v>
      </c>
      <c r="I27" s="110">
        <f>'B)NSA RCO Nb'!I27/'B)NSA RCO Nb'!E27-1</f>
        <v>-0.1947769314472253</v>
      </c>
      <c r="J27" s="110">
        <f>'B)NSA RCO Nb'!J27/'B)NSA RCO Nb'!F27-1</f>
        <v>5.1136363636363535E-2</v>
      </c>
      <c r="K27" s="105">
        <f>'B)NSA RCO Nb'!K27/'B)NSA RCO Nb'!G27-1</f>
        <v>0.15605633802816898</v>
      </c>
      <c r="L27" s="105">
        <f>'B)NSA RCO Nb'!L27/'B)NSA RCO Nb'!H27-1</f>
        <v>0.29514824797843664</v>
      </c>
      <c r="M27" s="105">
        <f>'B)NSA RCO Nb'!M27/'B)NSA RCO Nb'!I27-1</f>
        <v>0.14729729729729724</v>
      </c>
      <c r="N27" s="105">
        <f>'B)NSA RCO Nb'!N27/'B)NSA RCO Nb'!J27-1</f>
        <v>0.12432432432432439</v>
      </c>
      <c r="O27" s="105">
        <f>'B)NSA RCO Nb'!O27/'B)NSA RCO Nb'!K27-1</f>
        <v>-1.5594541910331383E-2</v>
      </c>
      <c r="P27" s="162">
        <f>'B)NSA RCO Nb'!P27/'B)NSA RCO Nb'!L27-1</f>
        <v>-4.57856399583767E-2</v>
      </c>
      <c r="Q27" s="211">
        <f>'B)NSA RCO Nb'!Q27/'B)NSA RCO Nb'!M27-1</f>
        <v>7.3027090694935293E-2</v>
      </c>
      <c r="R27" s="162">
        <f>'B)NSA RCO Nb'!R27/'B)NSA RCO Nb'!N27-1</f>
        <v>0.78485576923076916</v>
      </c>
      <c r="S27" s="162">
        <f>'B)NSA RCO Nb'!S27/'B)NSA RCO Nb'!O27-1</f>
        <v>-0.36336633663366336</v>
      </c>
      <c r="T27" s="162">
        <f>'B)NSA RCO Nb'!T27/'B)NSA RCO Nb'!P27-1</f>
        <v>0.13522355507088335</v>
      </c>
      <c r="U27" s="162">
        <f>'B)NSA RCO Nb'!U27/'B)NSA RCO Nb'!Q27-1</f>
        <v>0.2875960482985731</v>
      </c>
      <c r="V27" s="162">
        <f>'B)NSA RCO Nb'!V27/'B)NSA RCO Nb'!R27-1</f>
        <v>-0.12457912457912457</v>
      </c>
      <c r="W27" s="162">
        <f>'B)NSA RCO Nb'!W27/'B)NSA RCO Nb'!S27-1</f>
        <v>3.1104199066874116E-2</v>
      </c>
      <c r="X27" s="162">
        <f>'B)NSA RCO Nb'!X27/'B)NSA RCO Nb'!T27-1</f>
        <v>0.22286263208453416</v>
      </c>
      <c r="Y27" s="162">
        <f>'B)NSA RCO Nb'!Y27/'B)NSA RCO Nb'!U27-1</f>
        <v>5.1150895140664954E-2</v>
      </c>
      <c r="Z27" s="162">
        <f>'B)NSA RCO Nb'!Z27/'B)NSA RCO Nb'!V27-1</f>
        <v>-3.3076923076923115E-2</v>
      </c>
      <c r="AA27" s="162">
        <f>'B)NSA RCO Nb'!AA27/'B)NSA RCO Nb'!W27-1</f>
        <v>-1.2820512820512775E-2</v>
      </c>
      <c r="AB27" s="162">
        <f>'B)NSA RCO Nb'!AB27/'B)NSA RCO Nb'!X27-1</f>
        <v>2.5923016496465001E-2</v>
      </c>
      <c r="AC27" s="162">
        <f>'B)NSA RCO Nb'!AC27/'B)NSA RCO Nb'!Y27-1</f>
        <v>8.4347120843471179E-2</v>
      </c>
      <c r="AD27" s="162">
        <f>'B)NSA RCO Nb'!AD27/'B)NSA RCO Nb'!Z27-1</f>
        <v>0.11694510739856812</v>
      </c>
      <c r="AE27" s="162">
        <f>'B)NSA RCO Nb'!AE27/'B)NSA RCO Nb'!AA27-1</f>
        <v>0.11153552330022909</v>
      </c>
      <c r="AF27" s="162">
        <f>'B)NSA RCO Nb'!AF27/'B)NSA RCO Nb'!AB27-1</f>
        <v>0.1102603369065851</v>
      </c>
      <c r="AG27" s="162">
        <f>'B)NSA RCO Nb'!AG27/'B)NSA RCO Nb'!AC27-1</f>
        <v>8.9753178758414265E-2</v>
      </c>
      <c r="AH27" s="162">
        <f>'B)NSA RCO Nb'!AH27/'B)NSA RCO Nb'!AD27-1</f>
        <v>6.4814814814814881E-2</v>
      </c>
      <c r="AI27" s="162">
        <f>'B)NSA RCO Nb'!AI27/'B)NSA RCO Nb'!AE27-1</f>
        <v>0.12920962199312713</v>
      </c>
      <c r="AJ27" s="162">
        <f>'B)NSA RCO Nb'!AJ27/'B)NSA RCO Nb'!AF27-1</f>
        <v>6.8275862068965409E-2</v>
      </c>
      <c r="AK27" s="162">
        <f>'B)NSA RCO Nb'!AK27/'B)NSA RCO Nb'!AG27-1</f>
        <v>0.11942347288949895</v>
      </c>
      <c r="AL27" s="162">
        <f>'B)NSA RCO Nb'!AL27/'B)NSA RCO Nb'!AH27-1</f>
        <v>9.431438127090308E-2</v>
      </c>
      <c r="AM27" s="162">
        <f>'B)NSA RCO Nb'!AM27/'B)NSA RCO Nb'!AI27-1</f>
        <v>-1.0346926354230068E-2</v>
      </c>
      <c r="AN27" s="162">
        <f>'B)NSA RCO Nb'!AN27/'B)NSA RCO Nb'!AJ27-1</f>
        <v>6.3266623628147167E-2</v>
      </c>
      <c r="AO27" s="162">
        <f>'B)NSA RCO Nb'!AO27/'B)NSA RCO Nb'!AK27-1</f>
        <v>0.19006744328632741</v>
      </c>
      <c r="AP27" s="162">
        <f>'B)NSA RCO Nb'!AP27/'B)NSA RCO Nb'!AL27-1</f>
        <v>0.21332518337408324</v>
      </c>
      <c r="AQ27" s="162">
        <f>'B)NSA RCO Nb'!AQ27/'B)NSA RCO Nb'!AM27-1</f>
        <v>0.12423124231242322</v>
      </c>
      <c r="AR27" s="162">
        <f>'B)NSA RCO Nb'!AR27/'B)NSA RCO Nb'!AN27-1</f>
        <v>0.11050394656952034</v>
      </c>
      <c r="AS27" s="162">
        <f>'B)NSA RCO Nb'!AS27/'B)NSA RCO Nb'!AO27-1</f>
        <v>-2.885110767645549E-2</v>
      </c>
      <c r="AT27" s="162">
        <f>'B)NSA RCO Nb'!AT27/'B)NSA RCO Nb'!AP27-1</f>
        <v>-2.5692695214105776E-2</v>
      </c>
      <c r="AU27" s="162">
        <f>'B)NSA RCO Nb'!AU27/'B)NSA RCO Nb'!AQ27-1</f>
        <v>0.33807439824945296</v>
      </c>
      <c r="AV27" s="162">
        <f>'B)NSA RCO Nb'!AV27/'B)NSA RCO Nb'!AR27-1</f>
        <v>0.11044286495352651</v>
      </c>
      <c r="AW27" s="162">
        <f>'B)NSA RCO Nb'!AW27/'B)NSA RCO Nb'!AS27-1</f>
        <v>5.78249336870027E-2</v>
      </c>
      <c r="AX27" s="162">
        <f>'B)NSA RCO Nb'!AX27/'B)NSA RCO Nb'!AT27-1</f>
        <v>6.4115822130299982E-2</v>
      </c>
      <c r="AY27" s="162">
        <f>'B)NSA RCO Nb'!AY27/'B)NSA RCO Nb'!AU27-1</f>
        <v>-0.95053147996729359</v>
      </c>
      <c r="AZ27" s="162">
        <f>'B)NSA RCO Nb'!AZ27/'B)NSA RCO Nb'!AV27-1</f>
        <v>-0.95125553914327921</v>
      </c>
      <c r="BA27" s="162">
        <f>'B)NSA RCO Nb'!BA27/'B)NSA RCO Nb'!AW27-1</f>
        <v>-0.95085255767301902</v>
      </c>
      <c r="BB27" s="397">
        <f>'B)NSA RCO Nb'!BB27/'B)NSA RCO Nb'!AX27-1</f>
        <v>-0.94995140913508258</v>
      </c>
      <c r="BC27" s="457">
        <f>'B)NSA RCO Nb'!BC27/'B)NSA RCO Nb'!AY27-1</f>
        <v>3.3057851239669311E-2</v>
      </c>
      <c r="BD27" s="457">
        <f>'B)NSA RCO Nb'!BD27/'B)NSA RCO Nb'!AZ27-1</f>
        <v>0.10101010101010099</v>
      </c>
      <c r="BE27" s="457">
        <f>'B)NSA RCO Nb'!BE27/'B)NSA RCO Nb'!BA27-1</f>
        <v>-4.081632653061229E-2</v>
      </c>
      <c r="BF27" s="457">
        <f>'B)NSA RCO Nb'!BF27/'B)NSA RCO Nb'!BB27-1</f>
        <v>0.22330097087378631</v>
      </c>
      <c r="BG27" s="457">
        <f>'B)NSA RCO Nb'!BG27/'B)NSA RCO Nb'!BC27-1</f>
        <v>2.984</v>
      </c>
      <c r="BH27" s="457">
        <f>'B)NSA RCO Nb'!BH27/'B)NSA RCO Nb'!BD27-1</f>
        <v>0.5688073394495412</v>
      </c>
      <c r="BI27" s="457">
        <f>'B)NSA RCO Nb'!BI27/'B)NSA RCO Nb'!BE27-1</f>
        <v>0.76595744680851063</v>
      </c>
      <c r="BJ27" s="457">
        <f>'B)NSA RCO Nb'!BJ27/'B)NSA RCO Nb'!BF27-1</f>
        <v>0.66666666666666674</v>
      </c>
    </row>
    <row r="28" spans="1:62" x14ac:dyDescent="0.25">
      <c r="A28" s="23"/>
      <c r="B28" s="10"/>
      <c r="C28" s="10"/>
      <c r="D28" s="10"/>
      <c r="E28" s="10"/>
      <c r="F28" s="10"/>
      <c r="G28" s="10"/>
      <c r="H28" s="10"/>
      <c r="I28" s="10"/>
      <c r="J28" s="10"/>
      <c r="K28" s="155"/>
      <c r="L28" s="155"/>
      <c r="M28" s="10"/>
      <c r="N28" s="10"/>
      <c r="O28" s="10"/>
      <c r="P28" s="10"/>
      <c r="Q28" s="10"/>
      <c r="R28" s="10"/>
      <c r="S28" s="10"/>
      <c r="T28" s="10"/>
      <c r="U28" s="10"/>
      <c r="V28" s="10"/>
      <c r="W28" s="10"/>
      <c r="X28" s="10"/>
      <c r="Y28" s="10"/>
      <c r="Z28" s="10"/>
      <c r="AA28" s="10"/>
      <c r="AB28" s="10"/>
      <c r="AC28" s="10"/>
      <c r="AD28" s="10"/>
      <c r="AE28" s="10"/>
      <c r="AF28" s="10"/>
      <c r="AG28" s="10"/>
      <c r="AH28" s="10"/>
      <c r="AI28" s="10"/>
      <c r="AJ28" s="10"/>
      <c r="AM28" s="10"/>
      <c r="AN28" s="10"/>
      <c r="AO28" s="10"/>
    </row>
    <row r="29" spans="1:62" ht="13" x14ac:dyDescent="0.3">
      <c r="A29" s="25" t="s">
        <v>42</v>
      </c>
      <c r="L29" s="14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M29" s="35"/>
      <c r="AN29" s="35"/>
      <c r="AO29" s="35"/>
    </row>
    <row r="30" spans="1:62" x14ac:dyDescent="0.25">
      <c r="A30" s="17" t="s">
        <v>12</v>
      </c>
      <c r="L30" s="14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M30" s="35"/>
      <c r="AN30" s="35"/>
      <c r="AO30" s="35"/>
      <c r="BB30" s="398"/>
      <c r="BC30" s="398"/>
      <c r="BD30" s="398"/>
      <c r="BE30" s="398"/>
      <c r="BF30" s="398"/>
      <c r="BG30" s="398"/>
      <c r="BH30" s="398"/>
      <c r="BI30" s="398"/>
      <c r="BJ30" s="398"/>
    </row>
    <row r="31" spans="1:62" x14ac:dyDescent="0.25">
      <c r="A31" s="17" t="s">
        <v>21</v>
      </c>
      <c r="L31" s="14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M31" s="35"/>
      <c r="AN31" s="35"/>
      <c r="AO31" s="35"/>
      <c r="BB31" s="377" t="s">
        <v>241</v>
      </c>
      <c r="BC31" s="377"/>
      <c r="BD31" s="377"/>
    </row>
    <row r="32" spans="1:62" x14ac:dyDescent="0.25">
      <c r="B32" s="2" t="str">
        <f t="shared" ref="B32:H32" si="48">B8</f>
        <v>4eme T 2009</v>
      </c>
      <c r="C32" s="38" t="str">
        <f t="shared" si="48"/>
        <v>1er T 2010</v>
      </c>
      <c r="D32" s="38" t="str">
        <f t="shared" si="48"/>
        <v>2eme T 2010</v>
      </c>
      <c r="E32" s="38" t="str">
        <f t="shared" si="48"/>
        <v>3eme T 2010</v>
      </c>
      <c r="F32" s="38" t="str">
        <f t="shared" si="48"/>
        <v>4eme T 2010</v>
      </c>
      <c r="G32" s="38" t="str">
        <f t="shared" si="48"/>
        <v>1er T 2011</v>
      </c>
      <c r="H32" s="38" t="str">
        <f t="shared" si="48"/>
        <v>2eme T 2011</v>
      </c>
      <c r="I32" s="38" t="str">
        <f t="shared" ref="I32:N32" si="49">I8</f>
        <v>3eme T 2011</v>
      </c>
      <c r="J32" s="38" t="str">
        <f t="shared" si="49"/>
        <v>4eme T 2011</v>
      </c>
      <c r="K32" s="38" t="str">
        <f t="shared" si="49"/>
        <v>1er T 2012</v>
      </c>
      <c r="L32" s="38" t="str">
        <f t="shared" si="49"/>
        <v>2eme T 2012</v>
      </c>
      <c r="M32" s="38" t="str">
        <f t="shared" si="49"/>
        <v>3eme T 2012</v>
      </c>
      <c r="N32" s="38" t="str">
        <f t="shared" si="49"/>
        <v>4eme T 2012</v>
      </c>
      <c r="O32" s="38" t="str">
        <f t="shared" ref="O32:T32" si="50">O8</f>
        <v>1er T 2013</v>
      </c>
      <c r="P32" s="38" t="str">
        <f t="shared" si="50"/>
        <v>2eme T 2013</v>
      </c>
      <c r="Q32" s="38" t="str">
        <f t="shared" si="50"/>
        <v>3ème T 2013</v>
      </c>
      <c r="R32" s="38" t="str">
        <f t="shared" si="50"/>
        <v>4ème T 2013</v>
      </c>
      <c r="S32" s="38" t="str">
        <f t="shared" si="50"/>
        <v>1er T 2014</v>
      </c>
      <c r="T32" s="38" t="str">
        <f t="shared" si="50"/>
        <v>2eme T 2014</v>
      </c>
      <c r="U32" s="38" t="str">
        <f t="shared" ref="U32:V32" si="51">U8</f>
        <v>3T 2014</v>
      </c>
      <c r="V32" s="38" t="str">
        <f t="shared" si="51"/>
        <v>4ème T 2014</v>
      </c>
      <c r="W32" s="38" t="str">
        <f t="shared" ref="W32:X32" si="52">W8</f>
        <v>1er T 2015</v>
      </c>
      <c r="X32" s="38" t="str">
        <f t="shared" si="52"/>
        <v>2e T 2015</v>
      </c>
      <c r="Y32" s="38" t="str">
        <f t="shared" ref="Y32:Z32" si="53">Y8</f>
        <v>3e T 2015</v>
      </c>
      <c r="Z32" s="38" t="str">
        <f t="shared" si="53"/>
        <v>4e T 2015</v>
      </c>
      <c r="AA32" s="38" t="str">
        <f t="shared" ref="AA32:AB32" si="54">AA8</f>
        <v>1er T 2016</v>
      </c>
      <c r="AB32" s="38" t="str">
        <f t="shared" si="54"/>
        <v>2e T 2016</v>
      </c>
      <c r="AC32" s="38" t="str">
        <f t="shared" ref="AC32:AD32" si="55">AC8</f>
        <v>3e T 2016</v>
      </c>
      <c r="AD32" s="38" t="str">
        <f t="shared" si="55"/>
        <v>4e T 2016</v>
      </c>
      <c r="AE32" s="38" t="str">
        <f t="shared" ref="AE32:AF32" si="56">AE8</f>
        <v>2017 - T1</v>
      </c>
      <c r="AF32" s="38" t="str">
        <f t="shared" si="56"/>
        <v>2017 - T2</v>
      </c>
      <c r="AG32" s="38" t="str">
        <f t="shared" ref="AG32:AH32" si="57">AG8</f>
        <v>2017- T3</v>
      </c>
      <c r="AH32" s="38" t="str">
        <f t="shared" si="57"/>
        <v>2017 - T4</v>
      </c>
      <c r="AI32" s="38" t="str">
        <f t="shared" ref="AI32:AJ32" si="58">AI8</f>
        <v>2018 - T1</v>
      </c>
      <c r="AJ32" s="38" t="str">
        <f t="shared" si="58"/>
        <v>2018 - T2</v>
      </c>
      <c r="AK32" s="38" t="str">
        <f t="shared" ref="AK32:AM32" si="59">AK8</f>
        <v>2018 - T3</v>
      </c>
      <c r="AL32" s="38" t="str">
        <f t="shared" si="59"/>
        <v>2018 - T4</v>
      </c>
      <c r="AM32" s="38" t="str">
        <f t="shared" si="59"/>
        <v>2019 - T1</v>
      </c>
      <c r="AN32" s="38" t="str">
        <f t="shared" ref="AN32:AP32" si="60">AN8</f>
        <v>2019 - T2</v>
      </c>
      <c r="AO32" s="38" t="str">
        <f t="shared" si="60"/>
        <v>2019 - T3</v>
      </c>
      <c r="AP32" s="38" t="str">
        <f t="shared" si="60"/>
        <v>2019 - T4</v>
      </c>
      <c r="AQ32" s="38" t="str">
        <f t="shared" ref="AQ32" si="61">AQ8</f>
        <v>2020 - T1</v>
      </c>
      <c r="AR32" s="38" t="str">
        <f t="shared" ref="AR32" si="62">AR8</f>
        <v>2020 - T2</v>
      </c>
      <c r="AS32" s="38" t="str">
        <f t="shared" ref="AS32:AT32" si="63">AS8</f>
        <v>2020 - T3</v>
      </c>
      <c r="AT32" s="38" t="str">
        <f t="shared" si="63"/>
        <v>2020- T4</v>
      </c>
      <c r="AU32" s="38" t="str">
        <f t="shared" ref="AU32:AV32" si="64">AU8</f>
        <v>2021- T1</v>
      </c>
      <c r="AV32" s="38" t="str">
        <f t="shared" si="64"/>
        <v>2021- T2</v>
      </c>
      <c r="AW32" s="38" t="str">
        <f t="shared" ref="AW32:AX32" si="65">AW8</f>
        <v>2021- T3</v>
      </c>
      <c r="AX32" s="38" t="str">
        <f t="shared" si="65"/>
        <v>2021- T4</v>
      </c>
      <c r="AY32" s="38" t="str">
        <f t="shared" ref="AY32:AZ32" si="66">AY8</f>
        <v>2022- T1</v>
      </c>
      <c r="AZ32" s="38" t="str">
        <f t="shared" si="66"/>
        <v>2022- T2</v>
      </c>
      <c r="BA32" s="38" t="str">
        <f t="shared" ref="BA32:BB32" si="67">BA8</f>
        <v>2022- T3</v>
      </c>
      <c r="BB32" s="38" t="str">
        <f t="shared" si="67"/>
        <v>2022- T4</v>
      </c>
      <c r="BC32" s="38" t="str">
        <f t="shared" ref="BC32:BD32" si="68">BC8</f>
        <v>2023- T1</v>
      </c>
      <c r="BD32" s="38" t="str">
        <f t="shared" si="68"/>
        <v>2023- T2</v>
      </c>
      <c r="BE32" s="38" t="str">
        <f t="shared" ref="BE32:BF32" si="69">BE8</f>
        <v>2023- T3</v>
      </c>
      <c r="BF32" s="38" t="str">
        <f t="shared" si="69"/>
        <v>2023- T4</v>
      </c>
      <c r="BG32" s="38" t="str">
        <f t="shared" ref="BG32:BH32" si="70">BG8</f>
        <v>2024- T1</v>
      </c>
      <c r="BH32" s="38" t="str">
        <f t="shared" si="70"/>
        <v>2024- T2</v>
      </c>
      <c r="BI32" s="38" t="str">
        <f t="shared" ref="BI32:BJ32" si="71">BI8</f>
        <v>2024- T3</v>
      </c>
      <c r="BJ32" s="38" t="str">
        <f t="shared" si="71"/>
        <v>2024- T4</v>
      </c>
    </row>
    <row r="33" spans="1:62" x14ac:dyDescent="0.25">
      <c r="A33" s="22" t="s">
        <v>16</v>
      </c>
      <c r="B33" s="21"/>
      <c r="C33" s="45"/>
      <c r="D33" s="45"/>
      <c r="E33" s="45"/>
      <c r="F33" s="110">
        <f>'B)NSA RCO Nb'!F33/'B)NSA RCO Nb'!B33-1</f>
        <v>3.9718524429614988E-3</v>
      </c>
      <c r="G33" s="110">
        <f>'B)NSA RCO Nb'!G33/'B)NSA RCO Nb'!C33-1</f>
        <v>3.2004061705284137E-3</v>
      </c>
      <c r="H33" s="110">
        <f>'B)NSA RCO Nb'!H33/'B)NSA RCO Nb'!D33-1</f>
        <v>1.4755080079065896E-2</v>
      </c>
      <c r="I33" s="110">
        <f>'B)NSA RCO Nb'!I33/'B)NSA RCO Nb'!E33-1</f>
        <v>1.5073904064498267E-2</v>
      </c>
      <c r="J33" s="110">
        <f>'B)NSA RCO Nb'!J33/'B)NSA RCO Nb'!F33-1</f>
        <v>1.5643911339126015E-2</v>
      </c>
      <c r="K33" s="110">
        <f>'B)NSA RCO Nb'!K33/'B)NSA RCO Nb'!G33-1</f>
        <v>1.2498700876174329E-2</v>
      </c>
      <c r="L33" s="110">
        <f>'B)NSA RCO Nb'!L33/'B)NSA RCO Nb'!H33-1</f>
        <v>1.4465101832542127E-2</v>
      </c>
      <c r="M33" s="110">
        <f>'B)NSA RCO Nb'!M33/'B)NSA RCO Nb'!I33-1</f>
        <v>1.4858940017857369E-2</v>
      </c>
      <c r="N33" s="110">
        <f>'B)NSA RCO Nb'!N33/'B)NSA RCO Nb'!J33-1</f>
        <v>1.4526972947014549E-2</v>
      </c>
      <c r="O33" s="110">
        <f>'B)NSA RCO Nb'!O33/'B)NSA RCO Nb'!K33-1</f>
        <v>1.7146503978685113E-2</v>
      </c>
      <c r="P33" s="110">
        <f>'B)NSA RCO Nb'!P33/'B)NSA RCO Nb'!L33-1</f>
        <v>6.8626164545333435E-3</v>
      </c>
      <c r="Q33" s="110">
        <f>'B)NSA RCO Nb'!Q33/'B)NSA RCO Nb'!M33-1</f>
        <v>5.8871934938853343E-3</v>
      </c>
      <c r="R33" s="110">
        <f>'B)NSA RCO Nb'!R33/'B)NSA RCO Nb'!N33-1</f>
        <v>2.4982577939067774E-3</v>
      </c>
      <c r="S33" s="110">
        <f>'B)NSA RCO Nb'!S33/'B)NSA RCO Nb'!O33-1</f>
        <v>6.7043714432386547E-3</v>
      </c>
      <c r="T33" s="110">
        <f>'B)NSA RCO Nb'!T33/'B)NSA RCO Nb'!P33-1</f>
        <v>-7.3123688634616157E-2</v>
      </c>
      <c r="U33" s="110">
        <f>'B)NSA RCO Nb'!U33/'B)NSA RCO Nb'!Q33-1</f>
        <v>-7.0324228591818416E-2</v>
      </c>
      <c r="V33" s="110">
        <f>'B)NSA RCO Nb'!V33/'B)NSA RCO Nb'!R33-1</f>
        <v>-6.6733995252023059E-2</v>
      </c>
      <c r="W33" s="110">
        <f>'B)NSA RCO Nb'!W33/'B)NSA RCO Nb'!S33-1</f>
        <v>-7.1247695465897154E-2</v>
      </c>
      <c r="X33" s="110">
        <f>'B)NSA RCO Nb'!X33/'B)NSA RCO Nb'!T33-1</f>
        <v>-1.9731353636474047E-3</v>
      </c>
      <c r="Y33" s="110">
        <f>'B)NSA RCO Nb'!Y33/'B)NSA RCO Nb'!U33-1</f>
        <v>-3.8989730675977885E-3</v>
      </c>
      <c r="Z33" s="110">
        <f>'B)NSA RCO Nb'!Z33/'B)NSA RCO Nb'!V33-1</f>
        <v>-2.7873421872439685E-3</v>
      </c>
      <c r="AA33" s="110">
        <f>'B)NSA RCO Nb'!AA33/'B)NSA RCO Nb'!W33-1</f>
        <v>1.010831002571666E-2</v>
      </c>
      <c r="AB33" s="110">
        <f>'B)NSA RCO Nb'!AB33/'B)NSA RCO Nb'!X33-1</f>
        <v>9.7020357369275168E-3</v>
      </c>
      <c r="AC33" s="110">
        <f>'B)NSA RCO Nb'!AC33/'B)NSA RCO Nb'!Y33-1</f>
        <v>9.1159844558368341E-3</v>
      </c>
      <c r="AD33" s="110">
        <f>'B)NSA RCO Nb'!AD33/'B)NSA RCO Nb'!Z33-1</f>
        <v>1.5089021468501995E-2</v>
      </c>
      <c r="AE33" s="110">
        <f>'B)NSA RCO Nb'!AE33/'B)NSA RCO Nb'!AA33-1</f>
        <v>2.5830909749775532E-3</v>
      </c>
      <c r="AF33" s="110">
        <f>'B)NSA RCO Nb'!AF33/'B)NSA RCO Nb'!AB33-1</f>
        <v>1.855719009725032E-3</v>
      </c>
      <c r="AG33" s="110">
        <f>'B)NSA RCO Nb'!AG33/'B)NSA RCO Nb'!AC33-1</f>
        <v>2.5936773875101515E-3</v>
      </c>
      <c r="AH33" s="110">
        <f>'B)NSA RCO Nb'!AH33/'B)NSA RCO Nb'!AD33-1</f>
        <v>1.5170166881091296E-2</v>
      </c>
      <c r="AI33" s="110">
        <f>'B)NSA RCO Nb'!AI33/'B)NSA RCO Nb'!AE33-1</f>
        <v>7.9424657788156328E-3</v>
      </c>
      <c r="AJ33" s="110">
        <f>'B)NSA RCO Nb'!AJ33/'B)NSA RCO Nb'!AF33-1</f>
        <v>9.2057007566965776E-3</v>
      </c>
      <c r="AK33" s="110">
        <f>'B)NSA RCO Nb'!AK33/'B)NSA RCO Nb'!AG33-1</f>
        <v>7.9606149273141469E-3</v>
      </c>
      <c r="AL33" s="110">
        <f>'B)NSA RCO Nb'!AL33/'B)NSA RCO Nb'!AH33-1</f>
        <v>-1.1519876002917595E-2</v>
      </c>
      <c r="AM33" s="110">
        <f>'B)NSA RCO Nb'!AM33/'B)NSA RCO Nb'!AI33-1</f>
        <v>-1.3056510785411923E-3</v>
      </c>
      <c r="AN33" s="110">
        <f>'B)NSA RCO Nb'!AN33/'B)NSA RCO Nb'!AJ33-1</f>
        <v>-1.8307857198713862E-3</v>
      </c>
      <c r="AO33" s="110">
        <f>'B)NSA RCO Nb'!AO33/'B)NSA RCO Nb'!AK33-1</f>
        <v>-6.7273665585354525E-4</v>
      </c>
      <c r="AP33" s="110">
        <f>'B)NSA RCO Nb'!AP33/'B)NSA RCO Nb'!AL33-1</f>
        <v>-1.0146057103843642E-4</v>
      </c>
      <c r="AQ33" s="110">
        <f>'B)NSA RCO Nb'!AQ33/'B)NSA RCO Nb'!AM33-1</f>
        <v>6.5782205199971244E-3</v>
      </c>
      <c r="AR33" s="110">
        <f>'B)NSA RCO Nb'!AR33/'B)NSA RCO Nb'!AN33-1</f>
        <v>5.5669485472016333E-3</v>
      </c>
      <c r="AS33" s="110">
        <f>'B)NSA RCO Nb'!AS33/'B)NSA RCO Nb'!AO33-1</f>
        <v>4.7584356181815668E-3</v>
      </c>
      <c r="AT33" s="110">
        <f>'B)NSA RCO Nb'!AT33/'B)NSA RCO Nb'!AP33-1</f>
        <v>5.0703875815940602E-3</v>
      </c>
      <c r="AU33" s="110">
        <f>'B)NSA RCO Nb'!AU33/'B)NSA RCO Nb'!AQ33-1</f>
        <v>-7.3948697980907863E-4</v>
      </c>
      <c r="AV33" s="110">
        <f>'B)NSA RCO Nb'!AV33/'B)NSA RCO Nb'!AR33-1</f>
        <v>1.0632301114099629E-3</v>
      </c>
      <c r="AW33" s="110">
        <f>'B)NSA RCO Nb'!AW33/'B)NSA RCO Nb'!AS33-1</f>
        <v>3.7263090266623777E-3</v>
      </c>
      <c r="AX33" s="110">
        <f>'B)NSA RCO Nb'!AX33/'B)NSA RCO Nb'!AT33-1</f>
        <v>3.6797179320200657E-2</v>
      </c>
      <c r="AY33" s="110">
        <f>'B)NSA RCO Nb'!AY33/'B)NSA RCO Nb'!AU33-1</f>
        <v>0.11209759503280647</v>
      </c>
      <c r="AZ33" s="110">
        <f>'B)NSA RCO Nb'!AZ33/'B)NSA RCO Nb'!AV33-1</f>
        <v>0.10973051297850622</v>
      </c>
      <c r="BA33" s="110">
        <f>'B)NSA RCO Nb'!BA33/'B)NSA RCO Nb'!AW33-1</f>
        <v>0.15002063657049591</v>
      </c>
      <c r="BB33" s="396">
        <f>'B)NSA RCO Nb'!BB33/'B)NSA RCO Nb'!AX33-1</f>
        <v>0.10952963536626181</v>
      </c>
      <c r="BC33" s="455">
        <f>'B)NSA RCO Nb'!BC33/'B)NSA RCO Nb'!AY33-1</f>
        <v>3.7966644159840301E-2</v>
      </c>
      <c r="BD33" s="455">
        <f>'B)NSA RCO Nb'!BD33/'B)NSA RCO Nb'!AZ33-1</f>
        <v>4.1223178445976671E-2</v>
      </c>
      <c r="BE33" s="455">
        <f>'B)NSA RCO Nb'!BE33/'B)NSA RCO Nb'!BA33-1</f>
        <v>2.3731852215433946E-3</v>
      </c>
      <c r="BF33" s="455">
        <f>'B)NSA RCO Nb'!BF33/'B)NSA RCO Nb'!BB33-1</f>
        <v>5.1202170636215349E-3</v>
      </c>
      <c r="BG33" s="455">
        <f>'B)NSA RCO Nb'!BG33/'B)NSA RCO Nb'!BC33-1</f>
        <v>4.0205367384188673E-2</v>
      </c>
      <c r="BH33" s="455">
        <f>'B)NSA RCO Nb'!BH33/'B)NSA RCO Nb'!BD33-1</f>
        <v>3.924632878823564E-2</v>
      </c>
      <c r="BI33" s="455">
        <f>'B)NSA RCO Nb'!BI33/'B)NSA RCO Nb'!BE33-1</f>
        <v>3.2689899780993237E-2</v>
      </c>
      <c r="BJ33" s="455">
        <f>'B)NSA RCO Nb'!BJ33/'B)NSA RCO Nb'!BF33-1</f>
        <v>2.8239058561731811E-2</v>
      </c>
    </row>
    <row r="34" spans="1:62" x14ac:dyDescent="0.25">
      <c r="A34" s="22" t="s">
        <v>17</v>
      </c>
      <c r="B34" s="21"/>
      <c r="C34" s="45"/>
      <c r="D34" s="45"/>
      <c r="E34" s="45"/>
      <c r="F34" s="110">
        <f>'B)NSA RCO Nb'!F34/'B)NSA RCO Nb'!B34-1</f>
        <v>0.11282845722665025</v>
      </c>
      <c r="G34" s="110">
        <f>'B)NSA RCO Nb'!G34/'B)NSA RCO Nb'!C34-1</f>
        <v>0.10362383595146274</v>
      </c>
      <c r="H34" s="110">
        <f>'B)NSA RCO Nb'!H34/'B)NSA RCO Nb'!D34-1</f>
        <v>3.4057090162216141E-3</v>
      </c>
      <c r="I34" s="110">
        <f>'B)NSA RCO Nb'!I34/'B)NSA RCO Nb'!E34-1</f>
        <v>3.7791064886942838E-3</v>
      </c>
      <c r="J34" s="110">
        <f>'B)NSA RCO Nb'!J34/'B)NSA RCO Nb'!F34-1</f>
        <v>1.1859345610660821E-2</v>
      </c>
      <c r="K34" s="110">
        <f>'B)NSA RCO Nb'!K34/'B)NSA RCO Nb'!G34-1</f>
        <v>7.393912274533454E-3</v>
      </c>
      <c r="L34" s="110">
        <f>'B)NSA RCO Nb'!L34/'B)NSA RCO Nb'!H34-1</f>
        <v>8.3130554656252187E-3</v>
      </c>
      <c r="M34" s="110">
        <f>'B)NSA RCO Nb'!M34/'B)NSA RCO Nb'!I34-1</f>
        <v>4.8974883330712426E-3</v>
      </c>
      <c r="N34" s="110">
        <f>'B)NSA RCO Nb'!N34/'B)NSA RCO Nb'!J34-1</f>
        <v>5.6186265346200859E-3</v>
      </c>
      <c r="O34" s="110">
        <f>'B)NSA RCO Nb'!O34/'B)NSA RCO Nb'!K34-1</f>
        <v>5.3196552271166375E-3</v>
      </c>
      <c r="P34" s="110">
        <f>'B)NSA RCO Nb'!P34/'B)NSA RCO Nb'!L34-1</f>
        <v>-8.9798962185003717E-3</v>
      </c>
      <c r="Q34" s="110">
        <f>'B)NSA RCO Nb'!Q34/'B)NSA RCO Nb'!M34-1</f>
        <v>-7.4930600488406496E-3</v>
      </c>
      <c r="R34" s="110">
        <f>'B)NSA RCO Nb'!R34/'B)NSA RCO Nb'!N34-1</f>
        <v>-1.6793032144871156E-2</v>
      </c>
      <c r="S34" s="110">
        <f>'B)NSA RCO Nb'!S34/'B)NSA RCO Nb'!O34-1</f>
        <v>-1.0088577500052653E-2</v>
      </c>
      <c r="T34" s="110">
        <f>'B)NSA RCO Nb'!T34/'B)NSA RCO Nb'!P34-1</f>
        <v>-2.2574778955289365E-2</v>
      </c>
      <c r="U34" s="110">
        <f>'B)NSA RCO Nb'!U34/'B)NSA RCO Nb'!Q34-1</f>
        <v>-1.7191705921937972E-2</v>
      </c>
      <c r="V34" s="110">
        <f>'B)NSA RCO Nb'!V34/'B)NSA RCO Nb'!R34-1</f>
        <v>-2.0457587151870515E-2</v>
      </c>
      <c r="W34" s="110">
        <f>'B)NSA RCO Nb'!W34/'B)NSA RCO Nb'!S34-1</f>
        <v>-2.4654884749040984E-2</v>
      </c>
      <c r="X34" s="110">
        <f>'B)NSA RCO Nb'!X34/'B)NSA RCO Nb'!T34-1</f>
        <v>-2.4561065845469576E-2</v>
      </c>
      <c r="Y34" s="110">
        <f>'B)NSA RCO Nb'!Y34/'B)NSA RCO Nb'!U34-1</f>
        <v>-2.6201200397992896E-2</v>
      </c>
      <c r="Z34" s="110">
        <f>'B)NSA RCO Nb'!Z34/'B)NSA RCO Nb'!V34-1</f>
        <v>-1.4432877900672381E-2</v>
      </c>
      <c r="AA34" s="110">
        <f>'B)NSA RCO Nb'!AA34/'B)NSA RCO Nb'!W34-1</f>
        <v>-8.0192636659802696E-3</v>
      </c>
      <c r="AB34" s="110">
        <f>'B)NSA RCO Nb'!AB34/'B)NSA RCO Nb'!X34-1</f>
        <v>-1.1016716908742064E-2</v>
      </c>
      <c r="AC34" s="110">
        <f>'B)NSA RCO Nb'!AC34/'B)NSA RCO Nb'!Y34-1</f>
        <v>-1.4238628872775272E-2</v>
      </c>
      <c r="AD34" s="110">
        <f>'B)NSA RCO Nb'!AD34/'B)NSA RCO Nb'!Z34-1</f>
        <v>-1.3841058874011214E-2</v>
      </c>
      <c r="AE34" s="110">
        <f>'B)NSA RCO Nb'!AE34/'B)NSA RCO Nb'!AA34-1</f>
        <v>-1.7980514701844141E-2</v>
      </c>
      <c r="AF34" s="110">
        <f>'B)NSA RCO Nb'!AF34/'B)NSA RCO Nb'!AB34-1</f>
        <v>-1.256927510529815E-2</v>
      </c>
      <c r="AG34" s="110">
        <f>'B)NSA RCO Nb'!AG34/'B)NSA RCO Nb'!AC34-1</f>
        <v>-5.5503544202220034E-3</v>
      </c>
      <c r="AH34" s="110">
        <f>'B)NSA RCO Nb'!AH34/'B)NSA RCO Nb'!AD34-1</f>
        <v>-4.4069574142874268E-3</v>
      </c>
      <c r="AI34" s="110">
        <f>'B)NSA RCO Nb'!AI34/'B)NSA RCO Nb'!AE34-1</f>
        <v>-3.1205959331588318E-3</v>
      </c>
      <c r="AJ34" s="110">
        <f>'B)NSA RCO Nb'!AJ34/'B)NSA RCO Nb'!AF34-1</f>
        <v>-6.7350649933795026E-5</v>
      </c>
      <c r="AK34" s="110">
        <f>'B)NSA RCO Nb'!AK34/'B)NSA RCO Nb'!AG34-1</f>
        <v>-1.223858516575882E-2</v>
      </c>
      <c r="AL34" s="110">
        <f>'B)NSA RCO Nb'!AL34/'B)NSA RCO Nb'!AH34-1</f>
        <v>-1.7459321350127843E-2</v>
      </c>
      <c r="AM34" s="110">
        <f>'B)NSA RCO Nb'!AM34/'B)NSA RCO Nb'!AI34-1</f>
        <v>-1.5786462014877545E-2</v>
      </c>
      <c r="AN34" s="110">
        <f>'B)NSA RCO Nb'!AN34/'B)NSA RCO Nb'!AJ34-1</f>
        <v>-1.7299057027391096E-2</v>
      </c>
      <c r="AO34" s="110">
        <f>'B)NSA RCO Nb'!AO34/'B)NSA RCO Nb'!AK34-1</f>
        <v>-9.0203553679624182E-3</v>
      </c>
      <c r="AP34" s="110">
        <f>'B)NSA RCO Nb'!AP34/'B)NSA RCO Nb'!AL34-1</f>
        <v>-6.1360888706403216E-3</v>
      </c>
      <c r="AQ34" s="110">
        <f>'B)NSA RCO Nb'!AQ34/'B)NSA RCO Nb'!AM34-1</f>
        <v>-8.4929320565435562E-3</v>
      </c>
      <c r="AR34" s="110">
        <f>'B)NSA RCO Nb'!AR34/'B)NSA RCO Nb'!AN34-1</f>
        <v>4.3294988519402278E-3</v>
      </c>
      <c r="AS34" s="110">
        <f>'B)NSA RCO Nb'!AS34/'B)NSA RCO Nb'!AO34-1</f>
        <v>-1.0304674887506859E-4</v>
      </c>
      <c r="AT34" s="110">
        <f>'B)NSA RCO Nb'!AT34/'B)NSA RCO Nb'!AP34-1</f>
        <v>-1.5299399301950123E-3</v>
      </c>
      <c r="AU34" s="110">
        <f>'B)NSA RCO Nb'!AU34/'B)NSA RCO Nb'!AQ34-1</f>
        <v>-7.7395604580166033E-4</v>
      </c>
      <c r="AV34" s="110">
        <f>'B)NSA RCO Nb'!AV34/'B)NSA RCO Nb'!AR34-1</f>
        <v>-1.2784640232944233E-2</v>
      </c>
      <c r="AW34" s="110">
        <f>'B)NSA RCO Nb'!AW34/'B)NSA RCO Nb'!AS34-1</f>
        <v>-4.2711553876101371E-3</v>
      </c>
      <c r="AX34" s="110">
        <f>'B)NSA RCO Nb'!AX34/'B)NSA RCO Nb'!AT34-1</f>
        <v>-1.6654176695555245E-3</v>
      </c>
      <c r="AY34" s="110">
        <f>'B)NSA RCO Nb'!AY34/'B)NSA RCO Nb'!AU34-1</f>
        <v>0.89401926269141807</v>
      </c>
      <c r="AZ34" s="110">
        <f>'B)NSA RCO Nb'!AZ34/'B)NSA RCO Nb'!AV34-1</f>
        <v>0.88199622557861135</v>
      </c>
      <c r="BA34" s="110">
        <f>'B)NSA RCO Nb'!BA34/'B)NSA RCO Nb'!AW34-1</f>
        <v>0.93898453453756425</v>
      </c>
      <c r="BB34" s="396">
        <f>'B)NSA RCO Nb'!BB34/'B)NSA RCO Nb'!AX34-1</f>
        <v>0.92006919283263833</v>
      </c>
      <c r="BC34" s="455">
        <f>'B)NSA RCO Nb'!BC34/'B)NSA RCO Nb'!AY34-1</f>
        <v>1.4882162277900735E-2</v>
      </c>
      <c r="BD34" s="455">
        <f>'B)NSA RCO Nb'!BD34/'B)NSA RCO Nb'!AZ34-1</f>
        <v>1.5195732433348486E-2</v>
      </c>
      <c r="BE34" s="455">
        <f>'B)NSA RCO Nb'!BE34/'B)NSA RCO Nb'!BA34-1</f>
        <v>-2.3821387506528735E-2</v>
      </c>
      <c r="BF34" s="455">
        <f>'B)NSA RCO Nb'!BF34/'B)NSA RCO Nb'!BB34-1</f>
        <v>-1.9362140892044577E-2</v>
      </c>
      <c r="BG34" s="455">
        <f>'B)NSA RCO Nb'!BG34/'B)NSA RCO Nb'!BC34-1</f>
        <v>1.5411763806275403E-2</v>
      </c>
      <c r="BH34" s="455">
        <f>'B)NSA RCO Nb'!BH34/'B)NSA RCO Nb'!BD34-1</f>
        <v>1.6801685204802963E-2</v>
      </c>
      <c r="BI34" s="455">
        <f>'B)NSA RCO Nb'!BI34/'B)NSA RCO Nb'!BE34-1</f>
        <v>-1.693765222980681E-2</v>
      </c>
      <c r="BJ34" s="455">
        <f>'B)NSA RCO Nb'!BJ34/'B)NSA RCO Nb'!BF34-1</f>
        <v>-2.0483665704836063E-2</v>
      </c>
    </row>
    <row r="35" spans="1:62" x14ac:dyDescent="0.25">
      <c r="A35" s="22" t="s">
        <v>18</v>
      </c>
      <c r="B35" s="21"/>
      <c r="C35" s="45"/>
      <c r="D35" s="45"/>
      <c r="E35" s="45"/>
      <c r="F35" s="110">
        <f>'B)NSA RCO Nb'!F35/'B)NSA RCO Nb'!B35-1</f>
        <v>-1.3203329132759345E-2</v>
      </c>
      <c r="G35" s="110">
        <f>'B)NSA RCO Nb'!G35/'B)NSA RCO Nb'!C35-1</f>
        <v>-1.4300440779183909E-2</v>
      </c>
      <c r="H35" s="110">
        <f>'B)NSA RCO Nb'!H35/'B)NSA RCO Nb'!D35-1</f>
        <v>2.0092345429622682E-2</v>
      </c>
      <c r="I35" s="110">
        <f>'B)NSA RCO Nb'!I35/'B)NSA RCO Nb'!E35-1</f>
        <v>2.0613535006566819E-2</v>
      </c>
      <c r="J35" s="110">
        <f>'B)NSA RCO Nb'!J35/'B)NSA RCO Nb'!F35-1</f>
        <v>2.0620118684727906E-2</v>
      </c>
      <c r="K35" s="110">
        <f>'B)NSA RCO Nb'!K35/'B)NSA RCO Nb'!G35-1</f>
        <v>1.9091443470358627E-2</v>
      </c>
      <c r="L35" s="110">
        <f>'B)NSA RCO Nb'!L35/'B)NSA RCO Nb'!H35-1</f>
        <v>2.0492238056508238E-2</v>
      </c>
      <c r="M35" s="110">
        <f>'B)NSA RCO Nb'!M35/'B)NSA RCO Nb'!I35-1</f>
        <v>1.939114971664524E-2</v>
      </c>
      <c r="N35" s="110">
        <f>'B)NSA RCO Nb'!N35/'B)NSA RCO Nb'!J35-1</f>
        <v>1.9319880814785639E-2</v>
      </c>
      <c r="O35" s="110">
        <f>'B)NSA RCO Nb'!O35/'B)NSA RCO Nb'!K35-1</f>
        <v>2.1578889632012377E-2</v>
      </c>
      <c r="P35" s="110">
        <f>'B)NSA RCO Nb'!P35/'B)NSA RCO Nb'!L35-1</f>
        <v>1.2433078642341222E-2</v>
      </c>
      <c r="Q35" s="110">
        <f>'B)NSA RCO Nb'!Q35/'B)NSA RCO Nb'!M35-1</f>
        <v>1.2752040950802179E-2</v>
      </c>
      <c r="R35" s="110">
        <f>'B)NSA RCO Nb'!R35/'B)NSA RCO Nb'!N35-1</f>
        <v>1.1598997180871651E-2</v>
      </c>
      <c r="S35" s="110">
        <f>'B)NSA RCO Nb'!S35/'B)NSA RCO Nb'!O35-1</f>
        <v>1.2231155326319909E-2</v>
      </c>
      <c r="T35" s="110">
        <f>'B)NSA RCO Nb'!T35/'B)NSA RCO Nb'!P35-1</f>
        <v>-5.9974740992494224E-2</v>
      </c>
      <c r="U35" s="110">
        <f>'B)NSA RCO Nb'!U35/'B)NSA RCO Nb'!Q35-1</f>
        <v>-5.7926944110566536E-2</v>
      </c>
      <c r="V35" s="110">
        <f>'B)NSA RCO Nb'!V35/'B)NSA RCO Nb'!R35-1</f>
        <v>-5.6928962198181998E-2</v>
      </c>
      <c r="W35" s="110">
        <f>'B)NSA RCO Nb'!W35/'B)NSA RCO Nb'!S35-1</f>
        <v>-5.8115460954075604E-2</v>
      </c>
      <c r="X35" s="110">
        <f>'B)NSA RCO Nb'!X35/'B)NSA RCO Nb'!T35-1</f>
        <v>3.2623338794830481E-3</v>
      </c>
      <c r="Y35" s="110">
        <f>'B)NSA RCO Nb'!Y35/'B)NSA RCO Nb'!U35-1</f>
        <v>2.7734663240119861E-3</v>
      </c>
      <c r="Z35" s="110">
        <f>'B)NSA RCO Nb'!Z35/'B)NSA RCO Nb'!V35-1</f>
        <v>4.5288669836147655E-3</v>
      </c>
      <c r="AA35" s="110">
        <f>'B)NSA RCO Nb'!AA35/'B)NSA RCO Nb'!W35-1</f>
        <v>1.170080385121941E-2</v>
      </c>
      <c r="AB35" s="110">
        <f>'B)NSA RCO Nb'!AB35/'B)NSA RCO Nb'!X35-1</f>
        <v>1.1159661181799008E-2</v>
      </c>
      <c r="AC35" s="110">
        <f>'B)NSA RCO Nb'!AC35/'B)NSA RCO Nb'!Y35-1</f>
        <v>1.0700692355094743E-2</v>
      </c>
      <c r="AD35" s="110">
        <f>'B)NSA RCO Nb'!AD35/'B)NSA RCO Nb'!Z35-1</f>
        <v>1.2714838803054018E-2</v>
      </c>
      <c r="AE35" s="110">
        <f>'B)NSA RCO Nb'!AE35/'B)NSA RCO Nb'!AA35-1</f>
        <v>5.7926150442795254E-3</v>
      </c>
      <c r="AF35" s="110">
        <f>'B)NSA RCO Nb'!AF35/'B)NSA RCO Nb'!AB35-1</f>
        <v>5.2365040682504915E-3</v>
      </c>
      <c r="AG35" s="110">
        <f>'B)NSA RCO Nb'!AG35/'B)NSA RCO Nb'!AC35-1</f>
        <v>5.4443336609020232E-3</v>
      </c>
      <c r="AH35" s="110">
        <f>'B)NSA RCO Nb'!AH35/'B)NSA RCO Nb'!AD35-1</f>
        <v>1.4477426362350165E-2</v>
      </c>
      <c r="AI35" s="110">
        <f>'B)NSA RCO Nb'!AI35/'B)NSA RCO Nb'!AE35-1</f>
        <v>1.1318558508378151E-2</v>
      </c>
      <c r="AJ35" s="110">
        <f>'B)NSA RCO Nb'!AJ35/'B)NSA RCO Nb'!AF35-1</f>
        <v>1.2150099971436568E-2</v>
      </c>
      <c r="AK35" s="110">
        <f>'B)NSA RCO Nb'!AK35/'B)NSA RCO Nb'!AG35-1</f>
        <v>1.1635870728401221E-2</v>
      </c>
      <c r="AL35" s="110">
        <f>'B)NSA RCO Nb'!AL35/'B)NSA RCO Nb'!AH35-1</f>
        <v>-1.038966527668328E-3</v>
      </c>
      <c r="AM35" s="110">
        <f>'B)NSA RCO Nb'!AM35/'B)NSA RCO Nb'!AI35-1</f>
        <v>4.7133006874005012E-3</v>
      </c>
      <c r="AN35" s="110">
        <f>'B)NSA RCO Nb'!AN35/'B)NSA RCO Nb'!AJ35-1</f>
        <v>4.2154203250284183E-3</v>
      </c>
      <c r="AO35" s="110">
        <f>'B)NSA RCO Nb'!AO35/'B)NSA RCO Nb'!AK35-1</f>
        <v>7.0909231951821194E-3</v>
      </c>
      <c r="AP35" s="110">
        <f>'B)NSA RCO Nb'!AP35/'B)NSA RCO Nb'!AL35-1</f>
        <v>5.0768400901139987E-3</v>
      </c>
      <c r="AQ35" s="110">
        <f>'B)NSA RCO Nb'!AQ35/'B)NSA RCO Nb'!AM35-1</f>
        <v>1.1026931294276343E-2</v>
      </c>
      <c r="AR35" s="110">
        <f>'B)NSA RCO Nb'!AR35/'B)NSA RCO Nb'!AN35-1</f>
        <v>1.3246545219510963E-2</v>
      </c>
      <c r="AS35" s="110">
        <f>'B)NSA RCO Nb'!AS35/'B)NSA RCO Nb'!AO35-1</f>
        <v>9.3413114949247866E-3</v>
      </c>
      <c r="AT35" s="110">
        <f>'B)NSA RCO Nb'!AT35/'B)NSA RCO Nb'!AP35-1</f>
        <v>1.1324999609483077E-2</v>
      </c>
      <c r="AU35" s="110">
        <f>'B)NSA RCO Nb'!AU35/'B)NSA RCO Nb'!AQ35-1</f>
        <v>6.1885203282565637E-3</v>
      </c>
      <c r="AV35" s="110">
        <f>'B)NSA RCO Nb'!AV35/'B)NSA RCO Nb'!AR35-1</f>
        <v>3.2414742294133436E-3</v>
      </c>
      <c r="AW35" s="110">
        <f>'B)NSA RCO Nb'!AW35/'B)NSA RCO Nb'!AS35-1</f>
        <v>4.1938247751327484E-3</v>
      </c>
      <c r="AX35" s="110">
        <f>'B)NSA RCO Nb'!AX35/'B)NSA RCO Nb'!AT35-1</f>
        <v>1.8743783796063118E-2</v>
      </c>
      <c r="AY35" s="110">
        <f>'B)NSA RCO Nb'!AY35/'B)NSA RCO Nb'!AU35-1</f>
        <v>0.15191073810548983</v>
      </c>
      <c r="AZ35" s="110">
        <f>'B)NSA RCO Nb'!AZ35/'B)NSA RCO Nb'!AV35-1</f>
        <v>0.15220477156114698</v>
      </c>
      <c r="BA35" s="110">
        <f>'B)NSA RCO Nb'!BA35/'B)NSA RCO Nb'!AW35-1</f>
        <v>0.19750169618259683</v>
      </c>
      <c r="BB35" s="396">
        <f>'B)NSA RCO Nb'!BB35/'B)NSA RCO Nb'!AX35-1</f>
        <v>0.17523881563109245</v>
      </c>
      <c r="BC35" s="455">
        <f>'B)NSA RCO Nb'!BC35/'B)NSA RCO Nb'!AY35-1</f>
        <v>4.5950728029670707E-2</v>
      </c>
      <c r="BD35" s="455">
        <f>'B)NSA RCO Nb'!BD35/'B)NSA RCO Nb'!AZ35-1</f>
        <v>4.7234273693617101E-2</v>
      </c>
      <c r="BE35" s="455">
        <f>'B)NSA RCO Nb'!BE35/'B)NSA RCO Nb'!BA35-1</f>
        <v>7.4140656173122821E-3</v>
      </c>
      <c r="BF35" s="455">
        <f>'B)NSA RCO Nb'!BF35/'B)NSA RCO Nb'!BB35-1</f>
        <v>1.1784862987232136E-2</v>
      </c>
      <c r="BG35" s="455">
        <f>'B)NSA RCO Nb'!BG35/'B)NSA RCO Nb'!BC35-1</f>
        <v>4.4501022583995242E-2</v>
      </c>
      <c r="BH35" s="455">
        <f>'B)NSA RCO Nb'!BH35/'B)NSA RCO Nb'!BD35-1</f>
        <v>4.5040991067282432E-2</v>
      </c>
      <c r="BI35" s="455">
        <f>'B)NSA RCO Nb'!BI35/'B)NSA RCO Nb'!BE35-1</f>
        <v>3.9326092999112827E-2</v>
      </c>
      <c r="BJ35" s="455">
        <f>'B)NSA RCO Nb'!BJ35/'B)NSA RCO Nb'!BF35-1</f>
        <v>3.8157545019957606E-2</v>
      </c>
    </row>
    <row r="36" spans="1:62" ht="13" thickBot="1" x14ac:dyDescent="0.3">
      <c r="A36" s="6"/>
      <c r="B36" s="15"/>
      <c r="C36" s="53"/>
      <c r="D36" s="53"/>
      <c r="E36" s="53"/>
      <c r="F36" s="53"/>
      <c r="G36" s="53"/>
      <c r="H36" s="53"/>
      <c r="I36" s="53"/>
      <c r="J36" s="53"/>
      <c r="K36" s="154"/>
      <c r="L36" s="154"/>
      <c r="M36" s="53"/>
      <c r="N36" s="53"/>
      <c r="O36" s="53"/>
      <c r="P36" s="53"/>
      <c r="Q36" s="53"/>
      <c r="R36" s="53"/>
      <c r="S36" s="53"/>
      <c r="T36" s="53"/>
      <c r="U36" s="53"/>
      <c r="V36" s="53"/>
      <c r="W36" s="53"/>
      <c r="X36" s="53"/>
      <c r="Y36" s="53"/>
      <c r="Z36" s="53"/>
      <c r="AA36" s="53"/>
      <c r="AB36" s="53"/>
      <c r="AC36" s="53"/>
      <c r="AD36" s="53"/>
      <c r="AE36" s="53"/>
      <c r="AF36" s="53"/>
      <c r="AG36" s="53"/>
      <c r="AH36" s="53"/>
      <c r="AI36" s="53"/>
      <c r="AJ36" s="53"/>
      <c r="AM36" s="53"/>
      <c r="AN36" s="53"/>
      <c r="AO36" s="53"/>
    </row>
    <row r="37" spans="1:62" x14ac:dyDescent="0.25">
      <c r="A37" s="19"/>
      <c r="B37" s="10"/>
      <c r="C37" s="40"/>
      <c r="D37" s="40"/>
      <c r="E37" s="40"/>
      <c r="F37" s="40"/>
      <c r="G37" s="40"/>
      <c r="H37" s="40"/>
      <c r="I37" s="40"/>
      <c r="J37" s="40"/>
      <c r="K37" s="146"/>
      <c r="L37" s="146"/>
      <c r="M37" s="40"/>
      <c r="N37" s="40"/>
      <c r="O37" s="40"/>
      <c r="P37" s="40"/>
      <c r="Q37" s="40"/>
      <c r="R37" s="40"/>
      <c r="S37" s="40"/>
      <c r="T37" s="40"/>
      <c r="U37" s="40"/>
      <c r="V37" s="40"/>
      <c r="W37" s="40"/>
      <c r="X37" s="40"/>
      <c r="Y37" s="40"/>
      <c r="Z37" s="40"/>
      <c r="AA37" s="40"/>
      <c r="AB37" s="40"/>
      <c r="AC37" s="40"/>
      <c r="AD37" s="40"/>
      <c r="AE37" s="40"/>
      <c r="AF37" s="40"/>
      <c r="AG37" s="40"/>
      <c r="AH37" s="40"/>
      <c r="AI37" s="40"/>
      <c r="AJ37" s="40"/>
      <c r="AM37" s="40"/>
      <c r="AN37" s="40"/>
      <c r="AO37" s="40"/>
    </row>
    <row r="38" spans="1:62" ht="13" x14ac:dyDescent="0.3">
      <c r="A38" s="25" t="s">
        <v>19</v>
      </c>
      <c r="L38" s="14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M38" s="35"/>
      <c r="AN38" s="35"/>
      <c r="AO38" s="35"/>
    </row>
    <row r="39" spans="1:62" ht="13" x14ac:dyDescent="0.3">
      <c r="A39" s="14"/>
      <c r="B39" s="2" t="str">
        <f t="shared" ref="B39:H39" si="72">B8</f>
        <v>4eme T 2009</v>
      </c>
      <c r="C39" s="38" t="str">
        <f t="shared" si="72"/>
        <v>1er T 2010</v>
      </c>
      <c r="D39" s="38" t="str">
        <f t="shared" si="72"/>
        <v>2eme T 2010</v>
      </c>
      <c r="E39" s="38" t="str">
        <f t="shared" si="72"/>
        <v>3eme T 2010</v>
      </c>
      <c r="F39" s="38" t="str">
        <f t="shared" si="72"/>
        <v>4eme T 2010</v>
      </c>
      <c r="G39" s="38" t="str">
        <f t="shared" si="72"/>
        <v>1er T 2011</v>
      </c>
      <c r="H39" s="38" t="str">
        <f t="shared" si="72"/>
        <v>2eme T 2011</v>
      </c>
      <c r="I39" s="38" t="str">
        <f t="shared" ref="I39:N39" si="73">I8</f>
        <v>3eme T 2011</v>
      </c>
      <c r="J39" s="38" t="str">
        <f t="shared" si="73"/>
        <v>4eme T 2011</v>
      </c>
      <c r="K39" s="38" t="str">
        <f t="shared" si="73"/>
        <v>1er T 2012</v>
      </c>
      <c r="L39" s="38" t="str">
        <f t="shared" si="73"/>
        <v>2eme T 2012</v>
      </c>
      <c r="M39" s="38" t="str">
        <f t="shared" si="73"/>
        <v>3eme T 2012</v>
      </c>
      <c r="N39" s="38" t="str">
        <f t="shared" si="73"/>
        <v>4eme T 2012</v>
      </c>
      <c r="O39" s="38" t="str">
        <f t="shared" ref="O39:T39" si="74">O8</f>
        <v>1er T 2013</v>
      </c>
      <c r="P39" s="38" t="str">
        <f t="shared" si="74"/>
        <v>2eme T 2013</v>
      </c>
      <c r="Q39" s="38" t="str">
        <f t="shared" si="74"/>
        <v>3ème T 2013</v>
      </c>
      <c r="R39" s="38" t="str">
        <f t="shared" si="74"/>
        <v>4ème T 2013</v>
      </c>
      <c r="S39" s="38" t="str">
        <f t="shared" si="74"/>
        <v>1er T 2014</v>
      </c>
      <c r="T39" s="38" t="str">
        <f t="shared" si="74"/>
        <v>2eme T 2014</v>
      </c>
      <c r="U39" s="38" t="str">
        <f t="shared" ref="U39:V39" si="75">U8</f>
        <v>3T 2014</v>
      </c>
      <c r="V39" s="38" t="str">
        <f t="shared" si="75"/>
        <v>4ème T 2014</v>
      </c>
      <c r="W39" s="38" t="str">
        <f t="shared" ref="W39:X39" si="76">W8</f>
        <v>1er T 2015</v>
      </c>
      <c r="X39" s="38" t="str">
        <f t="shared" si="76"/>
        <v>2e T 2015</v>
      </c>
      <c r="Y39" s="38" t="str">
        <f t="shared" ref="Y39:Z39" si="77">Y8</f>
        <v>3e T 2015</v>
      </c>
      <c r="Z39" s="38" t="str">
        <f t="shared" si="77"/>
        <v>4e T 2015</v>
      </c>
      <c r="AA39" s="38" t="str">
        <f t="shared" ref="AA39:AB39" si="78">AA8</f>
        <v>1er T 2016</v>
      </c>
      <c r="AB39" s="38" t="str">
        <f t="shared" si="78"/>
        <v>2e T 2016</v>
      </c>
      <c r="AC39" s="38" t="str">
        <f t="shared" ref="AC39:AD39" si="79">AC8</f>
        <v>3e T 2016</v>
      </c>
      <c r="AD39" s="38" t="str">
        <f t="shared" si="79"/>
        <v>4e T 2016</v>
      </c>
      <c r="AE39" s="38" t="str">
        <f t="shared" ref="AE39:AF39" si="80">AE8</f>
        <v>2017 - T1</v>
      </c>
      <c r="AF39" s="38" t="str">
        <f t="shared" si="80"/>
        <v>2017 - T2</v>
      </c>
      <c r="AG39" s="38" t="str">
        <f t="shared" ref="AG39:AH39" si="81">AG8</f>
        <v>2017- T3</v>
      </c>
      <c r="AH39" s="38" t="str">
        <f t="shared" si="81"/>
        <v>2017 - T4</v>
      </c>
      <c r="AI39" s="38" t="str">
        <f t="shared" ref="AI39:AJ39" si="82">AI8</f>
        <v>2018 - T1</v>
      </c>
      <c r="AJ39" s="38" t="str">
        <f t="shared" si="82"/>
        <v>2018 - T2</v>
      </c>
      <c r="AK39" s="38" t="str">
        <f t="shared" ref="AK39:AM39" si="83">AK8</f>
        <v>2018 - T3</v>
      </c>
      <c r="AL39" s="38" t="str">
        <f t="shared" si="83"/>
        <v>2018 - T4</v>
      </c>
      <c r="AM39" s="38" t="str">
        <f t="shared" si="83"/>
        <v>2019 - T1</v>
      </c>
      <c r="AN39" s="38" t="str">
        <f t="shared" ref="AN39:AP39" si="84">AN8</f>
        <v>2019 - T2</v>
      </c>
      <c r="AO39" s="38" t="str">
        <f t="shared" si="84"/>
        <v>2019 - T3</v>
      </c>
      <c r="AP39" s="38" t="str">
        <f t="shared" si="84"/>
        <v>2019 - T4</v>
      </c>
      <c r="AQ39" s="38" t="str">
        <f t="shared" ref="AQ39" si="85">AQ8</f>
        <v>2020 - T1</v>
      </c>
      <c r="AR39" s="38" t="str">
        <f t="shared" ref="AR39" si="86">AR8</f>
        <v>2020 - T2</v>
      </c>
      <c r="AS39" s="38" t="str">
        <f t="shared" ref="AS39:AT39" si="87">AS8</f>
        <v>2020 - T3</v>
      </c>
      <c r="AT39" s="38" t="str">
        <f t="shared" si="87"/>
        <v>2020- T4</v>
      </c>
      <c r="AU39" s="38" t="str">
        <f t="shared" ref="AU39:AV39" si="88">AU8</f>
        <v>2021- T1</v>
      </c>
      <c r="AV39" s="38" t="str">
        <f t="shared" si="88"/>
        <v>2021- T2</v>
      </c>
      <c r="AW39" s="38" t="str">
        <f t="shared" ref="AW39:AX39" si="89">AW8</f>
        <v>2021- T3</v>
      </c>
      <c r="AX39" s="38" t="str">
        <f t="shared" si="89"/>
        <v>2021- T4</v>
      </c>
      <c r="AY39" s="38" t="str">
        <f t="shared" ref="AY39:AZ39" si="90">AY8</f>
        <v>2022- T1</v>
      </c>
      <c r="AZ39" s="38" t="str">
        <f t="shared" si="90"/>
        <v>2022- T2</v>
      </c>
      <c r="BA39" s="38" t="str">
        <f t="shared" ref="BA39:BB39" si="91">BA8</f>
        <v>2022- T3</v>
      </c>
      <c r="BB39" s="38" t="str">
        <f t="shared" si="91"/>
        <v>2022- T4</v>
      </c>
      <c r="BC39" s="38" t="str">
        <f t="shared" ref="BC39:BD39" si="92">BC8</f>
        <v>2023- T1</v>
      </c>
      <c r="BD39" s="38" t="str">
        <f t="shared" si="92"/>
        <v>2023- T2</v>
      </c>
      <c r="BE39" s="38" t="str">
        <f t="shared" ref="BE39:BF39" si="93">BE8</f>
        <v>2023- T3</v>
      </c>
      <c r="BF39" s="38" t="str">
        <f t="shared" si="93"/>
        <v>2023- T4</v>
      </c>
      <c r="BG39" s="38" t="str">
        <f t="shared" ref="BG39:BH39" si="94">BG8</f>
        <v>2024- T1</v>
      </c>
      <c r="BH39" s="38" t="str">
        <f t="shared" si="94"/>
        <v>2024- T2</v>
      </c>
      <c r="BI39" s="38" t="str">
        <f t="shared" ref="BI39:BJ39" si="95">BI8</f>
        <v>2024- T3</v>
      </c>
      <c r="BJ39" s="38" t="str">
        <f t="shared" si="95"/>
        <v>2024- T4</v>
      </c>
    </row>
    <row r="40" spans="1:62" x14ac:dyDescent="0.25">
      <c r="A40" s="8" t="s">
        <v>135</v>
      </c>
      <c r="B40" s="9"/>
      <c r="C40" s="46"/>
      <c r="D40" s="46"/>
      <c r="E40" s="46"/>
      <c r="F40" s="110">
        <f>'B)NSA RCO Nb'!F41/'B)NSA RCO Nb'!B41-1</f>
        <v>-5.2300023795508466E-3</v>
      </c>
      <c r="G40" s="110">
        <f>'B)NSA RCO Nb'!G41/'B)NSA RCO Nb'!C41-1</f>
        <v>-7.7561566209418675E-3</v>
      </c>
      <c r="H40" s="110">
        <f>'B)NSA RCO Nb'!H41/'B)NSA RCO Nb'!D41-1</f>
        <v>-9.4372474402687478E-3</v>
      </c>
      <c r="I40" s="110">
        <f>'B)NSA RCO Nb'!I41/'B)NSA RCO Nb'!E41-1</f>
        <v>-1.104656723329922E-2</v>
      </c>
      <c r="J40" s="110">
        <f>'B)NSA RCO Nb'!J41/'B)NSA RCO Nb'!F41-1</f>
        <v>-1.4125751925609387E-2</v>
      </c>
      <c r="K40" s="110">
        <f>'B)NSA RCO Nb'!K41/'B)NSA RCO Nb'!G41-1</f>
        <v>-1.5905282808105103E-2</v>
      </c>
      <c r="L40" s="110">
        <f>'B)NSA RCO Nb'!L41/'B)NSA RCO Nb'!H41-1</f>
        <v>-1.7976914283401979E-2</v>
      </c>
      <c r="M40" s="110">
        <f>'B)NSA RCO Nb'!M41/'B)NSA RCO Nb'!I41-1</f>
        <v>-2.003669874201186E-2</v>
      </c>
      <c r="N40" s="110">
        <f>'B)NSA RCO Nb'!N41/'B)NSA RCO Nb'!J41-1</f>
        <v>-2.0439958420277016E-2</v>
      </c>
      <c r="O40" s="110">
        <f>'B)NSA RCO Nb'!O41/'B)NSA RCO Nb'!K41-1</f>
        <v>-1.9133031322541405E-2</v>
      </c>
      <c r="P40" s="110">
        <f>'B)NSA RCO Nb'!P41/'B)NSA RCO Nb'!L41-1</f>
        <v>-1.7538528102851503E-2</v>
      </c>
      <c r="Q40" s="110">
        <f>'B)NSA RCO Nb'!Q41/'B)NSA RCO Nb'!M41-1</f>
        <v>-1.3177304080445484E-2</v>
      </c>
      <c r="R40" s="110">
        <f>'B)NSA RCO Nb'!R41/'B)NSA RCO Nb'!N41-1</f>
        <v>-1.1360140170102229E-2</v>
      </c>
      <c r="S40" s="110">
        <f>'B)NSA RCO Nb'!S41/'B)NSA RCO Nb'!O41-1</f>
        <v>-1.3634041577180511E-2</v>
      </c>
      <c r="T40" s="110">
        <f>'B)NSA RCO Nb'!T41/'B)NSA RCO Nb'!P41-1</f>
        <v>0.15033370207456254</v>
      </c>
      <c r="U40" s="110">
        <f>'B)NSA RCO Nb'!U41/'B)NSA RCO Nb'!Q41-1</f>
        <v>0.14877020490444282</v>
      </c>
      <c r="V40" s="110">
        <f>'B)NSA RCO Nb'!V41/'B)NSA RCO Nb'!R41-1</f>
        <v>0.1493471386713856</v>
      </c>
      <c r="W40" s="110">
        <f>'B)NSA RCO Nb'!W41/'B)NSA RCO Nb'!S41-1</f>
        <v>0.15068663279084449</v>
      </c>
      <c r="X40" s="110">
        <f>'B)NSA RCO Nb'!X41/'B)NSA RCO Nb'!T41-1</f>
        <v>-1.5281648576773943E-2</v>
      </c>
      <c r="Y40" s="110">
        <f>'B)NSA RCO Nb'!Y41/'B)NSA RCO Nb'!U41-1</f>
        <v>-1.6707444468880617E-2</v>
      </c>
      <c r="Z40" s="110">
        <f>'B)NSA RCO Nb'!Z41/'B)NSA RCO Nb'!V41-1</f>
        <v>-1.6635842553796909E-2</v>
      </c>
      <c r="AA40" s="110">
        <f>'B)NSA RCO Nb'!AA41/'B)NSA RCO Nb'!W41-1</f>
        <v>-1.4898947566635345E-2</v>
      </c>
      <c r="AB40" s="110">
        <f>'B)NSA RCO Nb'!AB41/'B)NSA RCO Nb'!X41-1</f>
        <v>-1.1860103998648563E-2</v>
      </c>
      <c r="AC40" s="110">
        <f>'B)NSA RCO Nb'!AC41/'B)NSA RCO Nb'!Y41-1</f>
        <v>-9.7456077200682723E-3</v>
      </c>
      <c r="AD40" s="110">
        <f>'B)NSA RCO Nb'!AD41/'B)NSA RCO Nb'!Z41-1</f>
        <v>-1.0341705634736131E-2</v>
      </c>
      <c r="AE40" s="110">
        <f>'B)NSA RCO Nb'!AE41/'B)NSA RCO Nb'!AA41-1</f>
        <v>-1.1946971763186598E-2</v>
      </c>
      <c r="AF40" s="110">
        <f>'B)NSA RCO Nb'!AF41/'B)NSA RCO Nb'!AB41-1</f>
        <v>-1.3018857319506472E-2</v>
      </c>
      <c r="AG40" s="110">
        <f>'B)NSA RCO Nb'!AG41/'B)NSA RCO Nb'!AC41-1</f>
        <v>-1.2342483930772974E-2</v>
      </c>
      <c r="AH40" s="110">
        <f>'B)NSA RCO Nb'!AH41/'B)NSA RCO Nb'!AD41-1</f>
        <v>-9.7047090001980418E-3</v>
      </c>
      <c r="AI40" s="110">
        <f>'B)NSA RCO Nb'!AI41/'B)NSA RCO Nb'!AE41-1</f>
        <v>-7.1887961420677993E-3</v>
      </c>
      <c r="AJ40" s="110">
        <f>'B)NSA RCO Nb'!AJ41/'B)NSA RCO Nb'!AF41-1</f>
        <v>-5.8561540633593756E-3</v>
      </c>
      <c r="AK40" s="110">
        <f>'B)NSA RCO Nb'!AK41/'B)NSA RCO Nb'!AG41-1</f>
        <v>-6.1292551037422927E-3</v>
      </c>
      <c r="AL40" s="110">
        <f>'B)NSA RCO Nb'!AL41/'B)NSA RCO Nb'!AH41-1</f>
        <v>-6.7617759661721122E-3</v>
      </c>
      <c r="AM40" s="110">
        <f>'B)NSA RCO Nb'!AM41/'B)NSA RCO Nb'!AI41-1</f>
        <v>-8.0155510721067191E-3</v>
      </c>
      <c r="AN40" s="110">
        <f>'B)NSA RCO Nb'!AN41/'B)NSA RCO Nb'!AJ41-1</f>
        <v>-9.2465074981681328E-3</v>
      </c>
      <c r="AO40" s="110">
        <f>'B)NSA RCO Nb'!AO41/'B)NSA RCO Nb'!AK41-1</f>
        <v>-9.3188916079641748E-3</v>
      </c>
      <c r="AP40" s="110">
        <f>'B)NSA RCO Nb'!AP41/'B)NSA RCO Nb'!AL41-1</f>
        <v>-7.7450811183983337E-3</v>
      </c>
      <c r="AQ40" s="110">
        <f>'B)NSA RCO Nb'!AQ41/'B)NSA RCO Nb'!AM41-1</f>
        <v>-6.6741089609375637E-3</v>
      </c>
      <c r="AR40" s="110">
        <f>'B)NSA RCO Nb'!AR41/'B)NSA RCO Nb'!AN41-1</f>
        <v>-6.3696262301400353E-3</v>
      </c>
      <c r="AS40" s="110">
        <f>'B)NSA RCO Nb'!AS41/'B)NSA RCO Nb'!AO41-1</f>
        <v>-7.3912065207135669E-3</v>
      </c>
      <c r="AT40" s="110">
        <f>'B)NSA RCO Nb'!AT41/'B)NSA RCO Nb'!AP41-1</f>
        <v>-8.9361424564607939E-3</v>
      </c>
      <c r="AU40" s="110">
        <f>'B)NSA RCO Nb'!AU41/'B)NSA RCO Nb'!AQ41-1</f>
        <v>-1.1624317493391989E-2</v>
      </c>
      <c r="AV40" s="110">
        <f>'B)NSA RCO Nb'!AV41/'B)NSA RCO Nb'!AR41-1</f>
        <v>-1.3713144106815123E-2</v>
      </c>
      <c r="AW40" s="110">
        <f>'B)NSA RCO Nb'!AW41/'B)NSA RCO Nb'!AS41-1</f>
        <v>-1.2952319669294221E-2</v>
      </c>
      <c r="AX40" s="110">
        <f>'B)NSA RCO Nb'!AX41/'B)NSA RCO Nb'!AT41-1</f>
        <v>-1.1451888903514562E-2</v>
      </c>
      <c r="AY40" s="110">
        <f>'B)NSA RCO Nb'!AY41/'B)NSA RCO Nb'!AU41-1</f>
        <v>-7.8349941926857403E-3</v>
      </c>
      <c r="AZ40" s="110">
        <f>'B)NSA RCO Nb'!AZ41/'B)NSA RCO Nb'!AV41-1</f>
        <v>-5.9169852136825574E-3</v>
      </c>
      <c r="BA40" s="110">
        <f>'B)NSA RCO Nb'!BA41/'B)NSA RCO Nb'!AW41-1</f>
        <v>-5.0918609245357294E-3</v>
      </c>
      <c r="BB40" s="110">
        <f>'B)NSA RCO Nb'!BB41/'B)NSA RCO Nb'!AX41-1</f>
        <v>-2.1847413325443155E-3</v>
      </c>
      <c r="BC40" s="110">
        <f>'B)NSA RCO Nb'!BC41/'B)NSA RCO Nb'!AY41-1</f>
        <v>-4.02098289053332E-3</v>
      </c>
      <c r="BD40" s="110">
        <f>'B)NSA RCO Nb'!BD41/'B)NSA RCO Nb'!AZ41-1</f>
        <v>-2.0623757381524888E-3</v>
      </c>
      <c r="BE40" s="110">
        <f>'B)NSA RCO Nb'!BE41/'B)NSA RCO Nb'!BA41-1</f>
        <v>-4.889575028915738E-4</v>
      </c>
      <c r="BF40" s="110">
        <f>'B)NSA RCO Nb'!BF41/'B)NSA RCO Nb'!BB41-1</f>
        <v>-4.5396808137322386E-3</v>
      </c>
      <c r="BG40" s="110">
        <f>'B)NSA RCO Nb'!BG41/'B)NSA RCO Nb'!BC41-1</f>
        <v>-3.5408981139902762E-3</v>
      </c>
      <c r="BH40" s="110">
        <f>'B)NSA RCO Nb'!BH41/'B)NSA RCO Nb'!BD41-1</f>
        <v>-5.4713867289135631E-3</v>
      </c>
      <c r="BI40" s="110">
        <f>'B)NSA RCO Nb'!BI41/'B)NSA RCO Nb'!BE41-1</f>
        <v>7.8147310287284277E-3</v>
      </c>
      <c r="BJ40" s="110">
        <f>'B)NSA RCO Nb'!BJ41/'B)NSA RCO Nb'!BF41-1</f>
        <v>8.9296131990457273E-3</v>
      </c>
    </row>
    <row r="41" spans="1:62" ht="13" x14ac:dyDescent="0.25">
      <c r="A41" s="157" t="s">
        <v>137</v>
      </c>
      <c r="B41" s="9"/>
      <c r="C41" s="46"/>
      <c r="D41" s="46"/>
      <c r="E41" s="46"/>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row>
    <row r="42" spans="1:62" ht="13" x14ac:dyDescent="0.25">
      <c r="A42" s="157" t="s">
        <v>138</v>
      </c>
      <c r="B42" s="9"/>
      <c r="C42" s="46"/>
      <c r="D42" s="46"/>
      <c r="E42" s="46"/>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row>
    <row r="43" spans="1:62" x14ac:dyDescent="0.25">
      <c r="A43" s="8" t="s">
        <v>136</v>
      </c>
      <c r="B43" s="9"/>
      <c r="C43" s="46"/>
      <c r="D43" s="46"/>
      <c r="E43" s="46"/>
      <c r="F43" s="110">
        <f>'B)NSA RCO Nb'!F44/'B)NSA RCO Nb'!B44-1</f>
        <v>0.72268416983543449</v>
      </c>
      <c r="G43" s="110">
        <f>'B)NSA RCO Nb'!G44/'B)NSA RCO Nb'!C44-1</f>
        <v>0.74510387616331908</v>
      </c>
      <c r="H43" s="110">
        <f>'B)NSA RCO Nb'!H44/'B)NSA RCO Nb'!D44-1</f>
        <v>6.590894060070096E-2</v>
      </c>
      <c r="I43" s="110">
        <f>'B)NSA RCO Nb'!I44/'B)NSA RCO Nb'!E44-1</f>
        <v>6.186342323940397E-2</v>
      </c>
      <c r="J43" s="110">
        <f>'B)NSA RCO Nb'!J44/'B)NSA RCO Nb'!F44-1</f>
        <v>6.0742613251268507E-2</v>
      </c>
      <c r="K43" s="110">
        <f>'B)NSA RCO Nb'!K44/'B)NSA RCO Nb'!G44-1</f>
        <v>5.5484230088972186E-2</v>
      </c>
      <c r="L43" s="110">
        <f>'B)NSA RCO Nb'!L44/'B)NSA RCO Nb'!H44-1</f>
        <v>5.0532268500873112E-2</v>
      </c>
      <c r="M43" s="110">
        <f>'B)NSA RCO Nb'!M44/'B)NSA RCO Nb'!I44-1</f>
        <v>4.7399622271964148E-2</v>
      </c>
      <c r="N43" s="110">
        <f>'B)NSA RCO Nb'!N44/'B)NSA RCO Nb'!J44-1</f>
        <v>4.5201789075586696E-2</v>
      </c>
      <c r="O43" s="110">
        <f>'B)NSA RCO Nb'!O44/'B)NSA RCO Nb'!K44-1</f>
        <v>3.7911587829504212E-2</v>
      </c>
      <c r="P43" s="110">
        <f>'B)NSA RCO Nb'!P44/'B)NSA RCO Nb'!L44-1</f>
        <v>3.4542693216334852E-2</v>
      </c>
      <c r="Q43" s="110">
        <f>'B)NSA RCO Nb'!Q44/'B)NSA RCO Nb'!M44-1</f>
        <v>3.2832730885139716E-2</v>
      </c>
      <c r="R43" s="110">
        <f>'B)NSA RCO Nb'!R44/'B)NSA RCO Nb'!N44-1</f>
        <v>3.2672719312014209E-2</v>
      </c>
      <c r="S43" s="110">
        <f>'B)NSA RCO Nb'!S44/'B)NSA RCO Nb'!O44-1</f>
        <v>3.3625635141780075E-2</v>
      </c>
      <c r="T43" s="110">
        <f>'B)NSA RCO Nb'!T44/'B)NSA RCO Nb'!P44-1</f>
        <v>0.66428792796907365</v>
      </c>
      <c r="U43" s="110">
        <f>'B)NSA RCO Nb'!U44/'B)NSA RCO Nb'!Q44-1</f>
        <v>0.65295582030681687</v>
      </c>
      <c r="V43" s="110">
        <f>'B)NSA RCO Nb'!V44/'B)NSA RCO Nb'!R44-1</f>
        <v>0.65916290678698286</v>
      </c>
      <c r="W43" s="110">
        <f>'B)NSA RCO Nb'!W44/'B)NSA RCO Nb'!S44-1</f>
        <v>0.63993878991143571</v>
      </c>
      <c r="X43" s="110">
        <f>'B)NSA RCO Nb'!X44/'B)NSA RCO Nb'!T44-1</f>
        <v>7.5613162472740747E-3</v>
      </c>
      <c r="Y43" s="110">
        <f>'B)NSA RCO Nb'!Y44/'B)NSA RCO Nb'!U44-1</f>
        <v>3.9314057709516348E-3</v>
      </c>
      <c r="Z43" s="110">
        <f>'B)NSA RCO Nb'!Z44/'B)NSA RCO Nb'!V44-1</f>
        <v>-9.7829336264838584E-3</v>
      </c>
      <c r="AA43" s="110">
        <f>'B)NSA RCO Nb'!AA44/'B)NSA RCO Nb'!W44-1</f>
        <v>-1.0481835674985729E-2</v>
      </c>
      <c r="AB43" s="110">
        <f>'B)NSA RCO Nb'!AB44/'B)NSA RCO Nb'!X44-1</f>
        <v>-1.1055017314501425E-2</v>
      </c>
      <c r="AC43" s="110">
        <f>'B)NSA RCO Nb'!AC44/'B)NSA RCO Nb'!Y44-1</f>
        <v>-1.2878024070799854E-2</v>
      </c>
      <c r="AD43" s="110">
        <f>'B)NSA RCO Nb'!AD44/'B)NSA RCO Nb'!Z44-1</f>
        <v>-1.3955096336908945E-2</v>
      </c>
      <c r="AE43" s="110">
        <f>'B)NSA RCO Nb'!AE44/'B)NSA RCO Nb'!AA44-1</f>
        <v>-1.5596142006977232E-2</v>
      </c>
      <c r="AF43" s="110">
        <f>'B)NSA RCO Nb'!AF44/'B)NSA RCO Nb'!AB44-1</f>
        <v>-1.9401480315735076E-2</v>
      </c>
      <c r="AG43" s="110">
        <f>'B)NSA RCO Nb'!AG44/'B)NSA RCO Nb'!AC44-1</f>
        <v>-2.1212136164249773E-2</v>
      </c>
      <c r="AH43" s="110">
        <f>'B)NSA RCO Nb'!AH44/'B)NSA RCO Nb'!AD44-1</f>
        <v>-2.4186818233443819E-2</v>
      </c>
      <c r="AI43" s="110">
        <f>'B)NSA RCO Nb'!AI44/'B)NSA RCO Nb'!AE44-1</f>
        <v>-2.662874614094124E-2</v>
      </c>
      <c r="AJ43" s="110">
        <f>'B)NSA RCO Nb'!AJ44/'B)NSA RCO Nb'!AF44-1</f>
        <v>-2.7699483424444504E-2</v>
      </c>
      <c r="AK43" s="110">
        <f>'B)NSA RCO Nb'!AK44/'B)NSA RCO Nb'!AG44-1</f>
        <v>-2.5427488304565204E-2</v>
      </c>
      <c r="AL43" s="110">
        <f>'B)NSA RCO Nb'!AL44/'B)NSA RCO Nb'!AH44-1</f>
        <v>-2.1431210116948152E-2</v>
      </c>
      <c r="AM43" s="110">
        <f>'B)NSA RCO Nb'!AM44/'B)NSA RCO Nb'!AI44-1</f>
        <v>-1.8846661805424492E-2</v>
      </c>
      <c r="AN43" s="110">
        <f>'B)NSA RCO Nb'!AN44/'B)NSA RCO Nb'!AJ44-1</f>
        <v>-1.6991029932892143E-2</v>
      </c>
      <c r="AO43" s="110">
        <f>'B)NSA RCO Nb'!AO44/'B)NSA RCO Nb'!AK44-1</f>
        <v>-1.9537150069313669E-2</v>
      </c>
      <c r="AP43" s="110">
        <f>'B)NSA RCO Nb'!AP44/'B)NSA RCO Nb'!AL44-1</f>
        <v>-2.2474582932555554E-2</v>
      </c>
      <c r="AQ43" s="110">
        <f>'B)NSA RCO Nb'!AQ44/'B)NSA RCO Nb'!AM44-1</f>
        <v>-2.2254213592636685E-2</v>
      </c>
      <c r="AR43" s="110">
        <f>'B)NSA RCO Nb'!AR44/'B)NSA RCO Nb'!AN44-1</f>
        <v>-2.3397858038651909E-2</v>
      </c>
      <c r="AS43" s="110">
        <f>'B)NSA RCO Nb'!AS44/'B)NSA RCO Nb'!AO44-1</f>
        <v>-2.6099067777385021E-2</v>
      </c>
      <c r="AT43" s="110">
        <f>'B)NSA RCO Nb'!AT44/'B)NSA RCO Nb'!AP44-1</f>
        <v>-1.6315043274012342E-2</v>
      </c>
      <c r="AU43" s="110">
        <f>'B)NSA RCO Nb'!AU44/'B)NSA RCO Nb'!AQ44-1</f>
        <v>-2.1803955754235105E-2</v>
      </c>
      <c r="AV43" s="110">
        <f>'B)NSA RCO Nb'!AV44/'B)NSA RCO Nb'!AR44-1</f>
        <v>-2.2889196943808643E-2</v>
      </c>
      <c r="AW43" s="110">
        <f>'B)NSA RCO Nb'!AW44/'B)NSA RCO Nb'!AS44-1</f>
        <v>-2.0807150595883006E-2</v>
      </c>
      <c r="AX43" s="110">
        <f>'B)NSA RCO Nb'!AX44/'B)NSA RCO Nb'!AT44-1</f>
        <v>-0.97896678569892015</v>
      </c>
      <c r="AY43" s="110">
        <f>'B)NSA RCO Nb'!AY44/'B)NSA RCO Nb'!AU44-1</f>
        <v>-2.9517086980856311E-2</v>
      </c>
      <c r="AZ43" s="110">
        <f>'B)NSA RCO Nb'!AZ44/'B)NSA RCO Nb'!AV44-1</f>
        <v>-2.9567675167991858E-2</v>
      </c>
      <c r="BA43" s="110">
        <f>'B)NSA RCO Nb'!BA44/'B)NSA RCO Nb'!AW44-1</f>
        <v>-3.1367732727001107E-2</v>
      </c>
      <c r="BB43" s="110">
        <f>'B)NSA RCO Nb'!BB44/'B)NSA RCO Nb'!AX44-1</f>
        <v>43.628228074661209</v>
      </c>
      <c r="BC43" s="110">
        <f>'B)NSA RCO Nb'!BC44/'B)NSA RCO Nb'!AY44-1</f>
        <v>-3.6691545770645595E-2</v>
      </c>
      <c r="BD43" s="110">
        <f>'B)NSA RCO Nb'!BD44/'B)NSA RCO Nb'!AZ44-1</f>
        <v>-3.310913036826324E-2</v>
      </c>
      <c r="BE43" s="110">
        <f>'B)NSA RCO Nb'!BE44/'B)NSA RCO Nb'!BA44-1</f>
        <v>-3.1424018641947771E-2</v>
      </c>
      <c r="BF43" s="110">
        <f>'B)NSA RCO Nb'!BF44/'B)NSA RCO Nb'!BB44-1</f>
        <v>-2.9397104405268659E-2</v>
      </c>
      <c r="BG43" s="110">
        <f>'B)NSA RCO Nb'!BG44/'B)NSA RCO Nb'!BC44-1</f>
        <v>-2.367998884006417E-2</v>
      </c>
      <c r="BH43" s="110">
        <f>'B)NSA RCO Nb'!BH44/'B)NSA RCO Nb'!BD44-1</f>
        <v>-2.8271036253032844E-2</v>
      </c>
      <c r="BI43" s="110">
        <f>'B)NSA RCO Nb'!BI44/'B)NSA RCO Nb'!BE44-1</f>
        <v>-6.8991137292362392E-4</v>
      </c>
      <c r="BJ43" s="110">
        <f>'B)NSA RCO Nb'!BJ44/'B)NSA RCO Nb'!BF44-1</f>
        <v>-1.3576530311079082E-3</v>
      </c>
    </row>
    <row r="44" spans="1:62" x14ac:dyDescent="0.25">
      <c r="A44" s="8" t="s">
        <v>4</v>
      </c>
      <c r="B44" s="9"/>
      <c r="C44" s="46"/>
      <c r="D44" s="46"/>
      <c r="E44" s="46"/>
      <c r="F44" s="110">
        <f>'B)NSA RCO Nb'!F45/'B)NSA RCO Nb'!B45-1</f>
        <v>1.0340314136125652</v>
      </c>
      <c r="G44" s="110">
        <f>'B)NSA RCO Nb'!G45/'B)NSA RCO Nb'!C45-1</f>
        <v>2.9977011494252874</v>
      </c>
      <c r="H44" s="110">
        <f>'B)NSA RCO Nb'!H45/'B)NSA RCO Nb'!D45-1</f>
        <v>7.9301075268817245E-2</v>
      </c>
      <c r="I44" s="110">
        <f>'B)NSA RCO Nb'!I45/'B)NSA RCO Nb'!E45-1</f>
        <v>-0.18488253319713999</v>
      </c>
      <c r="J44" s="110">
        <f>'B)NSA RCO Nb'!J45/'B)NSA RCO Nb'!F45-1</f>
        <v>2.5740025740025763E-2</v>
      </c>
      <c r="K44" s="110">
        <f>'B)NSA RCO Nb'!K45/'B)NSA RCO Nb'!G45-1</f>
        <v>0.19838987924094309</v>
      </c>
      <c r="L44" s="110">
        <f>'B)NSA RCO Nb'!L45/'B)NSA RCO Nb'!H45-1</f>
        <v>0.26027397260273966</v>
      </c>
      <c r="M44" s="110">
        <f>'B)NSA RCO Nb'!M45/'B)NSA RCO Nb'!I45-1</f>
        <v>0.13032581453634084</v>
      </c>
      <c r="N44" s="110">
        <f>'B)NSA RCO Nb'!N45/'B)NSA RCO Nb'!J45-1</f>
        <v>0.11543287327478047</v>
      </c>
      <c r="O44" s="110">
        <f>'B)NSA RCO Nb'!O45/'B)NSA RCO Nb'!K45-1</f>
        <v>-2.5431861804222633E-2</v>
      </c>
      <c r="P44" s="110">
        <f>'B)NSA RCO Nb'!P45/'B)NSA RCO Nb'!L45-1</f>
        <v>-4.2490118577075076E-2</v>
      </c>
      <c r="Q44" s="110">
        <f>'B)NSA RCO Nb'!Q45/'B)NSA RCO Nb'!M45-1</f>
        <v>6.7627494456762749E-2</v>
      </c>
      <c r="R44" s="110">
        <f>'B)NSA RCO Nb'!R45/'B)NSA RCO Nb'!N45-1</f>
        <v>0.72328458942632179</v>
      </c>
      <c r="S44" s="110">
        <f>'B)NSA RCO Nb'!S45/'B)NSA RCO Nb'!O45-1</f>
        <v>-0.34170359428852781</v>
      </c>
      <c r="T44" s="110">
        <f>'B)NSA RCO Nb'!T45/'B)NSA RCO Nb'!P45-1</f>
        <v>0.15789473684210531</v>
      </c>
      <c r="U44" s="110">
        <f>'B)NSA RCO Nb'!U45/'B)NSA RCO Nb'!Q45-1</f>
        <v>0.30425752855659405</v>
      </c>
      <c r="V44" s="110">
        <f>'B)NSA RCO Nb'!V45/'B)NSA RCO Nb'!R45-1</f>
        <v>-0.10248041775456918</v>
      </c>
      <c r="W44" s="110">
        <f>'B)NSA RCO Nb'!W45/'B)NSA RCO Nb'!S45-1</f>
        <v>4.4876589379207132E-2</v>
      </c>
      <c r="X44" s="110">
        <f>'B)NSA RCO Nb'!X45/'B)NSA RCO Nb'!T45-1</f>
        <v>0.19518716577540096</v>
      </c>
      <c r="Y44" s="110">
        <f>'B)NSA RCO Nb'!Y45/'B)NSA RCO Nb'!U45-1</f>
        <v>3.2643312101910738E-2</v>
      </c>
      <c r="Z44" s="110">
        <f>'B)NSA RCO Nb'!Z45/'B)NSA RCO Nb'!V45-1</f>
        <v>-3.8545454545454549E-2</v>
      </c>
      <c r="AA44" s="110">
        <f>'B)NSA RCO Nb'!AA45/'B)NSA RCO Nb'!W45-1</f>
        <v>-1.6463851109520422E-2</v>
      </c>
      <c r="AB44" s="110">
        <f>'B)NSA RCO Nb'!AB45/'B)NSA RCO Nb'!X45-1</f>
        <v>2.162565249813575E-2</v>
      </c>
      <c r="AC44" s="110">
        <f>'B)NSA RCO Nb'!AC45/'B)NSA RCO Nb'!Y45-1</f>
        <v>8.4040092521202814E-2</v>
      </c>
      <c r="AD44" s="110">
        <f>'B)NSA RCO Nb'!AD45/'B)NSA RCO Nb'!Z45-1</f>
        <v>0.1089258698940998</v>
      </c>
      <c r="AE44" s="110">
        <f>'B)NSA RCO Nb'!AE45/'B)NSA RCO Nb'!AA45-1</f>
        <v>0.10625909752547313</v>
      </c>
      <c r="AF44" s="110">
        <f>'B)NSA RCO Nb'!AF45/'B)NSA RCO Nb'!AB45-1</f>
        <v>0.10875912408759114</v>
      </c>
      <c r="AG44" s="110">
        <f>'B)NSA RCO Nb'!AG45/'B)NSA RCO Nb'!AC45-1</f>
        <v>8.5348506401137891E-2</v>
      </c>
      <c r="AH44" s="110">
        <f>'B)NSA RCO Nb'!AH45/'B)NSA RCO Nb'!AD45-1</f>
        <v>6.4120054570259155E-2</v>
      </c>
      <c r="AI44" s="110">
        <f>'B)NSA RCO Nb'!AI45/'B)NSA RCO Nb'!AE45-1</f>
        <v>0.12434210526315792</v>
      </c>
      <c r="AJ44" s="110">
        <f>'B)NSA RCO Nb'!AJ45/'B)NSA RCO Nb'!AF45-1</f>
        <v>6.7807768268597801E-2</v>
      </c>
      <c r="AK44" s="110">
        <f>'B)NSA RCO Nb'!AK45/'B)NSA RCO Nb'!AG45-1</f>
        <v>0.11205766710353871</v>
      </c>
      <c r="AL44" s="110">
        <f>'B)NSA RCO Nb'!AL45/'B)NSA RCO Nb'!AH45-1</f>
        <v>9.6153846153846256E-2</v>
      </c>
      <c r="AM44" s="110">
        <f>'B)NSA RCO Nb'!AM45/'B)NSA RCO Nb'!AI45-1</f>
        <v>-7.6067875950848185E-3</v>
      </c>
      <c r="AN44" s="110">
        <f>'B)NSA RCO Nb'!AN45/'B)NSA RCO Nb'!AJ45-1</f>
        <v>6.3501849568434077E-2</v>
      </c>
      <c r="AO44" s="110">
        <f>'B)NSA RCO Nb'!AO45/'B)NSA RCO Nb'!AK45-1</f>
        <v>0.18621096051856223</v>
      </c>
      <c r="AP44" s="110">
        <f>'B)NSA RCO Nb'!AP45/'B)NSA RCO Nb'!AL45-1</f>
        <v>0.20350877192982453</v>
      </c>
      <c r="AQ44" s="110">
        <f>'B)NSA RCO Nb'!AQ45/'B)NSA RCO Nb'!AM45-1</f>
        <v>0.11851415094339623</v>
      </c>
      <c r="AR44" s="110">
        <f>'B)NSA RCO Nb'!AR45/'B)NSA RCO Nb'!AN45-1</f>
        <v>0.10144927536231885</v>
      </c>
      <c r="AS44" s="110">
        <f>'B)NSA RCO Nb'!AS45/'B)NSA RCO Nb'!AO45-1</f>
        <v>-2.9806259314456018E-2</v>
      </c>
      <c r="AT44" s="110">
        <f>'B)NSA RCO Nb'!AT45/'B)NSA RCO Nb'!AP45-1</f>
        <v>-0.91642371234207964</v>
      </c>
      <c r="AU44" s="110">
        <f>'B)NSA RCO Nb'!AU45/'B)NSA RCO Nb'!AQ45-1</f>
        <v>-0.69952556668423826</v>
      </c>
      <c r="AV44" s="110">
        <f>'B)NSA RCO Nb'!AV45/'B)NSA RCO Nb'!AR45-1</f>
        <v>-0.9</v>
      </c>
      <c r="AW44" s="110">
        <f>'B)NSA RCO Nb'!AW45/'B)NSA RCO Nb'!AS45-1</f>
        <v>-0.91807475678443418</v>
      </c>
      <c r="AX44" s="110">
        <f>'B)NSA RCO Nb'!AX45/'B)NSA RCO Nb'!AT45-1</f>
        <v>-1310.546511627907</v>
      </c>
      <c r="AY44" s="110">
        <f>'B)NSA RCO Nb'!AY45/'B)NSA RCO Nb'!AU45-1</f>
        <v>-0.6596491228070176</v>
      </c>
      <c r="AZ44" s="110">
        <f>'B)NSA RCO Nb'!AZ45/'B)NSA RCO Nb'!AV45-1</f>
        <v>-9.9999999999999978E-2</v>
      </c>
      <c r="BA44" s="110">
        <f>'B)NSA RCO Nb'!BA45/'B)NSA RCO Nb'!AW45-1</f>
        <v>7.4999999999999956E-2</v>
      </c>
      <c r="BB44" s="110">
        <f>'B)NSA RCO Nb'!BB45/'B)NSA RCO Nb'!AX45-1</f>
        <v>-1.0007947008106837</v>
      </c>
      <c r="BC44" s="110">
        <f>'B)NSA RCO Nb'!BC45/'B)NSA RCO Nb'!AY45-1</f>
        <v>2.5773195876288568E-2</v>
      </c>
      <c r="BD44" s="110">
        <f>'B)NSA RCO Nb'!BD45/'B)NSA RCO Nb'!AZ45-1</f>
        <v>3.5087719298245723E-2</v>
      </c>
      <c r="BE44" s="110">
        <f>'B)NSA RCO Nb'!BE45/'B)NSA RCO Nb'!BA45-1</f>
        <v>-5.2325581395348819E-2</v>
      </c>
      <c r="BF44" s="110">
        <f>'B)NSA RCO Nb'!BF45/'B)NSA RCO Nb'!BB45-1</f>
        <v>8.9385474860335101E-2</v>
      </c>
      <c r="BG44" s="110">
        <f>'B)NSA RCO Nb'!BG45/'B)NSA RCO Nb'!BC45-1</f>
        <v>1.8592964824120601</v>
      </c>
      <c r="BH44" s="110">
        <f>'B)NSA RCO Nb'!BH45/'B)NSA RCO Nb'!BD45-1</f>
        <v>0.33898305084745761</v>
      </c>
      <c r="BI44" s="110">
        <f>'B)NSA RCO Nb'!BI45/'B)NSA RCO Nb'!BE45-1</f>
        <v>0.44171779141104284</v>
      </c>
      <c r="BJ44" s="110">
        <f>'B)NSA RCO Nb'!BJ45/'B)NSA RCO Nb'!BF45-1</f>
        <v>0.42564102564102568</v>
      </c>
    </row>
    <row r="45" spans="1:62" x14ac:dyDescent="0.25">
      <c r="A45" s="12"/>
      <c r="B45" s="13"/>
      <c r="C45" s="47"/>
      <c r="D45" s="47"/>
      <c r="E45" s="47"/>
      <c r="F45" s="47"/>
      <c r="G45" s="47"/>
      <c r="H45" s="47"/>
      <c r="I45" s="47"/>
      <c r="J45" s="47"/>
      <c r="K45" s="150"/>
      <c r="L45" s="150"/>
      <c r="M45" s="47"/>
      <c r="N45" s="47"/>
      <c r="O45" s="47"/>
      <c r="P45" s="47"/>
      <c r="Q45" s="47"/>
      <c r="R45" s="47"/>
      <c r="S45" s="47"/>
      <c r="T45" s="47"/>
      <c r="U45" s="47"/>
      <c r="V45" s="47"/>
      <c r="W45" s="47"/>
      <c r="X45" s="47"/>
      <c r="Y45" s="47"/>
      <c r="Z45" s="47"/>
      <c r="AA45" s="47"/>
      <c r="AB45" s="47"/>
      <c r="AC45" s="47"/>
      <c r="AD45" s="47"/>
      <c r="AE45" s="47"/>
      <c r="AF45" s="47"/>
      <c r="AG45" s="47"/>
      <c r="AH45" s="47"/>
      <c r="AI45" s="47"/>
      <c r="AJ45" s="47"/>
      <c r="AM45" s="47"/>
      <c r="AN45" s="47"/>
      <c r="AO45" s="47"/>
    </row>
    <row r="46" spans="1:62" ht="13" x14ac:dyDescent="0.3">
      <c r="A46" s="25" t="s">
        <v>43</v>
      </c>
      <c r="C46" s="54"/>
      <c r="D46" s="54"/>
      <c r="E46" s="54"/>
      <c r="F46" s="54"/>
      <c r="G46" s="54"/>
      <c r="H46" s="54"/>
      <c r="I46" s="54"/>
      <c r="J46" s="54"/>
      <c r="K46" s="153"/>
      <c r="L46" s="153"/>
      <c r="M46" s="54"/>
      <c r="N46" s="54"/>
      <c r="O46" s="54"/>
      <c r="P46" s="54"/>
      <c r="Q46" s="54"/>
      <c r="R46" s="54"/>
      <c r="S46" s="54"/>
      <c r="T46" s="54"/>
      <c r="U46" s="54"/>
      <c r="V46" s="54"/>
      <c r="W46" s="54"/>
      <c r="X46" s="54"/>
      <c r="Y46" s="54"/>
      <c r="Z46" s="54"/>
      <c r="AA46" s="54"/>
      <c r="AB46" s="54"/>
      <c r="AC46" s="54"/>
      <c r="AD46" s="54"/>
      <c r="AE46" s="54"/>
      <c r="AF46" s="54"/>
      <c r="AG46" s="54"/>
      <c r="AH46" s="54"/>
      <c r="AI46" s="54"/>
      <c r="AJ46" s="54"/>
      <c r="AM46" s="54"/>
      <c r="AN46" s="54"/>
      <c r="AO46" s="54"/>
    </row>
    <row r="47" spans="1:62" x14ac:dyDescent="0.25">
      <c r="A47" s="17" t="s">
        <v>7</v>
      </c>
      <c r="L47" s="14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M47" s="35"/>
      <c r="AN47" s="35"/>
      <c r="AO47" s="35"/>
    </row>
    <row r="48" spans="1:62" x14ac:dyDescent="0.25">
      <c r="B48" s="2" t="str">
        <f t="shared" ref="B48:H48" si="96">B8</f>
        <v>4eme T 2009</v>
      </c>
      <c r="C48" s="38" t="str">
        <f t="shared" si="96"/>
        <v>1er T 2010</v>
      </c>
      <c r="D48" s="38" t="str">
        <f t="shared" si="96"/>
        <v>2eme T 2010</v>
      </c>
      <c r="E48" s="38" t="str">
        <f t="shared" si="96"/>
        <v>3eme T 2010</v>
      </c>
      <c r="F48" s="38" t="str">
        <f t="shared" si="96"/>
        <v>4eme T 2010</v>
      </c>
      <c r="G48" s="38" t="str">
        <f t="shared" si="96"/>
        <v>1er T 2011</v>
      </c>
      <c r="H48" s="38" t="str">
        <f t="shared" si="96"/>
        <v>2eme T 2011</v>
      </c>
      <c r="I48" s="38" t="str">
        <f t="shared" ref="I48:N48" si="97">I8</f>
        <v>3eme T 2011</v>
      </c>
      <c r="J48" s="38" t="str">
        <f t="shared" si="97"/>
        <v>4eme T 2011</v>
      </c>
      <c r="K48" s="38" t="str">
        <f t="shared" si="97"/>
        <v>1er T 2012</v>
      </c>
      <c r="L48" s="38" t="str">
        <f t="shared" si="97"/>
        <v>2eme T 2012</v>
      </c>
      <c r="M48" s="38" t="str">
        <f t="shared" si="97"/>
        <v>3eme T 2012</v>
      </c>
      <c r="N48" s="38" t="str">
        <f t="shared" si="97"/>
        <v>4eme T 2012</v>
      </c>
      <c r="O48" s="38" t="str">
        <f t="shared" ref="O48:T48" si="98">O8</f>
        <v>1er T 2013</v>
      </c>
      <c r="P48" s="38" t="str">
        <f t="shared" si="98"/>
        <v>2eme T 2013</v>
      </c>
      <c r="Q48" s="38" t="str">
        <f t="shared" si="98"/>
        <v>3ème T 2013</v>
      </c>
      <c r="R48" s="38" t="str">
        <f t="shared" si="98"/>
        <v>4ème T 2013</v>
      </c>
      <c r="S48" s="38" t="str">
        <f t="shared" si="98"/>
        <v>1er T 2014</v>
      </c>
      <c r="T48" s="38" t="str">
        <f t="shared" si="98"/>
        <v>2eme T 2014</v>
      </c>
      <c r="U48" s="38" t="str">
        <f t="shared" ref="U48:V48" si="99">U8</f>
        <v>3T 2014</v>
      </c>
      <c r="V48" s="38" t="str">
        <f t="shared" si="99"/>
        <v>4ème T 2014</v>
      </c>
      <c r="W48" s="38" t="str">
        <f t="shared" ref="W48:X48" si="100">W8</f>
        <v>1er T 2015</v>
      </c>
      <c r="X48" s="38" t="str">
        <f t="shared" si="100"/>
        <v>2e T 2015</v>
      </c>
      <c r="Y48" s="38" t="str">
        <f t="shared" ref="Y48:Z48" si="101">Y8</f>
        <v>3e T 2015</v>
      </c>
      <c r="Z48" s="38" t="str">
        <f t="shared" si="101"/>
        <v>4e T 2015</v>
      </c>
      <c r="AA48" s="38" t="str">
        <f t="shared" ref="AA48:AB48" si="102">AA8</f>
        <v>1er T 2016</v>
      </c>
      <c r="AB48" s="38" t="str">
        <f t="shared" si="102"/>
        <v>2e T 2016</v>
      </c>
      <c r="AC48" s="38" t="str">
        <f t="shared" ref="AC48:AD48" si="103">AC8</f>
        <v>3e T 2016</v>
      </c>
      <c r="AD48" s="38" t="str">
        <f t="shared" si="103"/>
        <v>4e T 2016</v>
      </c>
      <c r="AE48" s="38" t="str">
        <f t="shared" ref="AE48:AF48" si="104">AE8</f>
        <v>2017 - T1</v>
      </c>
      <c r="AF48" s="38" t="str">
        <f t="shared" si="104"/>
        <v>2017 - T2</v>
      </c>
      <c r="AG48" s="38" t="str">
        <f t="shared" ref="AG48:AH48" si="105">AG8</f>
        <v>2017- T3</v>
      </c>
      <c r="AH48" s="38" t="str">
        <f t="shared" si="105"/>
        <v>2017 - T4</v>
      </c>
      <c r="AI48" s="38" t="str">
        <f t="shared" ref="AI48:AJ48" si="106">AI8</f>
        <v>2018 - T1</v>
      </c>
      <c r="AJ48" s="38" t="str">
        <f t="shared" si="106"/>
        <v>2018 - T2</v>
      </c>
      <c r="AK48" s="38" t="str">
        <f t="shared" ref="AK48:AM48" si="107">AK8</f>
        <v>2018 - T3</v>
      </c>
      <c r="AL48" s="38" t="str">
        <f t="shared" si="107"/>
        <v>2018 - T4</v>
      </c>
      <c r="AM48" s="38" t="str">
        <f t="shared" si="107"/>
        <v>2019 - T1</v>
      </c>
      <c r="AN48" s="38" t="str">
        <f t="shared" ref="AN48:AP48" si="108">AN8</f>
        <v>2019 - T2</v>
      </c>
      <c r="AO48" s="38" t="str">
        <f t="shared" si="108"/>
        <v>2019 - T3</v>
      </c>
      <c r="AP48" s="38" t="str">
        <f t="shared" si="108"/>
        <v>2019 - T4</v>
      </c>
      <c r="AQ48" s="38" t="str">
        <f t="shared" ref="AQ48" si="109">AQ8</f>
        <v>2020 - T1</v>
      </c>
      <c r="AR48" s="38" t="str">
        <f t="shared" ref="AR48" si="110">AR8</f>
        <v>2020 - T2</v>
      </c>
      <c r="AS48" s="38" t="str">
        <f t="shared" ref="AS48:AT48" si="111">AS8</f>
        <v>2020 - T3</v>
      </c>
      <c r="AT48" s="38" t="str">
        <f t="shared" si="111"/>
        <v>2020- T4</v>
      </c>
      <c r="AU48" s="38" t="str">
        <f t="shared" ref="AU48:AV48" si="112">AU8</f>
        <v>2021- T1</v>
      </c>
      <c r="AV48" s="38" t="str">
        <f t="shared" si="112"/>
        <v>2021- T2</v>
      </c>
      <c r="AW48" s="38" t="str">
        <f t="shared" ref="AW48:AX48" si="113">AW8</f>
        <v>2021- T3</v>
      </c>
      <c r="AX48" s="38" t="str">
        <f t="shared" si="113"/>
        <v>2021- T4</v>
      </c>
      <c r="AY48" s="38" t="str">
        <f t="shared" ref="AY48:AZ48" si="114">AY8</f>
        <v>2022- T1</v>
      </c>
      <c r="AZ48" s="38" t="str">
        <f t="shared" si="114"/>
        <v>2022- T2</v>
      </c>
      <c r="BA48" s="38" t="str">
        <f t="shared" ref="BA48:BB48" si="115">BA8</f>
        <v>2022- T3</v>
      </c>
      <c r="BB48" s="38" t="str">
        <f t="shared" si="115"/>
        <v>2022- T4</v>
      </c>
      <c r="BC48" s="38" t="str">
        <f t="shared" ref="BC48:BD48" si="116">BC8</f>
        <v>2023- T1</v>
      </c>
      <c r="BD48" s="38" t="str">
        <f t="shared" si="116"/>
        <v>2023- T2</v>
      </c>
      <c r="BE48" s="38" t="str">
        <f t="shared" ref="BE48:BF48" si="117">BE8</f>
        <v>2023- T3</v>
      </c>
      <c r="BF48" s="38" t="str">
        <f t="shared" si="117"/>
        <v>2023- T4</v>
      </c>
      <c r="BG48" s="38" t="str">
        <f t="shared" ref="BG48:BH48" si="118">BG8</f>
        <v>2024- T1</v>
      </c>
      <c r="BH48" s="38" t="str">
        <f t="shared" si="118"/>
        <v>2024- T2</v>
      </c>
      <c r="BI48" s="38" t="str">
        <f t="shared" ref="BI48:BJ48" si="119">BI8</f>
        <v>2024- T3</v>
      </c>
      <c r="BJ48" s="38" t="str">
        <f t="shared" si="119"/>
        <v>2024- T4</v>
      </c>
    </row>
    <row r="49" spans="1:62" x14ac:dyDescent="0.25">
      <c r="A49" s="8" t="s">
        <v>135</v>
      </c>
      <c r="B49" s="16"/>
      <c r="C49" s="42"/>
      <c r="D49" s="42"/>
      <c r="E49" s="42"/>
      <c r="F49" s="110">
        <f>'B)NSA RCO Nb'!F52/'B)NSA RCO Nb'!B52-1</f>
        <v>3.9810830540982778E-3</v>
      </c>
      <c r="G49" s="110">
        <f>'B)NSA RCO Nb'!G52/'B)NSA RCO Nb'!C52-1</f>
        <v>3.005521455706095E-3</v>
      </c>
      <c r="H49" s="110">
        <f>'B)NSA RCO Nb'!H52/'B)NSA RCO Nb'!D52-1</f>
        <v>1.4755279391237774E-2</v>
      </c>
      <c r="I49" s="110">
        <f>'B)NSA RCO Nb'!I52/'B)NSA RCO Nb'!E52-1</f>
        <v>1.5074243920475627E-2</v>
      </c>
      <c r="J49" s="110">
        <f>'B)NSA RCO Nb'!J52/'B)NSA RCO Nb'!F52-1</f>
        <v>1.5657954755872394E-2</v>
      </c>
      <c r="K49" s="110">
        <f>'B)NSA RCO Nb'!K52/'B)NSA RCO Nb'!G52-1</f>
        <v>1.3567932314005882E-2</v>
      </c>
      <c r="L49" s="110">
        <f>'B)NSA RCO Nb'!L52/'B)NSA RCO Nb'!H52-1</f>
        <v>1.5681089068053433E-2</v>
      </c>
      <c r="M49" s="110">
        <f>'B)NSA RCO Nb'!M52/'B)NSA RCO Nb'!I52-1</f>
        <v>1.617861331248438E-2</v>
      </c>
      <c r="N49" s="110">
        <f>'B)NSA RCO Nb'!N52/'B)NSA RCO Nb'!J52-1</f>
        <v>1.6021308384617905E-2</v>
      </c>
      <c r="O49" s="110">
        <f>'B)NSA RCO Nb'!O52/'B)NSA RCO Nb'!K52-1</f>
        <v>1.8139740211095212E-2</v>
      </c>
      <c r="P49" s="110">
        <f>'B)NSA RCO Nb'!P52/'B)NSA RCO Nb'!L52-1</f>
        <v>7.9641417031814932E-3</v>
      </c>
      <c r="Q49" s="110">
        <f>'B)NSA RCO Nb'!Q52/'B)NSA RCO Nb'!M52-1</f>
        <v>7.1780165592734146E-3</v>
      </c>
      <c r="R49" s="110">
        <f>'B)NSA RCO Nb'!R52/'B)NSA RCO Nb'!N52-1</f>
        <v>3.8207194156443247E-3</v>
      </c>
      <c r="S49" s="110">
        <f>'B)NSA RCO Nb'!S52/'B)NSA RCO Nb'!O52-1</f>
        <v>7.9184678115158391E-3</v>
      </c>
      <c r="T49" s="110">
        <f>'B)NSA RCO Nb'!T52/'B)NSA RCO Nb'!P52-1</f>
        <v>-3.0048889582358074E-2</v>
      </c>
      <c r="U49" s="110">
        <f>'B)NSA RCO Nb'!U52/'B)NSA RCO Nb'!Q52-1</f>
        <v>-2.6962273650584123E-2</v>
      </c>
      <c r="V49" s="110">
        <f>'B)NSA RCO Nb'!V52/'B)NSA RCO Nb'!R52-1</f>
        <v>-2.363928079384725E-2</v>
      </c>
      <c r="W49" s="110">
        <f>'B)NSA RCO Nb'!W52/'B)NSA RCO Nb'!S52-1</f>
        <v>-2.8544115410519932E-2</v>
      </c>
      <c r="X49" s="110">
        <f>'B)NSA RCO Nb'!X52/'B)NSA RCO Nb'!T52-1</f>
        <v>-1.8812195307228441E-3</v>
      </c>
      <c r="Y49" s="110">
        <f>'B)NSA RCO Nb'!Y52/'B)NSA RCO Nb'!U52-1</f>
        <v>-4.4160154159084142E-3</v>
      </c>
      <c r="Z49" s="110">
        <f>'B)NSA RCO Nb'!Z52/'B)NSA RCO Nb'!V52-1</f>
        <v>-3.2954961552544848E-3</v>
      </c>
      <c r="AA49" s="110">
        <f>'B)NSA RCO Nb'!AA52/'B)NSA RCO Nb'!W52-1</f>
        <v>1.0998989112834812E-2</v>
      </c>
      <c r="AB49" s="110">
        <f>'B)NSA RCO Nb'!AB52/'B)NSA RCO Nb'!X52-1</f>
        <v>1.0605721448717409E-2</v>
      </c>
      <c r="AC49" s="110">
        <f>'B)NSA RCO Nb'!AC52/'B)NSA RCO Nb'!Y52-1</f>
        <v>1.004059248904543E-2</v>
      </c>
      <c r="AD49" s="110">
        <f>'B)NSA RCO Nb'!AD52/'B)NSA RCO Nb'!Z52-1</f>
        <v>1.6814214799018012E-2</v>
      </c>
      <c r="AE49" s="110">
        <f>'B)NSA RCO Nb'!AE52/'B)NSA RCO Nb'!AA52-1</f>
        <v>2.5395420860523377E-3</v>
      </c>
      <c r="AF49" s="110">
        <f>'B)NSA RCO Nb'!AF52/'B)NSA RCO Nb'!AB52-1</f>
        <v>1.802967143471168E-3</v>
      </c>
      <c r="AG49" s="110">
        <f>'B)NSA RCO Nb'!AG52/'B)NSA RCO Nb'!AC52-1</f>
        <v>2.5506243484818558E-3</v>
      </c>
      <c r="AH49" s="110">
        <f>'B)NSA RCO Nb'!AH52/'B)NSA RCO Nb'!AD52-1</f>
        <v>1.5716633547323777E-2</v>
      </c>
      <c r="AI49" s="110">
        <f>'B)NSA RCO Nb'!AI52/'B)NSA RCO Nb'!AE52-1</f>
        <v>7.7228937462212599E-3</v>
      </c>
      <c r="AJ49" s="110">
        <f>'B)NSA RCO Nb'!AJ52/'B)NSA RCO Nb'!AF52-1</f>
        <v>8.9897676722117126E-3</v>
      </c>
      <c r="AK49" s="110">
        <f>'B)NSA RCO Nb'!AK52/'B)NSA RCO Nb'!AG52-1</f>
        <v>7.729746471395238E-3</v>
      </c>
      <c r="AL49" s="110">
        <f>'B)NSA RCO Nb'!AL52/'B)NSA RCO Nb'!AH52-1</f>
        <v>-1.3122277940691651E-2</v>
      </c>
      <c r="AM49" s="110">
        <f>'B)NSA RCO Nb'!AM52/'B)NSA RCO Nb'!AI52-1</f>
        <v>-2.3866975550581593E-3</v>
      </c>
      <c r="AN49" s="110">
        <f>'B)NSA RCO Nb'!AN52/'B)NSA RCO Nb'!AJ52-1</f>
        <v>-2.7609902751787319E-3</v>
      </c>
      <c r="AO49" s="110">
        <f>'B)NSA RCO Nb'!AO52/'B)NSA RCO Nb'!AK52-1</f>
        <v>-1.4708658789852613E-3</v>
      </c>
      <c r="AP49" s="110">
        <f>'B)NSA RCO Nb'!AP52/'B)NSA RCO Nb'!AL52-1</f>
        <v>-8.0000351649889279E-4</v>
      </c>
      <c r="AQ49" s="110">
        <f>'B)NSA RCO Nb'!AQ52/'B)NSA RCO Nb'!AM52-1</f>
        <v>5.6495935102105488E-3</v>
      </c>
      <c r="AR49" s="110">
        <f>'B)NSA RCO Nb'!AR52/'B)NSA RCO Nb'!AN52-1</f>
        <v>4.7286518508102837E-3</v>
      </c>
      <c r="AS49" s="110">
        <f>'B)NSA RCO Nb'!AS52/'B)NSA RCO Nb'!AO52-1</f>
        <v>3.873855651608249E-3</v>
      </c>
      <c r="AT49" s="110">
        <f>'B)NSA RCO Nb'!AT52/'B)NSA RCO Nb'!AP52-1</f>
        <v>4.1533495320278391E-3</v>
      </c>
      <c r="AU49" s="110">
        <f>'B)NSA RCO Nb'!AU52/'B)NSA RCO Nb'!AQ52-1</f>
        <v>-1.0877001499971506E-3</v>
      </c>
      <c r="AV49" s="110">
        <f>'B)NSA RCO Nb'!AV52/'B)NSA RCO Nb'!AR52-1</f>
        <v>6.7796610169490457E-4</v>
      </c>
      <c r="AW49" s="110">
        <f>'B)NSA RCO Nb'!AW52/'B)NSA RCO Nb'!AS52-1</f>
        <v>3.4646938498399393E-3</v>
      </c>
      <c r="AX49" s="110">
        <f>'B)NSA RCO Nb'!AX52/'B)NSA RCO Nb'!AT52-1</f>
        <v>3.9632762413057687E-2</v>
      </c>
      <c r="AY49" s="110">
        <f>'B)NSA RCO Nb'!AY52/'B)NSA RCO Nb'!AU52-1</f>
        <v>8.7492358462680997E-2</v>
      </c>
      <c r="AZ49" s="110">
        <f>'B)NSA RCO Nb'!AZ52/'B)NSA RCO Nb'!AV52-1</f>
        <v>8.5965076365180471E-2</v>
      </c>
      <c r="BA49" s="110">
        <f>'B)NSA RCO Nb'!BA52/'B)NSA RCO Nb'!AW52-1</f>
        <v>0.12568386295611833</v>
      </c>
      <c r="BB49" s="110">
        <f>'B)NSA RCO Nb'!BB52/'B)NSA RCO Nb'!AX52-1</f>
        <v>8.3572272210174825E-2</v>
      </c>
      <c r="BC49" s="110">
        <f>'B)NSA RCO Nb'!BC52/'B)NSA RCO Nb'!AY52-1</f>
        <v>3.9257680491463276E-2</v>
      </c>
      <c r="BD49" s="110">
        <f>'B)NSA RCO Nb'!BD52/'B)NSA RCO Nb'!AZ52-1</f>
        <v>4.2357334019465842E-2</v>
      </c>
      <c r="BE49" s="110">
        <f>'B)NSA RCO Nb'!BE52/'B)NSA RCO Nb'!BA52-1</f>
        <v>3.5649301642639575E-3</v>
      </c>
      <c r="BF49" s="110">
        <f>'B)NSA RCO Nb'!BF52/'B)NSA RCO Nb'!BB52-1</f>
        <v>5.9444339426233395E-3</v>
      </c>
      <c r="BG49" s="110">
        <f>'B)NSA RCO Nb'!BG52/'B)NSA RCO Nb'!BC52-1</f>
        <v>4.0977789101368511E-2</v>
      </c>
      <c r="BH49" s="110">
        <f>'B)NSA RCO Nb'!BH52/'B)NSA RCO Nb'!BD52-1</f>
        <v>3.9919514221748775E-2</v>
      </c>
      <c r="BI49" s="110">
        <f>'B)NSA RCO Nb'!BI52/'B)NSA RCO Nb'!BE52-1</f>
        <v>3.7599562128537212E-2</v>
      </c>
      <c r="BJ49" s="110">
        <f>'B)NSA RCO Nb'!BJ52/'B)NSA RCO Nb'!BF52-1</f>
        <v>3.4673074197705489E-2</v>
      </c>
    </row>
    <row r="50" spans="1:62" ht="13" x14ac:dyDescent="0.25">
      <c r="A50" s="157" t="s">
        <v>137</v>
      </c>
      <c r="B50" s="16"/>
      <c r="C50" s="42"/>
      <c r="D50" s="42"/>
      <c r="E50" s="42"/>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row>
    <row r="51" spans="1:62" ht="13" x14ac:dyDescent="0.25">
      <c r="A51" s="157" t="s">
        <v>138</v>
      </c>
      <c r="B51" s="16"/>
      <c r="C51" s="42"/>
      <c r="D51" s="42"/>
      <c r="E51" s="42"/>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row>
    <row r="52" spans="1:62" x14ac:dyDescent="0.25">
      <c r="A52" s="8" t="s">
        <v>136</v>
      </c>
      <c r="B52" s="16"/>
      <c r="C52" s="42"/>
      <c r="D52" s="42"/>
      <c r="E52" s="42"/>
      <c r="F52" s="110">
        <f>'B)NSA RCO Nb'!F55/'B)NSA RCO Nb'!B55-1</f>
        <v>-1.6471038484173417E-2</v>
      </c>
      <c r="G52" s="110">
        <f>'B)NSA RCO Nb'!G55/'B)NSA RCO Nb'!C55-1</f>
        <v>-1.7373709685563621E-2</v>
      </c>
      <c r="H52" s="110">
        <f>'B)NSA RCO Nb'!H55/'B)NSA RCO Nb'!D55-1</f>
        <v>1.8787658748931957E-2</v>
      </c>
      <c r="I52" s="110">
        <f>'B)NSA RCO Nb'!I55/'B)NSA RCO Nb'!E55-1</f>
        <v>1.9640445149166075E-2</v>
      </c>
      <c r="J52" s="110">
        <f>'B)NSA RCO Nb'!J55/'B)NSA RCO Nb'!F55-1</f>
        <v>1.9485406135626882E-2</v>
      </c>
      <c r="K52" s="110">
        <f>'B)NSA RCO Nb'!K55/'B)NSA RCO Nb'!G55-1</f>
        <v>1.7974533935787962E-2</v>
      </c>
      <c r="L52" s="110">
        <f>'B)NSA RCO Nb'!L55/'B)NSA RCO Nb'!H55-1</f>
        <v>1.918272726618242E-2</v>
      </c>
      <c r="M52" s="110">
        <f>'B)NSA RCO Nb'!M55/'B)NSA RCO Nb'!I55-1</f>
        <v>1.7660250756842411E-2</v>
      </c>
      <c r="N52" s="110">
        <f>'B)NSA RCO Nb'!N55/'B)NSA RCO Nb'!J55-1</f>
        <v>1.7510631326134174E-2</v>
      </c>
      <c r="O52" s="110">
        <f>'B)NSA RCO Nb'!O55/'B)NSA RCO Nb'!K55-1</f>
        <v>1.937707778955633E-2</v>
      </c>
      <c r="P52" s="110">
        <f>'B)NSA RCO Nb'!P55/'B)NSA RCO Nb'!L55-1</f>
        <v>1.0309715290801824E-2</v>
      </c>
      <c r="Q52" s="110">
        <f>'B)NSA RCO Nb'!Q55/'B)NSA RCO Nb'!M55-1</f>
        <v>1.0795705771033504E-2</v>
      </c>
      <c r="R52" s="110">
        <f>'B)NSA RCO Nb'!R55/'B)NSA RCO Nb'!N55-1</f>
        <v>9.742373841036045E-3</v>
      </c>
      <c r="S52" s="110">
        <f>'B)NSA RCO Nb'!S55/'B)NSA RCO Nb'!O55-1</f>
        <v>1.0661026061858037E-2</v>
      </c>
      <c r="T52" s="110">
        <f>'B)NSA RCO Nb'!T55/'B)NSA RCO Nb'!P55-1</f>
        <v>-5.2945289285089903E-2</v>
      </c>
      <c r="U52" s="110">
        <f>'B)NSA RCO Nb'!U55/'B)NSA RCO Nb'!Q55-1</f>
        <v>-5.0532445399412818E-2</v>
      </c>
      <c r="V52" s="110">
        <f>'B)NSA RCO Nb'!V55/'B)NSA RCO Nb'!R55-1</f>
        <v>-5.0053796791818539E-2</v>
      </c>
      <c r="W52" s="110">
        <f>'B)NSA RCO Nb'!W55/'B)NSA RCO Nb'!S55-1</f>
        <v>-5.1285147308960388E-2</v>
      </c>
      <c r="X52" s="110">
        <f>'B)NSA RCO Nb'!X55/'B)NSA RCO Nb'!T55-1</f>
        <v>1.2624351710006643E-3</v>
      </c>
      <c r="Y52" s="110">
        <f>'B)NSA RCO Nb'!Y55/'B)NSA RCO Nb'!U55-1</f>
        <v>3.2802957426181223E-4</v>
      </c>
      <c r="Z52" s="110">
        <f>'B)NSA RCO Nb'!Z55/'B)NSA RCO Nb'!V55-1</f>
        <v>2.8075897155883656E-3</v>
      </c>
      <c r="AA52" s="110">
        <f>'B)NSA RCO Nb'!AA55/'B)NSA RCO Nb'!W55-1</f>
        <v>9.9069437143199934E-3</v>
      </c>
      <c r="AB52" s="110">
        <f>'B)NSA RCO Nb'!AB55/'B)NSA RCO Nb'!X55-1</f>
        <v>9.3309787758022456E-3</v>
      </c>
      <c r="AC52" s="110">
        <f>'B)NSA RCO Nb'!AC55/'B)NSA RCO Nb'!Y55-1</f>
        <v>9.0086438767014165E-3</v>
      </c>
      <c r="AD52" s="110">
        <f>'B)NSA RCO Nb'!AD55/'B)NSA RCO Nb'!Z55-1</f>
        <v>1.0661780936823906E-2</v>
      </c>
      <c r="AE52" s="110">
        <f>'B)NSA RCO Nb'!AE55/'B)NSA RCO Nb'!AA55-1</f>
        <v>3.6382498411005049E-3</v>
      </c>
      <c r="AF52" s="110">
        <f>'B)NSA RCO Nb'!AF55/'B)NSA RCO Nb'!AB55-1</f>
        <v>2.9914748445820649E-3</v>
      </c>
      <c r="AG52" s="110">
        <f>'B)NSA RCO Nb'!AG55/'B)NSA RCO Nb'!AC55-1</f>
        <v>3.2353360038852585E-3</v>
      </c>
      <c r="AH52" s="110">
        <f>'B)NSA RCO Nb'!AH55/'B)NSA RCO Nb'!AD55-1</f>
        <v>1.2442211786975355E-2</v>
      </c>
      <c r="AI52" s="110">
        <f>'B)NSA RCO Nb'!AI55/'B)NSA RCO Nb'!AE55-1</f>
        <v>9.3101465310787557E-3</v>
      </c>
      <c r="AJ52" s="110">
        <f>'B)NSA RCO Nb'!AJ55/'B)NSA RCO Nb'!AF55-1</f>
        <v>1.0211327873210774E-2</v>
      </c>
      <c r="AK52" s="110">
        <f>'B)NSA RCO Nb'!AK55/'B)NSA RCO Nb'!AG55-1</f>
        <v>9.3471210648730096E-3</v>
      </c>
      <c r="AL52" s="110">
        <f>'B)NSA RCO Nb'!AL55/'B)NSA RCO Nb'!AH55-1</f>
        <v>-3.4732209630099486E-3</v>
      </c>
      <c r="AM52" s="110">
        <f>'B)NSA RCO Nb'!AM55/'B)NSA RCO Nb'!AI55-1</f>
        <v>2.2682033233325516E-3</v>
      </c>
      <c r="AN52" s="110">
        <f>'B)NSA RCO Nb'!AN55/'B)NSA RCO Nb'!AJ55-1</f>
        <v>1.6510394699369435E-3</v>
      </c>
      <c r="AO52" s="110">
        <f>'B)NSA RCO Nb'!AO55/'B)NSA RCO Nb'!AK55-1</f>
        <v>4.449973855501943E-3</v>
      </c>
      <c r="AP52" s="110">
        <f>'B)NSA RCO Nb'!AP55/'B)NSA RCO Nb'!AL55-1</f>
        <v>2.4714787741464406E-3</v>
      </c>
      <c r="AQ52" s="110">
        <f>'B)NSA RCO Nb'!AQ55/'B)NSA RCO Nb'!AM55-1</f>
        <v>8.1420157515443847E-3</v>
      </c>
      <c r="AR52" s="110">
        <f>'B)NSA RCO Nb'!AR55/'B)NSA RCO Nb'!AN55-1</f>
        <v>1.0357771387646153E-2</v>
      </c>
      <c r="AS52" s="110">
        <f>'B)NSA RCO Nb'!AS55/'B)NSA RCO Nb'!AO55-1</f>
        <v>6.6705201066996622E-3</v>
      </c>
      <c r="AT52" s="110">
        <f>'B)NSA RCO Nb'!AT55/'B)NSA RCO Nb'!AP55-1</f>
        <v>-1.030976811165818E-3</v>
      </c>
      <c r="AU52" s="110">
        <f>'B)NSA RCO Nb'!AU55/'B)NSA RCO Nb'!AQ55-1</f>
        <v>-6.8814343269368861E-3</v>
      </c>
      <c r="AV52" s="110">
        <f>'B)NSA RCO Nb'!AV55/'B)NSA RCO Nb'!AR55-1</f>
        <v>-9.8654937753198668E-3</v>
      </c>
      <c r="AW52" s="110">
        <f>'B)NSA RCO Nb'!AW55/'B)NSA RCO Nb'!AS55-1</f>
        <v>-8.8545878778445442E-3</v>
      </c>
      <c r="AX52" s="110">
        <f>'B)NSA RCO Nb'!AX55/'B)NSA RCO Nb'!AT55-1</f>
        <v>-0.32136754272820289</v>
      </c>
      <c r="AY52" s="110">
        <f>'B)NSA RCO Nb'!AY55/'B)NSA RCO Nb'!AU55-1</f>
        <v>3.3758748040459752E-2</v>
      </c>
      <c r="AZ52" s="110">
        <f>'B)NSA RCO Nb'!AZ55/'B)NSA RCO Nb'!AV55-1</f>
        <v>3.3802865951859884E-2</v>
      </c>
      <c r="BA52" s="110">
        <f>'B)NSA RCO Nb'!BA55/'B)NSA RCO Nb'!AW55-1</f>
        <v>7.4055316393472514E-2</v>
      </c>
      <c r="BB52" s="110">
        <f>'B)NSA RCO Nb'!BB55/'B)NSA RCO Nb'!AX55-1</f>
        <v>0.57662910660928102</v>
      </c>
      <c r="BC52" s="110">
        <f>'B)NSA RCO Nb'!BC55/'B)NSA RCO Nb'!AY55-1</f>
        <v>4.2410664964517064E-2</v>
      </c>
      <c r="BD52" s="110">
        <f>'B)NSA RCO Nb'!BD55/'B)NSA RCO Nb'!AZ55-1</f>
        <v>4.3794790937415895E-2</v>
      </c>
      <c r="BE52" s="110">
        <f>'B)NSA RCO Nb'!BE55/'B)NSA RCO Nb'!BA55-1</f>
        <v>4.188710258437478E-3</v>
      </c>
      <c r="BF52" s="110">
        <f>'B)NSA RCO Nb'!BF55/'B)NSA RCO Nb'!BB55-1</f>
        <v>8.5814766182492619E-3</v>
      </c>
      <c r="BG52" s="110">
        <f>'B)NSA RCO Nb'!BG55/'B)NSA RCO Nb'!BC55-1</f>
        <v>4.2164162936849658E-2</v>
      </c>
      <c r="BH52" s="110">
        <f>'B)NSA RCO Nb'!BH55/'B)NSA RCO Nb'!BD55-1</f>
        <v>4.2044094003976351E-2</v>
      </c>
      <c r="BI52" s="110">
        <f>'B)NSA RCO Nb'!BI55/'B)NSA RCO Nb'!BE55-1</f>
        <v>3.2454446286775962E-2</v>
      </c>
      <c r="BJ52" s="110">
        <f>'B)NSA RCO Nb'!BJ55/'B)NSA RCO Nb'!BF55-1</f>
        <v>2.875748944982548E-2</v>
      </c>
    </row>
    <row r="53" spans="1:62" ht="13" thickBot="1" x14ac:dyDescent="0.3">
      <c r="A53" s="7"/>
      <c r="B53" s="7"/>
      <c r="C53" s="52"/>
      <c r="D53" s="52"/>
      <c r="E53" s="52"/>
      <c r="F53" s="52"/>
      <c r="G53" s="52"/>
      <c r="H53" s="52"/>
      <c r="I53" s="52"/>
      <c r="J53" s="52"/>
      <c r="K53" s="156"/>
      <c r="L53" s="156"/>
      <c r="M53" s="52"/>
      <c r="N53" s="52"/>
      <c r="O53" s="52"/>
      <c r="P53" s="52"/>
      <c r="Q53" s="52"/>
      <c r="R53" s="52"/>
      <c r="S53" s="52"/>
      <c r="T53" s="52"/>
      <c r="U53" s="52"/>
      <c r="V53" s="52"/>
      <c r="W53" s="52"/>
      <c r="X53" s="52"/>
      <c r="Y53" s="52"/>
      <c r="Z53" s="52"/>
      <c r="AA53" s="52"/>
      <c r="AB53" s="52"/>
      <c r="AC53" s="52"/>
      <c r="AD53" s="52"/>
      <c r="AE53" s="52"/>
      <c r="AF53" s="52"/>
      <c r="AG53" s="52"/>
      <c r="AH53" s="52"/>
      <c r="AI53" s="52"/>
      <c r="AJ53" s="52"/>
      <c r="AM53" s="52"/>
      <c r="AN53" s="52"/>
      <c r="AO53" s="52"/>
    </row>
    <row r="54" spans="1:62" x14ac:dyDescent="0.25">
      <c r="L54" s="14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M54" s="35"/>
      <c r="AN54" s="35"/>
      <c r="AO54" s="35"/>
    </row>
    <row r="55" spans="1:62" ht="13" x14ac:dyDescent="0.3">
      <c r="A55" s="25" t="s">
        <v>25</v>
      </c>
      <c r="L55" s="14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M55" s="35"/>
      <c r="AN55" s="35"/>
      <c r="AO55" s="35"/>
      <c r="BB55" s="377" t="s">
        <v>241</v>
      </c>
      <c r="BC55" s="377"/>
      <c r="BD55" s="377"/>
      <c r="BE55" s="377"/>
      <c r="BF55" s="377"/>
      <c r="BG55" s="377"/>
      <c r="BH55" s="377"/>
      <c r="BI55" s="377"/>
      <c r="BJ55" s="377"/>
    </row>
    <row r="56" spans="1:62" x14ac:dyDescent="0.25">
      <c r="A56" s="24" t="s">
        <v>246</v>
      </c>
      <c r="L56" s="14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M56" s="35"/>
      <c r="AN56" s="35"/>
      <c r="AO56" s="35"/>
      <c r="BB56" s="383" t="s">
        <v>244</v>
      </c>
      <c r="BC56" s="383"/>
      <c r="BD56" s="383"/>
      <c r="BE56" s="383"/>
      <c r="BF56" s="383"/>
      <c r="BG56" s="383"/>
      <c r="BH56" s="383"/>
      <c r="BI56" s="383"/>
      <c r="BJ56" s="383"/>
    </row>
    <row r="57" spans="1:62" x14ac:dyDescent="0.25">
      <c r="A57" s="5"/>
      <c r="B57" s="2" t="str">
        <f t="shared" ref="B57:H57" si="120">B8</f>
        <v>4eme T 2009</v>
      </c>
      <c r="C57" s="38" t="str">
        <f t="shared" si="120"/>
        <v>1er T 2010</v>
      </c>
      <c r="D57" s="38" t="str">
        <f t="shared" si="120"/>
        <v>2eme T 2010</v>
      </c>
      <c r="E57" s="38" t="str">
        <f t="shared" si="120"/>
        <v>3eme T 2010</v>
      </c>
      <c r="F57" s="38" t="str">
        <f t="shared" si="120"/>
        <v>4eme T 2010</v>
      </c>
      <c r="G57" s="38" t="str">
        <f t="shared" si="120"/>
        <v>1er T 2011</v>
      </c>
      <c r="H57" s="38" t="str">
        <f t="shared" si="120"/>
        <v>2eme T 2011</v>
      </c>
      <c r="I57" s="38" t="str">
        <f t="shared" ref="I57:N57" si="121">I8</f>
        <v>3eme T 2011</v>
      </c>
      <c r="J57" s="38" t="str">
        <f t="shared" si="121"/>
        <v>4eme T 2011</v>
      </c>
      <c r="K57" s="38" t="str">
        <f t="shared" si="121"/>
        <v>1er T 2012</v>
      </c>
      <c r="L57" s="38" t="str">
        <f t="shared" si="121"/>
        <v>2eme T 2012</v>
      </c>
      <c r="M57" s="38" t="str">
        <f t="shared" si="121"/>
        <v>3eme T 2012</v>
      </c>
      <c r="N57" s="38" t="str">
        <f t="shared" si="121"/>
        <v>4eme T 2012</v>
      </c>
      <c r="O57" s="38" t="str">
        <f t="shared" ref="O57:T57" si="122">O8</f>
        <v>1er T 2013</v>
      </c>
      <c r="P57" s="38" t="str">
        <f t="shared" si="122"/>
        <v>2eme T 2013</v>
      </c>
      <c r="Q57" s="38" t="str">
        <f t="shared" si="122"/>
        <v>3ème T 2013</v>
      </c>
      <c r="R57" s="38" t="str">
        <f t="shared" si="122"/>
        <v>4ème T 2013</v>
      </c>
      <c r="S57" s="38" t="str">
        <f t="shared" si="122"/>
        <v>1er T 2014</v>
      </c>
      <c r="T57" s="38" t="str">
        <f t="shared" si="122"/>
        <v>2eme T 2014</v>
      </c>
      <c r="U57" s="38" t="str">
        <f t="shared" ref="U57:V57" si="123">U8</f>
        <v>3T 2014</v>
      </c>
      <c r="V57" s="38" t="str">
        <f t="shared" si="123"/>
        <v>4ème T 2014</v>
      </c>
      <c r="W57" s="38" t="str">
        <f t="shared" ref="W57:X57" si="124">W8</f>
        <v>1er T 2015</v>
      </c>
      <c r="X57" s="38" t="str">
        <f t="shared" si="124"/>
        <v>2e T 2015</v>
      </c>
      <c r="Y57" s="38" t="str">
        <f t="shared" ref="Y57:Z57" si="125">Y8</f>
        <v>3e T 2015</v>
      </c>
      <c r="Z57" s="38" t="str">
        <f t="shared" si="125"/>
        <v>4e T 2015</v>
      </c>
      <c r="AA57" s="38" t="str">
        <f t="shared" ref="AA57:AB57" si="126">AA8</f>
        <v>1er T 2016</v>
      </c>
      <c r="AB57" s="38" t="str">
        <f t="shared" si="126"/>
        <v>2e T 2016</v>
      </c>
      <c r="AC57" s="38" t="str">
        <f t="shared" ref="AC57:AD57" si="127">AC8</f>
        <v>3e T 2016</v>
      </c>
      <c r="AD57" s="38" t="str">
        <f t="shared" si="127"/>
        <v>4e T 2016</v>
      </c>
      <c r="AE57" s="38" t="str">
        <f t="shared" ref="AE57:AF57" si="128">AE8</f>
        <v>2017 - T1</v>
      </c>
      <c r="AF57" s="38" t="str">
        <f t="shared" si="128"/>
        <v>2017 - T2</v>
      </c>
      <c r="AG57" s="38" t="str">
        <f t="shared" ref="AG57:AH57" si="129">AG8</f>
        <v>2017- T3</v>
      </c>
      <c r="AH57" s="38" t="str">
        <f t="shared" si="129"/>
        <v>2017 - T4</v>
      </c>
      <c r="AI57" s="38" t="str">
        <f t="shared" ref="AI57:AJ57" si="130">AI8</f>
        <v>2018 - T1</v>
      </c>
      <c r="AJ57" s="38" t="str">
        <f t="shared" si="130"/>
        <v>2018 - T2</v>
      </c>
      <c r="AK57" s="38" t="str">
        <f t="shared" ref="AK57:AM57" si="131">AK8</f>
        <v>2018 - T3</v>
      </c>
      <c r="AL57" s="38" t="str">
        <f t="shared" si="131"/>
        <v>2018 - T4</v>
      </c>
      <c r="AM57" s="38" t="str">
        <f t="shared" si="131"/>
        <v>2019 - T1</v>
      </c>
      <c r="AN57" s="38" t="str">
        <f t="shared" ref="AN57:AP57" si="132">AN8</f>
        <v>2019 - T2</v>
      </c>
      <c r="AO57" s="38" t="str">
        <f t="shared" si="132"/>
        <v>2019 - T3</v>
      </c>
      <c r="AP57" s="38" t="str">
        <f t="shared" si="132"/>
        <v>2019 - T4</v>
      </c>
      <c r="AQ57" s="38" t="str">
        <f t="shared" ref="AQ57" si="133">AQ8</f>
        <v>2020 - T1</v>
      </c>
      <c r="AR57" s="38" t="str">
        <f t="shared" ref="AR57" si="134">AR8</f>
        <v>2020 - T2</v>
      </c>
      <c r="AS57" s="38" t="str">
        <f t="shared" ref="AS57:AT57" si="135">AS8</f>
        <v>2020 - T3</v>
      </c>
      <c r="AT57" s="38" t="str">
        <f t="shared" si="135"/>
        <v>2020- T4</v>
      </c>
      <c r="AU57" s="38" t="str">
        <f t="shared" ref="AU57:AV57" si="136">AU8</f>
        <v>2021- T1</v>
      </c>
      <c r="AV57" s="38" t="str">
        <f t="shared" si="136"/>
        <v>2021- T2</v>
      </c>
      <c r="AW57" s="38" t="str">
        <f t="shared" ref="AW57:AX57" si="137">AW8</f>
        <v>2021- T3</v>
      </c>
      <c r="AX57" s="38" t="str">
        <f t="shared" si="137"/>
        <v>2021- T4</v>
      </c>
      <c r="AY57" s="38" t="str">
        <f t="shared" ref="AY57:AZ57" si="138">AY8</f>
        <v>2022- T1</v>
      </c>
      <c r="AZ57" s="38" t="str">
        <f t="shared" si="138"/>
        <v>2022- T2</v>
      </c>
      <c r="BA57" s="38" t="str">
        <f t="shared" ref="BA57:BB57" si="139">BA8</f>
        <v>2022- T3</v>
      </c>
      <c r="BB57" s="38" t="str">
        <f t="shared" si="139"/>
        <v>2022- T4</v>
      </c>
      <c r="BC57" s="38" t="str">
        <f t="shared" ref="BC57:BD57" si="140">BC8</f>
        <v>2023- T1</v>
      </c>
      <c r="BD57" s="38" t="str">
        <f t="shared" si="140"/>
        <v>2023- T2</v>
      </c>
      <c r="BE57" s="38" t="str">
        <f t="shared" ref="BE57:BF57" si="141">BE8</f>
        <v>2023- T3</v>
      </c>
      <c r="BF57" s="38" t="str">
        <f t="shared" si="141"/>
        <v>2023- T4</v>
      </c>
      <c r="BG57" s="38" t="str">
        <f t="shared" ref="BG57:BH57" si="142">BG8</f>
        <v>2024- T1</v>
      </c>
      <c r="BH57" s="38" t="str">
        <f t="shared" si="142"/>
        <v>2024- T2</v>
      </c>
      <c r="BI57" s="38" t="str">
        <f t="shared" ref="BI57:BJ57" si="143">BI8</f>
        <v>2024- T3</v>
      </c>
      <c r="BJ57" s="38" t="str">
        <f t="shared" si="143"/>
        <v>2024- T4</v>
      </c>
    </row>
    <row r="58" spans="1:62" x14ac:dyDescent="0.25">
      <c r="A58" s="8" t="s">
        <v>135</v>
      </c>
      <c r="B58" s="9"/>
      <c r="C58" s="46"/>
      <c r="D58" s="46"/>
      <c r="E58" s="46"/>
      <c r="F58" s="110">
        <f>'B)NSA RCO Nb'!F63/'B)NSA RCO Nb'!B63-1</f>
        <v>-1.8854099784718859E-2</v>
      </c>
      <c r="G58" s="110">
        <f>'B)NSA RCO Nb'!G63/'B)NSA RCO Nb'!C63-1</f>
        <v>-2.1021962906419556E-2</v>
      </c>
      <c r="H58" s="110">
        <f>'B)NSA RCO Nb'!H63/'B)NSA RCO Nb'!D63-1</f>
        <v>-2.2171876784830347E-2</v>
      </c>
      <c r="I58" s="110">
        <f>'B)NSA RCO Nb'!I63/'B)NSA RCO Nb'!E63-1</f>
        <v>-2.3560149164403077E-2</v>
      </c>
      <c r="J58" s="110">
        <f>'B)NSA RCO Nb'!J63/'B)NSA RCO Nb'!F63-1</f>
        <v>-2.6130003310518957E-2</v>
      </c>
      <c r="K58" s="110">
        <f>'B)NSA RCO Nb'!K63/'B)NSA RCO Nb'!G63-1</f>
        <v>-2.7305888483585172E-2</v>
      </c>
      <c r="L58" s="110">
        <f>'B)NSA RCO Nb'!L63/'B)NSA RCO Nb'!H63-1</f>
        <v>-2.9193129470769907E-2</v>
      </c>
      <c r="M58" s="110">
        <f>'B)NSA RCO Nb'!M63/'B)NSA RCO Nb'!I63-1</f>
        <v>-3.1051703069808423E-2</v>
      </c>
      <c r="N58" s="110">
        <f>'B)NSA RCO Nb'!N63/'B)NSA RCO Nb'!J63-1</f>
        <v>-3.2131704810466788E-2</v>
      </c>
      <c r="O58" s="110">
        <f>'B)NSA RCO Nb'!O63/'B)NSA RCO Nb'!K63-1</f>
        <v>-3.1774944343250344E-2</v>
      </c>
      <c r="P58" s="110">
        <f>'B)NSA RCO Nb'!P63/'B)NSA RCO Nb'!L63-1</f>
        <v>-3.0572379768160074E-2</v>
      </c>
      <c r="Q58" s="110">
        <f>'B)NSA RCO Nb'!Q63/'B)NSA RCO Nb'!M63-1</f>
        <v>-2.6815837280217969E-2</v>
      </c>
      <c r="R58" s="110">
        <f>'B)NSA RCO Nb'!R63/'B)NSA RCO Nb'!N63-1</f>
        <v>-2.4809994241630995E-2</v>
      </c>
      <c r="S58" s="110">
        <f>'B)NSA RCO Nb'!S63/'B)NSA RCO Nb'!O63-1</f>
        <v>-2.603039543576624E-2</v>
      </c>
      <c r="T58" s="110">
        <f>'B)NSA RCO Nb'!T63/'B)NSA RCO Nb'!P63-1</f>
        <v>0.12688672999900708</v>
      </c>
      <c r="U58" s="110">
        <f>'B)NSA RCO Nb'!U63/'B)NSA RCO Nb'!Q63-1</f>
        <v>0.1256192837350778</v>
      </c>
      <c r="V58" s="110">
        <f>'B)NSA RCO Nb'!V63/'B)NSA RCO Nb'!R63-1</f>
        <v>0.12573601467422724</v>
      </c>
      <c r="W58" s="110">
        <f>'B)NSA RCO Nb'!W63/'B)NSA RCO Nb'!S63-1</f>
        <v>0.12613147163904004</v>
      </c>
      <c r="X58" s="110">
        <f>'B)NSA RCO Nb'!X63/'B)NSA RCO Nb'!T63-1</f>
        <v>-2.9031961961410668E-2</v>
      </c>
      <c r="Y58" s="110">
        <f>'B)NSA RCO Nb'!Y63/'B)NSA RCO Nb'!U63-1</f>
        <v>-3.1201993018512453E-2</v>
      </c>
      <c r="Z58" s="110">
        <f>'B)NSA RCO Nb'!Z63/'B)NSA RCO Nb'!V63-1</f>
        <v>-3.0612700420371231E-2</v>
      </c>
      <c r="AA58" s="110">
        <f>'B)NSA RCO Nb'!AA63/'B)NSA RCO Nb'!W63-1</f>
        <v>-2.9132381187267797E-2</v>
      </c>
      <c r="AB58" s="110">
        <f>'B)NSA RCO Nb'!AB63/'B)NSA RCO Nb'!X63-1</f>
        <v>-2.6129900774443326E-2</v>
      </c>
      <c r="AC58" s="110">
        <f>'B)NSA RCO Nb'!AC63/'B)NSA RCO Nb'!Y63-1</f>
        <v>-2.4331904292471895E-2</v>
      </c>
      <c r="AD58" s="110">
        <f>'B)NSA RCO Nb'!AD63/'B)NSA RCO Nb'!Z63-1</f>
        <v>-2.4717842052950911E-2</v>
      </c>
      <c r="AE58" s="110">
        <f>'B)NSA RCO Nb'!AE63/'B)NSA RCO Nb'!AA63-1</f>
        <v>-2.5961279396482073E-2</v>
      </c>
      <c r="AF58" s="110">
        <f>'B)NSA RCO Nb'!AF63/'B)NSA RCO Nb'!AB63-1</f>
        <v>-2.6547538615660615E-2</v>
      </c>
      <c r="AG58" s="110">
        <f>'B)NSA RCO Nb'!AG63/'B)NSA RCO Nb'!AC63-1</f>
        <v>-2.5158020881470677E-2</v>
      </c>
      <c r="AH58" s="110">
        <f>'B)NSA RCO Nb'!AH63/'B)NSA RCO Nb'!AD63-1</f>
        <v>-2.2491540096010065E-2</v>
      </c>
      <c r="AI58" s="110">
        <f>'B)NSA RCO Nb'!AI63/'B)NSA RCO Nb'!AE63-1</f>
        <v>-2.065082093533277E-2</v>
      </c>
      <c r="AJ58" s="110">
        <f>'B)NSA RCO Nb'!AJ63/'B)NSA RCO Nb'!AF63-1</f>
        <v>-1.9545195272456017E-2</v>
      </c>
      <c r="AK58" s="110">
        <f>'B)NSA RCO Nb'!AK63/'B)NSA RCO Nb'!AG63-1</f>
        <v>-2.1139152023525454E-2</v>
      </c>
      <c r="AL58" s="110">
        <f>'B)NSA RCO Nb'!AL63/'B)NSA RCO Nb'!AH63-1</f>
        <v>-2.1914146781309429E-2</v>
      </c>
      <c r="AM58" s="110">
        <f>'B)NSA RCO Nb'!AM63/'B)NSA RCO Nb'!AI63-1</f>
        <v>-2.3087568945968973E-2</v>
      </c>
      <c r="AN58" s="110">
        <f>'B)NSA RCO Nb'!AN63/'B)NSA RCO Nb'!AJ63-1</f>
        <v>-2.4609338448582374E-2</v>
      </c>
      <c r="AO58" s="110">
        <f>'B)NSA RCO Nb'!AO63/'B)NSA RCO Nb'!AK63-1</f>
        <v>-2.4480833948945291E-2</v>
      </c>
      <c r="AP58" s="110">
        <f>'B)NSA RCO Nb'!AP63/'B)NSA RCO Nb'!AL63-1</f>
        <v>-2.3043048810601707E-2</v>
      </c>
      <c r="AQ58" s="110">
        <f>'B)NSA RCO Nb'!AQ63/'B)NSA RCO Nb'!AM63-1</f>
        <v>-2.2484996922975231E-2</v>
      </c>
      <c r="AR58" s="110">
        <f>'B)NSA RCO Nb'!AR63/'B)NSA RCO Nb'!AN63-1</f>
        <v>-2.2998765390903952E-2</v>
      </c>
      <c r="AS58" s="110">
        <f>'B)NSA RCO Nb'!AS63/'B)NSA RCO Nb'!AO63-1</f>
        <v>-2.3812028019100095E-2</v>
      </c>
      <c r="AT58" s="110">
        <f>'B)NSA RCO Nb'!AT63/'B)NSA RCO Nb'!AP63-1</f>
        <v>-2.5267397137934355E-2</v>
      </c>
      <c r="AU58" s="110">
        <f>'B)NSA RCO Nb'!AU63/'B)NSA RCO Nb'!AQ63-1</f>
        <v>-2.7945731029732968E-2</v>
      </c>
      <c r="AV58" s="110">
        <f>'B)NSA RCO Nb'!AV63/'B)NSA RCO Nb'!AR63-1</f>
        <v>-2.9965249020227236E-2</v>
      </c>
      <c r="AW58" s="110">
        <f>'B)NSA RCO Nb'!AW63/'B)NSA RCO Nb'!AS63-1</f>
        <v>-2.9409356347102844E-2</v>
      </c>
      <c r="AX58" s="110">
        <f>'B)NSA RCO Nb'!AX63/'B)NSA RCO Nb'!AT63-1</f>
        <v>0.44233586737141439</v>
      </c>
      <c r="AY58" s="110">
        <f>'B)NSA RCO Nb'!AY63/'B)NSA RCO Nb'!AU63-1</f>
        <v>-0.24784077128041071</v>
      </c>
      <c r="AZ58" s="110">
        <f>'B)NSA RCO Nb'!AZ63/'B)NSA RCO Nb'!AV63-1</f>
        <v>-0.24909008489606943</v>
      </c>
      <c r="BA58" s="110">
        <f>'B)NSA RCO Nb'!BA63/'B)NSA RCO Nb'!AW63-1</f>
        <v>-0.25078259942897996</v>
      </c>
      <c r="BB58" s="396">
        <f>'B)NSA RCO Nb'!BB63/'B)NSA RCO Nb'!AX63-1</f>
        <v>-0.49363561180827731</v>
      </c>
      <c r="BC58" s="455">
        <f>'B)NSA RCO Nb'!BC63/'B)NSA RCO Nb'!AY63-1</f>
        <v>-3.1281603781762701E-2</v>
      </c>
      <c r="BD58" s="455">
        <f>'B)NSA RCO Nb'!BD63/'B)NSA RCO Nb'!AZ63-1</f>
        <v>-2.9972863832705254E-2</v>
      </c>
      <c r="BE58" s="455">
        <f>'B)NSA RCO Nb'!BE63/'B)NSA RCO Nb'!BA63-1</f>
        <v>-2.8234122750871227E-2</v>
      </c>
      <c r="BF58" s="455">
        <f>'B)NSA RCO Nb'!BF63/'B)NSA RCO Nb'!BB63-1</f>
        <v>-3.3487188591040939E-2</v>
      </c>
      <c r="BG58" s="455">
        <f>'B)NSA RCO Nb'!BG63/'B)NSA RCO Nb'!BC63-1</f>
        <v>-3.0865965113226923E-2</v>
      </c>
      <c r="BH58" s="455">
        <f>'B)NSA RCO Nb'!BH63/'B)NSA RCO Nb'!BD63-1</f>
        <v>-3.2240328203640978E-2</v>
      </c>
      <c r="BI58" s="455">
        <f>'B)NSA RCO Nb'!BI63/'B)NSA RCO Nb'!BE63-1</f>
        <v>-3.4232289227166257E-2</v>
      </c>
      <c r="BJ58" s="455">
        <f>'B)NSA RCO Nb'!BJ63/'B)NSA RCO Nb'!BF63-1</f>
        <v>-3.4139263213964322E-2</v>
      </c>
    </row>
    <row r="59" spans="1:62" ht="13" x14ac:dyDescent="0.25">
      <c r="A59" s="157" t="s">
        <v>137</v>
      </c>
      <c r="B59" s="9"/>
      <c r="C59" s="46"/>
      <c r="D59" s="46"/>
      <c r="E59" s="46"/>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row>
    <row r="60" spans="1:62" ht="13" x14ac:dyDescent="0.25">
      <c r="A60" s="157" t="s">
        <v>138</v>
      </c>
      <c r="B60" s="9"/>
      <c r="C60" s="46"/>
      <c r="D60" s="46"/>
      <c r="E60" s="46"/>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row>
    <row r="61" spans="1:62" x14ac:dyDescent="0.25">
      <c r="A61" s="8" t="s">
        <v>136</v>
      </c>
      <c r="B61" s="9"/>
      <c r="C61" s="46"/>
      <c r="D61" s="46"/>
      <c r="E61" s="46"/>
      <c r="F61" s="110">
        <f>'B)NSA RCO Nb'!F66/'B)NSA RCO Nb'!B66-1</f>
        <v>0.54763445033855174</v>
      </c>
      <c r="G61" s="110">
        <f>'B)NSA RCO Nb'!G66/'B)NSA RCO Nb'!C66-1</f>
        <v>0.56554403588984048</v>
      </c>
      <c r="H61" s="110">
        <f>'B)NSA RCO Nb'!H66/'B)NSA RCO Nb'!D66-1</f>
        <v>4.946487865357474E-2</v>
      </c>
      <c r="I61" s="110">
        <f>'B)NSA RCO Nb'!I66/'B)NSA RCO Nb'!E66-1</f>
        <v>4.6389213381937022E-2</v>
      </c>
      <c r="J61" s="110">
        <f>'B)NSA RCO Nb'!J66/'B)NSA RCO Nb'!F66-1</f>
        <v>4.4545074543681284E-2</v>
      </c>
      <c r="K61" s="110">
        <f>'B)NSA RCO Nb'!K66/'B)NSA RCO Nb'!G66-1</f>
        <v>4.0282995585049441E-2</v>
      </c>
      <c r="L61" s="110">
        <f>'B)NSA RCO Nb'!L66/'B)NSA RCO Nb'!H66-1</f>
        <v>3.390728117107078E-2</v>
      </c>
      <c r="M61" s="110">
        <f>'B)NSA RCO Nb'!M66/'B)NSA RCO Nb'!I66-1</f>
        <v>3.1191574643226971E-2</v>
      </c>
      <c r="N61" s="110">
        <f>'B)NSA RCO Nb'!N66/'B)NSA RCO Nb'!J66-1</f>
        <v>2.9919831392479335E-2</v>
      </c>
      <c r="O61" s="110">
        <f>'B)NSA RCO Nb'!O66/'B)NSA RCO Nb'!K66-1</f>
        <v>2.1114508646140839E-2</v>
      </c>
      <c r="P61" s="110">
        <f>'B)NSA RCO Nb'!P66/'B)NSA RCO Nb'!L66-1</f>
        <v>1.8991581187039586E-2</v>
      </c>
      <c r="Q61" s="110">
        <f>'B)NSA RCO Nb'!Q66/'B)NSA RCO Nb'!M66-1</f>
        <v>1.708710510526168E-2</v>
      </c>
      <c r="R61" s="110">
        <f>'B)NSA RCO Nb'!R66/'B)NSA RCO Nb'!N66-1</f>
        <v>1.6914907395415124E-2</v>
      </c>
      <c r="S61" s="110">
        <f>'B)NSA RCO Nb'!S66/'B)NSA RCO Nb'!O66-1</f>
        <v>1.9296796344580036E-2</v>
      </c>
      <c r="T61" s="110">
        <f>'B)NSA RCO Nb'!T66/'B)NSA RCO Nb'!P66-1</f>
        <v>0.59691950763678547</v>
      </c>
      <c r="U61" s="110">
        <f>'B)NSA RCO Nb'!U66/'B)NSA RCO Nb'!Q66-1</f>
        <v>0.58803990971580999</v>
      </c>
      <c r="V61" s="110">
        <f>'B)NSA RCO Nb'!V66/'B)NSA RCO Nb'!R66-1</f>
        <v>0.57166692139181818</v>
      </c>
      <c r="W61" s="110">
        <f>'B)NSA RCO Nb'!W66/'B)NSA RCO Nb'!S66-1</f>
        <v>0.55088705694639661</v>
      </c>
      <c r="X61" s="110">
        <f>'B)NSA RCO Nb'!X66/'B)NSA RCO Nb'!T66-1</f>
        <v>-2.1937577181045498E-2</v>
      </c>
      <c r="Y61" s="110">
        <f>'B)NSA RCO Nb'!Y66/'B)NSA RCO Nb'!U66-1</f>
        <v>-2.7045360941298058E-2</v>
      </c>
      <c r="Z61" s="110">
        <f>'B)NSA RCO Nb'!Z66/'B)NSA RCO Nb'!V66-1</f>
        <v>-2.678260305832203E-2</v>
      </c>
      <c r="AA61" s="110">
        <f>'B)NSA RCO Nb'!AA66/'B)NSA RCO Nb'!W66-1</f>
        <v>-2.7026585668560976E-2</v>
      </c>
      <c r="AB61" s="110">
        <f>'B)NSA RCO Nb'!AB66/'B)NSA RCO Nb'!X66-1</f>
        <v>-2.7323216068790845E-2</v>
      </c>
      <c r="AC61" s="110">
        <f>'B)NSA RCO Nb'!AC66/'B)NSA RCO Nb'!Y66-1</f>
        <v>-2.946547144754319E-2</v>
      </c>
      <c r="AD61" s="110">
        <f>'B)NSA RCO Nb'!AD66/'B)NSA RCO Nb'!Z66-1</f>
        <v>-3.1566413535838E-2</v>
      </c>
      <c r="AE61" s="110">
        <f>'B)NSA RCO Nb'!AE66/'B)NSA RCO Nb'!AA66-1</f>
        <v>-3.3743978785183204E-2</v>
      </c>
      <c r="AF61" s="110">
        <f>'B)NSA RCO Nb'!AF66/'B)NSA RCO Nb'!AB66-1</f>
        <v>-3.8712797366545648E-2</v>
      </c>
      <c r="AG61" s="110">
        <f>'B)NSA RCO Nb'!AG66/'B)NSA RCO Nb'!AC66-1</f>
        <v>-4.0614042589583566E-2</v>
      </c>
      <c r="AH61" s="110">
        <f>'B)NSA RCO Nb'!AH66/'B)NSA RCO Nb'!AD66-1</f>
        <v>-4.3239757534069945E-2</v>
      </c>
      <c r="AI61" s="110">
        <f>'B)NSA RCO Nb'!AI66/'B)NSA RCO Nb'!AE66-1</f>
        <v>-4.5631008936868667E-2</v>
      </c>
      <c r="AJ61" s="110">
        <f>'B)NSA RCO Nb'!AJ66/'B)NSA RCO Nb'!AF66-1</f>
        <v>-4.580556903931865E-2</v>
      </c>
      <c r="AK61" s="110">
        <f>'B)NSA RCO Nb'!AK66/'B)NSA RCO Nb'!AG66-1</f>
        <v>-4.4597569998484632E-2</v>
      </c>
      <c r="AL61" s="110">
        <f>'B)NSA RCO Nb'!AL66/'B)NSA RCO Nb'!AH66-1</f>
        <v>-4.1608253352025559E-2</v>
      </c>
      <c r="AM61" s="110">
        <f>'B)NSA RCO Nb'!AM66/'B)NSA RCO Nb'!AI66-1</f>
        <v>-3.9895529043471933E-2</v>
      </c>
      <c r="AN61" s="110">
        <f>'B)NSA RCO Nb'!AN66/'B)NSA RCO Nb'!AJ66-1</f>
        <v>-3.8727281135827574E-2</v>
      </c>
      <c r="AO61" s="110">
        <f>'B)NSA RCO Nb'!AO66/'B)NSA RCO Nb'!AK66-1</f>
        <v>-4.0885256302599426E-2</v>
      </c>
      <c r="AP61" s="110">
        <f>'B)NSA RCO Nb'!AP66/'B)NSA RCO Nb'!AL66-1</f>
        <v>-4.4155430114584671E-2</v>
      </c>
      <c r="AQ61" s="110">
        <f>'B)NSA RCO Nb'!AQ66/'B)NSA RCO Nb'!AM66-1</f>
        <v>-4.3761788764300591E-2</v>
      </c>
      <c r="AR61" s="110">
        <f>'B)NSA RCO Nb'!AR66/'B)NSA RCO Nb'!AN66-1</f>
        <v>-4.5367947040258594E-2</v>
      </c>
      <c r="AS61" s="110">
        <f>'B)NSA RCO Nb'!AS66/'B)NSA RCO Nb'!AO66-1</f>
        <v>-4.8455192809058745E-2</v>
      </c>
      <c r="AT61" s="110">
        <f>'B)NSA RCO Nb'!AT66/'B)NSA RCO Nb'!AP66-1</f>
        <v>-4.8363204724486741E-2</v>
      </c>
      <c r="AU61" s="110">
        <f>'B)NSA RCO Nb'!AU66/'B)NSA RCO Nb'!AQ66-1</f>
        <v>-5.5081973712903687E-2</v>
      </c>
      <c r="AV61" s="110">
        <f>'B)NSA RCO Nb'!AV66/'B)NSA RCO Nb'!AR66-1</f>
        <v>-5.7008658139558355E-2</v>
      </c>
      <c r="AW61" s="110">
        <f>'B)NSA RCO Nb'!AW66/'B)NSA RCO Nb'!AS66-1</f>
        <v>-5.5431171088278886E-2</v>
      </c>
      <c r="AX61" s="110">
        <f>'B)NSA RCO Nb'!AX66/'B)NSA RCO Nb'!AT66-1</f>
        <v>-3.2069850629335983E-2</v>
      </c>
      <c r="AY61" s="110">
        <f>'B)NSA RCO Nb'!AY66/'B)NSA RCO Nb'!AU66-1</f>
        <v>-0.10603279170032209</v>
      </c>
      <c r="AZ61" s="110">
        <f>'B)NSA RCO Nb'!AZ66/'B)NSA RCO Nb'!AV66-1</f>
        <v>-0.10882136024028133</v>
      </c>
      <c r="BA61" s="110">
        <f>'B)NSA RCO Nb'!BA66/'B)NSA RCO Nb'!AW66-1</f>
        <v>-0.11216217678828477</v>
      </c>
      <c r="BB61" s="396">
        <f>'B)NSA RCO Nb'!BB66/'B)NSA RCO Nb'!AX66-1</f>
        <v>-0.13541577915992165</v>
      </c>
      <c r="BC61" s="455">
        <f>'B)NSA RCO Nb'!BC66/'B)NSA RCO Nb'!AY66-1</f>
        <v>-7.29162999730113E-2</v>
      </c>
      <c r="BD61" s="455">
        <f>'B)NSA RCO Nb'!BD66/'B)NSA RCO Nb'!AZ66-1</f>
        <v>-7.0248033007100363E-2</v>
      </c>
      <c r="BE61" s="455">
        <f>'B)NSA RCO Nb'!BE66/'B)NSA RCO Nb'!BA66-1</f>
        <v>-6.9645251737169289E-2</v>
      </c>
      <c r="BF61" s="455">
        <f>'B)NSA RCO Nb'!BF66/'B)NSA RCO Nb'!BB66-1</f>
        <v>-6.957292962639039E-2</v>
      </c>
      <c r="BG61" s="455">
        <f>'B)NSA RCO Nb'!BG66/'B)NSA RCO Nb'!BC66-1</f>
        <v>-6.2994418216107406E-2</v>
      </c>
      <c r="BH61" s="455">
        <f>'B)NSA RCO Nb'!BH66/'B)NSA RCO Nb'!BD66-1</f>
        <v>-6.7944632928701343E-2</v>
      </c>
      <c r="BI61" s="455">
        <f>'B)NSA RCO Nb'!BI66/'B)NSA RCO Nb'!BE66-1</f>
        <v>-7.0141646029063032E-2</v>
      </c>
      <c r="BJ61" s="455">
        <f>'B)NSA RCO Nb'!BJ66/'B)NSA RCO Nb'!BF66-1</f>
        <v>-7.2564309639495339E-2</v>
      </c>
    </row>
    <row r="62" spans="1:62" x14ac:dyDescent="0.25">
      <c r="A62" s="22" t="s">
        <v>60</v>
      </c>
      <c r="B62" s="9"/>
      <c r="C62" s="9"/>
      <c r="D62" s="9"/>
      <c r="E62" s="9"/>
      <c r="F62" s="110">
        <f>'B)NSA RCO Nb'!F67/'B)NSA RCO Nb'!B67-1</f>
        <v>6.5577353251227821E-2</v>
      </c>
      <c r="G62" s="110">
        <f>'B)NSA RCO Nb'!G67/'B)NSA RCO Nb'!C67-1</f>
        <v>6.6783413395883784E-2</v>
      </c>
      <c r="H62" s="110">
        <f>'B)NSA RCO Nb'!H67/'B)NSA RCO Nb'!D67-1</f>
        <v>-7.0672864564710336E-3</v>
      </c>
      <c r="I62" s="110">
        <f>'B)NSA RCO Nb'!I67/'B)NSA RCO Nb'!E67-1</f>
        <v>-8.5769498617739304E-3</v>
      </c>
      <c r="J62" s="110">
        <f>'B)NSA RCO Nb'!J67/'B)NSA RCO Nb'!F67-1</f>
        <v>-1.0831010894350124E-2</v>
      </c>
      <c r="K62" s="110">
        <f>'B)NSA RCO Nb'!K67/'B)NSA RCO Nb'!G67-1</f>
        <v>-1.184340916689508E-2</v>
      </c>
      <c r="L62" s="110">
        <f>'B)NSA RCO Nb'!L67/'B)NSA RCO Nb'!H67-1</f>
        <v>-1.438648626565675E-2</v>
      </c>
      <c r="M62" s="110">
        <f>'B)NSA RCO Nb'!M67/'B)NSA RCO Nb'!I67-1</f>
        <v>-1.6152868411289933E-2</v>
      </c>
      <c r="N62" s="110">
        <f>'B)NSA RCO Nb'!N67/'B)NSA RCO Nb'!J67-1</f>
        <v>-1.699917977051868E-2</v>
      </c>
      <c r="O62" s="110">
        <f>'B)NSA RCO Nb'!O67/'B)NSA RCO Nb'!K67-1</f>
        <v>-1.9008312326445509E-2</v>
      </c>
      <c r="P62" s="110">
        <f>'B)NSA RCO Nb'!P67/'B)NSA RCO Nb'!L67-1</f>
        <v>-1.8388369486789791E-2</v>
      </c>
      <c r="Q62" s="110">
        <f>'B)NSA RCO Nb'!Q67/'B)NSA RCO Nb'!M67-1</f>
        <v>-1.5747374407348524E-2</v>
      </c>
      <c r="R62" s="110">
        <f>'B)NSA RCO Nb'!R67/'B)NSA RCO Nb'!N67-1</f>
        <v>-1.4163321773548176E-2</v>
      </c>
      <c r="S62" s="110">
        <f>'B)NSA RCO Nb'!S67/'B)NSA RCO Nb'!O67-1</f>
        <v>-1.4482756477778747E-2</v>
      </c>
      <c r="T62" s="110">
        <f>'B)NSA RCO Nb'!T67/'B)NSA RCO Nb'!P67-1</f>
        <v>0.35321826928490552</v>
      </c>
      <c r="U62" s="110">
        <f>'B)NSA RCO Nb'!U67/'B)NSA RCO Nb'!Q67-1</f>
        <v>0.34943837513463616</v>
      </c>
      <c r="V62" s="110">
        <f>'B)NSA RCO Nb'!V67/'B)NSA RCO Nb'!R67-1</f>
        <v>0.34420545221134247</v>
      </c>
      <c r="W62" s="110">
        <f>'B)NSA RCO Nb'!W67/'B)NSA RCO Nb'!S67-1</f>
        <v>0.33761705079295012</v>
      </c>
      <c r="X62" s="110">
        <f>'B)NSA RCO Nb'!X67/'B)NSA RCO Nb'!T67-1</f>
        <v>-3.1941696407108089E-2</v>
      </c>
      <c r="Y62" s="110">
        <f>'B)NSA RCO Nb'!Y67/'B)NSA RCO Nb'!U67-1</f>
        <v>-3.5361738766202078E-2</v>
      </c>
      <c r="Z62" s="110">
        <f>'B)NSA RCO Nb'!Z67/'B)NSA RCO Nb'!V67-1</f>
        <v>-3.5062381498560447E-2</v>
      </c>
      <c r="AA62" s="110">
        <f>'B)NSA RCO Nb'!AA67/'B)NSA RCO Nb'!W67-1</f>
        <v>-3.4147157821294849E-2</v>
      </c>
      <c r="AB62" s="110">
        <f>'B)NSA RCO Nb'!AB67/'B)NSA RCO Nb'!X67-1</f>
        <v>-3.2040552704906466E-2</v>
      </c>
      <c r="AC62" s="110">
        <f>'B)NSA RCO Nb'!AC67/'B)NSA RCO Nb'!Y67-1</f>
        <v>-3.1382226789599899E-2</v>
      </c>
      <c r="AD62" s="110">
        <f>'B)NSA RCO Nb'!AD67/'B)NSA RCO Nb'!Z67-1</f>
        <v>-3.2003900725564027E-2</v>
      </c>
      <c r="AE62" s="110">
        <f>'B)NSA RCO Nb'!AE67/'B)NSA RCO Nb'!AA67-1</f>
        <v>-3.3511890961892776E-2</v>
      </c>
      <c r="AF62" s="110">
        <f>'B)NSA RCO Nb'!AF67/'B)NSA RCO Nb'!AB67-1</f>
        <v>-3.5377928632392197E-2</v>
      </c>
      <c r="AG62" s="110">
        <f>'B)NSA RCO Nb'!AG67/'B)NSA RCO Nb'!AC67-1</f>
        <v>-3.4834692733951789E-2</v>
      </c>
      <c r="AH62" s="110">
        <f>'B)NSA RCO Nb'!AH67/'B)NSA RCO Nb'!AD67-1</f>
        <v>-3.3871460863376446E-2</v>
      </c>
      <c r="AI62" s="110">
        <f>'B)NSA RCO Nb'!AI67/'B)NSA RCO Nb'!AE67-1</f>
        <v>-3.3050276113354204E-2</v>
      </c>
      <c r="AJ62" s="110">
        <f>'B)NSA RCO Nb'!AJ67/'B)NSA RCO Nb'!AF67-1</f>
        <v>-3.2046888904800341E-2</v>
      </c>
      <c r="AK62" s="110">
        <f>'B)NSA RCO Nb'!AK67/'B)NSA RCO Nb'!AG67-1</f>
        <v>-3.2910321052387115E-2</v>
      </c>
      <c r="AL62" s="110">
        <f>'B)NSA RCO Nb'!AL67/'B)NSA RCO Nb'!AH67-1</f>
        <v>-3.2602549270858705E-2</v>
      </c>
      <c r="AM62" s="110">
        <f>'B)NSA RCO Nb'!AM67/'B)NSA RCO Nb'!AI67-1</f>
        <v>-3.3030939249603097E-2</v>
      </c>
      <c r="AN62" s="110">
        <f>'B)NSA RCO Nb'!AN67/'B)NSA RCO Nb'!AJ67-1</f>
        <v>-3.3786854063193483E-2</v>
      </c>
      <c r="AO62" s="110">
        <f>'B)NSA RCO Nb'!AO67/'B)NSA RCO Nb'!AK67-1</f>
        <v>-3.3998249658469981E-2</v>
      </c>
      <c r="AP62" s="110">
        <f>'B)NSA RCO Nb'!AP67/'B)NSA RCO Nb'!AL67-1</f>
        <v>-3.374687963362677E-2</v>
      </c>
      <c r="AQ62" s="110">
        <f>'B)NSA RCO Nb'!AQ67/'B)NSA RCO Nb'!AM67-1</f>
        <v>-3.2933201906587994E-2</v>
      </c>
      <c r="AR62" s="110">
        <f>'B)NSA RCO Nb'!AR67/'B)NSA RCO Nb'!AN67-1</f>
        <v>-3.3532842444310207E-2</v>
      </c>
      <c r="AS62" s="110">
        <f>'B)NSA RCO Nb'!AS67/'B)NSA RCO Nb'!AO67-1</f>
        <v>-3.5098137785118833E-2</v>
      </c>
      <c r="AT62" s="110">
        <f>'B)NSA RCO Nb'!AT67/'B)NSA RCO Nb'!AP67-1</f>
        <v>-3.6049360790527452E-2</v>
      </c>
      <c r="AU62" s="110">
        <f>'B)NSA RCO Nb'!AU67/'B)NSA RCO Nb'!AQ67-1</f>
        <v>-3.9865959229265613E-2</v>
      </c>
      <c r="AV62" s="110">
        <f>'B)NSA RCO Nb'!AV67/'B)NSA RCO Nb'!AR67-1</f>
        <v>-4.1803053750420816E-2</v>
      </c>
      <c r="AW62" s="110">
        <f>'B)NSA RCO Nb'!AW67/'B)NSA RCO Nb'!AS67-1</f>
        <v>-4.0794652697267675E-2</v>
      </c>
      <c r="AX62" s="110">
        <f>'B)NSA RCO Nb'!AX67/'B)NSA RCO Nb'!AT67-1</f>
        <v>-0.21204688867394406</v>
      </c>
      <c r="AY62" s="110">
        <f>'B)NSA RCO Nb'!AY67/'B)NSA RCO Nb'!AU67-1</f>
        <v>-0.2122917539206105</v>
      </c>
      <c r="AZ62" s="110">
        <f>'B)NSA RCO Nb'!AZ67/'B)NSA RCO Nb'!AV67-1</f>
        <v>-0.21424838569669702</v>
      </c>
      <c r="BA62" s="110">
        <f>'B)NSA RCO Nb'!BA67/'B)NSA RCO Nb'!AW67-1</f>
        <v>-0.21653376466796381</v>
      </c>
      <c r="BB62" s="396">
        <f>'B)NSA RCO Nb'!BB67/'B)NSA RCO Nb'!AX67-1</f>
        <v>-4.4206403717721998E-2</v>
      </c>
      <c r="BC62" s="455">
        <f>'B)NSA RCO Nb'!BC67/'B)NSA RCO Nb'!AY67-1</f>
        <v>-4.8572367473683098E-2</v>
      </c>
      <c r="BD62" s="455">
        <f>'B)NSA RCO Nb'!BD67/'B)NSA RCO Nb'!AZ67-1</f>
        <v>-4.6778417823069463E-2</v>
      </c>
      <c r="BE62" s="455">
        <f>'B)NSA RCO Nb'!BE67/'B)NSA RCO Nb'!BA67-1</f>
        <v>-4.5404853596011097E-2</v>
      </c>
      <c r="BF62" s="455">
        <f>'B)NSA RCO Nb'!BF67/'B)NSA RCO Nb'!BB67-1</f>
        <v>-4.8689682588220928E-2</v>
      </c>
      <c r="BG62" s="455">
        <f>'B)NSA RCO Nb'!BG67/'B)NSA RCO Nb'!BC67-1</f>
        <v>-4.4710840661600915E-2</v>
      </c>
      <c r="BH62" s="455">
        <f>'B)NSA RCO Nb'!BH67/'B)NSA RCO Nb'!BD67-1</f>
        <v>-4.6937456145191958E-2</v>
      </c>
      <c r="BI62" s="455">
        <f>'B)NSA RCO Nb'!BI67/'B)NSA RCO Nb'!BE67-1</f>
        <v>-4.8709732768837277E-2</v>
      </c>
      <c r="BJ62" s="455">
        <f>'B)NSA RCO Nb'!BJ67/'B)NSA RCO Nb'!BF67-1</f>
        <v>-4.9373588665932666E-2</v>
      </c>
    </row>
    <row r="63" spans="1:62" x14ac:dyDescent="0.25">
      <c r="A63" s="5"/>
      <c r="B63" s="10"/>
      <c r="C63" s="40"/>
      <c r="D63" s="40"/>
      <c r="E63" s="40"/>
      <c r="F63" s="40"/>
      <c r="G63" s="40"/>
      <c r="H63" s="40"/>
      <c r="I63" s="40"/>
      <c r="J63" s="40"/>
      <c r="K63" s="146"/>
      <c r="L63" s="146"/>
      <c r="M63" s="40"/>
      <c r="N63" s="40"/>
      <c r="O63" s="40"/>
      <c r="P63" s="40"/>
      <c r="Q63" s="40"/>
      <c r="R63" s="40"/>
      <c r="S63" s="40"/>
      <c r="T63" s="40"/>
      <c r="U63" s="40"/>
      <c r="V63" s="40"/>
      <c r="W63" s="40"/>
      <c r="X63" s="40"/>
      <c r="Y63" s="40"/>
      <c r="Z63" s="40"/>
      <c r="AA63" s="40"/>
      <c r="AB63" s="40"/>
      <c r="AC63" s="40"/>
      <c r="AD63" s="40"/>
      <c r="AE63" s="40"/>
      <c r="AF63" s="40"/>
      <c r="AG63" s="40"/>
      <c r="AH63" s="40"/>
      <c r="AI63" s="40"/>
      <c r="AJ63" s="40"/>
      <c r="AM63" s="40"/>
      <c r="AN63" s="40"/>
      <c r="AO63" s="40"/>
    </row>
    <row r="64" spans="1:62" ht="13" x14ac:dyDescent="0.3">
      <c r="A64" s="25" t="s">
        <v>44</v>
      </c>
      <c r="L64" s="14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M64" s="35"/>
      <c r="AN64" s="35"/>
      <c r="AO64" s="35"/>
      <c r="BB64" s="377" t="s">
        <v>241</v>
      </c>
      <c r="BC64" s="377"/>
      <c r="BD64" s="377"/>
      <c r="BE64" s="377"/>
      <c r="BF64" s="377"/>
      <c r="BG64" s="377"/>
      <c r="BH64" s="377"/>
      <c r="BI64" s="377"/>
      <c r="BJ64" s="377"/>
    </row>
    <row r="65" spans="1:62" x14ac:dyDescent="0.25">
      <c r="A65" s="17" t="s">
        <v>7</v>
      </c>
      <c r="L65" s="14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M65" s="35"/>
      <c r="AN65" s="35"/>
      <c r="AO65" s="35"/>
      <c r="BB65" s="383" t="s">
        <v>244</v>
      </c>
      <c r="BC65" s="383"/>
      <c r="BD65" s="383"/>
      <c r="BE65" s="383"/>
      <c r="BF65" s="383"/>
      <c r="BG65" s="383"/>
      <c r="BH65" s="383"/>
      <c r="BI65" s="383"/>
      <c r="BJ65" s="383"/>
    </row>
    <row r="66" spans="1:62" x14ac:dyDescent="0.25">
      <c r="B66" s="2" t="str">
        <f t="shared" ref="B66:H66" si="144">B8</f>
        <v>4eme T 2009</v>
      </c>
      <c r="C66" s="38" t="str">
        <f t="shared" si="144"/>
        <v>1er T 2010</v>
      </c>
      <c r="D66" s="38" t="str">
        <f t="shared" si="144"/>
        <v>2eme T 2010</v>
      </c>
      <c r="E66" s="38" t="str">
        <f t="shared" si="144"/>
        <v>3eme T 2010</v>
      </c>
      <c r="F66" s="38" t="str">
        <f t="shared" si="144"/>
        <v>4eme T 2010</v>
      </c>
      <c r="G66" s="38" t="str">
        <f t="shared" si="144"/>
        <v>1er T 2011</v>
      </c>
      <c r="H66" s="38" t="str">
        <f t="shared" si="144"/>
        <v>2eme T 2011</v>
      </c>
      <c r="I66" s="38" t="str">
        <f t="shared" ref="I66:N66" si="145">I8</f>
        <v>3eme T 2011</v>
      </c>
      <c r="J66" s="38" t="str">
        <f t="shared" si="145"/>
        <v>4eme T 2011</v>
      </c>
      <c r="K66" s="38" t="str">
        <f t="shared" si="145"/>
        <v>1er T 2012</v>
      </c>
      <c r="L66" s="38" t="str">
        <f t="shared" si="145"/>
        <v>2eme T 2012</v>
      </c>
      <c r="M66" s="38" t="str">
        <f t="shared" si="145"/>
        <v>3eme T 2012</v>
      </c>
      <c r="N66" s="38" t="str">
        <f t="shared" si="145"/>
        <v>4eme T 2012</v>
      </c>
      <c r="O66" s="38" t="str">
        <f t="shared" ref="O66:T66" si="146">O8</f>
        <v>1er T 2013</v>
      </c>
      <c r="P66" s="38" t="str">
        <f t="shared" si="146"/>
        <v>2eme T 2013</v>
      </c>
      <c r="Q66" s="38" t="str">
        <f t="shared" si="146"/>
        <v>3ème T 2013</v>
      </c>
      <c r="R66" s="38" t="str">
        <f t="shared" si="146"/>
        <v>4ème T 2013</v>
      </c>
      <c r="S66" s="38" t="str">
        <f t="shared" si="146"/>
        <v>1er T 2014</v>
      </c>
      <c r="T66" s="38" t="str">
        <f t="shared" si="146"/>
        <v>2eme T 2014</v>
      </c>
      <c r="U66" s="38" t="str">
        <f t="shared" ref="U66:V66" si="147">U8</f>
        <v>3T 2014</v>
      </c>
      <c r="V66" s="38" t="str">
        <f t="shared" si="147"/>
        <v>4ème T 2014</v>
      </c>
      <c r="W66" s="38" t="str">
        <f t="shared" ref="W66:X66" si="148">W8</f>
        <v>1er T 2015</v>
      </c>
      <c r="X66" s="38" t="str">
        <f t="shared" si="148"/>
        <v>2e T 2015</v>
      </c>
      <c r="Y66" s="38" t="str">
        <f t="shared" ref="Y66:Z66" si="149">Y8</f>
        <v>3e T 2015</v>
      </c>
      <c r="Z66" s="38" t="str">
        <f t="shared" si="149"/>
        <v>4e T 2015</v>
      </c>
      <c r="AA66" s="38" t="str">
        <f t="shared" ref="AA66:AB66" si="150">AA8</f>
        <v>1er T 2016</v>
      </c>
      <c r="AB66" s="38" t="str">
        <f t="shared" si="150"/>
        <v>2e T 2016</v>
      </c>
      <c r="AC66" s="38" t="str">
        <f t="shared" ref="AC66:AD66" si="151">AC8</f>
        <v>3e T 2016</v>
      </c>
      <c r="AD66" s="38" t="str">
        <f t="shared" si="151"/>
        <v>4e T 2016</v>
      </c>
      <c r="AE66" s="38" t="str">
        <f t="shared" ref="AE66:AF66" si="152">AE8</f>
        <v>2017 - T1</v>
      </c>
      <c r="AF66" s="38" t="str">
        <f t="shared" si="152"/>
        <v>2017 - T2</v>
      </c>
      <c r="AG66" s="38" t="str">
        <f t="shared" ref="AG66:AH66" si="153">AG8</f>
        <v>2017- T3</v>
      </c>
      <c r="AH66" s="38" t="str">
        <f t="shared" si="153"/>
        <v>2017 - T4</v>
      </c>
      <c r="AI66" s="38" t="str">
        <f t="shared" ref="AI66:AJ66" si="154">AI8</f>
        <v>2018 - T1</v>
      </c>
      <c r="AJ66" s="38" t="str">
        <f t="shared" si="154"/>
        <v>2018 - T2</v>
      </c>
      <c r="AK66" s="38" t="str">
        <f t="shared" ref="AK66:AM66" si="155">AK8</f>
        <v>2018 - T3</v>
      </c>
      <c r="AL66" s="38" t="str">
        <f t="shared" si="155"/>
        <v>2018 - T4</v>
      </c>
      <c r="AM66" s="38" t="str">
        <f t="shared" si="155"/>
        <v>2019 - T1</v>
      </c>
      <c r="AN66" s="38" t="str">
        <f t="shared" ref="AN66:AP66" si="156">AN8</f>
        <v>2019 - T2</v>
      </c>
      <c r="AO66" s="38" t="str">
        <f t="shared" si="156"/>
        <v>2019 - T3</v>
      </c>
      <c r="AP66" s="38" t="str">
        <f t="shared" si="156"/>
        <v>2019 - T4</v>
      </c>
      <c r="AQ66" s="38" t="str">
        <f t="shared" ref="AQ66" si="157">AQ8</f>
        <v>2020 - T1</v>
      </c>
      <c r="AR66" s="38" t="str">
        <f t="shared" ref="AR66" si="158">AR8</f>
        <v>2020 - T2</v>
      </c>
      <c r="AS66" s="38" t="str">
        <f t="shared" ref="AS66:AT66" si="159">AS8</f>
        <v>2020 - T3</v>
      </c>
      <c r="AT66" s="38" t="str">
        <f t="shared" si="159"/>
        <v>2020- T4</v>
      </c>
      <c r="AU66" s="38" t="str">
        <f t="shared" ref="AU66:AV66" si="160">AU8</f>
        <v>2021- T1</v>
      </c>
      <c r="AV66" s="38" t="str">
        <f t="shared" si="160"/>
        <v>2021- T2</v>
      </c>
      <c r="AW66" s="38" t="str">
        <f t="shared" ref="AW66:AX66" si="161">AW8</f>
        <v>2021- T3</v>
      </c>
      <c r="AX66" s="38" t="str">
        <f t="shared" si="161"/>
        <v>2021- T4</v>
      </c>
      <c r="AY66" s="38" t="str">
        <f t="shared" ref="AY66:AZ66" si="162">AY8</f>
        <v>2022- T1</v>
      </c>
      <c r="AZ66" s="38" t="str">
        <f t="shared" si="162"/>
        <v>2022- T2</v>
      </c>
      <c r="BA66" s="38" t="str">
        <f t="shared" ref="BA66:BB66" si="163">BA8</f>
        <v>2022- T3</v>
      </c>
      <c r="BB66" s="38" t="str">
        <f t="shared" si="163"/>
        <v>2022- T4</v>
      </c>
      <c r="BC66" s="38" t="str">
        <f t="shared" ref="BC66:BD66" si="164">BC8</f>
        <v>2023- T1</v>
      </c>
      <c r="BD66" s="38" t="str">
        <f t="shared" si="164"/>
        <v>2023- T2</v>
      </c>
      <c r="BE66" s="38" t="str">
        <f t="shared" ref="BE66:BF66" si="165">BE8</f>
        <v>2023- T3</v>
      </c>
      <c r="BF66" s="38" t="str">
        <f t="shared" si="165"/>
        <v>2023- T4</v>
      </c>
      <c r="BG66" s="38" t="str">
        <f t="shared" ref="BG66:BH66" si="166">BG8</f>
        <v>2024- T1</v>
      </c>
      <c r="BH66" s="38" t="str">
        <f t="shared" si="166"/>
        <v>2024- T2</v>
      </c>
      <c r="BI66" s="38" t="str">
        <f t="shared" ref="BI66:BJ66" si="167">BI8</f>
        <v>2024- T3</v>
      </c>
      <c r="BJ66" s="38" t="str">
        <f t="shared" si="167"/>
        <v>2024- T4</v>
      </c>
    </row>
    <row r="67" spans="1:62" x14ac:dyDescent="0.25">
      <c r="A67" s="8" t="s">
        <v>135</v>
      </c>
      <c r="B67" s="16"/>
      <c r="C67" s="42"/>
      <c r="D67" s="42"/>
      <c r="E67" s="42"/>
      <c r="F67" s="110">
        <f>'B)NSA RCO Nb'!F72/'B)NSA RCO Nb'!B72-1</f>
        <v>1.2276980236952673E-2</v>
      </c>
      <c r="G67" s="110">
        <f>'B)NSA RCO Nb'!G72/'B)NSA RCO Nb'!C72-1</f>
        <v>1.0893846460347634E-2</v>
      </c>
      <c r="H67" s="110">
        <f>'B)NSA RCO Nb'!H72/'B)NSA RCO Nb'!D72-1</f>
        <v>2.2567416532912166E-2</v>
      </c>
      <c r="I67" s="110">
        <f>'B)NSA RCO Nb'!I72/'B)NSA RCO Nb'!E72-1</f>
        <v>2.2911826854811856E-2</v>
      </c>
      <c r="J67" s="110">
        <f>'B)NSA RCO Nb'!J72/'B)NSA RCO Nb'!F72-1</f>
        <v>2.3000524934383204E-2</v>
      </c>
      <c r="K67" s="110">
        <f>'B)NSA RCO Nb'!K72/'B)NSA RCO Nb'!G72-1</f>
        <v>2.0680719380417045E-2</v>
      </c>
      <c r="L67" s="110">
        <f>'B)NSA RCO Nb'!L72/'B)NSA RCO Nb'!H72-1</f>
        <v>2.2833639452847443E-2</v>
      </c>
      <c r="M67" s="110">
        <f>'B)NSA RCO Nb'!M72/'B)NSA RCO Nb'!I72-1</f>
        <v>2.3018764091549349E-2</v>
      </c>
      <c r="N67" s="110">
        <f>'B)NSA RCO Nb'!N72/'B)NSA RCO Nb'!J72-1</f>
        <v>2.3177149612893189E-2</v>
      </c>
      <c r="O67" s="110">
        <f>'B)NSA RCO Nb'!O72/'B)NSA RCO Nb'!K72-1</f>
        <v>2.5635232011174347E-2</v>
      </c>
      <c r="P67" s="110">
        <f>'B)NSA RCO Nb'!P72/'B)NSA RCO Nb'!L72-1</f>
        <v>1.5586961586977477E-2</v>
      </c>
      <c r="Q67" s="110">
        <f>'B)NSA RCO Nb'!Q72/'B)NSA RCO Nb'!M72-1</f>
        <v>1.5162463569140305E-2</v>
      </c>
      <c r="R67" s="110">
        <f>'B)NSA RCO Nb'!R72/'B)NSA RCO Nb'!N72-1</f>
        <v>1.1992072153036215E-2</v>
      </c>
      <c r="S67" s="110">
        <f>'B)NSA RCO Nb'!S72/'B)NSA RCO Nb'!O72-1</f>
        <v>1.5481364282710075E-2</v>
      </c>
      <c r="T67" s="110">
        <f>'B)NSA RCO Nb'!T72/'B)NSA RCO Nb'!P72-1</f>
        <v>-2.3298497662239015E-2</v>
      </c>
      <c r="U67" s="110">
        <f>'B)NSA RCO Nb'!U72/'B)NSA RCO Nb'!Q72-1</f>
        <v>-2.0377334614578468E-2</v>
      </c>
      <c r="V67" s="110">
        <f>'B)NSA RCO Nb'!V72/'B)NSA RCO Nb'!R72-1</f>
        <v>-1.6956275249071284E-2</v>
      </c>
      <c r="W67" s="110">
        <f>'B)NSA RCO Nb'!W72/'B)NSA RCO Nb'!S72-1</f>
        <v>-2.0921426317450309E-2</v>
      </c>
      <c r="X67" s="110">
        <f>'B)NSA RCO Nb'!X72/'B)NSA RCO Nb'!T72-1</f>
        <v>6.747233877108183E-3</v>
      </c>
      <c r="Y67" s="110">
        <f>'B)NSA RCO Nb'!Y72/'B)NSA RCO Nb'!U72-1</f>
        <v>4.7471803524861134E-3</v>
      </c>
      <c r="Z67" s="110">
        <f>'B)NSA RCO Nb'!Z72/'B)NSA RCO Nb'!V72-1</f>
        <v>6.0211324407164479E-3</v>
      </c>
      <c r="AA67" s="110">
        <f>'B)NSA RCO Nb'!AA72/'B)NSA RCO Nb'!W72-1</f>
        <v>2.0889064363296628E-2</v>
      </c>
      <c r="AB67" s="110">
        <f>'B)NSA RCO Nb'!AB72/'B)NSA RCO Nb'!X72-1</f>
        <v>2.069337281058159E-2</v>
      </c>
      <c r="AC67" s="110">
        <f>'B)NSA RCO Nb'!AC72/'B)NSA RCO Nb'!Y72-1</f>
        <v>2.0357409743593902E-2</v>
      </c>
      <c r="AD67" s="110">
        <f>'B)NSA RCO Nb'!AD72/'B)NSA RCO Nb'!Z72-1</f>
        <v>2.7103302024830134E-2</v>
      </c>
      <c r="AE67" s="110">
        <f>'B)NSA RCO Nb'!AE72/'B)NSA RCO Nb'!AA72-1</f>
        <v>1.2344071254651645E-2</v>
      </c>
      <c r="AF67" s="110">
        <f>'B)NSA RCO Nb'!AF72/'B)NSA RCO Nb'!AB72-1</f>
        <v>1.1437534978677721E-2</v>
      </c>
      <c r="AG67" s="110">
        <f>'B)NSA RCO Nb'!AG72/'B)NSA RCO Nb'!AC72-1</f>
        <v>1.2178651725210488E-2</v>
      </c>
      <c r="AH67" s="110">
        <f>'B)NSA RCO Nb'!AH72/'B)NSA RCO Nb'!AD72-1</f>
        <v>2.5705074664148064E-2</v>
      </c>
      <c r="AI67" s="110">
        <f>'B)NSA RCO Nb'!AI72/'B)NSA RCO Nb'!AE72-1</f>
        <v>1.7958983194882538E-2</v>
      </c>
      <c r="AJ67" s="110">
        <f>'B)NSA RCO Nb'!AJ72/'B)NSA RCO Nb'!AF72-1</f>
        <v>1.9296413485667907E-2</v>
      </c>
      <c r="AK67" s="110">
        <f>'B)NSA RCO Nb'!AK72/'B)NSA RCO Nb'!AG72-1</f>
        <v>1.8664757918323227E-2</v>
      </c>
      <c r="AL67" s="110">
        <f>'B)NSA RCO Nb'!AL72/'B)NSA RCO Nb'!AH72-1</f>
        <v>-2.2907153729071483E-3</v>
      </c>
      <c r="AM67" s="110">
        <f>'B)NSA RCO Nb'!AM72/'B)NSA RCO Nb'!AI72-1</f>
        <v>8.4438759879907899E-3</v>
      </c>
      <c r="AN67" s="110">
        <f>'B)NSA RCO Nb'!AN72/'B)NSA RCO Nb'!AJ72-1</f>
        <v>8.4677727655018131E-3</v>
      </c>
      <c r="AO67" s="110">
        <f>'B)NSA RCO Nb'!AO72/'B)NSA RCO Nb'!AK72-1</f>
        <v>9.5279920568243082E-3</v>
      </c>
      <c r="AP67" s="110">
        <f>'B)NSA RCO Nb'!AP72/'B)NSA RCO Nb'!AL72-1</f>
        <v>1.0316630943027816E-2</v>
      </c>
      <c r="AQ67" s="110">
        <f>'B)NSA RCO Nb'!AQ72/'B)NSA RCO Nb'!AM72-1</f>
        <v>1.6207123083758379E-2</v>
      </c>
      <c r="AR67" s="110">
        <f>'B)NSA RCO Nb'!AR72/'B)NSA RCO Nb'!AN72-1</f>
        <v>1.6103413635588204E-2</v>
      </c>
      <c r="AS67" s="110">
        <f>'B)NSA RCO Nb'!AS72/'B)NSA RCO Nb'!AO72-1</f>
        <v>1.5029032929205099E-2</v>
      </c>
      <c r="AT67" s="110">
        <f>'B)NSA RCO Nb'!AT72/'B)NSA RCO Nb'!AP72-1</f>
        <v>1.5179141044080025E-2</v>
      </c>
      <c r="AU67" s="110">
        <f>'B)NSA RCO Nb'!AU72/'B)NSA RCO Nb'!AQ72-1</f>
        <v>1.0948809643920754E-2</v>
      </c>
      <c r="AV67" s="110">
        <f>'B)NSA RCO Nb'!AV72/'B)NSA RCO Nb'!AR72-1</f>
        <v>1.2311457490029598E-2</v>
      </c>
      <c r="AW67" s="110">
        <f>'B)NSA RCO Nb'!AW72/'B)NSA RCO Nb'!AS72-1</f>
        <v>1.5611490414716211E-2</v>
      </c>
      <c r="AX67" s="110">
        <f>'B)NSA RCO Nb'!AX72/'B)NSA RCO Nb'!AT72-1</f>
        <v>8.5044732321269301E-2</v>
      </c>
      <c r="AY67" s="110">
        <f>'B)NSA RCO Nb'!AY72/'B)NSA RCO Nb'!AU72-1</f>
        <v>0.13006145378073031</v>
      </c>
      <c r="AZ67" s="110">
        <f>'B)NSA RCO Nb'!AZ72/'B)NSA RCO Nb'!AV72-1</f>
        <v>0.12911191030580849</v>
      </c>
      <c r="BA67" s="110">
        <f>'B)NSA RCO Nb'!BA72/'B)NSA RCO Nb'!AW72-1</f>
        <v>0.17060124868494064</v>
      </c>
      <c r="BB67" s="396">
        <f>'B)NSA RCO Nb'!BB72/'B)NSA RCO Nb'!AX72-1</f>
        <v>9.1819895208686164E-2</v>
      </c>
      <c r="BC67" s="455">
        <f>'B)NSA RCO Nb'!BC72/'B)NSA RCO Nb'!AY72-1</f>
        <v>5.3051193700286214E-2</v>
      </c>
      <c r="BD67" s="455">
        <f>'B)NSA RCO Nb'!BD72/'B)NSA RCO Nb'!AZ72-1</f>
        <v>5.6335474206572922E-2</v>
      </c>
      <c r="BE67" s="455">
        <f>'B)NSA RCO Nb'!BE72/'B)NSA RCO Nb'!BA72-1</f>
        <v>1.7446020829578357E-2</v>
      </c>
      <c r="BF67" s="455">
        <f>'B)NSA RCO Nb'!BF72/'B)NSA RCO Nb'!BB72-1</f>
        <v>2.0889449602312649E-2</v>
      </c>
      <c r="BG67" s="455">
        <f>'B)NSA RCO Nb'!BG72/'B)NSA RCO Nb'!BC72-1</f>
        <v>5.5760493372256859E-2</v>
      </c>
      <c r="BH67" s="455">
        <f>'B)NSA RCO Nb'!BH72/'B)NSA RCO Nb'!BD72-1</f>
        <v>5.4278768923740062E-2</v>
      </c>
      <c r="BI67" s="455">
        <f>'B)NSA RCO Nb'!BI72/'B)NSA RCO Nb'!BE72-1</f>
        <v>5.4123919361218409E-2</v>
      </c>
      <c r="BJ67" s="455">
        <f>'B)NSA RCO Nb'!BJ72/'B)NSA RCO Nb'!BF72-1</f>
        <v>5.3354184808981575E-2</v>
      </c>
    </row>
    <row r="68" spans="1:62" ht="13" x14ac:dyDescent="0.25">
      <c r="A68" s="157" t="s">
        <v>137</v>
      </c>
      <c r="B68" s="16"/>
      <c r="C68" s="42"/>
      <c r="D68" s="42"/>
      <c r="E68" s="42"/>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row>
    <row r="69" spans="1:62" ht="13" x14ac:dyDescent="0.25">
      <c r="A69" s="157" t="s">
        <v>138</v>
      </c>
      <c r="B69" s="16"/>
      <c r="C69" s="42"/>
      <c r="D69" s="42"/>
      <c r="E69" s="42"/>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row>
    <row r="70" spans="1:62" x14ac:dyDescent="0.25">
      <c r="A70" s="8" t="s">
        <v>136</v>
      </c>
      <c r="B70" s="16"/>
      <c r="C70" s="42"/>
      <c r="D70" s="42"/>
      <c r="E70" s="42"/>
      <c r="F70" s="110">
        <f>'B)NSA RCO Nb'!F75/'B)NSA RCO Nb'!B75-1</f>
        <v>7.1593057226326806E-3</v>
      </c>
      <c r="G70" s="110">
        <f>'B)NSA RCO Nb'!G75/'B)NSA RCO Nb'!C75-1</f>
        <v>5.8983090371009794E-3</v>
      </c>
      <c r="H70" s="110">
        <f>'B)NSA RCO Nb'!H75/'B)NSA RCO Nb'!D75-1</f>
        <v>2.2957597293880472E-2</v>
      </c>
      <c r="I70" s="110">
        <f>'B)NSA RCO Nb'!I75/'B)NSA RCO Nb'!E75-1</f>
        <v>2.3527201939824494E-2</v>
      </c>
      <c r="J70" s="110">
        <f>'B)NSA RCO Nb'!J75/'B)NSA RCO Nb'!F75-1</f>
        <v>2.3755003702654598E-2</v>
      </c>
      <c r="K70" s="110">
        <f>'B)NSA RCO Nb'!K75/'B)NSA RCO Nb'!G75-1</f>
        <v>2.2544651227802248E-2</v>
      </c>
      <c r="L70" s="110">
        <f>'B)NSA RCO Nb'!L75/'B)NSA RCO Nb'!H75-1</f>
        <v>2.3908694040195133E-2</v>
      </c>
      <c r="M70" s="110">
        <f>'B)NSA RCO Nb'!M75/'B)NSA RCO Nb'!I75-1</f>
        <v>2.2912989365997172E-2</v>
      </c>
      <c r="N70" s="110">
        <f>'B)NSA RCO Nb'!N75/'B)NSA RCO Nb'!J75-1</f>
        <v>2.2493783208997531E-2</v>
      </c>
      <c r="O70" s="110">
        <f>'B)NSA RCO Nb'!O75/'B)NSA RCO Nb'!K75-1</f>
        <v>2.4574751118549676E-2</v>
      </c>
      <c r="P70" s="110">
        <f>'B)NSA RCO Nb'!P75/'B)NSA RCO Nb'!L75-1</f>
        <v>1.5358166936880968E-2</v>
      </c>
      <c r="Q70" s="110">
        <f>'B)NSA RCO Nb'!Q75/'B)NSA RCO Nb'!M75-1</f>
        <v>1.5702980761076013E-2</v>
      </c>
      <c r="R70" s="110">
        <f>'B)NSA RCO Nb'!R75/'B)NSA RCO Nb'!N75-1</f>
        <v>1.5247341413956894E-2</v>
      </c>
      <c r="S70" s="110">
        <f>'B)NSA RCO Nb'!S75/'B)NSA RCO Nb'!O75-1</f>
        <v>1.5319885588959803E-2</v>
      </c>
      <c r="T70" s="110">
        <f>'B)NSA RCO Nb'!T75/'B)NSA RCO Nb'!P75-1</f>
        <v>-5.7367753128463872E-2</v>
      </c>
      <c r="U70" s="110">
        <f>'B)NSA RCO Nb'!U75/'B)NSA RCO Nb'!Q75-1</f>
        <v>-5.5334318196415988E-2</v>
      </c>
      <c r="V70" s="110">
        <f>'B)NSA RCO Nb'!V75/'B)NSA RCO Nb'!R75-1</f>
        <v>-5.2296102678385137E-2</v>
      </c>
      <c r="W70" s="110">
        <f>'B)NSA RCO Nb'!W75/'B)NSA RCO Nb'!S75-1</f>
        <v>-5.2491659215245123E-2</v>
      </c>
      <c r="X70" s="110">
        <f>'B)NSA RCO Nb'!X75/'B)NSA RCO Nb'!T75-1</f>
        <v>1.019771710196693E-2</v>
      </c>
      <c r="Y70" s="110">
        <f>'B)NSA RCO Nb'!Y75/'B)NSA RCO Nb'!U75-1</f>
        <v>9.8317185109637606E-3</v>
      </c>
      <c r="Z70" s="110">
        <f>'B)NSA RCO Nb'!Z75/'B)NSA RCO Nb'!V75-1</f>
        <v>9.3144446740962561E-3</v>
      </c>
      <c r="AA70" s="110">
        <f>'B)NSA RCO Nb'!AA75/'B)NSA RCO Nb'!W75-1</f>
        <v>1.7543147551519089E-2</v>
      </c>
      <c r="AB70" s="110">
        <f>'B)NSA RCO Nb'!AB75/'B)NSA RCO Nb'!X75-1</f>
        <v>1.6839242757033857E-2</v>
      </c>
      <c r="AC70" s="110">
        <f>'B)NSA RCO Nb'!AC75/'B)NSA RCO Nb'!Y75-1</f>
        <v>1.6600346079005623E-2</v>
      </c>
      <c r="AD70" s="110">
        <f>'B)NSA RCO Nb'!AD75/'B)NSA RCO Nb'!Z75-1</f>
        <v>1.9255946985718975E-2</v>
      </c>
      <c r="AE70" s="110">
        <f>'B)NSA RCO Nb'!AE75/'B)NSA RCO Nb'!AA75-1</f>
        <v>1.1305426006136488E-2</v>
      </c>
      <c r="AF70" s="110">
        <f>'B)NSA RCO Nb'!AF75/'B)NSA RCO Nb'!AB75-1</f>
        <v>1.1085599007239821E-2</v>
      </c>
      <c r="AG70" s="110">
        <f>'B)NSA RCO Nb'!AG75/'B)NSA RCO Nb'!AC75-1</f>
        <v>1.1318892748689358E-2</v>
      </c>
      <c r="AH70" s="110">
        <f>'B)NSA RCO Nb'!AH75/'B)NSA RCO Nb'!AD75-1</f>
        <v>2.1135110566567139E-2</v>
      </c>
      <c r="AI70" s="110">
        <f>'B)NSA RCO Nb'!AI75/'B)NSA RCO Nb'!AE75-1</f>
        <v>1.7128488314761769E-2</v>
      </c>
      <c r="AJ70" s="110">
        <f>'B)NSA RCO Nb'!AJ75/'B)NSA RCO Nb'!AF75-1</f>
        <v>1.7556928751685907E-2</v>
      </c>
      <c r="AK70" s="110">
        <f>'B)NSA RCO Nb'!AK75/'B)NSA RCO Nb'!AG75-1</f>
        <v>1.7096116126539496E-2</v>
      </c>
      <c r="AL70" s="110">
        <f>'B)NSA RCO Nb'!AL75/'B)NSA RCO Nb'!AH75-1</f>
        <v>3.3512345380359854E-3</v>
      </c>
      <c r="AM70" s="110">
        <f>'B)NSA RCO Nb'!AM75/'B)NSA RCO Nb'!AI75-1</f>
        <v>9.8661780436335444E-3</v>
      </c>
      <c r="AN70" s="110">
        <f>'B)NSA RCO Nb'!AN75/'B)NSA RCO Nb'!AJ75-1</f>
        <v>9.5461391349778157E-3</v>
      </c>
      <c r="AO70" s="110">
        <f>'B)NSA RCO Nb'!AO75/'B)NSA RCO Nb'!AK75-1</f>
        <v>1.2346593177340104E-2</v>
      </c>
      <c r="AP70" s="110">
        <f>'B)NSA RCO Nb'!AP75/'B)NSA RCO Nb'!AL75-1</f>
        <v>1.0521612220886434E-2</v>
      </c>
      <c r="AQ70" s="110">
        <f>'B)NSA RCO Nb'!AQ75/'B)NSA RCO Nb'!AM75-1</f>
        <v>1.6470716237751759E-2</v>
      </c>
      <c r="AR70" s="110">
        <f>'B)NSA RCO Nb'!AR75/'B)NSA RCO Nb'!AN75-1</f>
        <v>1.833353033066798E-2</v>
      </c>
      <c r="AS70" s="110">
        <f>'B)NSA RCO Nb'!AS75/'B)NSA RCO Nb'!AO75-1</f>
        <v>1.4756063819975962E-2</v>
      </c>
      <c r="AT70" s="110">
        <f>'B)NSA RCO Nb'!AT75/'B)NSA RCO Nb'!AP75-1</f>
        <v>1.6510416832353991E-2</v>
      </c>
      <c r="AU70" s="110">
        <f>'B)NSA RCO Nb'!AU75/'B)NSA RCO Nb'!AQ75-1</f>
        <v>1.1626332872645584E-2</v>
      </c>
      <c r="AV70" s="110">
        <f>'B)NSA RCO Nb'!AV75/'B)NSA RCO Nb'!AR75-1</f>
        <v>9.5899263423386838E-3</v>
      </c>
      <c r="AW70" s="110">
        <f>'B)NSA RCO Nb'!AW75/'B)NSA RCO Nb'!AS75-1</f>
        <v>1.0805830384816639E-2</v>
      </c>
      <c r="AX70" s="110">
        <f>'B)NSA RCO Nb'!AX75/'B)NSA RCO Nb'!AT75-1</f>
        <v>3.0106299670038306E-2</v>
      </c>
      <c r="AY70" s="110">
        <f>'B)NSA RCO Nb'!AY75/'B)NSA RCO Nb'!AU75-1</f>
        <v>5.6953608459132887E-2</v>
      </c>
      <c r="AZ70" s="110">
        <f>'B)NSA RCO Nb'!AZ75/'B)NSA RCO Nb'!AV75-1</f>
        <v>5.7642501311665484E-2</v>
      </c>
      <c r="BA70" s="110">
        <f>'B)NSA RCO Nb'!BA75/'B)NSA RCO Nb'!AW75-1</f>
        <v>9.9138942669614094E-2</v>
      </c>
      <c r="BB70" s="396">
        <f>'B)NSA RCO Nb'!BB75/'B)NSA RCO Nb'!AX75-1</f>
        <v>7.3421488296064652E-2</v>
      </c>
      <c r="BC70" s="455">
        <f>'B)NSA RCO Nb'!BC75/'B)NSA RCO Nb'!AY75-1</f>
        <v>5.5637171160700438E-2</v>
      </c>
      <c r="BD70" s="455">
        <f>'B)NSA RCO Nb'!BD75/'B)NSA RCO Nb'!AZ75-1</f>
        <v>5.7463549002807257E-2</v>
      </c>
      <c r="BE70" s="455">
        <f>'B)NSA RCO Nb'!BE75/'B)NSA RCO Nb'!BA75-1</f>
        <v>1.7710789853570441E-2</v>
      </c>
      <c r="BF70" s="455">
        <f>'B)NSA RCO Nb'!BF75/'B)NSA RCO Nb'!BB75-1</f>
        <v>2.3480934789353203E-2</v>
      </c>
      <c r="BG70" s="455">
        <f>'B)NSA RCO Nb'!BG75/'B)NSA RCO Nb'!BC75-1</f>
        <v>5.6586055475701835E-2</v>
      </c>
      <c r="BH70" s="455">
        <f>'B)NSA RCO Nb'!BH75/'B)NSA RCO Nb'!BD75-1</f>
        <v>5.572957174821469E-2</v>
      </c>
      <c r="BI70" s="455">
        <f>'B)NSA RCO Nb'!BI75/'B)NSA RCO Nb'!BE75-1</f>
        <v>5.5190151420276834E-2</v>
      </c>
      <c r="BJ70" s="455">
        <f>'B)NSA RCO Nb'!BJ75/'B)NSA RCO Nb'!BF75-1</f>
        <v>5.4928372785651991E-2</v>
      </c>
    </row>
    <row r="71" spans="1:62" x14ac:dyDescent="0.25">
      <c r="A71" s="109" t="s">
        <v>60</v>
      </c>
      <c r="B71" s="16"/>
      <c r="C71" s="42"/>
      <c r="D71" s="42"/>
      <c r="E71" s="42"/>
      <c r="F71" s="110">
        <f>'B)NSA RCO Nb'!F76/'B)NSA RCO Nb'!B76-1</f>
        <v>2.65950020940946E-2</v>
      </c>
      <c r="G71" s="110">
        <f>'B)NSA RCO Nb'!G76/'B)NSA RCO Nb'!C76-1</f>
        <v>2.5723433175572685E-2</v>
      </c>
      <c r="H71" s="110">
        <f>'B)NSA RCO Nb'!H76/'B)NSA RCO Nb'!D76-1</f>
        <v>2.5355770271190847E-2</v>
      </c>
      <c r="I71" s="110">
        <f>'B)NSA RCO Nb'!I76/'B)NSA RCO Nb'!E76-1</f>
        <v>2.5742962722748786E-2</v>
      </c>
      <c r="J71" s="110">
        <f>'B)NSA RCO Nb'!J76/'B)NSA RCO Nb'!F76-1</f>
        <v>2.5906031141633257E-2</v>
      </c>
      <c r="K71" s="110">
        <f>'B)NSA RCO Nb'!K76/'B)NSA RCO Nb'!G76-1</f>
        <v>2.3545612389486603E-2</v>
      </c>
      <c r="L71" s="110">
        <f>'B)NSA RCO Nb'!L76/'B)NSA RCO Nb'!H76-1</f>
        <v>2.5287661809768158E-2</v>
      </c>
      <c r="M71" s="110">
        <f>'B)NSA RCO Nb'!M76/'B)NSA RCO Nb'!I76-1</f>
        <v>2.5120312872013439E-2</v>
      </c>
      <c r="N71" s="110">
        <f>'B)NSA RCO Nb'!N76/'B)NSA RCO Nb'!J76-1</f>
        <v>2.5095907928388783E-2</v>
      </c>
      <c r="O71" s="110">
        <f>'B)NSA RCO Nb'!O76/'B)NSA RCO Nb'!K76-1</f>
        <v>2.7258475865134635E-2</v>
      </c>
      <c r="P71" s="110">
        <f>'B)NSA RCO Nb'!P76/'B)NSA RCO Nb'!L76-1</f>
        <v>1.7260965363707692E-2</v>
      </c>
      <c r="Q71" s="110">
        <f>'B)NSA RCO Nb'!Q76/'B)NSA RCO Nb'!M76-1</f>
        <v>1.679085298294658E-2</v>
      </c>
      <c r="R71" s="110">
        <f>'B)NSA RCO Nb'!R76/'B)NSA RCO Nb'!N76-1</f>
        <v>1.4323040470386017E-2</v>
      </c>
      <c r="S71" s="110">
        <f>'B)NSA RCO Nb'!S76/'B)NSA RCO Nb'!O76-1</f>
        <v>1.7025783527697014E-2</v>
      </c>
      <c r="T71" s="110">
        <f>'B)NSA RCO Nb'!T76/'B)NSA RCO Nb'!P76-1</f>
        <v>-4.4975904427139946E-2</v>
      </c>
      <c r="U71" s="110">
        <f>'B)NSA RCO Nb'!U76/'B)NSA RCO Nb'!Q76-1</f>
        <v>-4.2523394232605649E-2</v>
      </c>
      <c r="V71" s="110">
        <f>'B)NSA RCO Nb'!V76/'B)NSA RCO Nb'!R76-1</f>
        <v>-3.9141504092628732E-2</v>
      </c>
      <c r="W71" s="110">
        <f>'B)NSA RCO Nb'!W76/'B)NSA RCO Nb'!S76-1</f>
        <v>-4.2081453030693328E-2</v>
      </c>
      <c r="X71" s="110">
        <f>'B)NSA RCO Nb'!X76/'B)NSA RCO Nb'!T76-1</f>
        <v>9.2053427087093187E-3</v>
      </c>
      <c r="Y71" s="110">
        <f>'B)NSA RCO Nb'!Y76/'B)NSA RCO Nb'!U76-1</f>
        <v>7.9586385448402464E-3</v>
      </c>
      <c r="Z71" s="110">
        <f>'B)NSA RCO Nb'!Z76/'B)NSA RCO Nb'!V76-1</f>
        <v>8.635760555685712E-3</v>
      </c>
      <c r="AA71" s="110">
        <f>'B)NSA RCO Nb'!AA76/'B)NSA RCO Nb'!W76-1</f>
        <v>2.0464862547976637E-2</v>
      </c>
      <c r="AB71" s="110">
        <f>'B)NSA RCO Nb'!AB76/'B)NSA RCO Nb'!X76-1</f>
        <v>1.994572275056572E-2</v>
      </c>
      <c r="AC71" s="110">
        <f>'B)NSA RCO Nb'!AC76/'B)NSA RCO Nb'!Y76-1</f>
        <v>1.9500876879859685E-2</v>
      </c>
      <c r="AD71" s="110">
        <f>'B)NSA RCO Nb'!AD76/'B)NSA RCO Nb'!Z76-1</f>
        <v>2.4331361496171766E-2</v>
      </c>
      <c r="AE71" s="110">
        <f>'B)NSA RCO Nb'!AE76/'B)NSA RCO Nb'!AA76-1</f>
        <v>1.2646675856380796E-2</v>
      </c>
      <c r="AF71" s="110">
        <f>'B)NSA RCO Nb'!AF76/'B)NSA RCO Nb'!AB76-1</f>
        <v>1.1843951084138826E-2</v>
      </c>
      <c r="AG71" s="110">
        <f>'B)NSA RCO Nb'!AG76/'B)NSA RCO Nb'!AC76-1</f>
        <v>1.2212758507828658E-2</v>
      </c>
      <c r="AH71" s="110">
        <f>'B)NSA RCO Nb'!AH76/'B)NSA RCO Nb'!AD76-1</f>
        <v>2.4089559680014583E-2</v>
      </c>
      <c r="AI71" s="110">
        <f>'B)NSA RCO Nb'!AI76/'B)NSA RCO Nb'!AE76-1</f>
        <v>1.7688603652351809E-2</v>
      </c>
      <c r="AJ71" s="110">
        <f>'B)NSA RCO Nb'!AJ76/'B)NSA RCO Nb'!AF76-1</f>
        <v>1.8690074782903521E-2</v>
      </c>
      <c r="AK71" s="110">
        <f>'B)NSA RCO Nb'!AK76/'B)NSA RCO Nb'!AG76-1</f>
        <v>1.8291742960592883E-2</v>
      </c>
      <c r="AL71" s="110">
        <f>'B)NSA RCO Nb'!AL76/'B)NSA RCO Nb'!AH76-1</f>
        <v>5.1633842295495391E-4</v>
      </c>
      <c r="AM71" s="110">
        <f>'B)NSA RCO Nb'!AM76/'B)NSA RCO Nb'!AI76-1</f>
        <v>9.8743932713327709E-3</v>
      </c>
      <c r="AN71" s="110">
        <f>'B)NSA RCO Nb'!AN76/'B)NSA RCO Nb'!AJ76-1</f>
        <v>9.7708545984407369E-3</v>
      </c>
      <c r="AO71" s="110">
        <f>'B)NSA RCO Nb'!AO76/'B)NSA RCO Nb'!AK76-1</f>
        <v>1.1184055059963338E-2</v>
      </c>
      <c r="AP71" s="110">
        <f>'B)NSA RCO Nb'!AP76/'B)NSA RCO Nb'!AL76-1</f>
        <v>1.0833824830433381E-2</v>
      </c>
      <c r="AQ71" s="110">
        <f>'B)NSA RCO Nb'!AQ76/'B)NSA RCO Nb'!AM76-1</f>
        <v>1.691401735429543E-2</v>
      </c>
      <c r="AR71" s="110">
        <f>'B)NSA RCO Nb'!AR76/'B)NSA RCO Nb'!AN76-1</f>
        <v>1.7264996081131523E-2</v>
      </c>
      <c r="AS71" s="110">
        <f>'B)NSA RCO Nb'!AS76/'B)NSA RCO Nb'!AO76-1</f>
        <v>1.5328944245438292E-2</v>
      </c>
      <c r="AT71" s="110">
        <f>'B)NSA RCO Nb'!AT76/'B)NSA RCO Nb'!AP76-1</f>
        <v>1.6071096459399303E-2</v>
      </c>
      <c r="AU71" s="110">
        <f>'B)NSA RCO Nb'!AU76/'B)NSA RCO Nb'!AQ76-1</f>
        <v>1.1011491349917968E-2</v>
      </c>
      <c r="AV71" s="110">
        <f>'B)NSA RCO Nb'!AV76/'B)NSA RCO Nb'!AR76-1</f>
        <v>1.1355453786111358E-2</v>
      </c>
      <c r="AW71" s="110">
        <f>'B)NSA RCO Nb'!AW76/'B)NSA RCO Nb'!AS76-1</f>
        <v>1.390712043127551E-2</v>
      </c>
      <c r="AX71" s="110">
        <f>'B)NSA RCO Nb'!AX76/'B)NSA RCO Nb'!AT76-1</f>
        <v>6.8944322420079196E-2</v>
      </c>
      <c r="AY71" s="110">
        <f>'B)NSA RCO Nb'!AY76/'B)NSA RCO Nb'!AU76-1</f>
        <v>0.11571036069468299</v>
      </c>
      <c r="AZ71" s="110">
        <f>'B)NSA RCO Nb'!AZ76/'B)NSA RCO Nb'!AV76-1</f>
        <v>0.1149993494342485</v>
      </c>
      <c r="BA71" s="110">
        <f>'B)NSA RCO Nb'!BA76/'B)NSA RCO Nb'!AW76-1</f>
        <v>0.15693625377442655</v>
      </c>
      <c r="BB71" s="396">
        <f>'B)NSA RCO Nb'!BB76/'B)NSA RCO Nb'!AX76-1</f>
        <v>9.2928617120115353E-2</v>
      </c>
      <c r="BC71" s="455">
        <f>'B)NSA RCO Nb'!BC76/'B)NSA RCO Nb'!AY76-1</f>
        <v>5.3435791183106041E-2</v>
      </c>
      <c r="BD71" s="455">
        <f>'B)NSA RCO Nb'!BD76/'B)NSA RCO Nb'!AZ76-1</f>
        <v>5.6551863600919017E-2</v>
      </c>
      <c r="BE71" s="455">
        <f>'B)NSA RCO Nb'!BE76/'B)NSA RCO Nb'!BA76-1</f>
        <v>1.7341524266905273E-2</v>
      </c>
      <c r="BF71" s="455">
        <f>'B)NSA RCO Nb'!BF76/'B)NSA RCO Nb'!BB76-1</f>
        <v>2.1669758975140674E-2</v>
      </c>
      <c r="BG71" s="455">
        <f>'B)NSA RCO Nb'!BG76/'B)NSA RCO Nb'!BC76-1</f>
        <v>5.6190436182818271E-2</v>
      </c>
      <c r="BH71" s="455">
        <f>'B)NSA RCO Nb'!BH76/'B)NSA RCO Nb'!BD76-1</f>
        <v>5.4833312346595608E-2</v>
      </c>
      <c r="BI71" s="455">
        <f>'B)NSA RCO Nb'!BI76/'B)NSA RCO Nb'!BE76-1</f>
        <v>5.4514468634263347E-2</v>
      </c>
      <c r="BJ71" s="455">
        <f>'B)NSA RCO Nb'!BJ76/'B)NSA RCO Nb'!BF76-1</f>
        <v>5.3842735302942479E-2</v>
      </c>
    </row>
    <row r="72" spans="1:62" x14ac:dyDescent="0.25">
      <c r="C72" s="98"/>
    </row>
    <row r="73" spans="1:62" ht="13" x14ac:dyDescent="0.3">
      <c r="A73" s="1" t="s">
        <v>169</v>
      </c>
      <c r="B73" s="1"/>
      <c r="C73" s="37"/>
    </row>
    <row r="74" spans="1:62" x14ac:dyDescent="0.25">
      <c r="A74" s="35"/>
      <c r="B74" s="35"/>
    </row>
    <row r="75" spans="1:62" x14ac:dyDescent="0.25">
      <c r="A75" s="8" t="s">
        <v>91</v>
      </c>
      <c r="B75" s="35"/>
    </row>
    <row r="76" spans="1:62" x14ac:dyDescent="0.25">
      <c r="A76" s="235" t="s">
        <v>92</v>
      </c>
      <c r="B76" s="35"/>
    </row>
    <row r="77" spans="1:62" x14ac:dyDescent="0.25">
      <c r="A77" s="35"/>
      <c r="B77" s="35"/>
    </row>
  </sheetData>
  <phoneticPr fontId="2" type="noConversion"/>
  <pageMargins left="0.55118110236220474" right="0.47244094488188981" top="0.34" bottom="0.24" header="0.27559055118110237"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4</vt:i4>
      </vt:variant>
    </vt:vector>
  </HeadingPairs>
  <TitlesOfParts>
    <vt:vector size="19" baseType="lpstr">
      <vt:lpstr>Retraites NSA stock</vt:lpstr>
      <vt:lpstr>tendance</vt:lpstr>
      <vt:lpstr>CHASS1-2</vt:lpstr>
      <vt:lpstr>A)NSA Nb</vt:lpstr>
      <vt:lpstr>B)NSA RCO Nb</vt:lpstr>
      <vt:lpstr>C)NSA RCO SA Nb</vt:lpstr>
      <vt:lpstr>A)evol an</vt:lpstr>
      <vt:lpstr>A)evol trim</vt:lpstr>
      <vt:lpstr>B)evol an</vt:lpstr>
      <vt:lpstr>B)evol trim</vt:lpstr>
      <vt:lpstr>C)evol an</vt:lpstr>
      <vt:lpstr>C)evol trim</vt:lpstr>
      <vt:lpstr>A) pour TdB</vt:lpstr>
      <vt:lpstr>B) pour TdB</vt:lpstr>
      <vt:lpstr>C) pour TdB</vt:lpstr>
      <vt:lpstr>'A)NSA Nb'!Impression_des_titres</vt:lpstr>
      <vt:lpstr>'A) pour TdB'!Zone_d_impression</vt:lpstr>
      <vt:lpstr>'B) pour TdB'!Zone_d_impression</vt:lpstr>
      <vt:lpstr>'C) pour TdB'!Zone_d_impression</vt:lpstr>
    </vt:vector>
  </TitlesOfParts>
  <Company>GETIMA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ODIOTSE</dc:creator>
  <cp:lastModifiedBy>Claudine Gaillard</cp:lastModifiedBy>
  <cp:lastPrinted>2025-03-20T14:46:37Z</cp:lastPrinted>
  <dcterms:created xsi:type="dcterms:W3CDTF">2010-02-09T10:03:31Z</dcterms:created>
  <dcterms:modified xsi:type="dcterms:W3CDTF">2025-09-12T12:20:29Z</dcterms:modified>
</cp:coreProperties>
</file>